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5" yWindow="-15" windowWidth="17340" windowHeight="8925" tabRatio="884" firstSheet="5" activeTab="9"/>
    <workbookView xWindow="120" yWindow="120" windowWidth="10515" windowHeight="6990" firstSheet="19" activeTab="25"/>
  </bookViews>
  <sheets>
    <sheet name="Title Page" sheetId="17" r:id="rId1"/>
    <sheet name="Revision History" sheetId="18" r:id="rId2"/>
    <sheet name="Instructions" sheetId="19" r:id="rId3"/>
    <sheet name="Methodology" sheetId="24" r:id="rId4"/>
    <sheet name="# Yrs of Data" sheetId="16" r:id="rId5"/>
    <sheet name="Counties" sheetId="14" r:id="rId6"/>
    <sheet name="Ratings" sheetId="25" r:id="rId7"/>
    <sheet name="Database - Tornado Segments" sheetId="2" r:id="rId8"/>
    <sheet name="Summary - Tornado Segments" sheetId="1" r:id="rId9"/>
    <sheet name="Database - Whole Tornadoes" sheetId="21" r:id="rId10"/>
    <sheet name="Summary - Whole Tornadoes" sheetId="22" r:id="rId11"/>
    <sheet name="Graphs" sheetId="15" r:id="rId12"/>
    <sheet name="Season" sheetId="23" r:id="rId13"/>
    <sheet name="First Tornado" sheetId="34" r:id="rId14"/>
    <sheet name="APC" sheetId="13" r:id="rId15"/>
    <sheet name="Tornado Segment Statistics" sheetId="20" r:id="rId16"/>
    <sheet name="Tornado Segment Distribution" sheetId="11" r:id="rId17"/>
    <sheet name="Adjustments to Data" sheetId="9" r:id="rId18"/>
    <sheet name="Tornado Model" sheetId="12" r:id="rId19"/>
    <sheet name="F0 - EF0" sheetId="3" r:id="rId20"/>
    <sheet name="F0 - EF0 Analysis" sheetId="26" r:id="rId21"/>
    <sheet name="F1 - EF1" sheetId="4" r:id="rId22"/>
    <sheet name="F1 - EF1 Analysis" sheetId="30" r:id="rId23"/>
    <sheet name="F2 - EF2" sheetId="5" r:id="rId24"/>
    <sheet name="F2 - EF2 Analysis" sheetId="31" r:id="rId25"/>
    <sheet name="F3 - EF3" sheetId="6" r:id="rId26"/>
    <sheet name="F3 - EF3 Analysis" sheetId="32" r:id="rId27"/>
    <sheet name="F4 - EF4" sheetId="7" r:id="rId28"/>
    <sheet name="F4 - EF4 Analysis" sheetId="33" r:id="rId29"/>
    <sheet name="EF5" sheetId="8" r:id="rId30"/>
  </sheets>
  <definedNames>
    <definedName name="_xlnm._FilterDatabase" localSheetId="7" hidden="1">'Database - Tornado Segments'!$D$6:$L$1207</definedName>
    <definedName name="_xlnm._FilterDatabase" localSheetId="9" hidden="1">'Database - Whole Tornadoes'!$C$4:$K$1197</definedName>
    <definedName name="counties">Counties!$B$6:$B$28</definedName>
    <definedName name="_xlnm.Print_Area" localSheetId="4">'# Yrs of Data'!$C$2:$D$79</definedName>
    <definedName name="_xlnm.Print_Area" localSheetId="17">'Adjustments to Data'!$A$1:$J$55</definedName>
    <definedName name="_xlnm.Print_Area" localSheetId="14">APC!$B$2:$J$29</definedName>
    <definedName name="_xlnm.Print_Area" localSheetId="5">Counties!$B$2:$I$26</definedName>
    <definedName name="_xlnm.Print_Area" localSheetId="7">'Database - Tornado Segments'!$A$1:$Q$1135</definedName>
    <definedName name="_xlnm.Print_Area" localSheetId="9">'Database - Whole Tornadoes'!$A$1:$N$1074</definedName>
    <definedName name="_xlnm.Print_Area" localSheetId="19">'F0 - EF0'!$A$1:$M$686</definedName>
    <definedName name="_xlnm.Print_Area" localSheetId="11">Graphs!$A$532:$F$4028</definedName>
    <definedName name="_xlnm.Print_Area" localSheetId="2">Instructions!$A$1:$D$351</definedName>
    <definedName name="_xlnm.Print_Area" localSheetId="3">Methodology!$B$2:$B$7</definedName>
    <definedName name="_xlnm.Print_Area" localSheetId="1">'Revision History'!$B$2:$D$21</definedName>
    <definedName name="_xlnm.Print_Area" localSheetId="12">Season!$2:$78</definedName>
    <definedName name="_xlnm.Print_Area" localSheetId="8">'Summary - Tornado Segments'!$B$1:$L$94</definedName>
    <definedName name="_xlnm.Print_Area" localSheetId="10">'Summary - Whole Tornadoes'!$B$1:$L$94</definedName>
    <definedName name="_xlnm.Print_Area" localSheetId="0">'Title Page'!$B$2:$E$10</definedName>
    <definedName name="_xlnm.Print_Area" localSheetId="18">'Tornado Model'!$B$2:$K$149</definedName>
    <definedName name="_xlnm.Print_Area" localSheetId="16">'Tornado Segment Distribution'!$B$2:$J$231</definedName>
    <definedName name="_xlnm.Print_Area">'Summary - Tornado Segments'!#REF!</definedName>
    <definedName name="_xlnm.Print_Titles" localSheetId="4">'# Yrs of Data'!$2:$3</definedName>
    <definedName name="_xlnm.Print_Titles" localSheetId="7">'Database - Tornado Segments'!$1:$6</definedName>
    <definedName name="_xlnm.Print_Titles" localSheetId="9">'Database - Whole Tornadoes'!$1:$4</definedName>
    <definedName name="_xlnm.Print_Titles" localSheetId="19">'F0 - EF0'!$1:$6</definedName>
    <definedName name="_xlnm.Print_Titles" localSheetId="21">'F1 - EF1'!$1:$6</definedName>
    <definedName name="_xlnm.Print_Titles" localSheetId="23">'F2 - EF2'!$1:$6</definedName>
    <definedName name="_xlnm.Print_Titles" localSheetId="25">'F3 - EF3'!$1:$6</definedName>
    <definedName name="_xlnm.Print_Titles" localSheetId="27">'F4 - EF4'!$1:$6</definedName>
    <definedName name="_xlnm.Print_Titles" localSheetId="2">Instructions!$2:$2</definedName>
    <definedName name="_xlnm.Print_Titles" localSheetId="3">Methodology!$2:$2</definedName>
    <definedName name="_xlnm.Print_Titles" localSheetId="8">'Summary - Tornado Segments'!$1:$10</definedName>
    <definedName name="_xlnm.Print_Titles" localSheetId="10">'Summary - Whole Tornadoes'!$1:$10</definedName>
    <definedName name="rating">Ratings!$C$5:$C$10</definedName>
    <definedName name="Z_CFA9FB8A_52FF_44B9_AE70_27339693E196_.wvu.PrintArea" localSheetId="17" hidden="1">'Adjustments to Data'!$A$1:$K$37</definedName>
    <definedName name="Z_CFA9FB8A_52FF_44B9_AE70_27339693E196_.wvu.PrintArea" localSheetId="14" hidden="1">APC!$A$1:$J$29</definedName>
    <definedName name="Z_CFA9FB8A_52FF_44B9_AE70_27339693E196_.wvu.PrintArea" localSheetId="5" hidden="1">Counties!$A$3:$I$27</definedName>
    <definedName name="Z_CFA9FB8A_52FF_44B9_AE70_27339693E196_.wvu.PrintArea" localSheetId="7" hidden="1">'Database - Tornado Segments'!$A$1:$Q$1113</definedName>
    <definedName name="Z_CFA9FB8A_52FF_44B9_AE70_27339693E196_.wvu.PrintArea" localSheetId="8" hidden="1">'Summary - Tornado Segments'!$B$1:$L$92</definedName>
    <definedName name="Z_CFA9FB8A_52FF_44B9_AE70_27339693E196_.wvu.PrintArea" localSheetId="16" hidden="1">'Tornado Segment Distribution'!$A$1:$K$217</definedName>
    <definedName name="Z_CFA9FB8A_52FF_44B9_AE70_27339693E196_.wvu.PrintTitles" localSheetId="7" hidden="1">'Database - Tornado Segments'!$1:$6</definedName>
    <definedName name="Z_CFA9FB8A_52FF_44B9_AE70_27339693E196_.wvu.PrintTitles" localSheetId="8" hidden="1">'Summary - Tornado Segments'!$1:$10</definedName>
  </definedNames>
  <calcPr calcId="145621"/>
  <customWorkbookViews>
    <customWorkbookView name="Alan" guid="{CFA9FB8A-52FF-44B9-AE70-27339693E196}" includeHiddenRowCol="0" maximized="1" xWindow="1" yWindow="1" windowWidth="1061" windowHeight="624" tabRatio="836" activeSheetId="18"/>
  </customWorkbookViews>
</workbook>
</file>

<file path=xl/calcChain.xml><?xml version="1.0" encoding="utf-8"?>
<calcChain xmlns="http://schemas.openxmlformats.org/spreadsheetml/2006/main">
  <c r="A1085" i="21" l="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E9" i="32" l="1"/>
  <c r="E8" i="32"/>
  <c r="E7" i="32"/>
  <c r="E6" i="32"/>
  <c r="E5" i="32"/>
  <c r="E4" i="32"/>
  <c r="D9" i="32"/>
  <c r="D8" i="32"/>
  <c r="D7" i="32"/>
  <c r="D6" i="32"/>
  <c r="D5" i="32"/>
  <c r="D4" i="32"/>
  <c r="C9" i="32"/>
  <c r="C8" i="32"/>
  <c r="C7" i="32"/>
  <c r="C6" i="32"/>
  <c r="C5" i="32"/>
  <c r="C4" i="32"/>
  <c r="I54" i="32"/>
  <c r="H54" i="32"/>
  <c r="G54" i="32"/>
  <c r="I53" i="32"/>
  <c r="H53" i="32"/>
  <c r="G53" i="32"/>
  <c r="I52" i="32"/>
  <c r="H52" i="32"/>
  <c r="G52" i="32"/>
  <c r="E54" i="32"/>
  <c r="F54" i="32" s="1"/>
  <c r="E53" i="32"/>
  <c r="E52" i="32"/>
  <c r="F52" i="32" s="1"/>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F53" i="32"/>
  <c r="E9" i="31"/>
  <c r="E8" i="31"/>
  <c r="E7" i="31"/>
  <c r="E6" i="31"/>
  <c r="E5" i="31"/>
  <c r="E4" i="31"/>
  <c r="D9" i="31"/>
  <c r="D8" i="31"/>
  <c r="D7" i="31"/>
  <c r="D6" i="31"/>
  <c r="D5" i="31"/>
  <c r="D4" i="31"/>
  <c r="C9" i="31"/>
  <c r="C8" i="31"/>
  <c r="C7" i="31"/>
  <c r="C6" i="31"/>
  <c r="C5" i="31"/>
  <c r="C4" i="31"/>
  <c r="I139" i="31"/>
  <c r="H139" i="31"/>
  <c r="G139" i="31"/>
  <c r="I138" i="31"/>
  <c r="H138" i="31"/>
  <c r="G138" i="31"/>
  <c r="I137" i="31"/>
  <c r="H137" i="31"/>
  <c r="G137"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F139" i="31"/>
  <c r="F138" i="31"/>
  <c r="F137" i="31"/>
  <c r="E9" i="30"/>
  <c r="E8" i="30"/>
  <c r="E7" i="30"/>
  <c r="E6" i="30"/>
  <c r="E5" i="30"/>
  <c r="E4" i="30"/>
  <c r="D9" i="30"/>
  <c r="D8" i="30"/>
  <c r="D7" i="30"/>
  <c r="D6" i="30"/>
  <c r="D5" i="30"/>
  <c r="D4" i="30"/>
  <c r="C9" i="30"/>
  <c r="C8" i="30"/>
  <c r="C7" i="30"/>
  <c r="C6" i="30"/>
  <c r="C5" i="30"/>
  <c r="C4" i="30"/>
  <c r="I254" i="30"/>
  <c r="H254" i="30"/>
  <c r="G254" i="30"/>
  <c r="I253" i="30"/>
  <c r="H253" i="30"/>
  <c r="G253" i="30"/>
  <c r="I252" i="30"/>
  <c r="H252" i="30"/>
  <c r="G252" i="30"/>
  <c r="I251" i="30"/>
  <c r="H251" i="30"/>
  <c r="G251" i="30"/>
  <c r="I250" i="30"/>
  <c r="H250" i="30"/>
  <c r="G250" i="30"/>
  <c r="I249" i="30"/>
  <c r="H249" i="30"/>
  <c r="G249" i="30"/>
  <c r="I248" i="30"/>
  <c r="H248" i="30"/>
  <c r="G248" i="30"/>
  <c r="I247" i="30"/>
  <c r="H247" i="30"/>
  <c r="G247" i="30"/>
  <c r="I246" i="30"/>
  <c r="H246" i="30"/>
  <c r="G246" i="30"/>
  <c r="I245" i="30"/>
  <c r="H245" i="30"/>
  <c r="G245" i="30"/>
  <c r="I244" i="30"/>
  <c r="H244" i="30"/>
  <c r="G244" i="30"/>
  <c r="I243" i="30"/>
  <c r="H243" i="30"/>
  <c r="G243" i="30"/>
  <c r="I242" i="30"/>
  <c r="H242" i="30"/>
  <c r="G242"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F254" i="30"/>
  <c r="F253" i="30"/>
  <c r="F252" i="30"/>
  <c r="F251" i="30"/>
  <c r="F250" i="30"/>
  <c r="F249" i="30"/>
  <c r="F248" i="30"/>
  <c r="F247" i="30"/>
  <c r="F246" i="30"/>
  <c r="F245" i="30"/>
  <c r="F244" i="30"/>
  <c r="F243" i="30"/>
  <c r="F242" i="30"/>
  <c r="E9" i="26"/>
  <c r="E8" i="26"/>
  <c r="E7" i="26"/>
  <c r="E6" i="26"/>
  <c r="E5" i="26"/>
  <c r="E4" i="26"/>
  <c r="D9" i="26"/>
  <c r="D8" i="26"/>
  <c r="D7" i="26"/>
  <c r="D6" i="26"/>
  <c r="D5" i="26"/>
  <c r="D4" i="26"/>
  <c r="C9" i="26"/>
  <c r="C8" i="26"/>
  <c r="C7" i="26"/>
  <c r="C6" i="26"/>
  <c r="C5" i="26"/>
  <c r="C4" i="26"/>
  <c r="I708" i="26" l="1"/>
  <c r="H708" i="26"/>
  <c r="G708" i="26"/>
  <c r="I707" i="26"/>
  <c r="H707" i="26"/>
  <c r="G707" i="26"/>
  <c r="I706" i="26"/>
  <c r="H706" i="26"/>
  <c r="G706" i="26"/>
  <c r="I705" i="26"/>
  <c r="H705" i="26"/>
  <c r="G705" i="26"/>
  <c r="I704" i="26"/>
  <c r="H704" i="26"/>
  <c r="G704" i="26"/>
  <c r="I703" i="26"/>
  <c r="H703" i="26"/>
  <c r="G703" i="26"/>
  <c r="I702" i="26"/>
  <c r="H702" i="26"/>
  <c r="G702" i="26"/>
  <c r="I701" i="26"/>
  <c r="H701" i="26"/>
  <c r="G701" i="26"/>
  <c r="I700" i="26"/>
  <c r="H700" i="26"/>
  <c r="G700" i="26"/>
  <c r="I699" i="26"/>
  <c r="H699" i="26"/>
  <c r="G699" i="26"/>
  <c r="I698" i="26"/>
  <c r="H698" i="26"/>
  <c r="G698" i="26"/>
  <c r="I697" i="26"/>
  <c r="H697" i="26"/>
  <c r="G697" i="26"/>
  <c r="I696" i="26"/>
  <c r="H696" i="26"/>
  <c r="G696" i="26"/>
  <c r="I695" i="26"/>
  <c r="H695" i="26"/>
  <c r="G695" i="26"/>
  <c r="I694" i="26"/>
  <c r="H694" i="26"/>
  <c r="G694" i="26"/>
  <c r="I693" i="26"/>
  <c r="H693" i="26"/>
  <c r="G693" i="26"/>
  <c r="I692" i="26"/>
  <c r="H692" i="26"/>
  <c r="G692" i="26"/>
  <c r="I691" i="26"/>
  <c r="H691" i="26"/>
  <c r="G691" i="26"/>
  <c r="I690" i="26"/>
  <c r="H690" i="26"/>
  <c r="G690" i="26"/>
  <c r="I689" i="26"/>
  <c r="H689" i="26"/>
  <c r="G689" i="26"/>
  <c r="I688" i="26"/>
  <c r="H688" i="26"/>
  <c r="G688" i="26"/>
  <c r="I687" i="26"/>
  <c r="H687" i="26"/>
  <c r="G687" i="26"/>
  <c r="I686" i="26"/>
  <c r="H686" i="26"/>
  <c r="G686" i="26"/>
  <c r="E708" i="26"/>
  <c r="E707" i="26"/>
  <c r="E706" i="26"/>
  <c r="E705" i="26"/>
  <c r="E704" i="26"/>
  <c r="E703" i="26"/>
  <c r="E702" i="26"/>
  <c r="E701" i="26"/>
  <c r="E700" i="26"/>
  <c r="E699" i="26"/>
  <c r="E698" i="26"/>
  <c r="E697" i="26"/>
  <c r="E696" i="26"/>
  <c r="E695" i="26"/>
  <c r="E694" i="26"/>
  <c r="E693" i="26"/>
  <c r="E692" i="26"/>
  <c r="E691" i="26"/>
  <c r="E690" i="26"/>
  <c r="E689" i="26"/>
  <c r="E688" i="26"/>
  <c r="E687" i="26"/>
  <c r="E686" i="26"/>
  <c r="E685" i="26"/>
  <c r="E684" i="26"/>
  <c r="E683" i="26"/>
  <c r="E682" i="26"/>
  <c r="E681" i="26"/>
  <c r="E680" i="26"/>
  <c r="E679" i="26"/>
  <c r="E678" i="26"/>
  <c r="E677" i="26"/>
  <c r="E676" i="26"/>
  <c r="E675" i="26"/>
  <c r="E674" i="26"/>
  <c r="E673" i="26"/>
  <c r="E672" i="26"/>
  <c r="E671" i="26"/>
  <c r="E670" i="26"/>
  <c r="E669" i="26"/>
  <c r="E668" i="26"/>
  <c r="E667" i="26"/>
  <c r="E666" i="26"/>
  <c r="E665" i="26"/>
  <c r="E664" i="26"/>
  <c r="E663" i="26"/>
  <c r="E662" i="26"/>
  <c r="E661" i="26"/>
  <c r="E660" i="26"/>
  <c r="E659" i="26"/>
  <c r="E658" i="26"/>
  <c r="E657" i="26"/>
  <c r="E656" i="26"/>
  <c r="E655" i="26"/>
  <c r="E654" i="26"/>
  <c r="E653" i="26"/>
  <c r="E652" i="26"/>
  <c r="E651" i="26"/>
  <c r="E650" i="26"/>
  <c r="E649" i="26"/>
  <c r="E648" i="26"/>
  <c r="E647" i="26"/>
  <c r="E646" i="26"/>
  <c r="E645" i="26"/>
  <c r="E644" i="26"/>
  <c r="E643" i="26"/>
  <c r="E642" i="26"/>
  <c r="E641" i="26"/>
  <c r="E640" i="26"/>
  <c r="E639" i="26"/>
  <c r="E638" i="26"/>
  <c r="E637" i="26"/>
  <c r="E636" i="26"/>
  <c r="E635" i="26"/>
  <c r="E634" i="26"/>
  <c r="E633" i="26"/>
  <c r="E632" i="26"/>
  <c r="E631" i="26"/>
  <c r="E630" i="26"/>
  <c r="E629" i="26"/>
  <c r="E628" i="26"/>
  <c r="E627" i="26"/>
  <c r="E626" i="26"/>
  <c r="E625" i="26"/>
  <c r="E624" i="26"/>
  <c r="E623" i="26"/>
  <c r="E622" i="26"/>
  <c r="E621" i="26"/>
  <c r="E620" i="26"/>
  <c r="E619" i="26"/>
  <c r="E618" i="26"/>
  <c r="E617" i="26"/>
  <c r="E616" i="26"/>
  <c r="E615" i="26"/>
  <c r="E614" i="26"/>
  <c r="E613" i="26"/>
  <c r="E612" i="26"/>
  <c r="E611" i="26"/>
  <c r="E610" i="26"/>
  <c r="E609" i="26"/>
  <c r="E608" i="26"/>
  <c r="E607" i="26"/>
  <c r="E606" i="26"/>
  <c r="E605" i="26"/>
  <c r="E604" i="26"/>
  <c r="E603" i="26"/>
  <c r="E602" i="26"/>
  <c r="E601" i="26"/>
  <c r="E600" i="26"/>
  <c r="E599" i="26"/>
  <c r="E598" i="26"/>
  <c r="E597" i="26"/>
  <c r="E596" i="26"/>
  <c r="E595" i="26"/>
  <c r="E594" i="26"/>
  <c r="E593" i="26"/>
  <c r="E592" i="26"/>
  <c r="E591" i="26"/>
  <c r="E590" i="26"/>
  <c r="E589" i="26"/>
  <c r="E588" i="26"/>
  <c r="E587" i="26"/>
  <c r="E586" i="26"/>
  <c r="E585" i="26"/>
  <c r="E584" i="26"/>
  <c r="E583" i="26"/>
  <c r="E582" i="26"/>
  <c r="E581" i="26"/>
  <c r="E580" i="26"/>
  <c r="E579" i="26"/>
  <c r="E578" i="26"/>
  <c r="E577" i="26"/>
  <c r="E576" i="26"/>
  <c r="E575" i="26"/>
  <c r="E574" i="26"/>
  <c r="E573" i="26"/>
  <c r="E572" i="26"/>
  <c r="E571" i="26"/>
  <c r="E570" i="26"/>
  <c r="E569" i="26"/>
  <c r="E568" i="26"/>
  <c r="E567" i="26"/>
  <c r="E566" i="26"/>
  <c r="E565" i="26"/>
  <c r="E564" i="26"/>
  <c r="E563" i="26"/>
  <c r="E562" i="26"/>
  <c r="E561" i="26"/>
  <c r="E560" i="26"/>
  <c r="E559" i="26"/>
  <c r="E558" i="26"/>
  <c r="E557" i="26"/>
  <c r="E556" i="26"/>
  <c r="E555" i="26"/>
  <c r="E554" i="26"/>
  <c r="E553" i="26"/>
  <c r="E552" i="26"/>
  <c r="E551" i="26"/>
  <c r="E550" i="26"/>
  <c r="E549" i="26"/>
  <c r="E548" i="26"/>
  <c r="E547" i="26"/>
  <c r="E546" i="26"/>
  <c r="E545" i="26"/>
  <c r="E544" i="26"/>
  <c r="E543" i="26"/>
  <c r="E542" i="26"/>
  <c r="E541" i="26"/>
  <c r="E540" i="26"/>
  <c r="E539" i="26"/>
  <c r="E538" i="26"/>
  <c r="E537" i="26"/>
  <c r="E536" i="26"/>
  <c r="E535" i="26"/>
  <c r="E534" i="26"/>
  <c r="E533" i="26"/>
  <c r="E532" i="26"/>
  <c r="E531" i="26"/>
  <c r="E530" i="26"/>
  <c r="E529" i="26"/>
  <c r="E528" i="26"/>
  <c r="E527" i="26"/>
  <c r="E526" i="26"/>
  <c r="E525" i="26"/>
  <c r="E524" i="26"/>
  <c r="E523" i="26"/>
  <c r="E522" i="26"/>
  <c r="E521" i="26"/>
  <c r="E520" i="26"/>
  <c r="E519" i="26"/>
  <c r="E518" i="26"/>
  <c r="E517" i="26"/>
  <c r="E516" i="26"/>
  <c r="E515" i="26"/>
  <c r="E514" i="26"/>
  <c r="E513" i="26"/>
  <c r="E512" i="26"/>
  <c r="E511" i="26"/>
  <c r="E510" i="26"/>
  <c r="E509" i="26"/>
  <c r="E508" i="26"/>
  <c r="E507" i="26"/>
  <c r="E506" i="26"/>
  <c r="E505" i="26"/>
  <c r="E504" i="26"/>
  <c r="E503" i="26"/>
  <c r="E502" i="26"/>
  <c r="E501" i="26"/>
  <c r="E500" i="26"/>
  <c r="E499" i="26"/>
  <c r="E498" i="26"/>
  <c r="E497" i="26"/>
  <c r="E496" i="26"/>
  <c r="E495" i="26"/>
  <c r="E494" i="26"/>
  <c r="E493" i="26"/>
  <c r="E492" i="26"/>
  <c r="E491" i="26"/>
  <c r="E490" i="26"/>
  <c r="E489" i="26"/>
  <c r="E488" i="26"/>
  <c r="E487" i="26"/>
  <c r="E486" i="26"/>
  <c r="E485" i="26"/>
  <c r="E484" i="26"/>
  <c r="E483" i="26"/>
  <c r="E482" i="26"/>
  <c r="E481" i="26"/>
  <c r="E480" i="26"/>
  <c r="E479" i="26"/>
  <c r="E478" i="26"/>
  <c r="E477" i="26"/>
  <c r="E476" i="26"/>
  <c r="E475" i="26"/>
  <c r="E474" i="26"/>
  <c r="E473" i="26"/>
  <c r="E472" i="26"/>
  <c r="E471" i="26"/>
  <c r="E470" i="26"/>
  <c r="E469" i="26"/>
  <c r="E468" i="26"/>
  <c r="E467" i="26"/>
  <c r="E466" i="26"/>
  <c r="E465" i="26"/>
  <c r="E464" i="26"/>
  <c r="E463" i="26"/>
  <c r="E462" i="26"/>
  <c r="E461" i="26"/>
  <c r="E460" i="26"/>
  <c r="E459" i="26"/>
  <c r="E458" i="26"/>
  <c r="E457" i="26"/>
  <c r="E456" i="26"/>
  <c r="E455" i="26"/>
  <c r="E454" i="26"/>
  <c r="E453" i="26"/>
  <c r="E452" i="26"/>
  <c r="E451" i="26"/>
  <c r="E450" i="26"/>
  <c r="E449" i="26"/>
  <c r="E448" i="26"/>
  <c r="E447" i="26"/>
  <c r="E446" i="26"/>
  <c r="E445" i="26"/>
  <c r="E444" i="26"/>
  <c r="E443" i="26"/>
  <c r="E442" i="26"/>
  <c r="E441" i="26"/>
  <c r="E440" i="26"/>
  <c r="E439" i="26"/>
  <c r="E438" i="26"/>
  <c r="E437" i="26"/>
  <c r="E436" i="26"/>
  <c r="E435" i="26"/>
  <c r="E434" i="26"/>
  <c r="E433" i="26"/>
  <c r="E432" i="26"/>
  <c r="E431" i="26"/>
  <c r="E430" i="26"/>
  <c r="E429" i="26"/>
  <c r="E428" i="26"/>
  <c r="E427" i="26"/>
  <c r="E426" i="26"/>
  <c r="E425" i="26"/>
  <c r="E424" i="26"/>
  <c r="E423" i="26"/>
  <c r="E422" i="26"/>
  <c r="E421" i="26"/>
  <c r="E420" i="26"/>
  <c r="E419" i="26"/>
  <c r="E418" i="26"/>
  <c r="E417" i="26"/>
  <c r="E416" i="26"/>
  <c r="E415" i="26"/>
  <c r="E414" i="26"/>
  <c r="E413" i="26"/>
  <c r="E412" i="26"/>
  <c r="E411" i="26"/>
  <c r="E410" i="26"/>
  <c r="E409" i="26"/>
  <c r="E408" i="26"/>
  <c r="E407" i="26"/>
  <c r="E406" i="26"/>
  <c r="E405" i="26"/>
  <c r="E404" i="26"/>
  <c r="E403" i="26"/>
  <c r="E402" i="26"/>
  <c r="E401" i="26"/>
  <c r="E400" i="26"/>
  <c r="E399" i="26"/>
  <c r="E398" i="26"/>
  <c r="E397" i="26"/>
  <c r="E396" i="26"/>
  <c r="E395" i="26"/>
  <c r="E394" i="26"/>
  <c r="E393" i="26"/>
  <c r="E392" i="26"/>
  <c r="E391" i="26"/>
  <c r="E390" i="26"/>
  <c r="E389" i="26"/>
  <c r="E388" i="26"/>
  <c r="E387" i="26"/>
  <c r="E386" i="26"/>
  <c r="E385" i="26"/>
  <c r="E384" i="26"/>
  <c r="E383" i="26"/>
  <c r="E382" i="26"/>
  <c r="E381" i="26"/>
  <c r="E380" i="26"/>
  <c r="E379" i="26"/>
  <c r="E378" i="26"/>
  <c r="E377" i="26"/>
  <c r="E376" i="26"/>
  <c r="E375" i="26"/>
  <c r="E374" i="26"/>
  <c r="E373" i="26"/>
  <c r="E372" i="26"/>
  <c r="E371" i="26"/>
  <c r="E370" i="26"/>
  <c r="E369" i="26"/>
  <c r="E368" i="26"/>
  <c r="E367" i="26"/>
  <c r="E366" i="26"/>
  <c r="E365" i="26"/>
  <c r="E364" i="26"/>
  <c r="E363" i="26"/>
  <c r="E362" i="26"/>
  <c r="E361" i="26"/>
  <c r="E360" i="26"/>
  <c r="E359" i="26"/>
  <c r="E358" i="26"/>
  <c r="E357" i="26"/>
  <c r="E356" i="26"/>
  <c r="E355" i="26"/>
  <c r="E354" i="26"/>
  <c r="E353" i="26"/>
  <c r="E352" i="26"/>
  <c r="E351" i="26"/>
  <c r="E350" i="26"/>
  <c r="E349" i="26"/>
  <c r="E348" i="26"/>
  <c r="E347" i="26"/>
  <c r="E346" i="26"/>
  <c r="E345" i="26"/>
  <c r="E344" i="26"/>
  <c r="E343" i="26"/>
  <c r="E342" i="26"/>
  <c r="E341" i="26"/>
  <c r="E340" i="26"/>
  <c r="E339" i="26"/>
  <c r="E338" i="26"/>
  <c r="E337" i="26"/>
  <c r="E336" i="26"/>
  <c r="E335" i="26"/>
  <c r="E334" i="26"/>
  <c r="E333" i="26"/>
  <c r="E332" i="26"/>
  <c r="E331" i="26"/>
  <c r="E330" i="26"/>
  <c r="E329" i="26"/>
  <c r="E328" i="26"/>
  <c r="E327" i="26"/>
  <c r="E326" i="26"/>
  <c r="E325" i="26"/>
  <c r="E324" i="26"/>
  <c r="E323" i="26"/>
  <c r="E322" i="26"/>
  <c r="E321" i="26"/>
  <c r="E320" i="26"/>
  <c r="E319" i="26"/>
  <c r="E318" i="26"/>
  <c r="E317" i="26"/>
  <c r="E316" i="26"/>
  <c r="E315" i="26"/>
  <c r="E314" i="26"/>
  <c r="E313" i="26"/>
  <c r="E312" i="26"/>
  <c r="E311" i="26"/>
  <c r="E310" i="26"/>
  <c r="E309" i="26"/>
  <c r="E308" i="26"/>
  <c r="E307" i="26"/>
  <c r="E306" i="26"/>
  <c r="E305" i="26"/>
  <c r="E304" i="26"/>
  <c r="E303" i="26"/>
  <c r="E302" i="26"/>
  <c r="E301" i="26"/>
  <c r="E300" i="26"/>
  <c r="E299" i="26"/>
  <c r="E298" i="26"/>
  <c r="E297" i="26"/>
  <c r="E296" i="26"/>
  <c r="E295" i="26"/>
  <c r="E294" i="26"/>
  <c r="E293" i="26"/>
  <c r="E292" i="26"/>
  <c r="E291" i="26"/>
  <c r="E290" i="26"/>
  <c r="E289" i="26"/>
  <c r="E288" i="26"/>
  <c r="E287" i="26"/>
  <c r="E286" i="26"/>
  <c r="E285" i="26"/>
  <c r="E284" i="26"/>
  <c r="E283" i="26"/>
  <c r="E282" i="26"/>
  <c r="E281" i="26"/>
  <c r="E280" i="26"/>
  <c r="E279" i="26"/>
  <c r="E278" i="26"/>
  <c r="E277" i="26"/>
  <c r="E276" i="26"/>
  <c r="E275" i="26"/>
  <c r="E274" i="26"/>
  <c r="E273" i="26"/>
  <c r="E272" i="26"/>
  <c r="E271" i="26"/>
  <c r="E270" i="26"/>
  <c r="E269" i="26"/>
  <c r="E268" i="26"/>
  <c r="E267" i="26"/>
  <c r="E266" i="26"/>
  <c r="E265" i="26"/>
  <c r="E264" i="26"/>
  <c r="E263" i="26"/>
  <c r="E262" i="26"/>
  <c r="E261" i="26"/>
  <c r="E260" i="26"/>
  <c r="E259" i="26"/>
  <c r="E258" i="26"/>
  <c r="E257" i="26"/>
  <c r="E256" i="26"/>
  <c r="E255" i="26"/>
  <c r="E254" i="26"/>
  <c r="E253" i="26"/>
  <c r="E252" i="26"/>
  <c r="E251" i="26"/>
  <c r="E250" i="26"/>
  <c r="E249" i="26"/>
  <c r="E248" i="26"/>
  <c r="E247" i="26"/>
  <c r="E246" i="26"/>
  <c r="E245" i="26"/>
  <c r="E244" i="26"/>
  <c r="E243" i="26"/>
  <c r="E242" i="26"/>
  <c r="E241" i="26"/>
  <c r="E240" i="26"/>
  <c r="E239" i="26"/>
  <c r="E238" i="26"/>
  <c r="E237" i="26"/>
  <c r="E236" i="26"/>
  <c r="E235" i="26"/>
  <c r="E234" i="26"/>
  <c r="E233" i="26"/>
  <c r="E232" i="26"/>
  <c r="E231" i="26"/>
  <c r="E230" i="26"/>
  <c r="E229" i="26"/>
  <c r="E228" i="26"/>
  <c r="E227" i="26"/>
  <c r="E226" i="26"/>
  <c r="E225" i="26"/>
  <c r="E224" i="26"/>
  <c r="E223" i="26"/>
  <c r="E222" i="26"/>
  <c r="E221" i="26"/>
  <c r="E220" i="26"/>
  <c r="E219" i="26"/>
  <c r="E218" i="26"/>
  <c r="E217" i="26"/>
  <c r="E216" i="26"/>
  <c r="E215" i="26"/>
  <c r="E214" i="26"/>
  <c r="E213" i="26"/>
  <c r="E212" i="26"/>
  <c r="E211" i="26"/>
  <c r="E210" i="26"/>
  <c r="E209" i="26"/>
  <c r="E208" i="26"/>
  <c r="E207" i="26"/>
  <c r="E206" i="26"/>
  <c r="E205" i="26"/>
  <c r="E204" i="26"/>
  <c r="E203" i="26"/>
  <c r="E202" i="26"/>
  <c r="E201" i="26"/>
  <c r="E200" i="26"/>
  <c r="E199" i="26"/>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E107" i="26"/>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F708" i="26"/>
  <c r="F707" i="26"/>
  <c r="F706" i="26"/>
  <c r="F705" i="26"/>
  <c r="F704" i="26"/>
  <c r="F703" i="26"/>
  <c r="F702" i="26"/>
  <c r="F701" i="26"/>
  <c r="F700" i="26"/>
  <c r="F699" i="26"/>
  <c r="F698" i="26"/>
  <c r="F697" i="26"/>
  <c r="F696" i="26"/>
  <c r="F695" i="26"/>
  <c r="F694" i="26"/>
  <c r="F693" i="26"/>
  <c r="F692" i="26"/>
  <c r="F691" i="26"/>
  <c r="F690" i="26"/>
  <c r="F689" i="26"/>
  <c r="F688" i="26"/>
  <c r="F687" i="26"/>
  <c r="F686" i="26"/>
  <c r="F26" i="20" l="1"/>
  <c r="F25" i="20"/>
  <c r="F24" i="20"/>
  <c r="F23" i="20"/>
  <c r="F22" i="20"/>
  <c r="F19" i="20"/>
  <c r="F18" i="20"/>
  <c r="F17" i="20"/>
  <c r="F16" i="20"/>
  <c r="F15" i="20"/>
  <c r="F12" i="20"/>
  <c r="F11" i="20"/>
  <c r="F10" i="20"/>
  <c r="F9" i="20"/>
  <c r="F8" i="20"/>
  <c r="E26" i="20"/>
  <c r="E25" i="20"/>
  <c r="E24" i="20"/>
  <c r="E23" i="20"/>
  <c r="E22" i="20"/>
  <c r="E19" i="20"/>
  <c r="E18" i="20"/>
  <c r="E17" i="20"/>
  <c r="E16" i="20"/>
  <c r="E15" i="20"/>
  <c r="E12" i="20"/>
  <c r="E11" i="20"/>
  <c r="E10" i="20"/>
  <c r="E9" i="20"/>
  <c r="E8" i="20"/>
  <c r="D26" i="20"/>
  <c r="D25" i="20"/>
  <c r="D24" i="20"/>
  <c r="D23" i="20"/>
  <c r="D22" i="20"/>
  <c r="D19" i="20"/>
  <c r="D18" i="20"/>
  <c r="D17" i="20"/>
  <c r="D16" i="20"/>
  <c r="D15" i="20"/>
  <c r="D12" i="20"/>
  <c r="D11" i="20"/>
  <c r="D10" i="20"/>
  <c r="D9" i="20"/>
  <c r="D8" i="20"/>
  <c r="C26" i="20"/>
  <c r="C25" i="20"/>
  <c r="C24" i="20"/>
  <c r="C23" i="20"/>
  <c r="C22" i="20"/>
  <c r="C19" i="20"/>
  <c r="C18" i="20"/>
  <c r="C17" i="20"/>
  <c r="C16" i="20"/>
  <c r="C15" i="20"/>
  <c r="C12" i="20"/>
  <c r="C11" i="20"/>
  <c r="C10" i="20"/>
  <c r="C9" i="20"/>
  <c r="C8" i="20"/>
  <c r="H703" i="3"/>
  <c r="H702" i="3"/>
  <c r="H701" i="3"/>
  <c r="H700" i="3"/>
  <c r="H699" i="3"/>
  <c r="H698" i="3"/>
  <c r="H697" i="3"/>
  <c r="H696" i="3"/>
  <c r="H695" i="3"/>
  <c r="H694" i="3"/>
  <c r="H693" i="3"/>
  <c r="H692" i="3"/>
  <c r="H691" i="3"/>
  <c r="H690" i="3"/>
  <c r="H689" i="3"/>
  <c r="H688" i="3"/>
  <c r="H687" i="3"/>
  <c r="H686" i="3"/>
  <c r="H685" i="3"/>
  <c r="H684" i="3"/>
  <c r="H683" i="3"/>
  <c r="H682" i="3"/>
  <c r="H681" i="3"/>
  <c r="H704" i="3"/>
  <c r="K704" i="3" s="1"/>
  <c r="J704" i="3"/>
  <c r="I704" i="3"/>
  <c r="K703" i="3"/>
  <c r="J703" i="3"/>
  <c r="I703" i="3"/>
  <c r="T1112" i="2" l="1"/>
  <c r="T1111" i="2"/>
  <c r="M1197" i="21" l="1"/>
  <c r="M1196" i="21"/>
  <c r="M1195" i="21"/>
  <c r="M1194" i="21"/>
  <c r="M1193" i="21"/>
  <c r="M1192" i="21"/>
  <c r="M1191" i="21"/>
  <c r="M1190" i="21"/>
  <c r="M1189" i="21"/>
  <c r="M1188" i="21"/>
  <c r="M1187" i="21"/>
  <c r="M1186" i="21"/>
  <c r="M1185" i="21"/>
  <c r="M1184" i="21"/>
  <c r="M1183" i="21"/>
  <c r="M1182" i="21"/>
  <c r="M1181" i="21"/>
  <c r="M1180" i="21"/>
  <c r="M1179" i="21"/>
  <c r="M1178" i="21"/>
  <c r="M1177" i="21"/>
  <c r="M1176" i="21"/>
  <c r="M1175" i="21"/>
  <c r="M1174" i="21"/>
  <c r="M1173" i="21"/>
  <c r="M1172" i="21"/>
  <c r="M1171" i="21"/>
  <c r="M1170" i="21"/>
  <c r="M1169" i="21"/>
  <c r="M1168" i="21"/>
  <c r="M1167" i="21"/>
  <c r="M1166" i="21"/>
  <c r="M1165" i="21"/>
  <c r="M1164" i="21"/>
  <c r="M1163" i="21"/>
  <c r="M1162" i="21"/>
  <c r="M1161" i="21"/>
  <c r="M1160" i="21"/>
  <c r="M1159" i="21"/>
  <c r="M1158" i="21"/>
  <c r="M1157" i="21"/>
  <c r="M1156" i="21"/>
  <c r="M1155" i="21"/>
  <c r="M1154" i="21"/>
  <c r="M1153" i="21"/>
  <c r="M1152" i="21"/>
  <c r="M1151" i="21"/>
  <c r="M1150" i="21"/>
  <c r="M1149" i="21"/>
  <c r="M1148" i="21"/>
  <c r="M1147" i="21"/>
  <c r="M1146" i="21"/>
  <c r="M1145" i="21"/>
  <c r="M1144" i="21"/>
  <c r="M1143" i="21"/>
  <c r="M1142" i="21"/>
  <c r="M1141" i="21"/>
  <c r="M1140" i="21"/>
  <c r="M1139" i="21"/>
  <c r="M1138" i="21"/>
  <c r="M1137" i="21"/>
  <c r="M1136" i="21"/>
  <c r="M1135" i="21"/>
  <c r="M1134" i="21"/>
  <c r="M1133" i="21"/>
  <c r="M1132" i="21"/>
  <c r="M1131" i="21"/>
  <c r="M1130" i="21"/>
  <c r="M1129" i="21"/>
  <c r="M1128" i="21"/>
  <c r="M1127" i="21"/>
  <c r="M1126" i="21"/>
  <c r="M1125" i="21"/>
  <c r="M1124" i="21"/>
  <c r="M1123" i="21"/>
  <c r="M1122" i="21"/>
  <c r="M1121" i="21"/>
  <c r="M1120" i="21"/>
  <c r="M1119" i="21"/>
  <c r="M1118" i="21"/>
  <c r="M1117" i="21"/>
  <c r="M1116" i="21"/>
  <c r="M1115" i="21"/>
  <c r="M1114" i="21"/>
  <c r="M1113" i="21"/>
  <c r="M1112" i="21"/>
  <c r="M1111" i="21"/>
  <c r="M1110" i="21"/>
  <c r="M1109" i="21"/>
  <c r="M1108" i="21"/>
  <c r="M1107" i="21"/>
  <c r="M1106" i="21"/>
  <c r="M1105" i="21"/>
  <c r="M1104" i="21"/>
  <c r="M1103" i="21"/>
  <c r="M1102" i="21"/>
  <c r="M1101" i="21"/>
  <c r="M1100" i="21"/>
  <c r="M1099" i="21"/>
  <c r="M1098" i="21"/>
  <c r="M1097" i="21"/>
  <c r="M1096" i="21"/>
  <c r="K1096" i="21" s="1"/>
  <c r="M1095" i="21"/>
  <c r="K1095" i="21" s="1"/>
  <c r="M1094" i="21"/>
  <c r="K1094" i="21" s="1"/>
  <c r="M1093" i="21"/>
  <c r="M1092" i="21"/>
  <c r="M1091" i="21"/>
  <c r="K1091" i="21" s="1"/>
  <c r="M1090" i="21"/>
  <c r="K1090" i="21" s="1"/>
  <c r="M1089" i="21"/>
  <c r="K1089" i="21" s="1"/>
  <c r="M1088" i="21"/>
  <c r="K1088" i="21" s="1"/>
  <c r="M1087" i="21"/>
  <c r="K1087" i="21" s="1"/>
  <c r="M1086" i="21"/>
  <c r="K1086" i="21" s="1"/>
  <c r="M1085" i="21"/>
  <c r="K1085" i="21" s="1"/>
  <c r="M1084" i="21"/>
  <c r="M1083" i="21"/>
  <c r="K1083" i="21" s="1"/>
  <c r="M1082" i="21"/>
  <c r="M1081" i="21"/>
  <c r="K1081" i="21" s="1"/>
  <c r="M1080" i="21"/>
  <c r="K1080" i="21" s="1"/>
  <c r="M1079" i="21"/>
  <c r="M1078" i="21"/>
  <c r="M1077" i="21"/>
  <c r="M1076" i="21"/>
  <c r="M1075" i="21"/>
  <c r="M1074" i="21"/>
  <c r="M1073" i="21"/>
  <c r="M1072" i="21"/>
  <c r="M1071" i="21"/>
  <c r="M1070" i="21"/>
  <c r="K1070" i="21" s="1"/>
  <c r="M1069" i="21"/>
  <c r="K1069" i="21" s="1"/>
  <c r="M1068" i="21"/>
  <c r="M1067" i="21"/>
  <c r="M1066" i="21"/>
  <c r="M1065" i="21"/>
  <c r="M1064" i="21"/>
  <c r="M1063" i="21"/>
  <c r="K1093" i="21"/>
  <c r="K1092" i="21"/>
  <c r="K1084" i="21"/>
  <c r="K1082" i="21"/>
  <c r="K1079" i="21"/>
  <c r="K1078" i="21"/>
  <c r="K1077" i="21"/>
  <c r="K1076" i="21"/>
  <c r="K1075" i="21"/>
  <c r="K1074" i="21"/>
  <c r="K1073" i="21"/>
  <c r="K1072" i="21"/>
  <c r="K1071" i="21"/>
  <c r="K1068" i="21"/>
  <c r="K1067" i="21"/>
  <c r="K1066" i="21"/>
  <c r="K1065" i="21"/>
  <c r="K1064" i="21"/>
  <c r="K1063" i="21"/>
  <c r="M1062" i="21"/>
  <c r="K1062" i="21" s="1"/>
  <c r="T1142" i="2"/>
  <c r="AA1111" i="2" l="1"/>
  <c r="T1141" i="2"/>
  <c r="Z1112" i="2" l="1"/>
  <c r="Y1112" i="2"/>
  <c r="S1112" i="2"/>
  <c r="Y1111" i="2"/>
  <c r="N1110" i="2"/>
  <c r="L1110" i="2" s="1"/>
  <c r="AB1110" i="2" s="1"/>
  <c r="K1110" i="2"/>
  <c r="S1110" i="2"/>
  <c r="T1110" i="2"/>
  <c r="Y1110" i="2"/>
  <c r="Z1110" i="2"/>
  <c r="AA1110" i="2"/>
  <c r="P1110" i="2" l="1"/>
  <c r="AA1106" i="2"/>
  <c r="Z1106" i="2"/>
  <c r="Y1106" i="2"/>
  <c r="T1106" i="2"/>
  <c r="S1106" i="2"/>
  <c r="N1106" i="2"/>
  <c r="P1106" i="2" s="1"/>
  <c r="K1106" i="2"/>
  <c r="AA1105" i="2"/>
  <c r="Z1105" i="2"/>
  <c r="Y1105" i="2"/>
  <c r="T1105" i="2"/>
  <c r="S1105" i="2"/>
  <c r="N1105" i="2"/>
  <c r="P1105" i="2" s="1"/>
  <c r="K1105" i="2"/>
  <c r="AA1104" i="2"/>
  <c r="Z1104" i="2"/>
  <c r="Y1104" i="2"/>
  <c r="T1104" i="2"/>
  <c r="S1104" i="2"/>
  <c r="N1104" i="2"/>
  <c r="P1104" i="2" s="1"/>
  <c r="K1104" i="2"/>
  <c r="AA1103" i="2"/>
  <c r="Z1103" i="2"/>
  <c r="Y1103" i="2"/>
  <c r="T1103" i="2"/>
  <c r="S1103" i="2"/>
  <c r="N1103" i="2"/>
  <c r="L1103" i="2" s="1"/>
  <c r="AB1103" i="2" s="1"/>
  <c r="K1103" i="2"/>
  <c r="AA1102" i="2"/>
  <c r="Z1102" i="2"/>
  <c r="Y1102" i="2"/>
  <c r="T1102" i="2"/>
  <c r="S1102" i="2"/>
  <c r="N1102" i="2"/>
  <c r="P1102" i="2" s="1"/>
  <c r="K1102" i="2"/>
  <c r="AA1101" i="2"/>
  <c r="Z1101" i="2"/>
  <c r="Y1101" i="2"/>
  <c r="T1101" i="2"/>
  <c r="S1101" i="2"/>
  <c r="N1101" i="2"/>
  <c r="P1101" i="2" s="1"/>
  <c r="K1101" i="2"/>
  <c r="AA1100" i="2"/>
  <c r="Z1100" i="2"/>
  <c r="Y1100" i="2"/>
  <c r="T1100" i="2"/>
  <c r="S1100" i="2"/>
  <c r="N1100" i="2"/>
  <c r="P1100" i="2" s="1"/>
  <c r="K1100" i="2"/>
  <c r="Z1111" i="2"/>
  <c r="S1111" i="2"/>
  <c r="N1112" i="2"/>
  <c r="L1112" i="2" s="1"/>
  <c r="K1112" i="2"/>
  <c r="L1100" i="2" l="1"/>
  <c r="AB1100" i="2" s="1"/>
  <c r="L1102" i="2"/>
  <c r="AB1102" i="2" s="1"/>
  <c r="L1104" i="2"/>
  <c r="AB1104" i="2" s="1"/>
  <c r="L1106" i="2"/>
  <c r="AB1106" i="2" s="1"/>
  <c r="L1101" i="2"/>
  <c r="AB1101" i="2" s="1"/>
  <c r="P1103" i="2"/>
  <c r="L1105" i="2"/>
  <c r="AB1105" i="2" s="1"/>
  <c r="P1112" i="2"/>
  <c r="I241" i="30"/>
  <c r="H241" i="30"/>
  <c r="G241" i="30"/>
  <c r="I240" i="30"/>
  <c r="H240" i="30"/>
  <c r="G240" i="30"/>
  <c r="I239" i="30"/>
  <c r="H239" i="30"/>
  <c r="G239" i="30"/>
  <c r="I238" i="30"/>
  <c r="H238" i="30"/>
  <c r="G238" i="30"/>
  <c r="F240" i="30"/>
  <c r="F241" i="30"/>
  <c r="F239" i="30"/>
  <c r="F238" i="30"/>
  <c r="I685" i="26"/>
  <c r="H685" i="26"/>
  <c r="G685" i="26"/>
  <c r="I684" i="26"/>
  <c r="H684" i="26"/>
  <c r="G684" i="26"/>
  <c r="I683" i="26"/>
  <c r="H683" i="26"/>
  <c r="G683" i="26"/>
  <c r="I682" i="26"/>
  <c r="H682" i="26"/>
  <c r="G682" i="26"/>
  <c r="I681" i="26"/>
  <c r="H681" i="26"/>
  <c r="G681" i="26"/>
  <c r="I680" i="26"/>
  <c r="H680" i="26"/>
  <c r="G680" i="26"/>
  <c r="I679" i="26"/>
  <c r="H679" i="26"/>
  <c r="G679" i="26"/>
  <c r="I678" i="26"/>
  <c r="H678" i="26"/>
  <c r="G678" i="26"/>
  <c r="I677" i="26"/>
  <c r="H677" i="26"/>
  <c r="G677" i="26"/>
  <c r="F685" i="26"/>
  <c r="F684" i="26"/>
  <c r="F683" i="26"/>
  <c r="F682" i="26"/>
  <c r="F681" i="26"/>
  <c r="F680" i="26"/>
  <c r="F677" i="26"/>
  <c r="F676" i="26"/>
  <c r="F674" i="26"/>
  <c r="F673" i="26"/>
  <c r="F672" i="26"/>
  <c r="F679" i="26"/>
  <c r="F678" i="26"/>
  <c r="M1061" i="21"/>
  <c r="K1061" i="21" s="1"/>
  <c r="M1060" i="21"/>
  <c r="K1060" i="21" s="1"/>
  <c r="M1059" i="21"/>
  <c r="K1059" i="21" s="1"/>
  <c r="M1058" i="21"/>
  <c r="K1058" i="21" s="1"/>
  <c r="M1057" i="21"/>
  <c r="K1057" i="21" s="1"/>
  <c r="M1056" i="21"/>
  <c r="K1056" i="21" s="1"/>
  <c r="M1055" i="21"/>
  <c r="K1055" i="21" s="1"/>
  <c r="M1054" i="21"/>
  <c r="K1054" i="21" s="1"/>
  <c r="K1053" i="21"/>
  <c r="M1052" i="21"/>
  <c r="K1052" i="21" s="1"/>
  <c r="M1051" i="21"/>
  <c r="K1051" i="21" s="1"/>
  <c r="M1050" i="21"/>
  <c r="K1050" i="21" s="1"/>
  <c r="I34" i="33"/>
  <c r="H34" i="33"/>
  <c r="G34" i="33"/>
  <c r="I33" i="33"/>
  <c r="H33" i="33"/>
  <c r="G33" i="33"/>
  <c r="I32" i="33"/>
  <c r="H32" i="33"/>
  <c r="G32" i="33"/>
  <c r="I31" i="33"/>
  <c r="H31" i="33"/>
  <c r="G31" i="33"/>
  <c r="I30" i="33"/>
  <c r="H30" i="33"/>
  <c r="G30" i="33"/>
  <c r="I29" i="33"/>
  <c r="H29" i="33"/>
  <c r="G29" i="33"/>
  <c r="I28" i="33"/>
  <c r="H28" i="33"/>
  <c r="G28" i="33"/>
  <c r="I27" i="33"/>
  <c r="H27" i="33"/>
  <c r="G27" i="33"/>
  <c r="I26" i="33"/>
  <c r="H26" i="33"/>
  <c r="G26" i="33"/>
  <c r="I25" i="33"/>
  <c r="H25" i="33"/>
  <c r="G25" i="33"/>
  <c r="I24" i="33"/>
  <c r="H24" i="33"/>
  <c r="G24" i="33"/>
  <c r="I23" i="33"/>
  <c r="H23" i="33"/>
  <c r="G23" i="33"/>
  <c r="I22" i="33"/>
  <c r="H22" i="33"/>
  <c r="G22" i="33"/>
  <c r="E34" i="33"/>
  <c r="E33" i="33"/>
  <c r="E32" i="33"/>
  <c r="E31" i="33"/>
  <c r="E30" i="33"/>
  <c r="E29" i="33"/>
  <c r="E28" i="33"/>
  <c r="E27" i="33"/>
  <c r="E26" i="33"/>
  <c r="E25" i="33"/>
  <c r="E24" i="33"/>
  <c r="E23" i="33"/>
  <c r="E22" i="33"/>
  <c r="E21" i="33"/>
  <c r="E20" i="33"/>
  <c r="E19" i="33"/>
  <c r="E18" i="33"/>
  <c r="E17" i="33"/>
  <c r="E16" i="33"/>
  <c r="E15" i="33"/>
  <c r="E14" i="33"/>
  <c r="E13" i="33"/>
  <c r="E12" i="33"/>
  <c r="I51" i="32"/>
  <c r="H51" i="32"/>
  <c r="G51" i="32"/>
  <c r="F51" i="32"/>
  <c r="J25" i="6"/>
  <c r="I25" i="6"/>
  <c r="H25" i="6"/>
  <c r="K25" i="6" s="1"/>
  <c r="I676" i="26"/>
  <c r="H676" i="26"/>
  <c r="G676" i="26"/>
  <c r="I675" i="26"/>
  <c r="H675" i="26"/>
  <c r="G675" i="26"/>
  <c r="I674" i="26"/>
  <c r="H674" i="26"/>
  <c r="G674" i="26"/>
  <c r="I673" i="26"/>
  <c r="H673" i="26"/>
  <c r="G673" i="26"/>
  <c r="I672" i="26"/>
  <c r="H672" i="26"/>
  <c r="G672" i="26"/>
  <c r="I671" i="26"/>
  <c r="H671" i="26"/>
  <c r="G671" i="26"/>
  <c r="I670" i="26"/>
  <c r="H670" i="26"/>
  <c r="G670" i="26"/>
  <c r="F675" i="26"/>
  <c r="F671" i="26"/>
  <c r="F670" i="26"/>
  <c r="BG2" i="23"/>
  <c r="BF2" i="23" s="1"/>
  <c r="BE2" i="23" s="1"/>
  <c r="BD2" i="23" s="1"/>
  <c r="BC2" i="23" s="1"/>
  <c r="BB2" i="23" s="1"/>
  <c r="BA2" i="23" s="1"/>
  <c r="AZ2" i="23" s="1"/>
  <c r="AY2" i="23" s="1"/>
  <c r="AX2" i="23" s="1"/>
  <c r="AW2" i="23" s="1"/>
  <c r="AV2" i="23" s="1"/>
  <c r="AU2" i="23" s="1"/>
  <c r="AT2" i="23" s="1"/>
  <c r="AS2" i="23" s="1"/>
  <c r="AR2" i="23" s="1"/>
  <c r="AQ2" i="23" s="1"/>
  <c r="AP2" i="23" s="1"/>
  <c r="AO2" i="23" s="1"/>
  <c r="AN2" i="23" s="1"/>
  <c r="AM2" i="23" s="1"/>
  <c r="AL2" i="23" s="1"/>
  <c r="AK2" i="23" s="1"/>
  <c r="AJ2" i="23" s="1"/>
  <c r="AI2" i="23" s="1"/>
  <c r="AH2" i="23" s="1"/>
  <c r="AG2" i="23" s="1"/>
  <c r="AF2" i="23" s="1"/>
  <c r="AE2" i="23" s="1"/>
  <c r="AD2" i="23" s="1"/>
  <c r="AC2" i="23" s="1"/>
  <c r="AB2" i="23" s="1"/>
  <c r="AA2" i="23" s="1"/>
  <c r="Z2" i="23" s="1"/>
  <c r="Y2" i="23" s="1"/>
  <c r="X2" i="23" s="1"/>
  <c r="W2" i="23" s="1"/>
  <c r="V2" i="23" s="1"/>
  <c r="U2" i="23" s="1"/>
  <c r="T2" i="23" s="1"/>
  <c r="S2" i="23" s="1"/>
  <c r="R2" i="23" s="1"/>
  <c r="Q2" i="23" s="1"/>
  <c r="P2" i="23" s="1"/>
  <c r="O2" i="23" s="1"/>
  <c r="N2" i="23" s="1"/>
  <c r="M2" i="23" s="1"/>
  <c r="L2" i="23" s="1"/>
  <c r="K2" i="23" s="1"/>
  <c r="J2" i="23" s="1"/>
  <c r="I2" i="23" s="1"/>
  <c r="H2" i="23" s="1"/>
  <c r="G2" i="23" s="1"/>
  <c r="M1049" i="21"/>
  <c r="K1049" i="21" s="1"/>
  <c r="M1048" i="21"/>
  <c r="K1048" i="21" s="1"/>
  <c r="M1047" i="21"/>
  <c r="K1047" i="21" s="1"/>
  <c r="M1046" i="21"/>
  <c r="K1046" i="21" s="1"/>
  <c r="M1045" i="21"/>
  <c r="K1045" i="21" s="1"/>
  <c r="M1044" i="21"/>
  <c r="K1044" i="21" s="1"/>
  <c r="M1043" i="21"/>
  <c r="K1043" i="21" s="1"/>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D83" i="34"/>
  <c r="D84" i="34" s="1"/>
  <c r="B4" i="34"/>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C3" i="34"/>
  <c r="R1197" i="21"/>
  <c r="R1196" i="21"/>
  <c r="R1195" i="21"/>
  <c r="R1194" i="21"/>
  <c r="R1193" i="21"/>
  <c r="R1192" i="21"/>
  <c r="R1191" i="21"/>
  <c r="R1190" i="21"/>
  <c r="R1189" i="21"/>
  <c r="R1188" i="21"/>
  <c r="R1187" i="21"/>
  <c r="R1186" i="21"/>
  <c r="R1185" i="21"/>
  <c r="R1184" i="21"/>
  <c r="R1183" i="21"/>
  <c r="R1182" i="21"/>
  <c r="R1181" i="21"/>
  <c r="R1180" i="21"/>
  <c r="R1179" i="21"/>
  <c r="R1178" i="21"/>
  <c r="R1177" i="21"/>
  <c r="R1176" i="21"/>
  <c r="R1175" i="21"/>
  <c r="R1174" i="21"/>
  <c r="R1173" i="21"/>
  <c r="R1172" i="21"/>
  <c r="R1171" i="21"/>
  <c r="R1170" i="21"/>
  <c r="R1169" i="21"/>
  <c r="R1168" i="21"/>
  <c r="R1167" i="21"/>
  <c r="R1166" i="21"/>
  <c r="R1165" i="21"/>
  <c r="R1164" i="21"/>
  <c r="R1163" i="21"/>
  <c r="R1162" i="21"/>
  <c r="R1161" i="21"/>
  <c r="R1160" i="21"/>
  <c r="R1159" i="21"/>
  <c r="R1158" i="21"/>
  <c r="R1157" i="21"/>
  <c r="R1156" i="21"/>
  <c r="R1155" i="21"/>
  <c r="R1154" i="21"/>
  <c r="R1153" i="21"/>
  <c r="R1152" i="21"/>
  <c r="R1151" i="21"/>
  <c r="R1150" i="21"/>
  <c r="R1149" i="21"/>
  <c r="R1148" i="21"/>
  <c r="R1147" i="21"/>
  <c r="R1146" i="21"/>
  <c r="R1145" i="21"/>
  <c r="R1144" i="21"/>
  <c r="R1143" i="21"/>
  <c r="R1142" i="21"/>
  <c r="R1141" i="21"/>
  <c r="R1140" i="21"/>
  <c r="R1139" i="21"/>
  <c r="R1138" i="21"/>
  <c r="R1137" i="21"/>
  <c r="R1136" i="21"/>
  <c r="R1135" i="21"/>
  <c r="R1134" i="21"/>
  <c r="R1133" i="21"/>
  <c r="R1132" i="21"/>
  <c r="R1131" i="21"/>
  <c r="R1130" i="21"/>
  <c r="R1129" i="21"/>
  <c r="R1128" i="21"/>
  <c r="R1127" i="21"/>
  <c r="R1126" i="21"/>
  <c r="R1125" i="21"/>
  <c r="R1124" i="21"/>
  <c r="R1123" i="21"/>
  <c r="R1122" i="21"/>
  <c r="R1121" i="21"/>
  <c r="R1120" i="21"/>
  <c r="R1119" i="21"/>
  <c r="R1118" i="21"/>
  <c r="R1117" i="21"/>
  <c r="R1116" i="21"/>
  <c r="R1115" i="21"/>
  <c r="R1114" i="21"/>
  <c r="R1113" i="21"/>
  <c r="R1112" i="21"/>
  <c r="R1111" i="21"/>
  <c r="R1110" i="21"/>
  <c r="R1109" i="21"/>
  <c r="R1108" i="21"/>
  <c r="R1107" i="21"/>
  <c r="R1106" i="21"/>
  <c r="R1105" i="21"/>
  <c r="R1104" i="21"/>
  <c r="R1103" i="21"/>
  <c r="R1102" i="21"/>
  <c r="R1101" i="21"/>
  <c r="R1100" i="21"/>
  <c r="R1099" i="21"/>
  <c r="R1098" i="21"/>
  <c r="R1097" i="21"/>
  <c r="R1096" i="21"/>
  <c r="R1095" i="21"/>
  <c r="R1094" i="21"/>
  <c r="R1093" i="21"/>
  <c r="R1092" i="21"/>
  <c r="R1091" i="21"/>
  <c r="R1090" i="21"/>
  <c r="R1089" i="21"/>
  <c r="R1088" i="21"/>
  <c r="R1087" i="21"/>
  <c r="R1086" i="21"/>
  <c r="R1085" i="21"/>
  <c r="R1084" i="21"/>
  <c r="R1083" i="21"/>
  <c r="R1082" i="21"/>
  <c r="R1081" i="21"/>
  <c r="R1080" i="21"/>
  <c r="R1079" i="21"/>
  <c r="R1078" i="21"/>
  <c r="R1077" i="21"/>
  <c r="R1076" i="21"/>
  <c r="R1075" i="21"/>
  <c r="R1074" i="21"/>
  <c r="R1073" i="21"/>
  <c r="R1072" i="21"/>
  <c r="R1071" i="21"/>
  <c r="R1070" i="21"/>
  <c r="R1069" i="21"/>
  <c r="R1068" i="21"/>
  <c r="R1067" i="21"/>
  <c r="R1066" i="21"/>
  <c r="R1065" i="21"/>
  <c r="R1064" i="21"/>
  <c r="R1063" i="21"/>
  <c r="R1062" i="21"/>
  <c r="R1061" i="21"/>
  <c r="R1060" i="21"/>
  <c r="R1059" i="21"/>
  <c r="R1058" i="21"/>
  <c r="R1057" i="21"/>
  <c r="R1056" i="21"/>
  <c r="R1055" i="21"/>
  <c r="R1054" i="21"/>
  <c r="R1053" i="21"/>
  <c r="R1052" i="21"/>
  <c r="R1051" i="21"/>
  <c r="R1050" i="21"/>
  <c r="R1049" i="21"/>
  <c r="R1048" i="21"/>
  <c r="R1047" i="21"/>
  <c r="R1046" i="21"/>
  <c r="R1045" i="21"/>
  <c r="R1044" i="21"/>
  <c r="R1043" i="21"/>
  <c r="R1042" i="21"/>
  <c r="R1041" i="21"/>
  <c r="R1040" i="21"/>
  <c r="R1039" i="21"/>
  <c r="R1038" i="21"/>
  <c r="R1037" i="21"/>
  <c r="R1036" i="21"/>
  <c r="R1035" i="21"/>
  <c r="R1034" i="21"/>
  <c r="R1033" i="21"/>
  <c r="R1032" i="21"/>
  <c r="R1031" i="21"/>
  <c r="R1030" i="21"/>
  <c r="R1029" i="21"/>
  <c r="R1028" i="21"/>
  <c r="R1027" i="21"/>
  <c r="R1026" i="21"/>
  <c r="R1025" i="21"/>
  <c r="R1024" i="21"/>
  <c r="R1023" i="21"/>
  <c r="R1022" i="21"/>
  <c r="R1021" i="21"/>
  <c r="R1020" i="21"/>
  <c r="R1019" i="21"/>
  <c r="R1018" i="21"/>
  <c r="R1017" i="21"/>
  <c r="R1016" i="21"/>
  <c r="R1015" i="21"/>
  <c r="R1014" i="21"/>
  <c r="R1013" i="21"/>
  <c r="R1012" i="21"/>
  <c r="R1011" i="21"/>
  <c r="R1010" i="21"/>
  <c r="R1009" i="21"/>
  <c r="R1008" i="21"/>
  <c r="R1007" i="21"/>
  <c r="R1006" i="21"/>
  <c r="R1005" i="21"/>
  <c r="R1004" i="21"/>
  <c r="R1003" i="21"/>
  <c r="R1002" i="21"/>
  <c r="R1001" i="21"/>
  <c r="R1000" i="21"/>
  <c r="R999" i="21"/>
  <c r="R998" i="21"/>
  <c r="R997" i="21"/>
  <c r="R996" i="21"/>
  <c r="R995" i="21"/>
  <c r="R994" i="21"/>
  <c r="R993" i="21"/>
  <c r="R992" i="21"/>
  <c r="R991" i="21"/>
  <c r="R990" i="21"/>
  <c r="R989" i="21"/>
  <c r="R988" i="21"/>
  <c r="R987" i="21"/>
  <c r="R986" i="21"/>
  <c r="R985" i="21"/>
  <c r="R984" i="21"/>
  <c r="R983" i="21"/>
  <c r="R982" i="21"/>
  <c r="R981" i="21"/>
  <c r="R980" i="21"/>
  <c r="R979" i="21"/>
  <c r="R978" i="21"/>
  <c r="R977" i="21"/>
  <c r="R976" i="21"/>
  <c r="R975" i="21"/>
  <c r="R974" i="21"/>
  <c r="R973" i="21"/>
  <c r="R972" i="21"/>
  <c r="R971" i="21"/>
  <c r="R970" i="21"/>
  <c r="R969" i="21"/>
  <c r="R968" i="21"/>
  <c r="R967" i="21"/>
  <c r="R966" i="21"/>
  <c r="R965" i="21"/>
  <c r="R964" i="21"/>
  <c r="R963" i="21"/>
  <c r="R962" i="21"/>
  <c r="R961" i="21"/>
  <c r="R960" i="21"/>
  <c r="R959" i="21"/>
  <c r="R958" i="21"/>
  <c r="R957" i="21"/>
  <c r="R956" i="21"/>
  <c r="R955" i="21"/>
  <c r="R954" i="21"/>
  <c r="R953" i="21"/>
  <c r="R952" i="21"/>
  <c r="R951" i="21"/>
  <c r="R950" i="21"/>
  <c r="R949" i="21"/>
  <c r="R948" i="21"/>
  <c r="R947" i="21"/>
  <c r="R946" i="21"/>
  <c r="R945" i="21"/>
  <c r="R944" i="21"/>
  <c r="R943" i="21"/>
  <c r="R942" i="21"/>
  <c r="R941" i="21"/>
  <c r="R940" i="21"/>
  <c r="R939" i="21"/>
  <c r="R938" i="21"/>
  <c r="R937" i="21"/>
  <c r="R936" i="21"/>
  <c r="R935" i="21"/>
  <c r="R934" i="21"/>
  <c r="R933" i="21"/>
  <c r="R932" i="21"/>
  <c r="R931" i="21"/>
  <c r="R930" i="21"/>
  <c r="R929" i="21"/>
  <c r="R928" i="21"/>
  <c r="R927" i="21"/>
  <c r="R926" i="21"/>
  <c r="R925" i="21"/>
  <c r="R924" i="21"/>
  <c r="R923" i="21"/>
  <c r="R922" i="21"/>
  <c r="R921" i="21"/>
  <c r="R920" i="21"/>
  <c r="R919" i="21"/>
  <c r="R918" i="21"/>
  <c r="R917" i="21"/>
  <c r="R916" i="21"/>
  <c r="R915" i="21"/>
  <c r="R914" i="21"/>
  <c r="R913" i="21"/>
  <c r="R912" i="21"/>
  <c r="R911" i="21"/>
  <c r="R910" i="21"/>
  <c r="R909" i="21"/>
  <c r="R908" i="21"/>
  <c r="R907" i="21"/>
  <c r="R906" i="21"/>
  <c r="R905" i="21"/>
  <c r="R904" i="21"/>
  <c r="R903" i="21"/>
  <c r="R902" i="21"/>
  <c r="R901" i="21"/>
  <c r="R900" i="21"/>
  <c r="R899" i="21"/>
  <c r="R898" i="21"/>
  <c r="R897" i="21"/>
  <c r="R896" i="21"/>
  <c r="R895" i="21"/>
  <c r="R894" i="21"/>
  <c r="R893" i="21"/>
  <c r="R892" i="21"/>
  <c r="R891" i="21"/>
  <c r="R890" i="21"/>
  <c r="R889" i="21"/>
  <c r="R888" i="21"/>
  <c r="R887" i="21"/>
  <c r="R886" i="21"/>
  <c r="R885" i="21"/>
  <c r="R884" i="21"/>
  <c r="R883" i="21"/>
  <c r="R882" i="21"/>
  <c r="R881" i="21"/>
  <c r="R880" i="21"/>
  <c r="R879" i="21"/>
  <c r="R878" i="21"/>
  <c r="R877" i="21"/>
  <c r="R876" i="21"/>
  <c r="R875" i="21"/>
  <c r="R874" i="21"/>
  <c r="R873" i="21"/>
  <c r="R872" i="21"/>
  <c r="R871" i="21"/>
  <c r="R870" i="21"/>
  <c r="R869" i="21"/>
  <c r="R868" i="21"/>
  <c r="R867" i="21"/>
  <c r="R866" i="21"/>
  <c r="R865" i="21"/>
  <c r="R864" i="21"/>
  <c r="R863" i="21"/>
  <c r="R862" i="21"/>
  <c r="R861" i="21"/>
  <c r="R860" i="21"/>
  <c r="R859" i="21"/>
  <c r="R858" i="21"/>
  <c r="R857" i="21"/>
  <c r="R856" i="21"/>
  <c r="R855" i="21"/>
  <c r="R854" i="21"/>
  <c r="R853" i="21"/>
  <c r="R852" i="21"/>
  <c r="R851" i="21"/>
  <c r="R850" i="21"/>
  <c r="R849" i="21"/>
  <c r="R848" i="21"/>
  <c r="R847" i="21"/>
  <c r="R846" i="21"/>
  <c r="R845" i="21"/>
  <c r="R844" i="21"/>
  <c r="R843" i="21"/>
  <c r="R842" i="21"/>
  <c r="R841" i="21"/>
  <c r="R840" i="21"/>
  <c r="R839" i="21"/>
  <c r="R838" i="21"/>
  <c r="R837" i="21"/>
  <c r="R836" i="21"/>
  <c r="R835" i="21"/>
  <c r="R834" i="21"/>
  <c r="R833" i="21"/>
  <c r="R832" i="21"/>
  <c r="R831" i="21"/>
  <c r="R830" i="21"/>
  <c r="R829" i="21"/>
  <c r="R828" i="21"/>
  <c r="R827" i="21"/>
  <c r="R826" i="21"/>
  <c r="R825" i="21"/>
  <c r="R824" i="21"/>
  <c r="R823" i="21"/>
  <c r="R822" i="21"/>
  <c r="R821" i="21"/>
  <c r="R820" i="21"/>
  <c r="R819" i="21"/>
  <c r="R818" i="21"/>
  <c r="R817" i="21"/>
  <c r="R816" i="21"/>
  <c r="R815" i="21"/>
  <c r="R814" i="21"/>
  <c r="R813" i="21"/>
  <c r="R812" i="21"/>
  <c r="R811" i="21"/>
  <c r="R810" i="21"/>
  <c r="R809" i="21"/>
  <c r="R808" i="21"/>
  <c r="R807" i="21"/>
  <c r="R806" i="21"/>
  <c r="R805" i="21"/>
  <c r="R804" i="21"/>
  <c r="R803" i="21"/>
  <c r="R802" i="21"/>
  <c r="R801" i="21"/>
  <c r="R800" i="21"/>
  <c r="R799" i="21"/>
  <c r="R798" i="21"/>
  <c r="R797" i="21"/>
  <c r="R796" i="21"/>
  <c r="R795" i="21"/>
  <c r="R794" i="21"/>
  <c r="R793" i="21"/>
  <c r="R792" i="21"/>
  <c r="R791" i="21"/>
  <c r="R790" i="21"/>
  <c r="R789" i="21"/>
  <c r="R788" i="21"/>
  <c r="R787" i="21"/>
  <c r="R786" i="21"/>
  <c r="R785" i="21"/>
  <c r="R784" i="21"/>
  <c r="R783" i="21"/>
  <c r="R782" i="21"/>
  <c r="R781" i="21"/>
  <c r="R780" i="21"/>
  <c r="R779" i="21"/>
  <c r="R778" i="21"/>
  <c r="R777" i="21"/>
  <c r="R776" i="21"/>
  <c r="R775" i="21"/>
  <c r="R774" i="21"/>
  <c r="R773" i="21"/>
  <c r="R772" i="21"/>
  <c r="R771" i="21"/>
  <c r="R770" i="21"/>
  <c r="R769" i="21"/>
  <c r="R768" i="21"/>
  <c r="R767" i="21"/>
  <c r="R766" i="21"/>
  <c r="R765" i="21"/>
  <c r="R764" i="21"/>
  <c r="R763" i="21"/>
  <c r="R762" i="21"/>
  <c r="R761" i="21"/>
  <c r="R760" i="21"/>
  <c r="R759" i="21"/>
  <c r="R758" i="21"/>
  <c r="R757" i="21"/>
  <c r="R756" i="21"/>
  <c r="R755" i="21"/>
  <c r="R754" i="21"/>
  <c r="R753" i="21"/>
  <c r="R752" i="21"/>
  <c r="R751" i="21"/>
  <c r="R750" i="21"/>
  <c r="R749" i="21"/>
  <c r="R748" i="21"/>
  <c r="R747" i="21"/>
  <c r="R746" i="21"/>
  <c r="R745" i="21"/>
  <c r="R744" i="21"/>
  <c r="R743" i="21"/>
  <c r="R742" i="21"/>
  <c r="R741" i="21"/>
  <c r="R740" i="21"/>
  <c r="R739" i="21"/>
  <c r="R738" i="21"/>
  <c r="R737" i="21"/>
  <c r="R736" i="21"/>
  <c r="R735" i="21"/>
  <c r="R734" i="21"/>
  <c r="R733" i="21"/>
  <c r="R732" i="21"/>
  <c r="R731" i="21"/>
  <c r="R730" i="21"/>
  <c r="R729" i="21"/>
  <c r="R728" i="21"/>
  <c r="R727" i="21"/>
  <c r="R726" i="21"/>
  <c r="R725" i="21"/>
  <c r="R724" i="21"/>
  <c r="R723" i="21"/>
  <c r="R722" i="21"/>
  <c r="R721" i="21"/>
  <c r="R720" i="21"/>
  <c r="R719" i="21"/>
  <c r="R718" i="21"/>
  <c r="R717" i="21"/>
  <c r="R716" i="21"/>
  <c r="R715" i="21"/>
  <c r="R714" i="21"/>
  <c r="R713" i="21"/>
  <c r="R712" i="21"/>
  <c r="R711" i="21"/>
  <c r="R710" i="21"/>
  <c r="R709" i="21"/>
  <c r="R708" i="21"/>
  <c r="R707" i="21"/>
  <c r="R706" i="21"/>
  <c r="R705" i="21"/>
  <c r="R704" i="21"/>
  <c r="R703" i="21"/>
  <c r="R702" i="21"/>
  <c r="R701" i="21"/>
  <c r="R700" i="21"/>
  <c r="R699" i="21"/>
  <c r="R698" i="21"/>
  <c r="R697" i="21"/>
  <c r="R696" i="21"/>
  <c r="R695" i="21"/>
  <c r="R694" i="21"/>
  <c r="R693" i="21"/>
  <c r="R692" i="21"/>
  <c r="R691" i="21"/>
  <c r="R690" i="21"/>
  <c r="R689" i="21"/>
  <c r="R688" i="21"/>
  <c r="R687" i="21"/>
  <c r="R686" i="21"/>
  <c r="R685" i="21"/>
  <c r="R684" i="21"/>
  <c r="R683" i="21"/>
  <c r="R682" i="21"/>
  <c r="R681" i="21"/>
  <c r="R680" i="21"/>
  <c r="R679" i="21"/>
  <c r="R678" i="21"/>
  <c r="R677" i="21"/>
  <c r="R676" i="21"/>
  <c r="R675" i="21"/>
  <c r="R674" i="21"/>
  <c r="R673" i="21"/>
  <c r="R672" i="21"/>
  <c r="R671" i="21"/>
  <c r="R670" i="21"/>
  <c r="R669" i="21"/>
  <c r="R668" i="21"/>
  <c r="R667" i="21"/>
  <c r="R666" i="21"/>
  <c r="R665" i="21"/>
  <c r="R664" i="21"/>
  <c r="R663" i="21"/>
  <c r="R662" i="21"/>
  <c r="R661" i="21"/>
  <c r="R660" i="21"/>
  <c r="R659" i="21"/>
  <c r="R658" i="21"/>
  <c r="R657" i="21"/>
  <c r="R656" i="21"/>
  <c r="R655" i="21"/>
  <c r="R654" i="21"/>
  <c r="R653" i="21"/>
  <c r="R652" i="21"/>
  <c r="R651" i="21"/>
  <c r="R650" i="21"/>
  <c r="R649" i="21"/>
  <c r="R648" i="21"/>
  <c r="R647" i="21"/>
  <c r="R646" i="21"/>
  <c r="R645" i="21"/>
  <c r="R644" i="21"/>
  <c r="R643" i="21"/>
  <c r="R642" i="21"/>
  <c r="R641" i="21"/>
  <c r="R640" i="21"/>
  <c r="R639" i="21"/>
  <c r="R638" i="21"/>
  <c r="R637" i="21"/>
  <c r="R636" i="21"/>
  <c r="R635" i="21"/>
  <c r="R634" i="21"/>
  <c r="R633" i="21"/>
  <c r="R632" i="21"/>
  <c r="R631" i="21"/>
  <c r="R630" i="21"/>
  <c r="R629" i="21"/>
  <c r="R628" i="21"/>
  <c r="R627" i="21"/>
  <c r="R626" i="21"/>
  <c r="R625" i="21"/>
  <c r="R624" i="21"/>
  <c r="R623" i="21"/>
  <c r="R622" i="21"/>
  <c r="R621" i="21"/>
  <c r="R620" i="21"/>
  <c r="R619" i="21"/>
  <c r="R618" i="21"/>
  <c r="R617" i="21"/>
  <c r="R616" i="21"/>
  <c r="R615" i="21"/>
  <c r="R614" i="21"/>
  <c r="R613" i="21"/>
  <c r="R612" i="21"/>
  <c r="R611" i="21"/>
  <c r="R610" i="21"/>
  <c r="R609" i="21"/>
  <c r="R608" i="21"/>
  <c r="R607" i="21"/>
  <c r="R606" i="21"/>
  <c r="R605" i="21"/>
  <c r="R604" i="21"/>
  <c r="R603" i="21"/>
  <c r="R602" i="21"/>
  <c r="R601" i="21"/>
  <c r="R600" i="21"/>
  <c r="R599" i="21"/>
  <c r="R598" i="21"/>
  <c r="R597" i="21"/>
  <c r="R596" i="21"/>
  <c r="R595" i="21"/>
  <c r="R594" i="21"/>
  <c r="R593" i="21"/>
  <c r="R592" i="21"/>
  <c r="R591" i="21"/>
  <c r="R590" i="21"/>
  <c r="R589" i="21"/>
  <c r="R588" i="21"/>
  <c r="R587" i="21"/>
  <c r="R586" i="21"/>
  <c r="R585" i="21"/>
  <c r="R584" i="21"/>
  <c r="R583" i="21"/>
  <c r="R582" i="21"/>
  <c r="R581" i="21"/>
  <c r="R580" i="21"/>
  <c r="R579" i="21"/>
  <c r="R578" i="21"/>
  <c r="R577" i="21"/>
  <c r="R576" i="21"/>
  <c r="R575" i="21"/>
  <c r="R574" i="21"/>
  <c r="R573" i="21"/>
  <c r="R572" i="21"/>
  <c r="R571" i="21"/>
  <c r="R570" i="21"/>
  <c r="R569" i="21"/>
  <c r="R568" i="21"/>
  <c r="R567" i="21"/>
  <c r="R566" i="21"/>
  <c r="R565" i="21"/>
  <c r="R564" i="21"/>
  <c r="R563" i="21"/>
  <c r="R562" i="21"/>
  <c r="R561" i="21"/>
  <c r="R560" i="21"/>
  <c r="R559" i="21"/>
  <c r="R558" i="21"/>
  <c r="R557" i="21"/>
  <c r="R556" i="21"/>
  <c r="R555" i="21"/>
  <c r="R554" i="21"/>
  <c r="R553" i="21"/>
  <c r="R552" i="21"/>
  <c r="R551" i="21"/>
  <c r="R550" i="21"/>
  <c r="R549" i="21"/>
  <c r="R548" i="21"/>
  <c r="R547" i="21"/>
  <c r="R546" i="21"/>
  <c r="R545" i="21"/>
  <c r="R544" i="21"/>
  <c r="R543" i="21"/>
  <c r="R542" i="21"/>
  <c r="R541" i="21"/>
  <c r="R540" i="21"/>
  <c r="R539" i="21"/>
  <c r="R538" i="21"/>
  <c r="R537" i="21"/>
  <c r="R536" i="21"/>
  <c r="R535" i="21"/>
  <c r="R534" i="21"/>
  <c r="R533" i="21"/>
  <c r="R532" i="21"/>
  <c r="R531" i="21"/>
  <c r="R530" i="21"/>
  <c r="R529" i="21"/>
  <c r="R528" i="21"/>
  <c r="R527" i="21"/>
  <c r="R526" i="21"/>
  <c r="R525" i="21"/>
  <c r="R524" i="21"/>
  <c r="R523" i="21"/>
  <c r="R522" i="21"/>
  <c r="R521" i="21"/>
  <c r="R520" i="21"/>
  <c r="R519" i="21"/>
  <c r="R518" i="21"/>
  <c r="R517" i="21"/>
  <c r="R516" i="21"/>
  <c r="R515" i="21"/>
  <c r="R514" i="21"/>
  <c r="R513" i="21"/>
  <c r="R512" i="21"/>
  <c r="R511" i="21"/>
  <c r="R510" i="21"/>
  <c r="R509" i="21"/>
  <c r="R508" i="21"/>
  <c r="R507" i="21"/>
  <c r="R506" i="21"/>
  <c r="R505" i="21"/>
  <c r="R504" i="21"/>
  <c r="R503" i="21"/>
  <c r="R502" i="21"/>
  <c r="R501" i="21"/>
  <c r="R500" i="21"/>
  <c r="R499" i="21"/>
  <c r="R498" i="21"/>
  <c r="R497" i="21"/>
  <c r="R496" i="21"/>
  <c r="R495" i="21"/>
  <c r="R494" i="21"/>
  <c r="R493" i="21"/>
  <c r="R492" i="21"/>
  <c r="R491" i="21"/>
  <c r="R490" i="21"/>
  <c r="R489" i="21"/>
  <c r="R488" i="21"/>
  <c r="R487" i="21"/>
  <c r="R486" i="21"/>
  <c r="R485" i="21"/>
  <c r="R484" i="21"/>
  <c r="R483" i="21"/>
  <c r="R482" i="21"/>
  <c r="R481" i="21"/>
  <c r="R480" i="21"/>
  <c r="R479" i="21"/>
  <c r="R478" i="21"/>
  <c r="R477" i="21"/>
  <c r="R476" i="21"/>
  <c r="R475" i="21"/>
  <c r="R474" i="21"/>
  <c r="R473" i="21"/>
  <c r="R472" i="21"/>
  <c r="R471" i="21"/>
  <c r="R470" i="21"/>
  <c r="R469" i="21"/>
  <c r="R468" i="21"/>
  <c r="R467" i="21"/>
  <c r="R466" i="21"/>
  <c r="R465" i="21"/>
  <c r="R464" i="21"/>
  <c r="R463" i="21"/>
  <c r="R462" i="21"/>
  <c r="R461" i="21"/>
  <c r="R460" i="21"/>
  <c r="R459" i="21"/>
  <c r="R458" i="21"/>
  <c r="R457" i="21"/>
  <c r="R456" i="21"/>
  <c r="R455" i="21"/>
  <c r="R454" i="21"/>
  <c r="R453" i="21"/>
  <c r="R452" i="21"/>
  <c r="R451" i="21"/>
  <c r="R450" i="21"/>
  <c r="R449" i="21"/>
  <c r="R448" i="21"/>
  <c r="R447" i="21"/>
  <c r="R446" i="21"/>
  <c r="R445" i="21"/>
  <c r="R444" i="21"/>
  <c r="R443" i="21"/>
  <c r="R442" i="21"/>
  <c r="R441" i="21"/>
  <c r="R440" i="21"/>
  <c r="R439" i="21"/>
  <c r="R438" i="21"/>
  <c r="R437" i="21"/>
  <c r="R436" i="21"/>
  <c r="R435" i="21"/>
  <c r="R434" i="21"/>
  <c r="R433" i="21"/>
  <c r="R432" i="21"/>
  <c r="R431" i="21"/>
  <c r="R430" i="21"/>
  <c r="R429" i="21"/>
  <c r="R428" i="21"/>
  <c r="R427" i="21"/>
  <c r="R426" i="21"/>
  <c r="R425" i="21"/>
  <c r="R424" i="21"/>
  <c r="R423" i="21"/>
  <c r="R422" i="21"/>
  <c r="R421" i="21"/>
  <c r="R420" i="21"/>
  <c r="R419" i="21"/>
  <c r="R418" i="21"/>
  <c r="R417" i="21"/>
  <c r="R416" i="21"/>
  <c r="R415" i="21"/>
  <c r="R414" i="21"/>
  <c r="R413" i="21"/>
  <c r="R412" i="21"/>
  <c r="R411" i="21"/>
  <c r="R410" i="21"/>
  <c r="R409" i="21"/>
  <c r="R408" i="21"/>
  <c r="R407" i="21"/>
  <c r="R406" i="21"/>
  <c r="R405" i="21"/>
  <c r="R404" i="21"/>
  <c r="R403" i="21"/>
  <c r="R402" i="21"/>
  <c r="R401" i="21"/>
  <c r="R400" i="21"/>
  <c r="R399" i="21"/>
  <c r="R398" i="21"/>
  <c r="R397" i="21"/>
  <c r="R396" i="21"/>
  <c r="R395" i="21"/>
  <c r="R394" i="21"/>
  <c r="R393" i="21"/>
  <c r="R392" i="21"/>
  <c r="R391" i="21"/>
  <c r="R390" i="21"/>
  <c r="R389" i="21"/>
  <c r="R388" i="21"/>
  <c r="R387" i="21"/>
  <c r="R386" i="21"/>
  <c r="R385" i="21"/>
  <c r="R384" i="21"/>
  <c r="R383" i="21"/>
  <c r="R382" i="21"/>
  <c r="R381" i="21"/>
  <c r="R380" i="21"/>
  <c r="R379" i="21"/>
  <c r="R378" i="21"/>
  <c r="R377" i="21"/>
  <c r="R376" i="21"/>
  <c r="R375" i="21"/>
  <c r="R374" i="21"/>
  <c r="R373" i="21"/>
  <c r="R372" i="21"/>
  <c r="R371" i="21"/>
  <c r="R370" i="21"/>
  <c r="R369" i="21"/>
  <c r="R368" i="21"/>
  <c r="R367" i="21"/>
  <c r="R366" i="21"/>
  <c r="R365" i="21"/>
  <c r="R364" i="21"/>
  <c r="R363" i="21"/>
  <c r="R362" i="21"/>
  <c r="R361" i="21"/>
  <c r="R360" i="21"/>
  <c r="R359" i="21"/>
  <c r="R358" i="21"/>
  <c r="R357" i="21"/>
  <c r="R356" i="21"/>
  <c r="R355" i="21"/>
  <c r="R354" i="21"/>
  <c r="R353" i="21"/>
  <c r="R352" i="21"/>
  <c r="R351" i="21"/>
  <c r="R350" i="21"/>
  <c r="R349" i="21"/>
  <c r="R348" i="21"/>
  <c r="R347" i="21"/>
  <c r="R346" i="21"/>
  <c r="R345" i="21"/>
  <c r="R344" i="21"/>
  <c r="R343" i="21"/>
  <c r="R342" i="21"/>
  <c r="R341" i="21"/>
  <c r="R340" i="21"/>
  <c r="R339" i="21"/>
  <c r="R338" i="21"/>
  <c r="R337" i="21"/>
  <c r="R336" i="21"/>
  <c r="R335" i="21"/>
  <c r="R334" i="21"/>
  <c r="R333" i="21"/>
  <c r="R332" i="21"/>
  <c r="R331" i="21"/>
  <c r="R330" i="21"/>
  <c r="R329" i="21"/>
  <c r="R328" i="21"/>
  <c r="R327" i="21"/>
  <c r="R326" i="21"/>
  <c r="R325" i="21"/>
  <c r="R324" i="21"/>
  <c r="R323" i="21"/>
  <c r="R322" i="21"/>
  <c r="R321" i="21"/>
  <c r="R320" i="21"/>
  <c r="R319" i="21"/>
  <c r="R318" i="21"/>
  <c r="R317" i="21"/>
  <c r="R316" i="21"/>
  <c r="R315" i="21"/>
  <c r="R314" i="21"/>
  <c r="R313" i="21"/>
  <c r="R312" i="21"/>
  <c r="R311" i="21"/>
  <c r="R310" i="21"/>
  <c r="R309" i="21"/>
  <c r="R308" i="21"/>
  <c r="R307" i="21"/>
  <c r="R306" i="21"/>
  <c r="R305" i="21"/>
  <c r="R304" i="21"/>
  <c r="R303" i="21"/>
  <c r="R302" i="21"/>
  <c r="R301" i="21"/>
  <c r="R300" i="21"/>
  <c r="R299" i="21"/>
  <c r="R298" i="21"/>
  <c r="R297" i="21"/>
  <c r="R296" i="21"/>
  <c r="R295" i="21"/>
  <c r="R294" i="21"/>
  <c r="R293" i="21"/>
  <c r="R292" i="21"/>
  <c r="R291" i="21"/>
  <c r="R290" i="21"/>
  <c r="R289" i="21"/>
  <c r="R288" i="21"/>
  <c r="R287" i="21"/>
  <c r="R286" i="21"/>
  <c r="R285" i="21"/>
  <c r="R284" i="21"/>
  <c r="R283" i="21"/>
  <c r="R282" i="21"/>
  <c r="R281" i="21"/>
  <c r="R280" i="21"/>
  <c r="R279" i="21"/>
  <c r="R278" i="21"/>
  <c r="R277" i="21"/>
  <c r="R276" i="21"/>
  <c r="R275" i="21"/>
  <c r="R274" i="21"/>
  <c r="R273" i="21"/>
  <c r="R272" i="21"/>
  <c r="R271" i="21"/>
  <c r="R270" i="21"/>
  <c r="R269" i="21"/>
  <c r="R268" i="21"/>
  <c r="R267" i="21"/>
  <c r="R266" i="21"/>
  <c r="R265" i="21"/>
  <c r="R264" i="21"/>
  <c r="R263" i="21"/>
  <c r="R262" i="21"/>
  <c r="R261" i="21"/>
  <c r="R260" i="21"/>
  <c r="R259" i="21"/>
  <c r="R258" i="21"/>
  <c r="R257" i="21"/>
  <c r="R256" i="21"/>
  <c r="R255" i="21"/>
  <c r="R254" i="21"/>
  <c r="R253" i="21"/>
  <c r="R252" i="21"/>
  <c r="R251" i="21"/>
  <c r="R250" i="21"/>
  <c r="R249" i="21"/>
  <c r="R248" i="21"/>
  <c r="R247" i="21"/>
  <c r="R246" i="21"/>
  <c r="R245" i="21"/>
  <c r="R244" i="21"/>
  <c r="R243" i="21"/>
  <c r="R242" i="21"/>
  <c r="R241" i="21"/>
  <c r="R240" i="21"/>
  <c r="R239" i="21"/>
  <c r="R238" i="21"/>
  <c r="R237" i="21"/>
  <c r="R236" i="21"/>
  <c r="R235" i="21"/>
  <c r="R234" i="21"/>
  <c r="R233" i="21"/>
  <c r="R232" i="21"/>
  <c r="R231" i="21"/>
  <c r="R230" i="21"/>
  <c r="R229" i="21"/>
  <c r="R228" i="21"/>
  <c r="R227" i="21"/>
  <c r="R226" i="21"/>
  <c r="R225" i="21"/>
  <c r="R224" i="21"/>
  <c r="R223" i="21"/>
  <c r="R222" i="21"/>
  <c r="R221" i="21"/>
  <c r="R220" i="21"/>
  <c r="R219" i="21"/>
  <c r="R218" i="21"/>
  <c r="R217" i="21"/>
  <c r="R216" i="21"/>
  <c r="R215" i="21"/>
  <c r="R214" i="21"/>
  <c r="R213" i="21"/>
  <c r="R212" i="21"/>
  <c r="R211" i="21"/>
  <c r="R210" i="21"/>
  <c r="R209" i="21"/>
  <c r="R208" i="21"/>
  <c r="R207" i="21"/>
  <c r="R206" i="21"/>
  <c r="R205" i="21"/>
  <c r="R204" i="21"/>
  <c r="R203" i="21"/>
  <c r="R202" i="21"/>
  <c r="R201" i="21"/>
  <c r="R200" i="21"/>
  <c r="R199" i="21"/>
  <c r="R198" i="21"/>
  <c r="R197" i="21"/>
  <c r="R196" i="21"/>
  <c r="R195" i="21"/>
  <c r="R194" i="21"/>
  <c r="R193" i="21"/>
  <c r="R192" i="21"/>
  <c r="R191" i="21"/>
  <c r="R190" i="21"/>
  <c r="R189" i="21"/>
  <c r="R188" i="21"/>
  <c r="R187" i="21"/>
  <c r="R186" i="21"/>
  <c r="R185" i="21"/>
  <c r="R184" i="21"/>
  <c r="R183" i="21"/>
  <c r="R182" i="21"/>
  <c r="R181" i="21"/>
  <c r="R180" i="21"/>
  <c r="R179" i="21"/>
  <c r="R178" i="21"/>
  <c r="R177" i="21"/>
  <c r="R176" i="21"/>
  <c r="R175" i="21"/>
  <c r="R174" i="21"/>
  <c r="R173" i="21"/>
  <c r="R172" i="21"/>
  <c r="R171" i="21"/>
  <c r="R170" i="21"/>
  <c r="R169" i="21"/>
  <c r="R168" i="21"/>
  <c r="R167" i="21"/>
  <c r="R166" i="21"/>
  <c r="R165" i="21"/>
  <c r="R164" i="21"/>
  <c r="R163" i="21"/>
  <c r="R162" i="21"/>
  <c r="R161" i="21"/>
  <c r="R160" i="21"/>
  <c r="R159" i="21"/>
  <c r="R158" i="21"/>
  <c r="R157" i="21"/>
  <c r="R156" i="21"/>
  <c r="R155" i="21"/>
  <c r="R154" i="21"/>
  <c r="R153" i="21"/>
  <c r="R152" i="21"/>
  <c r="R151" i="21"/>
  <c r="R150" i="21"/>
  <c r="R149" i="21"/>
  <c r="R148" i="21"/>
  <c r="R147" i="21"/>
  <c r="R146" i="21"/>
  <c r="R145" i="21"/>
  <c r="R144" i="21"/>
  <c r="R143" i="21"/>
  <c r="R142" i="21"/>
  <c r="R141" i="21"/>
  <c r="R140" i="21"/>
  <c r="R139" i="21"/>
  <c r="R138" i="21"/>
  <c r="R137" i="21"/>
  <c r="R136" i="21"/>
  <c r="R135" i="21"/>
  <c r="R134" i="21"/>
  <c r="R133" i="21"/>
  <c r="R132" i="21"/>
  <c r="R131" i="21"/>
  <c r="R130" i="21"/>
  <c r="R129" i="21"/>
  <c r="R128" i="21"/>
  <c r="R127" i="21"/>
  <c r="R126" i="21"/>
  <c r="R125" i="21"/>
  <c r="R124" i="21"/>
  <c r="R123" i="21"/>
  <c r="R122" i="21"/>
  <c r="R121" i="21"/>
  <c r="R120" i="21"/>
  <c r="R119" i="21"/>
  <c r="R118" i="21"/>
  <c r="R117" i="21"/>
  <c r="R116" i="21"/>
  <c r="R115" i="21"/>
  <c r="R114" i="21"/>
  <c r="R113" i="21"/>
  <c r="R112" i="21"/>
  <c r="R111" i="21"/>
  <c r="R110" i="21"/>
  <c r="R109" i="21"/>
  <c r="R108" i="21"/>
  <c r="R107" i="21"/>
  <c r="R106" i="21"/>
  <c r="R105" i="21"/>
  <c r="R104" i="21"/>
  <c r="R103" i="21"/>
  <c r="R102" i="21"/>
  <c r="R101" i="21"/>
  <c r="R100" i="21"/>
  <c r="R99" i="21"/>
  <c r="R98" i="21"/>
  <c r="R97" i="21"/>
  <c r="R96" i="21"/>
  <c r="R95" i="21"/>
  <c r="R94" i="21"/>
  <c r="R93" i="21"/>
  <c r="R92" i="21"/>
  <c r="R91" i="21"/>
  <c r="R90" i="21"/>
  <c r="R89" i="21"/>
  <c r="R88" i="21"/>
  <c r="R87" i="21"/>
  <c r="R86" i="21"/>
  <c r="R85" i="21"/>
  <c r="R84" i="21"/>
  <c r="R83" i="21"/>
  <c r="R82" i="21"/>
  <c r="R81" i="21"/>
  <c r="R80" i="21"/>
  <c r="R79" i="21"/>
  <c r="R78" i="21"/>
  <c r="R77" i="21"/>
  <c r="R76" i="21"/>
  <c r="R75" i="21"/>
  <c r="R74" i="21"/>
  <c r="R73" i="21"/>
  <c r="R72" i="21"/>
  <c r="R71" i="21"/>
  <c r="R70" i="21"/>
  <c r="R69" i="21"/>
  <c r="R68" i="21"/>
  <c r="R67" i="21"/>
  <c r="R66" i="21"/>
  <c r="R65" i="21"/>
  <c r="R64" i="21"/>
  <c r="R63" i="21"/>
  <c r="R62" i="21"/>
  <c r="R61" i="21"/>
  <c r="R60" i="21"/>
  <c r="R59" i="2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R6" i="21"/>
  <c r="R5" i="21"/>
  <c r="I237" i="30"/>
  <c r="H237" i="30"/>
  <c r="G237" i="30"/>
  <c r="F237" i="30"/>
  <c r="M366" i="15" l="1"/>
  <c r="C370" i="15"/>
  <c r="E84" i="34"/>
  <c r="F84" i="34" s="1"/>
  <c r="G84" i="34" s="1"/>
  <c r="H84" i="34" s="1"/>
  <c r="I84" i="34" s="1"/>
  <c r="J84" i="34" s="1"/>
  <c r="K84" i="34" s="1"/>
  <c r="L84" i="34" s="1"/>
  <c r="M84" i="34" s="1"/>
  <c r="N84" i="34" s="1"/>
  <c r="O84" i="34" s="1"/>
  <c r="P84" i="34" s="1"/>
  <c r="Q84" i="34" s="1"/>
  <c r="AO83" i="34"/>
  <c r="P85" i="34" s="1"/>
  <c r="L85" i="34"/>
  <c r="M85" i="34"/>
  <c r="K85" i="34"/>
  <c r="R84" i="34"/>
  <c r="B368" i="15"/>
  <c r="B366" i="15"/>
  <c r="C369" i="15"/>
  <c r="C367" i="15"/>
  <c r="C365" i="15"/>
  <c r="D369" i="15"/>
  <c r="D367" i="15"/>
  <c r="D365" i="15"/>
  <c r="E369" i="15"/>
  <c r="E367" i="15"/>
  <c r="E365" i="15"/>
  <c r="F369" i="15"/>
  <c r="F367" i="15"/>
  <c r="F365" i="15"/>
  <c r="G369" i="15"/>
  <c r="G367" i="15"/>
  <c r="G365" i="15"/>
  <c r="H369" i="15"/>
  <c r="H367" i="15"/>
  <c r="H365" i="15"/>
  <c r="I369" i="15"/>
  <c r="I367" i="15"/>
  <c r="I365" i="15"/>
  <c r="J369" i="15"/>
  <c r="J367" i="15"/>
  <c r="J365" i="15"/>
  <c r="K369" i="15"/>
  <c r="K367" i="15"/>
  <c r="K365" i="15"/>
  <c r="L369" i="15"/>
  <c r="L367" i="15"/>
  <c r="L365" i="15"/>
  <c r="M369" i="15"/>
  <c r="M367" i="15"/>
  <c r="M365" i="15"/>
  <c r="B370" i="15"/>
  <c r="B369" i="15"/>
  <c r="B367" i="15"/>
  <c r="B365" i="15"/>
  <c r="C368" i="15"/>
  <c r="C366" i="15"/>
  <c r="D370" i="15"/>
  <c r="D368" i="15"/>
  <c r="D366" i="15"/>
  <c r="E370" i="15"/>
  <c r="E368" i="15"/>
  <c r="E366" i="15"/>
  <c r="F370" i="15"/>
  <c r="F368" i="15"/>
  <c r="F366" i="15"/>
  <c r="G370" i="15"/>
  <c r="G368" i="15"/>
  <c r="G366" i="15"/>
  <c r="H370" i="15"/>
  <c r="H368" i="15"/>
  <c r="H366" i="15"/>
  <c r="I370" i="15"/>
  <c r="I368" i="15"/>
  <c r="I366" i="15"/>
  <c r="J370" i="15"/>
  <c r="J368" i="15"/>
  <c r="J366" i="15"/>
  <c r="K370" i="15"/>
  <c r="K368" i="15"/>
  <c r="K366" i="15"/>
  <c r="L370" i="15"/>
  <c r="L368" i="15"/>
  <c r="L366" i="15"/>
  <c r="M370" i="15"/>
  <c r="M368" i="15"/>
  <c r="D85" i="34" l="1"/>
  <c r="E85" i="34"/>
  <c r="F85" i="34"/>
  <c r="I363" i="15"/>
  <c r="E363" i="15"/>
  <c r="D363" i="15"/>
  <c r="N367" i="15"/>
  <c r="L363" i="15"/>
  <c r="K363" i="15"/>
  <c r="H363" i="15"/>
  <c r="N366" i="15"/>
  <c r="B363" i="15"/>
  <c r="G363" i="15"/>
  <c r="N369" i="15"/>
  <c r="N365" i="15"/>
  <c r="C363" i="15"/>
  <c r="F363" i="15"/>
  <c r="J363" i="15"/>
  <c r="G85" i="34"/>
  <c r="O85" i="34"/>
  <c r="H85" i="34"/>
  <c r="N370" i="15"/>
  <c r="I85" i="34"/>
  <c r="Q85" i="34"/>
  <c r="J85" i="34"/>
  <c r="M363" i="15"/>
  <c r="N368" i="15"/>
  <c r="N85" i="34"/>
  <c r="S84" i="34"/>
  <c r="R85" i="34"/>
  <c r="I669" i="26"/>
  <c r="H669" i="26"/>
  <c r="I668" i="26"/>
  <c r="H668" i="26"/>
  <c r="I667" i="26"/>
  <c r="H667" i="26"/>
  <c r="I666" i="26"/>
  <c r="H666" i="26"/>
  <c r="I665" i="26"/>
  <c r="H665" i="26"/>
  <c r="I664" i="26"/>
  <c r="H664" i="26"/>
  <c r="I663" i="26"/>
  <c r="H663" i="26"/>
  <c r="G669" i="26"/>
  <c r="G668" i="26"/>
  <c r="G667" i="26"/>
  <c r="G666" i="26"/>
  <c r="G665" i="26"/>
  <c r="G664" i="26"/>
  <c r="G663" i="26"/>
  <c r="F669" i="26"/>
  <c r="F668" i="26"/>
  <c r="F667" i="26"/>
  <c r="F666" i="26"/>
  <c r="F665" i="26"/>
  <c r="F664" i="26"/>
  <c r="F663" i="26"/>
  <c r="H232" i="4"/>
  <c r="H664" i="3"/>
  <c r="H663" i="3"/>
  <c r="H662" i="3"/>
  <c r="H661" i="3"/>
  <c r="H660" i="3"/>
  <c r="H659" i="3"/>
  <c r="H658" i="3"/>
  <c r="M1042" i="21"/>
  <c r="K1042" i="21" s="1"/>
  <c r="Q1042" i="21" s="1"/>
  <c r="M1041" i="21"/>
  <c r="K1041" i="21" s="1"/>
  <c r="Q1041" i="21" s="1"/>
  <c r="M1040" i="21"/>
  <c r="K1040" i="21" s="1"/>
  <c r="Q1040" i="21" s="1"/>
  <c r="M1039" i="21"/>
  <c r="K1039" i="21" s="1"/>
  <c r="Q1039" i="21" s="1"/>
  <c r="M1038" i="21"/>
  <c r="K1038" i="21" s="1"/>
  <c r="Q1038" i="21" s="1"/>
  <c r="M1037" i="21"/>
  <c r="K1037" i="21" s="1"/>
  <c r="I662" i="26"/>
  <c r="H662" i="26"/>
  <c r="G662" i="26"/>
  <c r="F662" i="26"/>
  <c r="I661" i="26"/>
  <c r="H661" i="26"/>
  <c r="G661" i="26"/>
  <c r="F661" i="26"/>
  <c r="I660" i="26"/>
  <c r="H660" i="26"/>
  <c r="G660" i="26"/>
  <c r="F660" i="26"/>
  <c r="I659" i="26"/>
  <c r="H659" i="26"/>
  <c r="G659" i="26"/>
  <c r="F659" i="26"/>
  <c r="F34" i="33"/>
  <c r="F33" i="33"/>
  <c r="F32" i="33"/>
  <c r="F31" i="33"/>
  <c r="F30" i="33"/>
  <c r="F29" i="33"/>
  <c r="F28" i="33"/>
  <c r="F27" i="33"/>
  <c r="F26" i="33"/>
  <c r="F25" i="33"/>
  <c r="F24" i="33"/>
  <c r="F23" i="33"/>
  <c r="F22" i="33"/>
  <c r="I21" i="33"/>
  <c r="H21" i="33"/>
  <c r="G21" i="33"/>
  <c r="F21" i="33"/>
  <c r="I20" i="33"/>
  <c r="H20" i="33"/>
  <c r="G20" i="33"/>
  <c r="F20" i="33"/>
  <c r="I19" i="33"/>
  <c r="H19" i="33"/>
  <c r="G19" i="33"/>
  <c r="F19" i="33"/>
  <c r="I18" i="33"/>
  <c r="H18" i="33"/>
  <c r="G18" i="33"/>
  <c r="F18" i="33"/>
  <c r="E8" i="33"/>
  <c r="D8" i="33"/>
  <c r="C8" i="33"/>
  <c r="I17" i="33"/>
  <c r="H17" i="33"/>
  <c r="G17" i="33"/>
  <c r="F17" i="33"/>
  <c r="I16" i="33"/>
  <c r="H16" i="33"/>
  <c r="G16" i="33"/>
  <c r="F16" i="33"/>
  <c r="I15" i="33"/>
  <c r="H15" i="33"/>
  <c r="G15" i="33"/>
  <c r="F15" i="33"/>
  <c r="I14" i="33"/>
  <c r="H14" i="33"/>
  <c r="G14" i="33"/>
  <c r="F14" i="33"/>
  <c r="I13" i="33"/>
  <c r="H13" i="33"/>
  <c r="G13" i="33"/>
  <c r="F13" i="33"/>
  <c r="I12" i="33"/>
  <c r="H12" i="33"/>
  <c r="D7" i="33" s="1"/>
  <c r="G12" i="33"/>
  <c r="F12" i="33"/>
  <c r="I50" i="32"/>
  <c r="H50" i="32"/>
  <c r="G50" i="32"/>
  <c r="F50" i="32"/>
  <c r="I49" i="32"/>
  <c r="H49" i="32"/>
  <c r="G49" i="32"/>
  <c r="F49" i="32"/>
  <c r="I48" i="32"/>
  <c r="H48" i="32"/>
  <c r="G48" i="32"/>
  <c r="F48" i="32"/>
  <c r="I47" i="32"/>
  <c r="H47" i="32"/>
  <c r="G47" i="32"/>
  <c r="F47" i="32"/>
  <c r="I46" i="32"/>
  <c r="H46" i="32"/>
  <c r="G46" i="32"/>
  <c r="F46" i="32"/>
  <c r="I45" i="32"/>
  <c r="H45" i="32"/>
  <c r="G45" i="32"/>
  <c r="F45" i="32"/>
  <c r="I44" i="32"/>
  <c r="H44" i="32"/>
  <c r="G44" i="32"/>
  <c r="F44" i="32"/>
  <c r="I43" i="32"/>
  <c r="H43" i="32"/>
  <c r="G43" i="32"/>
  <c r="F43" i="32"/>
  <c r="I42" i="32"/>
  <c r="H42" i="32"/>
  <c r="G42" i="32"/>
  <c r="F42" i="32"/>
  <c r="I41" i="32"/>
  <c r="H41" i="32"/>
  <c r="G41" i="32"/>
  <c r="F41" i="32"/>
  <c r="I40" i="32"/>
  <c r="H40" i="32"/>
  <c r="G40" i="32"/>
  <c r="F40" i="32"/>
  <c r="I39" i="32"/>
  <c r="H39" i="32"/>
  <c r="G39" i="32"/>
  <c r="F39" i="32"/>
  <c r="I38" i="32"/>
  <c r="H38" i="32"/>
  <c r="G38" i="32"/>
  <c r="F38" i="32"/>
  <c r="I37" i="32"/>
  <c r="H37" i="32"/>
  <c r="G37" i="32"/>
  <c r="F37" i="32"/>
  <c r="I36" i="32"/>
  <c r="H36" i="32"/>
  <c r="G36" i="32"/>
  <c r="F36" i="32"/>
  <c r="I35" i="32"/>
  <c r="H35" i="32"/>
  <c r="G35" i="32"/>
  <c r="F35" i="32"/>
  <c r="I34" i="32"/>
  <c r="H34" i="32"/>
  <c r="G34" i="32"/>
  <c r="F34" i="32"/>
  <c r="I33" i="32"/>
  <c r="H33" i="32"/>
  <c r="G33" i="32"/>
  <c r="F33" i="32"/>
  <c r="I32" i="32"/>
  <c r="H32" i="32"/>
  <c r="G32" i="32"/>
  <c r="F32" i="32"/>
  <c r="I31" i="32"/>
  <c r="H31" i="32"/>
  <c r="G31" i="32"/>
  <c r="F31" i="32"/>
  <c r="I30" i="32"/>
  <c r="H30" i="32"/>
  <c r="G30" i="32"/>
  <c r="F30" i="32"/>
  <c r="I29" i="32"/>
  <c r="H29" i="32"/>
  <c r="G29" i="32"/>
  <c r="F29" i="32"/>
  <c r="I28" i="32"/>
  <c r="H28" i="32"/>
  <c r="G28" i="32"/>
  <c r="F28" i="32"/>
  <c r="I27" i="32"/>
  <c r="H27" i="32"/>
  <c r="G27" i="32"/>
  <c r="F27" i="32"/>
  <c r="I26" i="32"/>
  <c r="H26" i="32"/>
  <c r="G26" i="32"/>
  <c r="F26" i="32"/>
  <c r="I25" i="32"/>
  <c r="H25" i="32"/>
  <c r="G25" i="32"/>
  <c r="F25" i="32"/>
  <c r="I24" i="32"/>
  <c r="H24" i="32"/>
  <c r="G24" i="32"/>
  <c r="F24" i="32"/>
  <c r="I23" i="32"/>
  <c r="H23" i="32"/>
  <c r="G23" i="32"/>
  <c r="F23" i="32"/>
  <c r="I22" i="32"/>
  <c r="H22" i="32"/>
  <c r="G22" i="32"/>
  <c r="F22" i="32"/>
  <c r="I21" i="32"/>
  <c r="H21" i="32"/>
  <c r="G21" i="32"/>
  <c r="F21" i="32"/>
  <c r="I20" i="32"/>
  <c r="H20" i="32"/>
  <c r="G20" i="32"/>
  <c r="F20" i="32"/>
  <c r="I19" i="32"/>
  <c r="H19" i="32"/>
  <c r="G19" i="32"/>
  <c r="F19" i="32"/>
  <c r="I18" i="32"/>
  <c r="H18" i="32"/>
  <c r="G18" i="32"/>
  <c r="F18" i="32"/>
  <c r="I17" i="32"/>
  <c r="H17" i="32"/>
  <c r="G17" i="32"/>
  <c r="F17" i="32"/>
  <c r="I16" i="32"/>
  <c r="H16" i="32"/>
  <c r="G16" i="32"/>
  <c r="F16" i="32"/>
  <c r="I15" i="32"/>
  <c r="H15" i="32"/>
  <c r="G15" i="32"/>
  <c r="F15" i="32"/>
  <c r="I14" i="32"/>
  <c r="H14" i="32"/>
  <c r="G14" i="32"/>
  <c r="F14" i="32"/>
  <c r="I13" i="32"/>
  <c r="H13" i="32"/>
  <c r="G13" i="32"/>
  <c r="F13" i="32"/>
  <c r="I12" i="32"/>
  <c r="H12" i="32"/>
  <c r="G12" i="32"/>
  <c r="F12" i="32"/>
  <c r="I136" i="31"/>
  <c r="H136" i="31"/>
  <c r="G136" i="31"/>
  <c r="F136" i="31"/>
  <c r="I135" i="31"/>
  <c r="H135" i="31"/>
  <c r="G135" i="31"/>
  <c r="F135" i="31"/>
  <c r="I134" i="31"/>
  <c r="H134" i="31"/>
  <c r="G134" i="31"/>
  <c r="F134" i="31"/>
  <c r="I133" i="31"/>
  <c r="H133" i="31"/>
  <c r="G133" i="31"/>
  <c r="F133" i="31"/>
  <c r="I132" i="31"/>
  <c r="H132" i="31"/>
  <c r="G132" i="31"/>
  <c r="F132" i="31"/>
  <c r="I131" i="31"/>
  <c r="H131" i="31"/>
  <c r="G131" i="31"/>
  <c r="F131" i="31"/>
  <c r="I130" i="31"/>
  <c r="H130" i="31"/>
  <c r="G130" i="31"/>
  <c r="F130" i="31"/>
  <c r="I129" i="31"/>
  <c r="H129" i="31"/>
  <c r="G129" i="31"/>
  <c r="F129" i="31"/>
  <c r="I128" i="31"/>
  <c r="H128" i="31"/>
  <c r="G128" i="31"/>
  <c r="F128" i="31"/>
  <c r="I127" i="31"/>
  <c r="H127" i="31"/>
  <c r="G127" i="31"/>
  <c r="F127" i="31"/>
  <c r="I126" i="31"/>
  <c r="H126" i="31"/>
  <c r="G126" i="31"/>
  <c r="F126" i="31"/>
  <c r="I125" i="31"/>
  <c r="H125" i="31"/>
  <c r="G125" i="31"/>
  <c r="F125" i="31"/>
  <c r="I124" i="31"/>
  <c r="H124" i="31"/>
  <c r="G124" i="31"/>
  <c r="F124" i="31"/>
  <c r="I123" i="31"/>
  <c r="H123" i="31"/>
  <c r="G123" i="31"/>
  <c r="F123" i="31"/>
  <c r="I122" i="31"/>
  <c r="H122" i="31"/>
  <c r="G122" i="31"/>
  <c r="F122" i="31"/>
  <c r="I121" i="31"/>
  <c r="H121" i="31"/>
  <c r="G121" i="31"/>
  <c r="F121" i="31"/>
  <c r="I120" i="31"/>
  <c r="H120" i="31"/>
  <c r="G120" i="31"/>
  <c r="F120" i="31"/>
  <c r="I119" i="31"/>
  <c r="H119" i="31"/>
  <c r="G119" i="31"/>
  <c r="F119" i="31"/>
  <c r="I118" i="31"/>
  <c r="H118" i="31"/>
  <c r="G118" i="31"/>
  <c r="F118" i="31"/>
  <c r="I117" i="31"/>
  <c r="H117" i="31"/>
  <c r="G117" i="31"/>
  <c r="F117" i="31"/>
  <c r="I116" i="31"/>
  <c r="H116" i="31"/>
  <c r="G116" i="31"/>
  <c r="F116" i="31"/>
  <c r="I115" i="31"/>
  <c r="H115" i="31"/>
  <c r="G115" i="31"/>
  <c r="F115" i="31"/>
  <c r="I114" i="31"/>
  <c r="H114" i="31"/>
  <c r="G114" i="31"/>
  <c r="F114" i="31"/>
  <c r="I113" i="31"/>
  <c r="H113" i="31"/>
  <c r="G113" i="31"/>
  <c r="F113" i="31"/>
  <c r="I112" i="31"/>
  <c r="H112" i="31"/>
  <c r="G112" i="31"/>
  <c r="F112" i="31"/>
  <c r="I111" i="31"/>
  <c r="H111" i="31"/>
  <c r="G111" i="31"/>
  <c r="F111" i="31"/>
  <c r="I110" i="31"/>
  <c r="H110" i="31"/>
  <c r="G110" i="31"/>
  <c r="F110" i="31"/>
  <c r="I109" i="31"/>
  <c r="H109" i="31"/>
  <c r="G109" i="31"/>
  <c r="F109" i="31"/>
  <c r="I108" i="31"/>
  <c r="H108" i="31"/>
  <c r="G108" i="31"/>
  <c r="F108" i="31"/>
  <c r="I107" i="31"/>
  <c r="H107" i="31"/>
  <c r="G107" i="31"/>
  <c r="F107" i="31"/>
  <c r="I106" i="31"/>
  <c r="H106" i="31"/>
  <c r="G106" i="31"/>
  <c r="F106" i="31"/>
  <c r="I105" i="31"/>
  <c r="H105" i="31"/>
  <c r="G105" i="31"/>
  <c r="F105" i="31"/>
  <c r="I104" i="31"/>
  <c r="H104" i="31"/>
  <c r="G104" i="31"/>
  <c r="F104" i="31"/>
  <c r="I103" i="31"/>
  <c r="H103" i="31"/>
  <c r="G103" i="31"/>
  <c r="F103" i="31"/>
  <c r="I102" i="31"/>
  <c r="H102" i="31"/>
  <c r="G102" i="31"/>
  <c r="F102" i="31"/>
  <c r="I101" i="31"/>
  <c r="H101" i="31"/>
  <c r="G101" i="31"/>
  <c r="F101" i="31"/>
  <c r="I100" i="31"/>
  <c r="H100" i="31"/>
  <c r="G100" i="31"/>
  <c r="F100" i="31"/>
  <c r="I99" i="31"/>
  <c r="H99" i="31"/>
  <c r="G99" i="31"/>
  <c r="F99" i="31"/>
  <c r="I98" i="31"/>
  <c r="H98" i="31"/>
  <c r="G98" i="31"/>
  <c r="F98" i="31"/>
  <c r="I97" i="31"/>
  <c r="H97" i="31"/>
  <c r="G97" i="31"/>
  <c r="F97" i="31"/>
  <c r="I96" i="31"/>
  <c r="H96" i="31"/>
  <c r="G96" i="31"/>
  <c r="F96" i="31"/>
  <c r="I95" i="31"/>
  <c r="H95" i="31"/>
  <c r="G95" i="31"/>
  <c r="F95" i="31"/>
  <c r="I94" i="31"/>
  <c r="H94" i="31"/>
  <c r="G94" i="31"/>
  <c r="F94" i="31"/>
  <c r="I93" i="31"/>
  <c r="H93" i="31"/>
  <c r="G93" i="31"/>
  <c r="F93" i="31"/>
  <c r="I92" i="31"/>
  <c r="H92" i="31"/>
  <c r="G92" i="31"/>
  <c r="F92" i="31"/>
  <c r="I91" i="31"/>
  <c r="H91" i="31"/>
  <c r="G91" i="31"/>
  <c r="F91" i="31"/>
  <c r="I90" i="31"/>
  <c r="H90" i="31"/>
  <c r="G90" i="31"/>
  <c r="F90" i="31"/>
  <c r="I89" i="31"/>
  <c r="H89" i="31"/>
  <c r="G89" i="31"/>
  <c r="F89" i="31"/>
  <c r="I88" i="31"/>
  <c r="H88" i="31"/>
  <c r="G88" i="31"/>
  <c r="F88" i="31"/>
  <c r="I87" i="31"/>
  <c r="H87" i="31"/>
  <c r="G87" i="31"/>
  <c r="F87" i="31"/>
  <c r="I86" i="31"/>
  <c r="H86" i="31"/>
  <c r="G86" i="31"/>
  <c r="F86" i="31"/>
  <c r="I85" i="31"/>
  <c r="H85" i="31"/>
  <c r="G85" i="31"/>
  <c r="F85" i="31"/>
  <c r="I84" i="31"/>
  <c r="H84" i="31"/>
  <c r="G84" i="31"/>
  <c r="F84" i="31"/>
  <c r="I83" i="31"/>
  <c r="H83" i="31"/>
  <c r="G83" i="31"/>
  <c r="F83" i="31"/>
  <c r="I82" i="31"/>
  <c r="H82" i="31"/>
  <c r="G82" i="31"/>
  <c r="F82" i="31"/>
  <c r="I81" i="31"/>
  <c r="H81" i="31"/>
  <c r="G81" i="31"/>
  <c r="F81" i="31"/>
  <c r="I80" i="31"/>
  <c r="H80" i="31"/>
  <c r="G80" i="31"/>
  <c r="F80" i="31"/>
  <c r="I79" i="31"/>
  <c r="H79" i="31"/>
  <c r="G79" i="31"/>
  <c r="F79" i="31"/>
  <c r="I78" i="31"/>
  <c r="H78" i="31"/>
  <c r="G78" i="31"/>
  <c r="F78" i="31"/>
  <c r="I77" i="31"/>
  <c r="H77" i="31"/>
  <c r="G77" i="31"/>
  <c r="F77" i="31"/>
  <c r="I76" i="31"/>
  <c r="H76" i="31"/>
  <c r="G76" i="31"/>
  <c r="F76" i="31"/>
  <c r="I75" i="31"/>
  <c r="H75" i="31"/>
  <c r="G75" i="31"/>
  <c r="F75" i="31"/>
  <c r="I74" i="31"/>
  <c r="H74" i="31"/>
  <c r="G74" i="31"/>
  <c r="F74" i="31"/>
  <c r="I73" i="31"/>
  <c r="H73" i="31"/>
  <c r="G73" i="31"/>
  <c r="F73" i="31"/>
  <c r="I72" i="31"/>
  <c r="H72" i="31"/>
  <c r="G72" i="31"/>
  <c r="F72" i="31"/>
  <c r="I71" i="31"/>
  <c r="H71" i="31"/>
  <c r="G71" i="31"/>
  <c r="F71" i="31"/>
  <c r="I70" i="31"/>
  <c r="H70" i="31"/>
  <c r="G70" i="31"/>
  <c r="F70" i="31"/>
  <c r="I69" i="31"/>
  <c r="H69" i="31"/>
  <c r="G69" i="31"/>
  <c r="F69" i="31"/>
  <c r="I68" i="31"/>
  <c r="H68" i="31"/>
  <c r="G68" i="31"/>
  <c r="F68" i="31"/>
  <c r="I67" i="31"/>
  <c r="H67" i="31"/>
  <c r="G67" i="31"/>
  <c r="F67" i="31"/>
  <c r="I66" i="31"/>
  <c r="H66" i="31"/>
  <c r="G66" i="31"/>
  <c r="F66" i="31"/>
  <c r="I65" i="31"/>
  <c r="H65" i="31"/>
  <c r="G65" i="31"/>
  <c r="F65" i="31"/>
  <c r="I64" i="31"/>
  <c r="H64" i="31"/>
  <c r="G64" i="31"/>
  <c r="F64" i="31"/>
  <c r="I63" i="31"/>
  <c r="H63" i="31"/>
  <c r="G63" i="31"/>
  <c r="F63" i="31"/>
  <c r="I62" i="31"/>
  <c r="H62" i="31"/>
  <c r="G62" i="31"/>
  <c r="F62" i="31"/>
  <c r="I61" i="31"/>
  <c r="H61" i="31"/>
  <c r="G61" i="31"/>
  <c r="F61" i="31"/>
  <c r="I60" i="31"/>
  <c r="H60" i="31"/>
  <c r="G60" i="31"/>
  <c r="F60" i="31"/>
  <c r="I59" i="31"/>
  <c r="H59" i="31"/>
  <c r="G59" i="31"/>
  <c r="F59" i="31"/>
  <c r="I58" i="31"/>
  <c r="H58" i="31"/>
  <c r="G58" i="31"/>
  <c r="F58" i="31"/>
  <c r="I57" i="31"/>
  <c r="H57" i="31"/>
  <c r="G57" i="31"/>
  <c r="F57" i="31"/>
  <c r="I56" i="31"/>
  <c r="H56" i="31"/>
  <c r="G56" i="31"/>
  <c r="F56" i="31"/>
  <c r="I55" i="31"/>
  <c r="H55" i="31"/>
  <c r="G55" i="31"/>
  <c r="F55" i="31"/>
  <c r="I54" i="31"/>
  <c r="H54" i="31"/>
  <c r="G54" i="31"/>
  <c r="F54" i="31"/>
  <c r="I53" i="31"/>
  <c r="H53" i="31"/>
  <c r="G53" i="31"/>
  <c r="F53" i="31"/>
  <c r="I52" i="31"/>
  <c r="H52" i="31"/>
  <c r="G52" i="31"/>
  <c r="F52" i="31"/>
  <c r="I51" i="31"/>
  <c r="H51" i="31"/>
  <c r="G51" i="31"/>
  <c r="F51" i="31"/>
  <c r="I50" i="31"/>
  <c r="H50" i="31"/>
  <c r="G50" i="31"/>
  <c r="F50" i="31"/>
  <c r="I49" i="31"/>
  <c r="H49" i="31"/>
  <c r="G49" i="31"/>
  <c r="F49" i="31"/>
  <c r="I48" i="31"/>
  <c r="H48" i="31"/>
  <c r="G48" i="31"/>
  <c r="F48" i="31"/>
  <c r="I47" i="31"/>
  <c r="H47" i="31"/>
  <c r="G47" i="31"/>
  <c r="F47" i="31"/>
  <c r="I46" i="31"/>
  <c r="H46" i="31"/>
  <c r="G46" i="31"/>
  <c r="F46" i="31"/>
  <c r="I45" i="31"/>
  <c r="H45" i="31"/>
  <c r="G45" i="31"/>
  <c r="F45" i="31"/>
  <c r="I44" i="31"/>
  <c r="H44" i="31"/>
  <c r="G44" i="31"/>
  <c r="F44" i="31"/>
  <c r="I43" i="31"/>
  <c r="H43" i="31"/>
  <c r="G43" i="31"/>
  <c r="F43" i="31"/>
  <c r="I42" i="31"/>
  <c r="H42" i="31"/>
  <c r="G42" i="31"/>
  <c r="F42" i="31"/>
  <c r="I41" i="31"/>
  <c r="H41" i="31"/>
  <c r="G41" i="31"/>
  <c r="F41" i="31"/>
  <c r="I40" i="31"/>
  <c r="H40" i="31"/>
  <c r="G40" i="31"/>
  <c r="F40" i="31"/>
  <c r="I39" i="31"/>
  <c r="H39" i="31"/>
  <c r="G39" i="31"/>
  <c r="F39" i="31"/>
  <c r="I38" i="31"/>
  <c r="H38" i="31"/>
  <c r="G38" i="31"/>
  <c r="F38" i="31"/>
  <c r="I37" i="31"/>
  <c r="H37" i="31"/>
  <c r="G37" i="31"/>
  <c r="F37" i="31"/>
  <c r="I36" i="31"/>
  <c r="H36" i="31"/>
  <c r="G36" i="31"/>
  <c r="F36" i="31"/>
  <c r="I35" i="31"/>
  <c r="H35" i="31"/>
  <c r="G35" i="31"/>
  <c r="F35" i="31"/>
  <c r="I34" i="31"/>
  <c r="H34" i="31"/>
  <c r="G34" i="31"/>
  <c r="F34" i="31"/>
  <c r="I33" i="31"/>
  <c r="H33" i="31"/>
  <c r="G33" i="31"/>
  <c r="F33" i="31"/>
  <c r="I32" i="31"/>
  <c r="H32" i="31"/>
  <c r="G32" i="31"/>
  <c r="F32" i="31"/>
  <c r="I31" i="31"/>
  <c r="H31" i="31"/>
  <c r="G31" i="31"/>
  <c r="F31" i="31"/>
  <c r="I30" i="31"/>
  <c r="H30" i="31"/>
  <c r="G30" i="31"/>
  <c r="F30" i="31"/>
  <c r="I29" i="31"/>
  <c r="H29" i="31"/>
  <c r="G29" i="31"/>
  <c r="F29" i="31"/>
  <c r="I28" i="31"/>
  <c r="H28" i="31"/>
  <c r="G28" i="31"/>
  <c r="F28" i="31"/>
  <c r="I27" i="31"/>
  <c r="H27" i="31"/>
  <c r="G27" i="31"/>
  <c r="F27" i="31"/>
  <c r="I26" i="31"/>
  <c r="H26" i="31"/>
  <c r="G26" i="31"/>
  <c r="F26" i="31"/>
  <c r="I25" i="31"/>
  <c r="H25" i="31"/>
  <c r="G25" i="31"/>
  <c r="F25" i="31"/>
  <c r="I24" i="31"/>
  <c r="H24" i="31"/>
  <c r="G24" i="31"/>
  <c r="F24" i="31"/>
  <c r="I23" i="31"/>
  <c r="H23" i="31"/>
  <c r="G23" i="31"/>
  <c r="F23" i="31"/>
  <c r="I22" i="31"/>
  <c r="H22" i="31"/>
  <c r="G22" i="31"/>
  <c r="F22" i="31"/>
  <c r="I21" i="31"/>
  <c r="H21" i="31"/>
  <c r="G21" i="31"/>
  <c r="F21" i="31"/>
  <c r="I20" i="31"/>
  <c r="H20" i="31"/>
  <c r="G20" i="31"/>
  <c r="F20" i="31"/>
  <c r="I19" i="31"/>
  <c r="H19" i="31"/>
  <c r="G19" i="31"/>
  <c r="F19" i="31"/>
  <c r="I18" i="31"/>
  <c r="H18" i="31"/>
  <c r="G18" i="31"/>
  <c r="F18" i="31"/>
  <c r="I17" i="31"/>
  <c r="H17" i="31"/>
  <c r="G17" i="31"/>
  <c r="F17" i="31"/>
  <c r="I16" i="31"/>
  <c r="H16" i="31"/>
  <c r="G16" i="31"/>
  <c r="F16" i="31"/>
  <c r="I15" i="31"/>
  <c r="H15" i="31"/>
  <c r="G15" i="31"/>
  <c r="F15" i="31"/>
  <c r="I14" i="31"/>
  <c r="H14" i="31"/>
  <c r="G14" i="31"/>
  <c r="F14" i="31"/>
  <c r="I13" i="31"/>
  <c r="H13" i="31"/>
  <c r="G13" i="31"/>
  <c r="F13" i="31"/>
  <c r="I12" i="31"/>
  <c r="H12" i="31"/>
  <c r="G12" i="31"/>
  <c r="F12" i="31"/>
  <c r="I236" i="30"/>
  <c r="H236" i="30"/>
  <c r="G236" i="30"/>
  <c r="F236" i="30"/>
  <c r="I235" i="30"/>
  <c r="H235" i="30"/>
  <c r="G235" i="30"/>
  <c r="F235" i="30"/>
  <c r="I234" i="30"/>
  <c r="H234" i="30"/>
  <c r="G234" i="30"/>
  <c r="F234" i="30"/>
  <c r="I233" i="30"/>
  <c r="H233" i="30"/>
  <c r="G233" i="30"/>
  <c r="F233" i="30"/>
  <c r="I232" i="30"/>
  <c r="H232" i="30"/>
  <c r="G232" i="30"/>
  <c r="F232" i="30"/>
  <c r="I231" i="30"/>
  <c r="H231" i="30"/>
  <c r="G231" i="30"/>
  <c r="F231" i="30"/>
  <c r="I230" i="30"/>
  <c r="H230" i="30"/>
  <c r="G230" i="30"/>
  <c r="F230" i="30"/>
  <c r="I229" i="30"/>
  <c r="H229" i="30"/>
  <c r="G229" i="30"/>
  <c r="F229" i="30"/>
  <c r="I228" i="30"/>
  <c r="H228" i="30"/>
  <c r="G228" i="30"/>
  <c r="F228" i="30"/>
  <c r="I227" i="30"/>
  <c r="H227" i="30"/>
  <c r="G227" i="30"/>
  <c r="F227" i="30"/>
  <c r="I226" i="30"/>
  <c r="H226" i="30"/>
  <c r="G226" i="30"/>
  <c r="F226" i="30"/>
  <c r="I225" i="30"/>
  <c r="H225" i="30"/>
  <c r="G225" i="30"/>
  <c r="F225" i="30"/>
  <c r="I224" i="30"/>
  <c r="H224" i="30"/>
  <c r="G224" i="30"/>
  <c r="F224" i="30"/>
  <c r="I223" i="30"/>
  <c r="H223" i="30"/>
  <c r="G223" i="30"/>
  <c r="F223" i="30"/>
  <c r="I222" i="30"/>
  <c r="H222" i="30"/>
  <c r="G222" i="30"/>
  <c r="F222" i="30"/>
  <c r="I221" i="30"/>
  <c r="H221" i="30"/>
  <c r="G221" i="30"/>
  <c r="F221" i="30"/>
  <c r="I220" i="30"/>
  <c r="H220" i="30"/>
  <c r="G220" i="30"/>
  <c r="F220" i="30"/>
  <c r="I219" i="30"/>
  <c r="H219" i="30"/>
  <c r="G219" i="30"/>
  <c r="F219" i="30"/>
  <c r="I218" i="30"/>
  <c r="H218" i="30"/>
  <c r="G218" i="30"/>
  <c r="F218" i="30"/>
  <c r="I217" i="30"/>
  <c r="H217" i="30"/>
  <c r="G217" i="30"/>
  <c r="F217" i="30"/>
  <c r="I216" i="30"/>
  <c r="H216" i="30"/>
  <c r="G216" i="30"/>
  <c r="F216" i="30"/>
  <c r="I215" i="30"/>
  <c r="H215" i="30"/>
  <c r="G215" i="30"/>
  <c r="F215" i="30"/>
  <c r="I214" i="30"/>
  <c r="H214" i="30"/>
  <c r="G214" i="30"/>
  <c r="F214" i="30"/>
  <c r="I213" i="30"/>
  <c r="H213" i="30"/>
  <c r="G213" i="30"/>
  <c r="F213" i="30"/>
  <c r="I212" i="30"/>
  <c r="H212" i="30"/>
  <c r="G212" i="30"/>
  <c r="F212" i="30"/>
  <c r="I211" i="30"/>
  <c r="H211" i="30"/>
  <c r="G211" i="30"/>
  <c r="F211" i="30"/>
  <c r="I210" i="30"/>
  <c r="H210" i="30"/>
  <c r="G210" i="30"/>
  <c r="F210" i="30"/>
  <c r="I209" i="30"/>
  <c r="H209" i="30"/>
  <c r="G209" i="30"/>
  <c r="F209" i="30"/>
  <c r="I208" i="30"/>
  <c r="H208" i="30"/>
  <c r="G208" i="30"/>
  <c r="F208" i="30"/>
  <c r="I207" i="30"/>
  <c r="H207" i="30"/>
  <c r="G207" i="30"/>
  <c r="F207" i="30"/>
  <c r="I206" i="30"/>
  <c r="H206" i="30"/>
  <c r="G206" i="30"/>
  <c r="F206" i="30"/>
  <c r="I205" i="30"/>
  <c r="H205" i="30"/>
  <c r="G205" i="30"/>
  <c r="F205" i="30"/>
  <c r="I204" i="30"/>
  <c r="H204" i="30"/>
  <c r="G204" i="30"/>
  <c r="F204" i="30"/>
  <c r="I203" i="30"/>
  <c r="H203" i="30"/>
  <c r="G203" i="30"/>
  <c r="F203" i="30"/>
  <c r="I202" i="30"/>
  <c r="H202" i="30"/>
  <c r="G202" i="30"/>
  <c r="F202" i="30"/>
  <c r="I201" i="30"/>
  <c r="H201" i="30"/>
  <c r="G201" i="30"/>
  <c r="F201" i="30"/>
  <c r="I200" i="30"/>
  <c r="H200" i="30"/>
  <c r="G200" i="30"/>
  <c r="F200" i="30"/>
  <c r="I199" i="30"/>
  <c r="H199" i="30"/>
  <c r="G199" i="30"/>
  <c r="F199" i="30"/>
  <c r="I198" i="30"/>
  <c r="H198" i="30"/>
  <c r="G198" i="30"/>
  <c r="F198" i="30"/>
  <c r="I197" i="30"/>
  <c r="H197" i="30"/>
  <c r="G197" i="30"/>
  <c r="F197" i="30"/>
  <c r="I196" i="30"/>
  <c r="H196" i="30"/>
  <c r="G196" i="30"/>
  <c r="F196" i="30"/>
  <c r="I195" i="30"/>
  <c r="H195" i="30"/>
  <c r="G195" i="30"/>
  <c r="F195" i="30"/>
  <c r="I194" i="30"/>
  <c r="H194" i="30"/>
  <c r="G194" i="30"/>
  <c r="F194" i="30"/>
  <c r="I193" i="30"/>
  <c r="H193" i="30"/>
  <c r="G193" i="30"/>
  <c r="F193" i="30"/>
  <c r="I192" i="30"/>
  <c r="H192" i="30"/>
  <c r="G192" i="30"/>
  <c r="F192" i="30"/>
  <c r="I191" i="30"/>
  <c r="H191" i="30"/>
  <c r="G191" i="30"/>
  <c r="F191" i="30"/>
  <c r="I190" i="30"/>
  <c r="H190" i="30"/>
  <c r="G190" i="30"/>
  <c r="F190" i="30"/>
  <c r="I189" i="30"/>
  <c r="H189" i="30"/>
  <c r="G189" i="30"/>
  <c r="F189" i="30"/>
  <c r="I188" i="30"/>
  <c r="H188" i="30"/>
  <c r="G188" i="30"/>
  <c r="F188" i="30"/>
  <c r="I187" i="30"/>
  <c r="H187" i="30"/>
  <c r="G187" i="30"/>
  <c r="F187" i="30"/>
  <c r="I186" i="30"/>
  <c r="H186" i="30"/>
  <c r="G186" i="30"/>
  <c r="F186" i="30"/>
  <c r="I185" i="30"/>
  <c r="H185" i="30"/>
  <c r="G185" i="30"/>
  <c r="F185" i="30"/>
  <c r="I184" i="30"/>
  <c r="H184" i="30"/>
  <c r="G184" i="30"/>
  <c r="F184" i="30"/>
  <c r="I183" i="30"/>
  <c r="H183" i="30"/>
  <c r="G183" i="30"/>
  <c r="F183" i="30"/>
  <c r="I182" i="30"/>
  <c r="H182" i="30"/>
  <c r="G182" i="30"/>
  <c r="F182" i="30"/>
  <c r="I181" i="30"/>
  <c r="H181" i="30"/>
  <c r="G181" i="30"/>
  <c r="F181" i="30"/>
  <c r="I180" i="30"/>
  <c r="H180" i="30"/>
  <c r="G180" i="30"/>
  <c r="F180" i="30"/>
  <c r="I179" i="30"/>
  <c r="H179" i="30"/>
  <c r="G179" i="30"/>
  <c r="F179" i="30"/>
  <c r="I178" i="30"/>
  <c r="H178" i="30"/>
  <c r="G178" i="30"/>
  <c r="F178" i="30"/>
  <c r="I177" i="30"/>
  <c r="H177" i="30"/>
  <c r="G177" i="30"/>
  <c r="F177" i="30"/>
  <c r="I176" i="30"/>
  <c r="H176" i="30"/>
  <c r="G176" i="30"/>
  <c r="F176" i="30"/>
  <c r="I175" i="30"/>
  <c r="H175" i="30"/>
  <c r="G175" i="30"/>
  <c r="F175" i="30"/>
  <c r="I174" i="30"/>
  <c r="H174" i="30"/>
  <c r="G174" i="30"/>
  <c r="F174" i="30"/>
  <c r="I173" i="30"/>
  <c r="H173" i="30"/>
  <c r="G173" i="30"/>
  <c r="F173" i="30"/>
  <c r="I172" i="30"/>
  <c r="H172" i="30"/>
  <c r="G172" i="30"/>
  <c r="F172" i="30"/>
  <c r="I171" i="30"/>
  <c r="H171" i="30"/>
  <c r="G171" i="30"/>
  <c r="F171" i="30"/>
  <c r="I170" i="30"/>
  <c r="H170" i="30"/>
  <c r="G170" i="30"/>
  <c r="F170" i="30"/>
  <c r="I169" i="30"/>
  <c r="H169" i="30"/>
  <c r="G169" i="30"/>
  <c r="F169" i="30"/>
  <c r="I168" i="30"/>
  <c r="H168" i="30"/>
  <c r="G168" i="30"/>
  <c r="F168" i="30"/>
  <c r="I167" i="30"/>
  <c r="H167" i="30"/>
  <c r="G167" i="30"/>
  <c r="F167" i="30"/>
  <c r="I166" i="30"/>
  <c r="H166" i="30"/>
  <c r="G166" i="30"/>
  <c r="F166" i="30"/>
  <c r="I165" i="30"/>
  <c r="H165" i="30"/>
  <c r="G165" i="30"/>
  <c r="F165" i="30"/>
  <c r="I164" i="30"/>
  <c r="H164" i="30"/>
  <c r="G164" i="30"/>
  <c r="F164" i="30"/>
  <c r="I163" i="30"/>
  <c r="H163" i="30"/>
  <c r="G163" i="30"/>
  <c r="F163" i="30"/>
  <c r="I162" i="30"/>
  <c r="H162" i="30"/>
  <c r="G162" i="30"/>
  <c r="F162" i="30"/>
  <c r="I161" i="30"/>
  <c r="H161" i="30"/>
  <c r="G161" i="30"/>
  <c r="F161" i="30"/>
  <c r="I160" i="30"/>
  <c r="H160" i="30"/>
  <c r="G160" i="30"/>
  <c r="F160" i="30"/>
  <c r="I159" i="30"/>
  <c r="H159" i="30"/>
  <c r="G159" i="30"/>
  <c r="F159" i="30"/>
  <c r="I158" i="30"/>
  <c r="H158" i="30"/>
  <c r="G158" i="30"/>
  <c r="F158" i="30"/>
  <c r="I157" i="30"/>
  <c r="H157" i="30"/>
  <c r="G157" i="30"/>
  <c r="F157" i="30"/>
  <c r="I156" i="30"/>
  <c r="H156" i="30"/>
  <c r="G156" i="30"/>
  <c r="F156" i="30"/>
  <c r="I155" i="30"/>
  <c r="H155" i="30"/>
  <c r="G155" i="30"/>
  <c r="F155" i="30"/>
  <c r="I154" i="30"/>
  <c r="H154" i="30"/>
  <c r="G154" i="30"/>
  <c r="F154" i="30"/>
  <c r="I153" i="30"/>
  <c r="H153" i="30"/>
  <c r="G153" i="30"/>
  <c r="F153" i="30"/>
  <c r="I152" i="30"/>
  <c r="H152" i="30"/>
  <c r="G152" i="30"/>
  <c r="F152" i="30"/>
  <c r="I151" i="30"/>
  <c r="H151" i="30"/>
  <c r="G151" i="30"/>
  <c r="F151" i="30"/>
  <c r="I150" i="30"/>
  <c r="H150" i="30"/>
  <c r="G150" i="30"/>
  <c r="F150" i="30"/>
  <c r="I149" i="30"/>
  <c r="H149" i="30"/>
  <c r="G149" i="30"/>
  <c r="F149" i="30"/>
  <c r="I148" i="30"/>
  <c r="H148" i="30"/>
  <c r="G148" i="30"/>
  <c r="F148" i="30"/>
  <c r="I147" i="30"/>
  <c r="H147" i="30"/>
  <c r="G147" i="30"/>
  <c r="F147" i="30"/>
  <c r="I146" i="30"/>
  <c r="H146" i="30"/>
  <c r="G146" i="30"/>
  <c r="F146" i="30"/>
  <c r="I145" i="30"/>
  <c r="H145" i="30"/>
  <c r="G145" i="30"/>
  <c r="F145" i="30"/>
  <c r="I144" i="30"/>
  <c r="H144" i="30"/>
  <c r="G144" i="30"/>
  <c r="F144" i="30"/>
  <c r="I143" i="30"/>
  <c r="H143" i="30"/>
  <c r="G143" i="30"/>
  <c r="F143" i="30"/>
  <c r="I142" i="30"/>
  <c r="H142" i="30"/>
  <c r="G142" i="30"/>
  <c r="F142" i="30"/>
  <c r="I141" i="30"/>
  <c r="H141" i="30"/>
  <c r="G141" i="30"/>
  <c r="F141" i="30"/>
  <c r="I140" i="30"/>
  <c r="H140" i="30"/>
  <c r="G140" i="30"/>
  <c r="F140" i="30"/>
  <c r="I139" i="30"/>
  <c r="H139" i="30"/>
  <c r="G139" i="30"/>
  <c r="F139" i="30"/>
  <c r="I138" i="30"/>
  <c r="H138" i="30"/>
  <c r="G138" i="30"/>
  <c r="F138" i="30"/>
  <c r="I137" i="30"/>
  <c r="H137" i="30"/>
  <c r="G137" i="30"/>
  <c r="F137" i="30"/>
  <c r="I136" i="30"/>
  <c r="H136" i="30"/>
  <c r="G136" i="30"/>
  <c r="F136" i="30"/>
  <c r="I135" i="30"/>
  <c r="H135" i="30"/>
  <c r="G135" i="30"/>
  <c r="F135" i="30"/>
  <c r="I134" i="30"/>
  <c r="H134" i="30"/>
  <c r="G134" i="30"/>
  <c r="F134" i="30"/>
  <c r="I133" i="30"/>
  <c r="H133" i="30"/>
  <c r="G133" i="30"/>
  <c r="F133" i="30"/>
  <c r="I132" i="30"/>
  <c r="H132" i="30"/>
  <c r="G132" i="30"/>
  <c r="F132" i="30"/>
  <c r="I131" i="30"/>
  <c r="H131" i="30"/>
  <c r="G131" i="30"/>
  <c r="F131" i="30"/>
  <c r="I130" i="30"/>
  <c r="H130" i="30"/>
  <c r="G130" i="30"/>
  <c r="F130" i="30"/>
  <c r="I129" i="30"/>
  <c r="H129" i="30"/>
  <c r="G129" i="30"/>
  <c r="F129" i="30"/>
  <c r="I128" i="30"/>
  <c r="H128" i="30"/>
  <c r="G128" i="30"/>
  <c r="F128" i="30"/>
  <c r="I127" i="30"/>
  <c r="H127" i="30"/>
  <c r="G127" i="30"/>
  <c r="F127" i="30"/>
  <c r="I126" i="30"/>
  <c r="H126" i="30"/>
  <c r="G126" i="30"/>
  <c r="F126" i="30"/>
  <c r="I125" i="30"/>
  <c r="H125" i="30"/>
  <c r="G125" i="30"/>
  <c r="F125" i="30"/>
  <c r="I124" i="30"/>
  <c r="H124" i="30"/>
  <c r="G124" i="30"/>
  <c r="F124" i="30"/>
  <c r="I123" i="30"/>
  <c r="H123" i="30"/>
  <c r="G123" i="30"/>
  <c r="F123" i="30"/>
  <c r="I122" i="30"/>
  <c r="H122" i="30"/>
  <c r="G122" i="30"/>
  <c r="F122" i="30"/>
  <c r="I121" i="30"/>
  <c r="H121" i="30"/>
  <c r="G121" i="30"/>
  <c r="F121" i="30"/>
  <c r="I120" i="30"/>
  <c r="H120" i="30"/>
  <c r="G120" i="30"/>
  <c r="F120" i="30"/>
  <c r="I119" i="30"/>
  <c r="H119" i="30"/>
  <c r="G119" i="30"/>
  <c r="F119" i="30"/>
  <c r="I118" i="30"/>
  <c r="H118" i="30"/>
  <c r="G118" i="30"/>
  <c r="F118" i="30"/>
  <c r="I117" i="30"/>
  <c r="H117" i="30"/>
  <c r="G117" i="30"/>
  <c r="F117" i="30"/>
  <c r="I116" i="30"/>
  <c r="H116" i="30"/>
  <c r="G116" i="30"/>
  <c r="F116" i="30"/>
  <c r="I115" i="30"/>
  <c r="H115" i="30"/>
  <c r="G115" i="30"/>
  <c r="F115" i="30"/>
  <c r="I114" i="30"/>
  <c r="H114" i="30"/>
  <c r="G114" i="30"/>
  <c r="F114" i="30"/>
  <c r="I113" i="30"/>
  <c r="H113" i="30"/>
  <c r="G113" i="30"/>
  <c r="F113" i="30"/>
  <c r="I112" i="30"/>
  <c r="H112" i="30"/>
  <c r="G112" i="30"/>
  <c r="F112" i="30"/>
  <c r="I111" i="30"/>
  <c r="H111" i="30"/>
  <c r="G111" i="30"/>
  <c r="F111" i="30"/>
  <c r="I110" i="30"/>
  <c r="H110" i="30"/>
  <c r="G110" i="30"/>
  <c r="F110" i="30"/>
  <c r="I109" i="30"/>
  <c r="H109" i="30"/>
  <c r="G109" i="30"/>
  <c r="F109" i="30"/>
  <c r="I108" i="30"/>
  <c r="H108" i="30"/>
  <c r="G108" i="30"/>
  <c r="F108" i="30"/>
  <c r="I107" i="30"/>
  <c r="H107" i="30"/>
  <c r="G107" i="30"/>
  <c r="F107" i="30"/>
  <c r="I106" i="30"/>
  <c r="H106" i="30"/>
  <c r="G106" i="30"/>
  <c r="F106" i="30"/>
  <c r="I105" i="30"/>
  <c r="H105" i="30"/>
  <c r="G105" i="30"/>
  <c r="F105" i="30"/>
  <c r="I104" i="30"/>
  <c r="H104" i="30"/>
  <c r="G104" i="30"/>
  <c r="F104" i="30"/>
  <c r="I103" i="30"/>
  <c r="H103" i="30"/>
  <c r="G103" i="30"/>
  <c r="F103" i="30"/>
  <c r="I102" i="30"/>
  <c r="H102" i="30"/>
  <c r="G102" i="30"/>
  <c r="F102" i="30"/>
  <c r="I101" i="30"/>
  <c r="H101" i="30"/>
  <c r="G101" i="30"/>
  <c r="F101" i="30"/>
  <c r="I100" i="30"/>
  <c r="H100" i="30"/>
  <c r="G100" i="30"/>
  <c r="F100" i="30"/>
  <c r="I99" i="30"/>
  <c r="H99" i="30"/>
  <c r="G99" i="30"/>
  <c r="F99" i="30"/>
  <c r="I98" i="30"/>
  <c r="H98" i="30"/>
  <c r="G98" i="30"/>
  <c r="F98" i="30"/>
  <c r="I97" i="30"/>
  <c r="H97" i="30"/>
  <c r="G97" i="30"/>
  <c r="F97" i="30"/>
  <c r="I96" i="30"/>
  <c r="H96" i="30"/>
  <c r="G96" i="30"/>
  <c r="F96" i="30"/>
  <c r="I95" i="30"/>
  <c r="H95" i="30"/>
  <c r="G95" i="30"/>
  <c r="F95" i="30"/>
  <c r="I94" i="30"/>
  <c r="H94" i="30"/>
  <c r="G94" i="30"/>
  <c r="F94" i="30"/>
  <c r="I93" i="30"/>
  <c r="H93" i="30"/>
  <c r="G93" i="30"/>
  <c r="F93" i="30"/>
  <c r="I92" i="30"/>
  <c r="H92" i="30"/>
  <c r="G92" i="30"/>
  <c r="F92" i="30"/>
  <c r="I91" i="30"/>
  <c r="H91" i="30"/>
  <c r="G91" i="30"/>
  <c r="F91" i="30"/>
  <c r="I90" i="30"/>
  <c r="H90" i="30"/>
  <c r="G90" i="30"/>
  <c r="F90" i="30"/>
  <c r="I89" i="30"/>
  <c r="H89" i="30"/>
  <c r="G89" i="30"/>
  <c r="F89" i="30"/>
  <c r="I88" i="30"/>
  <c r="H88" i="30"/>
  <c r="G88" i="30"/>
  <c r="F88" i="30"/>
  <c r="I87" i="30"/>
  <c r="H87" i="30"/>
  <c r="G87" i="30"/>
  <c r="F87" i="30"/>
  <c r="I86" i="30"/>
  <c r="H86" i="30"/>
  <c r="G86" i="30"/>
  <c r="F86" i="30"/>
  <c r="I85" i="30"/>
  <c r="H85" i="30"/>
  <c r="G85" i="30"/>
  <c r="F85" i="30"/>
  <c r="I84" i="30"/>
  <c r="H84" i="30"/>
  <c r="G84" i="30"/>
  <c r="F84" i="30"/>
  <c r="I83" i="30"/>
  <c r="H83" i="30"/>
  <c r="G83" i="30"/>
  <c r="F83" i="30"/>
  <c r="I82" i="30"/>
  <c r="H82" i="30"/>
  <c r="G82" i="30"/>
  <c r="F82" i="30"/>
  <c r="I81" i="30"/>
  <c r="H81" i="30"/>
  <c r="G81" i="30"/>
  <c r="F81" i="30"/>
  <c r="I80" i="30"/>
  <c r="H80" i="30"/>
  <c r="G80" i="30"/>
  <c r="F80" i="30"/>
  <c r="I79" i="30"/>
  <c r="H79" i="30"/>
  <c r="G79" i="30"/>
  <c r="F79" i="30"/>
  <c r="I78" i="30"/>
  <c r="H78" i="30"/>
  <c r="G78" i="30"/>
  <c r="F78" i="30"/>
  <c r="I77" i="30"/>
  <c r="H77" i="30"/>
  <c r="G77" i="30"/>
  <c r="F77" i="30"/>
  <c r="I76" i="30"/>
  <c r="H76" i="30"/>
  <c r="G76" i="30"/>
  <c r="F76" i="30"/>
  <c r="I75" i="30"/>
  <c r="H75" i="30"/>
  <c r="G75" i="30"/>
  <c r="F75" i="30"/>
  <c r="I74" i="30"/>
  <c r="H74" i="30"/>
  <c r="G74" i="30"/>
  <c r="F74" i="30"/>
  <c r="I73" i="30"/>
  <c r="H73" i="30"/>
  <c r="G73" i="30"/>
  <c r="F73" i="30"/>
  <c r="I72" i="30"/>
  <c r="H72" i="30"/>
  <c r="G72" i="30"/>
  <c r="F72" i="30"/>
  <c r="I71" i="30"/>
  <c r="H71" i="30"/>
  <c r="G71" i="30"/>
  <c r="F71" i="30"/>
  <c r="I70" i="30"/>
  <c r="H70" i="30"/>
  <c r="G70" i="30"/>
  <c r="F70" i="30"/>
  <c r="I69" i="30"/>
  <c r="H69" i="30"/>
  <c r="G69" i="30"/>
  <c r="F69" i="30"/>
  <c r="I68" i="30"/>
  <c r="H68" i="30"/>
  <c r="G68" i="30"/>
  <c r="F68" i="30"/>
  <c r="I67" i="30"/>
  <c r="H67" i="30"/>
  <c r="G67" i="30"/>
  <c r="F67" i="30"/>
  <c r="I66" i="30"/>
  <c r="H66" i="30"/>
  <c r="G66" i="30"/>
  <c r="F66" i="30"/>
  <c r="I65" i="30"/>
  <c r="H65" i="30"/>
  <c r="G65" i="30"/>
  <c r="F65" i="30"/>
  <c r="I64" i="30"/>
  <c r="H64" i="30"/>
  <c r="G64" i="30"/>
  <c r="F64" i="30"/>
  <c r="I63" i="30"/>
  <c r="H63" i="30"/>
  <c r="G63" i="30"/>
  <c r="F63" i="30"/>
  <c r="I62" i="30"/>
  <c r="H62" i="30"/>
  <c r="G62" i="30"/>
  <c r="F62" i="30"/>
  <c r="I61" i="30"/>
  <c r="H61" i="30"/>
  <c r="G61" i="30"/>
  <c r="F61" i="30"/>
  <c r="I60" i="30"/>
  <c r="H60" i="30"/>
  <c r="G60" i="30"/>
  <c r="F60" i="30"/>
  <c r="I59" i="30"/>
  <c r="H59" i="30"/>
  <c r="G59" i="30"/>
  <c r="F59" i="30"/>
  <c r="I58" i="30"/>
  <c r="H58" i="30"/>
  <c r="G58" i="30"/>
  <c r="F58" i="30"/>
  <c r="I57" i="30"/>
  <c r="H57" i="30"/>
  <c r="G57" i="30"/>
  <c r="F57" i="30"/>
  <c r="I56" i="30"/>
  <c r="H56" i="30"/>
  <c r="G56" i="30"/>
  <c r="F56" i="30"/>
  <c r="I55" i="30"/>
  <c r="H55" i="30"/>
  <c r="G55" i="30"/>
  <c r="F55" i="30"/>
  <c r="I54" i="30"/>
  <c r="H54" i="30"/>
  <c r="G54" i="30"/>
  <c r="F54" i="30"/>
  <c r="I53" i="30"/>
  <c r="H53" i="30"/>
  <c r="G53" i="30"/>
  <c r="F53" i="30"/>
  <c r="I52" i="30"/>
  <c r="H52" i="30"/>
  <c r="G52" i="30"/>
  <c r="F52" i="30"/>
  <c r="I51" i="30"/>
  <c r="H51" i="30"/>
  <c r="G51" i="30"/>
  <c r="F51" i="30"/>
  <c r="I50" i="30"/>
  <c r="H50" i="30"/>
  <c r="G50" i="30"/>
  <c r="F50" i="30"/>
  <c r="I49" i="30"/>
  <c r="H49" i="30"/>
  <c r="G49" i="30"/>
  <c r="F49" i="30"/>
  <c r="I48" i="30"/>
  <c r="H48" i="30"/>
  <c r="G48" i="30"/>
  <c r="F48" i="30"/>
  <c r="I47" i="30"/>
  <c r="H47" i="30"/>
  <c r="G47" i="30"/>
  <c r="F47" i="30"/>
  <c r="I46" i="30"/>
  <c r="H46" i="30"/>
  <c r="G46" i="30"/>
  <c r="F46" i="30"/>
  <c r="I45" i="30"/>
  <c r="H45" i="30"/>
  <c r="G45" i="30"/>
  <c r="F45" i="30"/>
  <c r="I44" i="30"/>
  <c r="H44" i="30"/>
  <c r="G44" i="30"/>
  <c r="F44" i="30"/>
  <c r="I43" i="30"/>
  <c r="H43" i="30"/>
  <c r="G43" i="30"/>
  <c r="F43" i="30"/>
  <c r="I42" i="30"/>
  <c r="H42" i="30"/>
  <c r="G42" i="30"/>
  <c r="F42" i="30"/>
  <c r="I41" i="30"/>
  <c r="H41" i="30"/>
  <c r="G41" i="30"/>
  <c r="F41" i="30"/>
  <c r="I40" i="30"/>
  <c r="H40" i="30"/>
  <c r="G40" i="30"/>
  <c r="F40" i="30"/>
  <c r="I39" i="30"/>
  <c r="H39" i="30"/>
  <c r="G39" i="30"/>
  <c r="F39" i="30"/>
  <c r="I38" i="30"/>
  <c r="H38" i="30"/>
  <c r="G38" i="30"/>
  <c r="F38" i="30"/>
  <c r="I37" i="30"/>
  <c r="H37" i="30"/>
  <c r="G37" i="30"/>
  <c r="F37" i="30"/>
  <c r="I36" i="30"/>
  <c r="H36" i="30"/>
  <c r="G36" i="30"/>
  <c r="F36" i="30"/>
  <c r="I35" i="30"/>
  <c r="H35" i="30"/>
  <c r="G35" i="30"/>
  <c r="F35" i="30"/>
  <c r="I34" i="30"/>
  <c r="H34" i="30"/>
  <c r="G34" i="30"/>
  <c r="F34" i="30"/>
  <c r="I33" i="30"/>
  <c r="H33" i="30"/>
  <c r="G33" i="30"/>
  <c r="F33" i="30"/>
  <c r="I32" i="30"/>
  <c r="H32" i="30"/>
  <c r="G32" i="30"/>
  <c r="F32" i="30"/>
  <c r="I31" i="30"/>
  <c r="H31" i="30"/>
  <c r="G31" i="30"/>
  <c r="F31" i="30"/>
  <c r="I30" i="30"/>
  <c r="H30" i="30"/>
  <c r="G30" i="30"/>
  <c r="F30" i="30"/>
  <c r="I29" i="30"/>
  <c r="H29" i="30"/>
  <c r="G29" i="30"/>
  <c r="F29" i="30"/>
  <c r="I28" i="30"/>
  <c r="H28" i="30"/>
  <c r="G28" i="30"/>
  <c r="F28" i="30"/>
  <c r="I27" i="30"/>
  <c r="H27" i="30"/>
  <c r="G27" i="30"/>
  <c r="F27" i="30"/>
  <c r="I26" i="30"/>
  <c r="H26" i="30"/>
  <c r="G26" i="30"/>
  <c r="F26" i="30"/>
  <c r="I25" i="30"/>
  <c r="H25" i="30"/>
  <c r="G25" i="30"/>
  <c r="F25" i="30"/>
  <c r="I24" i="30"/>
  <c r="H24" i="30"/>
  <c r="G24" i="30"/>
  <c r="F24" i="30"/>
  <c r="I23" i="30"/>
  <c r="H23" i="30"/>
  <c r="G23" i="30"/>
  <c r="F23" i="30"/>
  <c r="I22" i="30"/>
  <c r="H22" i="30"/>
  <c r="G22" i="30"/>
  <c r="F22" i="30"/>
  <c r="I21" i="30"/>
  <c r="H21" i="30"/>
  <c r="G21" i="30"/>
  <c r="F21" i="30"/>
  <c r="I20" i="30"/>
  <c r="H20" i="30"/>
  <c r="G20" i="30"/>
  <c r="F20" i="30"/>
  <c r="I19" i="30"/>
  <c r="H19" i="30"/>
  <c r="G19" i="30"/>
  <c r="F19" i="30"/>
  <c r="I18" i="30"/>
  <c r="H18" i="30"/>
  <c r="G18" i="30"/>
  <c r="F18" i="30"/>
  <c r="I17" i="30"/>
  <c r="H17" i="30"/>
  <c r="G17" i="30"/>
  <c r="F17" i="30"/>
  <c r="I16" i="30"/>
  <c r="H16" i="30"/>
  <c r="G16" i="30"/>
  <c r="F16" i="30"/>
  <c r="I15" i="30"/>
  <c r="H15" i="30"/>
  <c r="G15" i="30"/>
  <c r="F15" i="30"/>
  <c r="I14" i="30"/>
  <c r="H14" i="30"/>
  <c r="G14" i="30"/>
  <c r="F14" i="30"/>
  <c r="I13" i="30"/>
  <c r="H13" i="30"/>
  <c r="G13" i="30"/>
  <c r="F13" i="30"/>
  <c r="I12" i="30"/>
  <c r="H12" i="30"/>
  <c r="G12" i="30"/>
  <c r="F12" i="30"/>
  <c r="I658" i="26"/>
  <c r="H658" i="26"/>
  <c r="G658" i="26"/>
  <c r="F658" i="26"/>
  <c r="I657" i="26"/>
  <c r="H657" i="26"/>
  <c r="G657" i="26"/>
  <c r="F657" i="26"/>
  <c r="I656" i="26"/>
  <c r="H656" i="26"/>
  <c r="G656" i="26"/>
  <c r="F656" i="26"/>
  <c r="I655" i="26"/>
  <c r="H655" i="26"/>
  <c r="G655" i="26"/>
  <c r="F655" i="26"/>
  <c r="I654" i="26"/>
  <c r="H654" i="26"/>
  <c r="G654" i="26"/>
  <c r="F654" i="26"/>
  <c r="I653" i="26"/>
  <c r="H653" i="26"/>
  <c r="G653" i="26"/>
  <c r="F653" i="26"/>
  <c r="I652" i="26"/>
  <c r="H652" i="26"/>
  <c r="G652" i="26"/>
  <c r="F652" i="26"/>
  <c r="I651" i="26"/>
  <c r="H651" i="26"/>
  <c r="G651" i="26"/>
  <c r="F651" i="26"/>
  <c r="I650" i="26"/>
  <c r="H650" i="26"/>
  <c r="G650" i="26"/>
  <c r="F650" i="26"/>
  <c r="I649" i="26"/>
  <c r="H649" i="26"/>
  <c r="G649" i="26"/>
  <c r="F649" i="26"/>
  <c r="I648" i="26"/>
  <c r="H648" i="26"/>
  <c r="G648" i="26"/>
  <c r="F648" i="26"/>
  <c r="I647" i="26"/>
  <c r="H647" i="26"/>
  <c r="G647" i="26"/>
  <c r="F647" i="26"/>
  <c r="I646" i="26"/>
  <c r="H646" i="26"/>
  <c r="G646" i="26"/>
  <c r="F646" i="26"/>
  <c r="I645" i="26"/>
  <c r="H645" i="26"/>
  <c r="G645" i="26"/>
  <c r="F645" i="26"/>
  <c r="I644" i="26"/>
  <c r="H644" i="26"/>
  <c r="G644" i="26"/>
  <c r="F644" i="26"/>
  <c r="I643" i="26"/>
  <c r="H643" i="26"/>
  <c r="G643" i="26"/>
  <c r="F643" i="26"/>
  <c r="I642" i="26"/>
  <c r="H642" i="26"/>
  <c r="G642" i="26"/>
  <c r="F642" i="26"/>
  <c r="I641" i="26"/>
  <c r="H641" i="26"/>
  <c r="G641" i="26"/>
  <c r="F641" i="26"/>
  <c r="I640" i="26"/>
  <c r="H640" i="26"/>
  <c r="G640" i="26"/>
  <c r="F640" i="26"/>
  <c r="I639" i="26"/>
  <c r="H639" i="26"/>
  <c r="G639" i="26"/>
  <c r="F639" i="26"/>
  <c r="I638" i="26"/>
  <c r="H638" i="26"/>
  <c r="G638" i="26"/>
  <c r="F638" i="26"/>
  <c r="I637" i="26"/>
  <c r="H637" i="26"/>
  <c r="G637" i="26"/>
  <c r="F637" i="26"/>
  <c r="I636" i="26"/>
  <c r="H636" i="26"/>
  <c r="G636" i="26"/>
  <c r="F636" i="26"/>
  <c r="I635" i="26"/>
  <c r="H635" i="26"/>
  <c r="G635" i="26"/>
  <c r="F635" i="26"/>
  <c r="I634" i="26"/>
  <c r="H634" i="26"/>
  <c r="G634" i="26"/>
  <c r="F634" i="26"/>
  <c r="I633" i="26"/>
  <c r="H633" i="26"/>
  <c r="G633" i="26"/>
  <c r="F633" i="26"/>
  <c r="I632" i="26"/>
  <c r="H632" i="26"/>
  <c r="G632" i="26"/>
  <c r="F632" i="26"/>
  <c r="I631" i="26"/>
  <c r="H631" i="26"/>
  <c r="G631" i="26"/>
  <c r="F631" i="26"/>
  <c r="I630" i="26"/>
  <c r="H630" i="26"/>
  <c r="G630" i="26"/>
  <c r="F630" i="26"/>
  <c r="I629" i="26"/>
  <c r="H629" i="26"/>
  <c r="G629" i="26"/>
  <c r="F629" i="26"/>
  <c r="I628" i="26"/>
  <c r="H628" i="26"/>
  <c r="G628" i="26"/>
  <c r="F628" i="26"/>
  <c r="I627" i="26"/>
  <c r="H627" i="26"/>
  <c r="G627" i="26"/>
  <c r="F627" i="26"/>
  <c r="I626" i="26"/>
  <c r="H626" i="26"/>
  <c r="G626" i="26"/>
  <c r="F626" i="26"/>
  <c r="I625" i="26"/>
  <c r="H625" i="26"/>
  <c r="G625" i="26"/>
  <c r="F625" i="26"/>
  <c r="I624" i="26"/>
  <c r="H624" i="26"/>
  <c r="G624" i="26"/>
  <c r="F624" i="26"/>
  <c r="I623" i="26"/>
  <c r="H623" i="26"/>
  <c r="G623" i="26"/>
  <c r="F623" i="26"/>
  <c r="I622" i="26"/>
  <c r="H622" i="26"/>
  <c r="G622" i="26"/>
  <c r="F622" i="26"/>
  <c r="I621" i="26"/>
  <c r="H621" i="26"/>
  <c r="G621" i="26"/>
  <c r="F621" i="26"/>
  <c r="I620" i="26"/>
  <c r="H620" i="26"/>
  <c r="G620" i="26"/>
  <c r="F620" i="26"/>
  <c r="I619" i="26"/>
  <c r="H619" i="26"/>
  <c r="G619" i="26"/>
  <c r="F619" i="26"/>
  <c r="I618" i="26"/>
  <c r="H618" i="26"/>
  <c r="G618" i="26"/>
  <c r="F618" i="26"/>
  <c r="I617" i="26"/>
  <c r="H617" i="26"/>
  <c r="G617" i="26"/>
  <c r="F617" i="26"/>
  <c r="I616" i="26"/>
  <c r="H616" i="26"/>
  <c r="G616" i="26"/>
  <c r="F616" i="26"/>
  <c r="I615" i="26"/>
  <c r="H615" i="26"/>
  <c r="G615" i="26"/>
  <c r="F615" i="26"/>
  <c r="I614" i="26"/>
  <c r="H614" i="26"/>
  <c r="G614" i="26"/>
  <c r="F614" i="26"/>
  <c r="I613" i="26"/>
  <c r="H613" i="26"/>
  <c r="G613" i="26"/>
  <c r="F613" i="26"/>
  <c r="I612" i="26"/>
  <c r="H612" i="26"/>
  <c r="G612" i="26"/>
  <c r="F612" i="26"/>
  <c r="I611" i="26"/>
  <c r="H611" i="26"/>
  <c r="G611" i="26"/>
  <c r="F611" i="26"/>
  <c r="I610" i="26"/>
  <c r="H610" i="26"/>
  <c r="G610" i="26"/>
  <c r="F610" i="26"/>
  <c r="I609" i="26"/>
  <c r="H609" i="26"/>
  <c r="G609" i="26"/>
  <c r="F609" i="26"/>
  <c r="I608" i="26"/>
  <c r="H608" i="26"/>
  <c r="G608" i="26"/>
  <c r="F608" i="26"/>
  <c r="I607" i="26"/>
  <c r="H607" i="26"/>
  <c r="G607" i="26"/>
  <c r="F607" i="26"/>
  <c r="I606" i="26"/>
  <c r="H606" i="26"/>
  <c r="G606" i="26"/>
  <c r="F606" i="26"/>
  <c r="I605" i="26"/>
  <c r="H605" i="26"/>
  <c r="G605" i="26"/>
  <c r="F605" i="26"/>
  <c r="I604" i="26"/>
  <c r="H604" i="26"/>
  <c r="G604" i="26"/>
  <c r="F604" i="26"/>
  <c r="I603" i="26"/>
  <c r="H603" i="26"/>
  <c r="G603" i="26"/>
  <c r="F603" i="26"/>
  <c r="I602" i="26"/>
  <c r="H602" i="26"/>
  <c r="G602" i="26"/>
  <c r="F602" i="26"/>
  <c r="I601" i="26"/>
  <c r="H601" i="26"/>
  <c r="G601" i="26"/>
  <c r="F601" i="26"/>
  <c r="I600" i="26"/>
  <c r="H600" i="26"/>
  <c r="G600" i="26"/>
  <c r="F600" i="26"/>
  <c r="I599" i="26"/>
  <c r="H599" i="26"/>
  <c r="G599" i="26"/>
  <c r="F599" i="26"/>
  <c r="I598" i="26"/>
  <c r="H598" i="26"/>
  <c r="G598" i="26"/>
  <c r="F598" i="26"/>
  <c r="I597" i="26"/>
  <c r="H597" i="26"/>
  <c r="G597" i="26"/>
  <c r="F597" i="26"/>
  <c r="I596" i="26"/>
  <c r="H596" i="26"/>
  <c r="G596" i="26"/>
  <c r="F596" i="26"/>
  <c r="I595" i="26"/>
  <c r="H595" i="26"/>
  <c r="G595" i="26"/>
  <c r="F595" i="26"/>
  <c r="I594" i="26"/>
  <c r="H594" i="26"/>
  <c r="G594" i="26"/>
  <c r="F594" i="26"/>
  <c r="I593" i="26"/>
  <c r="H593" i="26"/>
  <c r="G593" i="26"/>
  <c r="F593" i="26"/>
  <c r="I592" i="26"/>
  <c r="H592" i="26"/>
  <c r="G592" i="26"/>
  <c r="F592" i="26"/>
  <c r="I591" i="26"/>
  <c r="H591" i="26"/>
  <c r="G591" i="26"/>
  <c r="F591" i="26"/>
  <c r="I590" i="26"/>
  <c r="H590" i="26"/>
  <c r="G590" i="26"/>
  <c r="F590" i="26"/>
  <c r="I589" i="26"/>
  <c r="H589" i="26"/>
  <c r="G589" i="26"/>
  <c r="F589" i="26"/>
  <c r="I588" i="26"/>
  <c r="H588" i="26"/>
  <c r="G588" i="26"/>
  <c r="F588" i="26"/>
  <c r="I587" i="26"/>
  <c r="H587" i="26"/>
  <c r="G587" i="26"/>
  <c r="F587" i="26"/>
  <c r="I586" i="26"/>
  <c r="H586" i="26"/>
  <c r="G586" i="26"/>
  <c r="F586" i="26"/>
  <c r="I585" i="26"/>
  <c r="H585" i="26"/>
  <c r="G585" i="26"/>
  <c r="F585" i="26"/>
  <c r="I584" i="26"/>
  <c r="H584" i="26"/>
  <c r="G584" i="26"/>
  <c r="F584" i="26"/>
  <c r="I583" i="26"/>
  <c r="H583" i="26"/>
  <c r="G583" i="26"/>
  <c r="F583" i="26"/>
  <c r="I582" i="26"/>
  <c r="H582" i="26"/>
  <c r="G582" i="26"/>
  <c r="F582" i="26"/>
  <c r="I581" i="26"/>
  <c r="H581" i="26"/>
  <c r="G581" i="26"/>
  <c r="F581" i="26"/>
  <c r="I580" i="26"/>
  <c r="H580" i="26"/>
  <c r="G580" i="26"/>
  <c r="F580" i="26"/>
  <c r="I579" i="26"/>
  <c r="H579" i="26"/>
  <c r="G579" i="26"/>
  <c r="F579" i="26"/>
  <c r="I578" i="26"/>
  <c r="H578" i="26"/>
  <c r="G578" i="26"/>
  <c r="F578" i="26"/>
  <c r="I577" i="26"/>
  <c r="H577" i="26"/>
  <c r="G577" i="26"/>
  <c r="F577" i="26"/>
  <c r="I576" i="26"/>
  <c r="H576" i="26"/>
  <c r="G576" i="26"/>
  <c r="F576" i="26"/>
  <c r="I575" i="26"/>
  <c r="H575" i="26"/>
  <c r="G575" i="26"/>
  <c r="F575" i="26"/>
  <c r="I574" i="26"/>
  <c r="H574" i="26"/>
  <c r="G574" i="26"/>
  <c r="F574" i="26"/>
  <c r="I573" i="26"/>
  <c r="H573" i="26"/>
  <c r="G573" i="26"/>
  <c r="F573" i="26"/>
  <c r="I572" i="26"/>
  <c r="H572" i="26"/>
  <c r="G572" i="26"/>
  <c r="F572" i="26"/>
  <c r="I571" i="26"/>
  <c r="H571" i="26"/>
  <c r="G571" i="26"/>
  <c r="F571" i="26"/>
  <c r="I570" i="26"/>
  <c r="H570" i="26"/>
  <c r="G570" i="26"/>
  <c r="F570" i="26"/>
  <c r="I569" i="26"/>
  <c r="H569" i="26"/>
  <c r="G569" i="26"/>
  <c r="F569" i="26"/>
  <c r="I568" i="26"/>
  <c r="H568" i="26"/>
  <c r="G568" i="26"/>
  <c r="F568" i="26"/>
  <c r="I567" i="26"/>
  <c r="H567" i="26"/>
  <c r="G567" i="26"/>
  <c r="F567" i="26"/>
  <c r="I566" i="26"/>
  <c r="H566" i="26"/>
  <c r="G566" i="26"/>
  <c r="F566" i="26"/>
  <c r="I565" i="26"/>
  <c r="H565" i="26"/>
  <c r="G565" i="26"/>
  <c r="F565" i="26"/>
  <c r="I564" i="26"/>
  <c r="H564" i="26"/>
  <c r="G564" i="26"/>
  <c r="F564" i="26"/>
  <c r="I563" i="26"/>
  <c r="H563" i="26"/>
  <c r="G563" i="26"/>
  <c r="F563" i="26"/>
  <c r="I562" i="26"/>
  <c r="H562" i="26"/>
  <c r="G562" i="26"/>
  <c r="F562" i="26"/>
  <c r="I561" i="26"/>
  <c r="H561" i="26"/>
  <c r="G561" i="26"/>
  <c r="F561" i="26"/>
  <c r="I560" i="26"/>
  <c r="H560" i="26"/>
  <c r="G560" i="26"/>
  <c r="F560" i="26"/>
  <c r="I559" i="26"/>
  <c r="H559" i="26"/>
  <c r="G559" i="26"/>
  <c r="F559" i="26"/>
  <c r="I558" i="26"/>
  <c r="H558" i="26"/>
  <c r="G558" i="26"/>
  <c r="F558" i="26"/>
  <c r="I557" i="26"/>
  <c r="H557" i="26"/>
  <c r="G557" i="26"/>
  <c r="F557" i="26"/>
  <c r="I556" i="26"/>
  <c r="H556" i="26"/>
  <c r="G556" i="26"/>
  <c r="F556" i="26"/>
  <c r="I555" i="26"/>
  <c r="H555" i="26"/>
  <c r="G555" i="26"/>
  <c r="F555" i="26"/>
  <c r="I554" i="26"/>
  <c r="H554" i="26"/>
  <c r="G554" i="26"/>
  <c r="F554" i="26"/>
  <c r="I553" i="26"/>
  <c r="H553" i="26"/>
  <c r="G553" i="26"/>
  <c r="F553" i="26"/>
  <c r="I552" i="26"/>
  <c r="H552" i="26"/>
  <c r="G552" i="26"/>
  <c r="F552" i="26"/>
  <c r="I551" i="26"/>
  <c r="H551" i="26"/>
  <c r="G551" i="26"/>
  <c r="F551" i="26"/>
  <c r="I550" i="26"/>
  <c r="H550" i="26"/>
  <c r="G550" i="26"/>
  <c r="F550" i="26"/>
  <c r="I549" i="26"/>
  <c r="H549" i="26"/>
  <c r="G549" i="26"/>
  <c r="F549" i="26"/>
  <c r="I548" i="26"/>
  <c r="H548" i="26"/>
  <c r="G548" i="26"/>
  <c r="F548" i="26"/>
  <c r="I547" i="26"/>
  <c r="H547" i="26"/>
  <c r="G547" i="26"/>
  <c r="F547" i="26"/>
  <c r="I546" i="26"/>
  <c r="H546" i="26"/>
  <c r="G546" i="26"/>
  <c r="F546" i="26"/>
  <c r="I545" i="26"/>
  <c r="H545" i="26"/>
  <c r="G545" i="26"/>
  <c r="F545" i="26"/>
  <c r="I544" i="26"/>
  <c r="H544" i="26"/>
  <c r="G544" i="26"/>
  <c r="F544" i="26"/>
  <c r="I543" i="26"/>
  <c r="H543" i="26"/>
  <c r="G543" i="26"/>
  <c r="F543" i="26"/>
  <c r="I542" i="26"/>
  <c r="H542" i="26"/>
  <c r="G542" i="26"/>
  <c r="F542" i="26"/>
  <c r="I541" i="26"/>
  <c r="H541" i="26"/>
  <c r="G541" i="26"/>
  <c r="F541" i="26"/>
  <c r="I540" i="26"/>
  <c r="H540" i="26"/>
  <c r="G540" i="26"/>
  <c r="F540" i="26"/>
  <c r="I539" i="26"/>
  <c r="H539" i="26"/>
  <c r="G539" i="26"/>
  <c r="F539" i="26"/>
  <c r="I538" i="26"/>
  <c r="H538" i="26"/>
  <c r="G538" i="26"/>
  <c r="F538" i="26"/>
  <c r="I537" i="26"/>
  <c r="H537" i="26"/>
  <c r="G537" i="26"/>
  <c r="F537" i="26"/>
  <c r="I536" i="26"/>
  <c r="H536" i="26"/>
  <c r="G536" i="26"/>
  <c r="F536" i="26"/>
  <c r="I535" i="26"/>
  <c r="H535" i="26"/>
  <c r="G535" i="26"/>
  <c r="F535" i="26"/>
  <c r="I534" i="26"/>
  <c r="H534" i="26"/>
  <c r="G534" i="26"/>
  <c r="F534" i="26"/>
  <c r="I533" i="26"/>
  <c r="H533" i="26"/>
  <c r="G533" i="26"/>
  <c r="F533" i="26"/>
  <c r="I532" i="26"/>
  <c r="H532" i="26"/>
  <c r="G532" i="26"/>
  <c r="F532" i="26"/>
  <c r="I531" i="26"/>
  <c r="H531" i="26"/>
  <c r="G531" i="26"/>
  <c r="F531" i="26"/>
  <c r="I530" i="26"/>
  <c r="H530" i="26"/>
  <c r="G530" i="26"/>
  <c r="F530" i="26"/>
  <c r="I529" i="26"/>
  <c r="H529" i="26"/>
  <c r="G529" i="26"/>
  <c r="F529" i="26"/>
  <c r="I528" i="26"/>
  <c r="H528" i="26"/>
  <c r="G528" i="26"/>
  <c r="F528" i="26"/>
  <c r="I527" i="26"/>
  <c r="H527" i="26"/>
  <c r="G527" i="26"/>
  <c r="F527" i="26"/>
  <c r="I526" i="26"/>
  <c r="H526" i="26"/>
  <c r="G526" i="26"/>
  <c r="F526" i="26"/>
  <c r="I525" i="26"/>
  <c r="H525" i="26"/>
  <c r="G525" i="26"/>
  <c r="F525" i="26"/>
  <c r="I524" i="26"/>
  <c r="H524" i="26"/>
  <c r="G524" i="26"/>
  <c r="F524" i="26"/>
  <c r="I523" i="26"/>
  <c r="H523" i="26"/>
  <c r="G523" i="26"/>
  <c r="F523" i="26"/>
  <c r="I522" i="26"/>
  <c r="H522" i="26"/>
  <c r="G522" i="26"/>
  <c r="F522" i="26"/>
  <c r="I521" i="26"/>
  <c r="H521" i="26"/>
  <c r="G521" i="26"/>
  <c r="F521" i="26"/>
  <c r="I520" i="26"/>
  <c r="H520" i="26"/>
  <c r="G520" i="26"/>
  <c r="F520" i="26"/>
  <c r="I519" i="26"/>
  <c r="H519" i="26"/>
  <c r="G519" i="26"/>
  <c r="F519" i="26"/>
  <c r="I518" i="26"/>
  <c r="H518" i="26"/>
  <c r="G518" i="26"/>
  <c r="F518" i="26"/>
  <c r="I517" i="26"/>
  <c r="H517" i="26"/>
  <c r="G517" i="26"/>
  <c r="F517" i="26"/>
  <c r="I516" i="26"/>
  <c r="H516" i="26"/>
  <c r="G516" i="26"/>
  <c r="F516" i="26"/>
  <c r="I515" i="26"/>
  <c r="H515" i="26"/>
  <c r="G515" i="26"/>
  <c r="F515" i="26"/>
  <c r="I514" i="26"/>
  <c r="H514" i="26"/>
  <c r="G514" i="26"/>
  <c r="F514" i="26"/>
  <c r="I513" i="26"/>
  <c r="H513" i="26"/>
  <c r="G513" i="26"/>
  <c r="F513" i="26"/>
  <c r="I512" i="26"/>
  <c r="H512" i="26"/>
  <c r="G512" i="26"/>
  <c r="F512" i="26"/>
  <c r="I511" i="26"/>
  <c r="H511" i="26"/>
  <c r="G511" i="26"/>
  <c r="F511" i="26"/>
  <c r="I510" i="26"/>
  <c r="H510" i="26"/>
  <c r="G510" i="26"/>
  <c r="F510" i="26"/>
  <c r="I509" i="26"/>
  <c r="H509" i="26"/>
  <c r="G509" i="26"/>
  <c r="F509" i="26"/>
  <c r="I508" i="26"/>
  <c r="H508" i="26"/>
  <c r="G508" i="26"/>
  <c r="F508" i="26"/>
  <c r="I507" i="26"/>
  <c r="H507" i="26"/>
  <c r="G507" i="26"/>
  <c r="F507" i="26"/>
  <c r="I506" i="26"/>
  <c r="H506" i="26"/>
  <c r="G506" i="26"/>
  <c r="F506" i="26"/>
  <c r="I505" i="26"/>
  <c r="H505" i="26"/>
  <c r="G505" i="26"/>
  <c r="F505" i="26"/>
  <c r="I504" i="26"/>
  <c r="H504" i="26"/>
  <c r="G504" i="26"/>
  <c r="F504" i="26"/>
  <c r="I503" i="26"/>
  <c r="H503" i="26"/>
  <c r="G503" i="26"/>
  <c r="F503" i="26"/>
  <c r="I502" i="26"/>
  <c r="H502" i="26"/>
  <c r="G502" i="26"/>
  <c r="F502" i="26"/>
  <c r="I501" i="26"/>
  <c r="H501" i="26"/>
  <c r="G501" i="26"/>
  <c r="F501" i="26"/>
  <c r="I500" i="26"/>
  <c r="H500" i="26"/>
  <c r="G500" i="26"/>
  <c r="F500" i="26"/>
  <c r="I499" i="26"/>
  <c r="H499" i="26"/>
  <c r="G499" i="26"/>
  <c r="F499" i="26"/>
  <c r="I498" i="26"/>
  <c r="H498" i="26"/>
  <c r="G498" i="26"/>
  <c r="F498" i="26"/>
  <c r="I497" i="26"/>
  <c r="H497" i="26"/>
  <c r="G497" i="26"/>
  <c r="F497" i="26"/>
  <c r="I496" i="26"/>
  <c r="H496" i="26"/>
  <c r="G496" i="26"/>
  <c r="F496" i="26"/>
  <c r="I495" i="26"/>
  <c r="H495" i="26"/>
  <c r="G495" i="26"/>
  <c r="F495" i="26"/>
  <c r="I494" i="26"/>
  <c r="H494" i="26"/>
  <c r="G494" i="26"/>
  <c r="F494" i="26"/>
  <c r="I493" i="26"/>
  <c r="H493" i="26"/>
  <c r="G493" i="26"/>
  <c r="F493" i="26"/>
  <c r="I492" i="26"/>
  <c r="H492" i="26"/>
  <c r="G492" i="26"/>
  <c r="F492" i="26"/>
  <c r="I491" i="26"/>
  <c r="H491" i="26"/>
  <c r="G491" i="26"/>
  <c r="F491" i="26"/>
  <c r="I490" i="26"/>
  <c r="H490" i="26"/>
  <c r="G490" i="26"/>
  <c r="F490" i="26"/>
  <c r="I489" i="26"/>
  <c r="H489" i="26"/>
  <c r="G489" i="26"/>
  <c r="F489" i="26"/>
  <c r="I488" i="26"/>
  <c r="H488" i="26"/>
  <c r="G488" i="26"/>
  <c r="F488" i="26"/>
  <c r="I487" i="26"/>
  <c r="H487" i="26"/>
  <c r="G487" i="26"/>
  <c r="F487" i="26"/>
  <c r="I486" i="26"/>
  <c r="H486" i="26"/>
  <c r="G486" i="26"/>
  <c r="F486" i="26"/>
  <c r="I485" i="26"/>
  <c r="H485" i="26"/>
  <c r="G485" i="26"/>
  <c r="F485" i="26"/>
  <c r="I484" i="26"/>
  <c r="H484" i="26"/>
  <c r="G484" i="26"/>
  <c r="F484" i="26"/>
  <c r="I483" i="26"/>
  <c r="H483" i="26"/>
  <c r="G483" i="26"/>
  <c r="F483" i="26"/>
  <c r="I482" i="26"/>
  <c r="H482" i="26"/>
  <c r="G482" i="26"/>
  <c r="F482" i="26"/>
  <c r="I481" i="26"/>
  <c r="H481" i="26"/>
  <c r="G481" i="26"/>
  <c r="F481" i="26"/>
  <c r="I480" i="26"/>
  <c r="H480" i="26"/>
  <c r="G480" i="26"/>
  <c r="F480" i="26"/>
  <c r="I479" i="26"/>
  <c r="H479" i="26"/>
  <c r="G479" i="26"/>
  <c r="F479" i="26"/>
  <c r="I478" i="26"/>
  <c r="H478" i="26"/>
  <c r="G478" i="26"/>
  <c r="F478" i="26"/>
  <c r="I477" i="26"/>
  <c r="H477" i="26"/>
  <c r="G477" i="26"/>
  <c r="F477" i="26"/>
  <c r="I476" i="26"/>
  <c r="H476" i="26"/>
  <c r="G476" i="26"/>
  <c r="F476" i="26"/>
  <c r="I475" i="26"/>
  <c r="H475" i="26"/>
  <c r="G475" i="26"/>
  <c r="F475" i="26"/>
  <c r="I474" i="26"/>
  <c r="H474" i="26"/>
  <c r="G474" i="26"/>
  <c r="F474" i="26"/>
  <c r="I473" i="26"/>
  <c r="H473" i="26"/>
  <c r="G473" i="26"/>
  <c r="F473" i="26"/>
  <c r="I472" i="26"/>
  <c r="H472" i="26"/>
  <c r="G472" i="26"/>
  <c r="F472" i="26"/>
  <c r="I471" i="26"/>
  <c r="H471" i="26"/>
  <c r="G471" i="26"/>
  <c r="F471" i="26"/>
  <c r="I470" i="26"/>
  <c r="H470" i="26"/>
  <c r="G470" i="26"/>
  <c r="F470" i="26"/>
  <c r="I469" i="26"/>
  <c r="H469" i="26"/>
  <c r="G469" i="26"/>
  <c r="F469" i="26"/>
  <c r="I468" i="26"/>
  <c r="H468" i="26"/>
  <c r="G468" i="26"/>
  <c r="F468" i="26"/>
  <c r="I467" i="26"/>
  <c r="H467" i="26"/>
  <c r="G467" i="26"/>
  <c r="F467" i="26"/>
  <c r="I466" i="26"/>
  <c r="H466" i="26"/>
  <c r="G466" i="26"/>
  <c r="F466" i="26"/>
  <c r="I465" i="26"/>
  <c r="H465" i="26"/>
  <c r="G465" i="26"/>
  <c r="F465" i="26"/>
  <c r="I464" i="26"/>
  <c r="H464" i="26"/>
  <c r="G464" i="26"/>
  <c r="F464" i="26"/>
  <c r="I463" i="26"/>
  <c r="H463" i="26"/>
  <c r="G463" i="26"/>
  <c r="F463" i="26"/>
  <c r="I462" i="26"/>
  <c r="H462" i="26"/>
  <c r="G462" i="26"/>
  <c r="F462" i="26"/>
  <c r="I461" i="26"/>
  <c r="H461" i="26"/>
  <c r="G461" i="26"/>
  <c r="F461" i="26"/>
  <c r="I460" i="26"/>
  <c r="H460" i="26"/>
  <c r="G460" i="26"/>
  <c r="F460" i="26"/>
  <c r="I459" i="26"/>
  <c r="H459" i="26"/>
  <c r="G459" i="26"/>
  <c r="F459" i="26"/>
  <c r="I458" i="26"/>
  <c r="H458" i="26"/>
  <c r="G458" i="26"/>
  <c r="F458" i="26"/>
  <c r="I457" i="26"/>
  <c r="H457" i="26"/>
  <c r="G457" i="26"/>
  <c r="F457" i="26"/>
  <c r="I456" i="26"/>
  <c r="H456" i="26"/>
  <c r="G456" i="26"/>
  <c r="F456" i="26"/>
  <c r="I455" i="26"/>
  <c r="H455" i="26"/>
  <c r="G455" i="26"/>
  <c r="F455" i="26"/>
  <c r="I454" i="26"/>
  <c r="H454" i="26"/>
  <c r="G454" i="26"/>
  <c r="F454" i="26"/>
  <c r="I453" i="26"/>
  <c r="H453" i="26"/>
  <c r="G453" i="26"/>
  <c r="F453" i="26"/>
  <c r="I452" i="26"/>
  <c r="H452" i="26"/>
  <c r="G452" i="26"/>
  <c r="F452" i="26"/>
  <c r="I451" i="26"/>
  <c r="H451" i="26"/>
  <c r="G451" i="26"/>
  <c r="F451" i="26"/>
  <c r="I450" i="26"/>
  <c r="H450" i="26"/>
  <c r="G450" i="26"/>
  <c r="F450" i="26"/>
  <c r="I449" i="26"/>
  <c r="H449" i="26"/>
  <c r="G449" i="26"/>
  <c r="F449" i="26"/>
  <c r="I448" i="26"/>
  <c r="H448" i="26"/>
  <c r="G448" i="26"/>
  <c r="F448" i="26"/>
  <c r="I447" i="26"/>
  <c r="H447" i="26"/>
  <c r="G447" i="26"/>
  <c r="F447" i="26"/>
  <c r="I446" i="26"/>
  <c r="H446" i="26"/>
  <c r="G446" i="26"/>
  <c r="F446" i="26"/>
  <c r="I445" i="26"/>
  <c r="H445" i="26"/>
  <c r="G445" i="26"/>
  <c r="F445" i="26"/>
  <c r="I444" i="26"/>
  <c r="H444" i="26"/>
  <c r="G444" i="26"/>
  <c r="F444" i="26"/>
  <c r="I443" i="26"/>
  <c r="H443" i="26"/>
  <c r="G443" i="26"/>
  <c r="F443" i="26"/>
  <c r="I442" i="26"/>
  <c r="H442" i="26"/>
  <c r="G442" i="26"/>
  <c r="F442" i="26"/>
  <c r="I441" i="26"/>
  <c r="H441" i="26"/>
  <c r="G441" i="26"/>
  <c r="F441" i="26"/>
  <c r="I440" i="26"/>
  <c r="H440" i="26"/>
  <c r="G440" i="26"/>
  <c r="F440" i="26"/>
  <c r="I439" i="26"/>
  <c r="H439" i="26"/>
  <c r="G439" i="26"/>
  <c r="F439" i="26"/>
  <c r="I438" i="26"/>
  <c r="H438" i="26"/>
  <c r="G438" i="26"/>
  <c r="F438" i="26"/>
  <c r="I437" i="26"/>
  <c r="H437" i="26"/>
  <c r="G437" i="26"/>
  <c r="F437" i="26"/>
  <c r="I436" i="26"/>
  <c r="H436" i="26"/>
  <c r="G436" i="26"/>
  <c r="F436" i="26"/>
  <c r="I435" i="26"/>
  <c r="H435" i="26"/>
  <c r="G435" i="26"/>
  <c r="F435" i="26"/>
  <c r="I434" i="26"/>
  <c r="H434" i="26"/>
  <c r="G434" i="26"/>
  <c r="F434" i="26"/>
  <c r="I433" i="26"/>
  <c r="H433" i="26"/>
  <c r="G433" i="26"/>
  <c r="F433" i="26"/>
  <c r="I432" i="26"/>
  <c r="H432" i="26"/>
  <c r="G432" i="26"/>
  <c r="F432" i="26"/>
  <c r="I431" i="26"/>
  <c r="H431" i="26"/>
  <c r="G431" i="26"/>
  <c r="F431" i="26"/>
  <c r="I430" i="26"/>
  <c r="H430" i="26"/>
  <c r="G430" i="26"/>
  <c r="F430" i="26"/>
  <c r="I429" i="26"/>
  <c r="H429" i="26"/>
  <c r="G429" i="26"/>
  <c r="F429" i="26"/>
  <c r="I428" i="26"/>
  <c r="H428" i="26"/>
  <c r="G428" i="26"/>
  <c r="F428" i="26"/>
  <c r="I427" i="26"/>
  <c r="H427" i="26"/>
  <c r="G427" i="26"/>
  <c r="F427" i="26"/>
  <c r="I426" i="26"/>
  <c r="H426" i="26"/>
  <c r="G426" i="26"/>
  <c r="F426" i="26"/>
  <c r="I425" i="26"/>
  <c r="H425" i="26"/>
  <c r="G425" i="26"/>
  <c r="F425" i="26"/>
  <c r="I424" i="26"/>
  <c r="H424" i="26"/>
  <c r="G424" i="26"/>
  <c r="F424" i="26"/>
  <c r="I423" i="26"/>
  <c r="H423" i="26"/>
  <c r="G423" i="26"/>
  <c r="F423" i="26"/>
  <c r="I422" i="26"/>
  <c r="H422" i="26"/>
  <c r="G422" i="26"/>
  <c r="F422" i="26"/>
  <c r="I421" i="26"/>
  <c r="H421" i="26"/>
  <c r="G421" i="26"/>
  <c r="F421" i="26"/>
  <c r="I420" i="26"/>
  <c r="H420" i="26"/>
  <c r="G420" i="26"/>
  <c r="F420" i="26"/>
  <c r="I419" i="26"/>
  <c r="H419" i="26"/>
  <c r="G419" i="26"/>
  <c r="F419" i="26"/>
  <c r="I418" i="26"/>
  <c r="H418" i="26"/>
  <c r="G418" i="26"/>
  <c r="F418" i="26"/>
  <c r="I417" i="26"/>
  <c r="H417" i="26"/>
  <c r="G417" i="26"/>
  <c r="F417" i="26"/>
  <c r="I416" i="26"/>
  <c r="H416" i="26"/>
  <c r="G416" i="26"/>
  <c r="F416" i="26"/>
  <c r="I415" i="26"/>
  <c r="H415" i="26"/>
  <c r="G415" i="26"/>
  <c r="F415" i="26"/>
  <c r="I414" i="26"/>
  <c r="H414" i="26"/>
  <c r="G414" i="26"/>
  <c r="F414" i="26"/>
  <c r="I413" i="26"/>
  <c r="H413" i="26"/>
  <c r="G413" i="26"/>
  <c r="F413" i="26"/>
  <c r="I412" i="26"/>
  <c r="H412" i="26"/>
  <c r="G412" i="26"/>
  <c r="F412" i="26"/>
  <c r="I411" i="26"/>
  <c r="H411" i="26"/>
  <c r="G411" i="26"/>
  <c r="F411" i="26"/>
  <c r="I410" i="26"/>
  <c r="H410" i="26"/>
  <c r="G410" i="26"/>
  <c r="F410" i="26"/>
  <c r="I409" i="26"/>
  <c r="H409" i="26"/>
  <c r="G409" i="26"/>
  <c r="F409" i="26"/>
  <c r="I408" i="26"/>
  <c r="H408" i="26"/>
  <c r="G408" i="26"/>
  <c r="F408" i="26"/>
  <c r="I407" i="26"/>
  <c r="H407" i="26"/>
  <c r="G407" i="26"/>
  <c r="F407" i="26"/>
  <c r="I406" i="26"/>
  <c r="H406" i="26"/>
  <c r="G406" i="26"/>
  <c r="F406" i="26"/>
  <c r="I405" i="26"/>
  <c r="H405" i="26"/>
  <c r="G405" i="26"/>
  <c r="F405" i="26"/>
  <c r="I404" i="26"/>
  <c r="H404" i="26"/>
  <c r="G404" i="26"/>
  <c r="F404" i="26"/>
  <c r="I403" i="26"/>
  <c r="H403" i="26"/>
  <c r="G403" i="26"/>
  <c r="F403" i="26"/>
  <c r="I402" i="26"/>
  <c r="H402" i="26"/>
  <c r="G402" i="26"/>
  <c r="F402" i="26"/>
  <c r="I401" i="26"/>
  <c r="H401" i="26"/>
  <c r="G401" i="26"/>
  <c r="F401" i="26"/>
  <c r="I400" i="26"/>
  <c r="H400" i="26"/>
  <c r="G400" i="26"/>
  <c r="F400" i="26"/>
  <c r="I399" i="26"/>
  <c r="H399" i="26"/>
  <c r="G399" i="26"/>
  <c r="F399" i="26"/>
  <c r="I398" i="26"/>
  <c r="H398" i="26"/>
  <c r="G398" i="26"/>
  <c r="F398" i="26"/>
  <c r="I397" i="26"/>
  <c r="H397" i="26"/>
  <c r="G397" i="26"/>
  <c r="F397" i="26"/>
  <c r="I396" i="26"/>
  <c r="H396" i="26"/>
  <c r="G396" i="26"/>
  <c r="F396" i="26"/>
  <c r="I395" i="26"/>
  <c r="H395" i="26"/>
  <c r="G395" i="26"/>
  <c r="F395" i="26"/>
  <c r="I394" i="26"/>
  <c r="H394" i="26"/>
  <c r="G394" i="26"/>
  <c r="F394" i="26"/>
  <c r="I393" i="26"/>
  <c r="H393" i="26"/>
  <c r="G393" i="26"/>
  <c r="F393" i="26"/>
  <c r="I392" i="26"/>
  <c r="H392" i="26"/>
  <c r="G392" i="26"/>
  <c r="F392" i="26"/>
  <c r="I391" i="26"/>
  <c r="H391" i="26"/>
  <c r="G391" i="26"/>
  <c r="F391" i="26"/>
  <c r="I390" i="26"/>
  <c r="H390" i="26"/>
  <c r="G390" i="26"/>
  <c r="F390" i="26"/>
  <c r="I389" i="26"/>
  <c r="H389" i="26"/>
  <c r="G389" i="26"/>
  <c r="F389" i="26"/>
  <c r="I388" i="26"/>
  <c r="H388" i="26"/>
  <c r="G388" i="26"/>
  <c r="F388" i="26"/>
  <c r="I387" i="26"/>
  <c r="H387" i="26"/>
  <c r="G387" i="26"/>
  <c r="F387" i="26"/>
  <c r="I386" i="26"/>
  <c r="H386" i="26"/>
  <c r="G386" i="26"/>
  <c r="F386" i="26"/>
  <c r="I385" i="26"/>
  <c r="H385" i="26"/>
  <c r="G385" i="26"/>
  <c r="F385" i="26"/>
  <c r="I384" i="26"/>
  <c r="H384" i="26"/>
  <c r="G384" i="26"/>
  <c r="F384" i="26"/>
  <c r="I383" i="26"/>
  <c r="H383" i="26"/>
  <c r="G383" i="26"/>
  <c r="F383" i="26"/>
  <c r="I382" i="26"/>
  <c r="H382" i="26"/>
  <c r="G382" i="26"/>
  <c r="F382" i="26"/>
  <c r="I381" i="26"/>
  <c r="H381" i="26"/>
  <c r="G381" i="26"/>
  <c r="F381" i="26"/>
  <c r="I380" i="26"/>
  <c r="H380" i="26"/>
  <c r="G380" i="26"/>
  <c r="F380" i="26"/>
  <c r="I379" i="26"/>
  <c r="H379" i="26"/>
  <c r="G379" i="26"/>
  <c r="F379" i="26"/>
  <c r="I378" i="26"/>
  <c r="H378" i="26"/>
  <c r="G378" i="26"/>
  <c r="F378" i="26"/>
  <c r="I377" i="26"/>
  <c r="H377" i="26"/>
  <c r="G377" i="26"/>
  <c r="F377" i="26"/>
  <c r="I376" i="26"/>
  <c r="H376" i="26"/>
  <c r="G376" i="26"/>
  <c r="F376" i="26"/>
  <c r="I375" i="26"/>
  <c r="H375" i="26"/>
  <c r="G375" i="26"/>
  <c r="F375" i="26"/>
  <c r="I374" i="26"/>
  <c r="H374" i="26"/>
  <c r="G374" i="26"/>
  <c r="F374" i="26"/>
  <c r="I373" i="26"/>
  <c r="H373" i="26"/>
  <c r="G373" i="26"/>
  <c r="F373" i="26"/>
  <c r="I372" i="26"/>
  <c r="H372" i="26"/>
  <c r="G372" i="26"/>
  <c r="F372" i="26"/>
  <c r="I371" i="26"/>
  <c r="H371" i="26"/>
  <c r="G371" i="26"/>
  <c r="F371" i="26"/>
  <c r="I370" i="26"/>
  <c r="H370" i="26"/>
  <c r="G370" i="26"/>
  <c r="F370" i="26"/>
  <c r="I369" i="26"/>
  <c r="H369" i="26"/>
  <c r="G369" i="26"/>
  <c r="F369" i="26"/>
  <c r="I368" i="26"/>
  <c r="H368" i="26"/>
  <c r="G368" i="26"/>
  <c r="F368" i="26"/>
  <c r="I367" i="26"/>
  <c r="H367" i="26"/>
  <c r="G367" i="26"/>
  <c r="F367" i="26"/>
  <c r="I366" i="26"/>
  <c r="H366" i="26"/>
  <c r="G366" i="26"/>
  <c r="F366" i="26"/>
  <c r="I365" i="26"/>
  <c r="H365" i="26"/>
  <c r="G365" i="26"/>
  <c r="F365" i="26"/>
  <c r="I364" i="26"/>
  <c r="H364" i="26"/>
  <c r="G364" i="26"/>
  <c r="F364" i="26"/>
  <c r="I363" i="26"/>
  <c r="H363" i="26"/>
  <c r="G363" i="26"/>
  <c r="F363" i="26"/>
  <c r="I362" i="26"/>
  <c r="H362" i="26"/>
  <c r="G362" i="26"/>
  <c r="F362" i="26"/>
  <c r="I361" i="26"/>
  <c r="H361" i="26"/>
  <c r="G361" i="26"/>
  <c r="F361" i="26"/>
  <c r="I360" i="26"/>
  <c r="H360" i="26"/>
  <c r="G360" i="26"/>
  <c r="F360" i="26"/>
  <c r="I359" i="26"/>
  <c r="H359" i="26"/>
  <c r="G359" i="26"/>
  <c r="F359" i="26"/>
  <c r="I358" i="26"/>
  <c r="H358" i="26"/>
  <c r="G358" i="26"/>
  <c r="F358" i="26"/>
  <c r="I357" i="26"/>
  <c r="H357" i="26"/>
  <c r="G357" i="26"/>
  <c r="F357" i="26"/>
  <c r="I356" i="26"/>
  <c r="H356" i="26"/>
  <c r="G356" i="26"/>
  <c r="F356" i="26"/>
  <c r="I355" i="26"/>
  <c r="H355" i="26"/>
  <c r="G355" i="26"/>
  <c r="F355" i="26"/>
  <c r="I354" i="26"/>
  <c r="H354" i="26"/>
  <c r="G354" i="26"/>
  <c r="F354" i="26"/>
  <c r="I353" i="26"/>
  <c r="H353" i="26"/>
  <c r="G353" i="26"/>
  <c r="F353" i="26"/>
  <c r="I352" i="26"/>
  <c r="H352" i="26"/>
  <c r="G352" i="26"/>
  <c r="F352" i="26"/>
  <c r="I351" i="26"/>
  <c r="H351" i="26"/>
  <c r="G351" i="26"/>
  <c r="F351" i="26"/>
  <c r="I350" i="26"/>
  <c r="H350" i="26"/>
  <c r="G350" i="26"/>
  <c r="F350" i="26"/>
  <c r="I349" i="26"/>
  <c r="H349" i="26"/>
  <c r="G349" i="26"/>
  <c r="F349" i="26"/>
  <c r="I348" i="26"/>
  <c r="H348" i="26"/>
  <c r="G348" i="26"/>
  <c r="F348" i="26"/>
  <c r="I347" i="26"/>
  <c r="H347" i="26"/>
  <c r="G347" i="26"/>
  <c r="F347" i="26"/>
  <c r="I346" i="26"/>
  <c r="H346" i="26"/>
  <c r="G346" i="26"/>
  <c r="F346" i="26"/>
  <c r="I345" i="26"/>
  <c r="H345" i="26"/>
  <c r="G345" i="26"/>
  <c r="F345" i="26"/>
  <c r="I344" i="26"/>
  <c r="H344" i="26"/>
  <c r="G344" i="26"/>
  <c r="F344" i="26"/>
  <c r="I343" i="26"/>
  <c r="H343" i="26"/>
  <c r="G343" i="26"/>
  <c r="F343" i="26"/>
  <c r="I342" i="26"/>
  <c r="H342" i="26"/>
  <c r="G342" i="26"/>
  <c r="F342" i="26"/>
  <c r="I341" i="26"/>
  <c r="H341" i="26"/>
  <c r="G341" i="26"/>
  <c r="F341" i="26"/>
  <c r="I340" i="26"/>
  <c r="H340" i="26"/>
  <c r="G340" i="26"/>
  <c r="F340" i="26"/>
  <c r="I339" i="26"/>
  <c r="H339" i="26"/>
  <c r="G339" i="26"/>
  <c r="F339" i="26"/>
  <c r="I338" i="26"/>
  <c r="H338" i="26"/>
  <c r="G338" i="26"/>
  <c r="F338" i="26"/>
  <c r="I337" i="26"/>
  <c r="H337" i="26"/>
  <c r="G337" i="26"/>
  <c r="F337" i="26"/>
  <c r="I336" i="26"/>
  <c r="H336" i="26"/>
  <c r="G336" i="26"/>
  <c r="F336" i="26"/>
  <c r="I335" i="26"/>
  <c r="H335" i="26"/>
  <c r="G335" i="26"/>
  <c r="F335" i="26"/>
  <c r="I334" i="26"/>
  <c r="H334" i="26"/>
  <c r="G334" i="26"/>
  <c r="F334" i="26"/>
  <c r="I333" i="26"/>
  <c r="H333" i="26"/>
  <c r="G333" i="26"/>
  <c r="F333" i="26"/>
  <c r="I332" i="26"/>
  <c r="H332" i="26"/>
  <c r="G332" i="26"/>
  <c r="F332" i="26"/>
  <c r="I331" i="26"/>
  <c r="H331" i="26"/>
  <c r="G331" i="26"/>
  <c r="F331" i="26"/>
  <c r="I330" i="26"/>
  <c r="H330" i="26"/>
  <c r="G330" i="26"/>
  <c r="F330" i="26"/>
  <c r="I329" i="26"/>
  <c r="H329" i="26"/>
  <c r="G329" i="26"/>
  <c r="F329" i="26"/>
  <c r="I328" i="26"/>
  <c r="H328" i="26"/>
  <c r="G328" i="26"/>
  <c r="F328" i="26"/>
  <c r="I327" i="26"/>
  <c r="H327" i="26"/>
  <c r="G327" i="26"/>
  <c r="F327" i="26"/>
  <c r="I326" i="26"/>
  <c r="H326" i="26"/>
  <c r="G326" i="26"/>
  <c r="F326" i="26"/>
  <c r="I325" i="26"/>
  <c r="H325" i="26"/>
  <c r="G325" i="26"/>
  <c r="F325" i="26"/>
  <c r="I324" i="26"/>
  <c r="H324" i="26"/>
  <c r="G324" i="26"/>
  <c r="F324" i="26"/>
  <c r="I323" i="26"/>
  <c r="H323" i="26"/>
  <c r="G323" i="26"/>
  <c r="F323" i="26"/>
  <c r="I322" i="26"/>
  <c r="H322" i="26"/>
  <c r="G322" i="26"/>
  <c r="F322" i="26"/>
  <c r="I321" i="26"/>
  <c r="H321" i="26"/>
  <c r="G321" i="26"/>
  <c r="F321" i="26"/>
  <c r="I320" i="26"/>
  <c r="H320" i="26"/>
  <c r="G320" i="26"/>
  <c r="F320" i="26"/>
  <c r="I319" i="26"/>
  <c r="H319" i="26"/>
  <c r="G319" i="26"/>
  <c r="F319" i="26"/>
  <c r="I318" i="26"/>
  <c r="H318" i="26"/>
  <c r="G318" i="26"/>
  <c r="F318" i="26"/>
  <c r="I317" i="26"/>
  <c r="H317" i="26"/>
  <c r="G317" i="26"/>
  <c r="F317" i="26"/>
  <c r="I316" i="26"/>
  <c r="H316" i="26"/>
  <c r="G316" i="26"/>
  <c r="F316" i="26"/>
  <c r="I315" i="26"/>
  <c r="H315" i="26"/>
  <c r="G315" i="26"/>
  <c r="F315" i="26"/>
  <c r="I314" i="26"/>
  <c r="H314" i="26"/>
  <c r="G314" i="26"/>
  <c r="F314" i="26"/>
  <c r="I313" i="26"/>
  <c r="H313" i="26"/>
  <c r="G313" i="26"/>
  <c r="F313" i="26"/>
  <c r="I312" i="26"/>
  <c r="H312" i="26"/>
  <c r="G312" i="26"/>
  <c r="F312" i="26"/>
  <c r="I311" i="26"/>
  <c r="H311" i="26"/>
  <c r="G311" i="26"/>
  <c r="F311" i="26"/>
  <c r="I310" i="26"/>
  <c r="H310" i="26"/>
  <c r="G310" i="26"/>
  <c r="F310" i="26"/>
  <c r="I309" i="26"/>
  <c r="H309" i="26"/>
  <c r="G309" i="26"/>
  <c r="F309" i="26"/>
  <c r="I308" i="26"/>
  <c r="H308" i="26"/>
  <c r="G308" i="26"/>
  <c r="F308" i="26"/>
  <c r="I307" i="26"/>
  <c r="H307" i="26"/>
  <c r="G307" i="26"/>
  <c r="F307" i="26"/>
  <c r="I306" i="26"/>
  <c r="H306" i="26"/>
  <c r="G306" i="26"/>
  <c r="F306" i="26"/>
  <c r="I305" i="26"/>
  <c r="H305" i="26"/>
  <c r="G305" i="26"/>
  <c r="F305" i="26"/>
  <c r="I304" i="26"/>
  <c r="H304" i="26"/>
  <c r="G304" i="26"/>
  <c r="F304" i="26"/>
  <c r="I303" i="26"/>
  <c r="H303" i="26"/>
  <c r="G303" i="26"/>
  <c r="F303" i="26"/>
  <c r="I302" i="26"/>
  <c r="H302" i="26"/>
  <c r="G302" i="26"/>
  <c r="F302" i="26"/>
  <c r="I301" i="26"/>
  <c r="H301" i="26"/>
  <c r="G301" i="26"/>
  <c r="F301" i="26"/>
  <c r="I300" i="26"/>
  <c r="H300" i="26"/>
  <c r="G300" i="26"/>
  <c r="F300" i="26"/>
  <c r="I299" i="26"/>
  <c r="H299" i="26"/>
  <c r="G299" i="26"/>
  <c r="F299" i="26"/>
  <c r="I298" i="26"/>
  <c r="H298" i="26"/>
  <c r="G298" i="26"/>
  <c r="F298" i="26"/>
  <c r="I297" i="26"/>
  <c r="H297" i="26"/>
  <c r="G297" i="26"/>
  <c r="F297" i="26"/>
  <c r="I296" i="26"/>
  <c r="H296" i="26"/>
  <c r="G296" i="26"/>
  <c r="F296" i="26"/>
  <c r="I295" i="26"/>
  <c r="H295" i="26"/>
  <c r="G295" i="26"/>
  <c r="F295" i="26"/>
  <c r="I294" i="26"/>
  <c r="H294" i="26"/>
  <c r="G294" i="26"/>
  <c r="F294" i="26"/>
  <c r="I293" i="26"/>
  <c r="H293" i="26"/>
  <c r="G293" i="26"/>
  <c r="F293" i="26"/>
  <c r="I292" i="26"/>
  <c r="H292" i="26"/>
  <c r="G292" i="26"/>
  <c r="F292" i="26"/>
  <c r="I291" i="26"/>
  <c r="H291" i="26"/>
  <c r="G291" i="26"/>
  <c r="F291" i="26"/>
  <c r="I290" i="26"/>
  <c r="H290" i="26"/>
  <c r="G290" i="26"/>
  <c r="F290" i="26"/>
  <c r="I289" i="26"/>
  <c r="H289" i="26"/>
  <c r="G289" i="26"/>
  <c r="F289" i="26"/>
  <c r="I288" i="26"/>
  <c r="H288" i="26"/>
  <c r="G288" i="26"/>
  <c r="F288" i="26"/>
  <c r="I287" i="26"/>
  <c r="H287" i="26"/>
  <c r="G287" i="26"/>
  <c r="F287" i="26"/>
  <c r="I286" i="26"/>
  <c r="H286" i="26"/>
  <c r="G286" i="26"/>
  <c r="F286" i="26"/>
  <c r="I285" i="26"/>
  <c r="H285" i="26"/>
  <c r="G285" i="26"/>
  <c r="F285" i="26"/>
  <c r="I284" i="26"/>
  <c r="H284" i="26"/>
  <c r="G284" i="26"/>
  <c r="F284" i="26"/>
  <c r="I283" i="26"/>
  <c r="H283" i="26"/>
  <c r="G283" i="26"/>
  <c r="F283" i="26"/>
  <c r="I282" i="26"/>
  <c r="H282" i="26"/>
  <c r="G282" i="26"/>
  <c r="F282" i="26"/>
  <c r="I281" i="26"/>
  <c r="H281" i="26"/>
  <c r="G281" i="26"/>
  <c r="F281" i="26"/>
  <c r="I280" i="26"/>
  <c r="H280" i="26"/>
  <c r="G280" i="26"/>
  <c r="F280" i="26"/>
  <c r="I279" i="26"/>
  <c r="H279" i="26"/>
  <c r="G279" i="26"/>
  <c r="F279" i="26"/>
  <c r="I278" i="26"/>
  <c r="H278" i="26"/>
  <c r="G278" i="26"/>
  <c r="F278" i="26"/>
  <c r="I277" i="26"/>
  <c r="H277" i="26"/>
  <c r="G277" i="26"/>
  <c r="F277" i="26"/>
  <c r="I276" i="26"/>
  <c r="H276" i="26"/>
  <c r="G276" i="26"/>
  <c r="F276" i="26"/>
  <c r="I275" i="26"/>
  <c r="H275" i="26"/>
  <c r="G275" i="26"/>
  <c r="F275" i="26"/>
  <c r="I274" i="26"/>
  <c r="H274" i="26"/>
  <c r="G274" i="26"/>
  <c r="F274" i="26"/>
  <c r="I273" i="26"/>
  <c r="H273" i="26"/>
  <c r="G273" i="26"/>
  <c r="F273" i="26"/>
  <c r="I272" i="26"/>
  <c r="H272" i="26"/>
  <c r="G272" i="26"/>
  <c r="F272" i="26"/>
  <c r="I271" i="26"/>
  <c r="H271" i="26"/>
  <c r="G271" i="26"/>
  <c r="F271" i="26"/>
  <c r="I270" i="26"/>
  <c r="H270" i="26"/>
  <c r="G270" i="26"/>
  <c r="F270" i="26"/>
  <c r="I269" i="26"/>
  <c r="H269" i="26"/>
  <c r="G269" i="26"/>
  <c r="F269" i="26"/>
  <c r="I268" i="26"/>
  <c r="H268" i="26"/>
  <c r="G268" i="26"/>
  <c r="F268" i="26"/>
  <c r="I267" i="26"/>
  <c r="H267" i="26"/>
  <c r="G267" i="26"/>
  <c r="F267" i="26"/>
  <c r="I266" i="26"/>
  <c r="H266" i="26"/>
  <c r="G266" i="26"/>
  <c r="F266" i="26"/>
  <c r="I265" i="26"/>
  <c r="H265" i="26"/>
  <c r="G265" i="26"/>
  <c r="F265" i="26"/>
  <c r="I264" i="26"/>
  <c r="H264" i="26"/>
  <c r="G264" i="26"/>
  <c r="F264" i="26"/>
  <c r="I263" i="26"/>
  <c r="H263" i="26"/>
  <c r="G263" i="26"/>
  <c r="F263" i="26"/>
  <c r="I262" i="26"/>
  <c r="H262" i="26"/>
  <c r="G262" i="26"/>
  <c r="F262" i="26"/>
  <c r="I261" i="26"/>
  <c r="H261" i="26"/>
  <c r="G261" i="26"/>
  <c r="F261" i="26"/>
  <c r="I260" i="26"/>
  <c r="H260" i="26"/>
  <c r="G260" i="26"/>
  <c r="F260" i="26"/>
  <c r="I259" i="26"/>
  <c r="H259" i="26"/>
  <c r="G259" i="26"/>
  <c r="F259" i="26"/>
  <c r="I258" i="26"/>
  <c r="H258" i="26"/>
  <c r="G258" i="26"/>
  <c r="F258" i="26"/>
  <c r="I257" i="26"/>
  <c r="H257" i="26"/>
  <c r="G257" i="26"/>
  <c r="F257" i="26"/>
  <c r="I256" i="26"/>
  <c r="H256" i="26"/>
  <c r="G256" i="26"/>
  <c r="F256" i="26"/>
  <c r="I255" i="26"/>
  <c r="H255" i="26"/>
  <c r="G255" i="26"/>
  <c r="F255" i="26"/>
  <c r="I254" i="26"/>
  <c r="H254" i="26"/>
  <c r="G254" i="26"/>
  <c r="F254" i="26"/>
  <c r="I253" i="26"/>
  <c r="H253" i="26"/>
  <c r="G253" i="26"/>
  <c r="F253" i="26"/>
  <c r="I252" i="26"/>
  <c r="H252" i="26"/>
  <c r="G252" i="26"/>
  <c r="F252" i="26"/>
  <c r="I251" i="26"/>
  <c r="H251" i="26"/>
  <c r="G251" i="26"/>
  <c r="F251" i="26"/>
  <c r="I250" i="26"/>
  <c r="H250" i="26"/>
  <c r="G250" i="26"/>
  <c r="F250" i="26"/>
  <c r="I249" i="26"/>
  <c r="H249" i="26"/>
  <c r="G249" i="26"/>
  <c r="F249" i="26"/>
  <c r="I248" i="26"/>
  <c r="H248" i="26"/>
  <c r="G248" i="26"/>
  <c r="F248" i="26"/>
  <c r="I247" i="26"/>
  <c r="H247" i="26"/>
  <c r="G247" i="26"/>
  <c r="F247" i="26"/>
  <c r="I246" i="26"/>
  <c r="H246" i="26"/>
  <c r="G246" i="26"/>
  <c r="F246" i="26"/>
  <c r="I245" i="26"/>
  <c r="H245" i="26"/>
  <c r="G245" i="26"/>
  <c r="F245" i="26"/>
  <c r="I244" i="26"/>
  <c r="H244" i="26"/>
  <c r="G244" i="26"/>
  <c r="F244" i="26"/>
  <c r="I243" i="26"/>
  <c r="H243" i="26"/>
  <c r="G243" i="26"/>
  <c r="F243" i="26"/>
  <c r="I242" i="26"/>
  <c r="H242" i="26"/>
  <c r="G242" i="26"/>
  <c r="F242" i="26"/>
  <c r="I241" i="26"/>
  <c r="H241" i="26"/>
  <c r="G241" i="26"/>
  <c r="F241" i="26"/>
  <c r="I240" i="26"/>
  <c r="H240" i="26"/>
  <c r="G240" i="26"/>
  <c r="F240" i="26"/>
  <c r="I239" i="26"/>
  <c r="H239" i="26"/>
  <c r="G239" i="26"/>
  <c r="F239" i="26"/>
  <c r="I238" i="26"/>
  <c r="H238" i="26"/>
  <c r="G238" i="26"/>
  <c r="F238" i="26"/>
  <c r="I237" i="26"/>
  <c r="H237" i="26"/>
  <c r="G237" i="26"/>
  <c r="F237" i="26"/>
  <c r="I236" i="26"/>
  <c r="H236" i="26"/>
  <c r="G236" i="26"/>
  <c r="F236" i="26"/>
  <c r="I235" i="26"/>
  <c r="H235" i="26"/>
  <c r="G235" i="26"/>
  <c r="F235" i="26"/>
  <c r="I234" i="26"/>
  <c r="H234" i="26"/>
  <c r="G234" i="26"/>
  <c r="F234" i="26"/>
  <c r="I233" i="26"/>
  <c r="H233" i="26"/>
  <c r="G233" i="26"/>
  <c r="F233" i="26"/>
  <c r="I232" i="26"/>
  <c r="H232" i="26"/>
  <c r="G232" i="26"/>
  <c r="F232" i="26"/>
  <c r="I231" i="26"/>
  <c r="H231" i="26"/>
  <c r="G231" i="26"/>
  <c r="F231" i="26"/>
  <c r="I230" i="26"/>
  <c r="H230" i="26"/>
  <c r="G230" i="26"/>
  <c r="F230" i="26"/>
  <c r="I229" i="26"/>
  <c r="H229" i="26"/>
  <c r="G229" i="26"/>
  <c r="F229" i="26"/>
  <c r="I228" i="26"/>
  <c r="H228" i="26"/>
  <c r="G228" i="26"/>
  <c r="F228" i="26"/>
  <c r="I227" i="26"/>
  <c r="H227" i="26"/>
  <c r="G227" i="26"/>
  <c r="F227" i="26"/>
  <c r="I226" i="26"/>
  <c r="H226" i="26"/>
  <c r="G226" i="26"/>
  <c r="F226" i="26"/>
  <c r="I225" i="26"/>
  <c r="H225" i="26"/>
  <c r="G225" i="26"/>
  <c r="F225" i="26"/>
  <c r="I224" i="26"/>
  <c r="H224" i="26"/>
  <c r="G224" i="26"/>
  <c r="F224" i="26"/>
  <c r="I223" i="26"/>
  <c r="H223" i="26"/>
  <c r="G223" i="26"/>
  <c r="F223" i="26"/>
  <c r="I222" i="26"/>
  <c r="H222" i="26"/>
  <c r="G222" i="26"/>
  <c r="F222" i="26"/>
  <c r="I221" i="26"/>
  <c r="H221" i="26"/>
  <c r="G221" i="26"/>
  <c r="F221" i="26"/>
  <c r="I220" i="26"/>
  <c r="H220" i="26"/>
  <c r="G220" i="26"/>
  <c r="F220" i="26"/>
  <c r="I219" i="26"/>
  <c r="H219" i="26"/>
  <c r="G219" i="26"/>
  <c r="F219" i="26"/>
  <c r="I218" i="26"/>
  <c r="H218" i="26"/>
  <c r="G218" i="26"/>
  <c r="F218" i="26"/>
  <c r="I217" i="26"/>
  <c r="H217" i="26"/>
  <c r="G217" i="26"/>
  <c r="F217" i="26"/>
  <c r="I216" i="26"/>
  <c r="H216" i="26"/>
  <c r="G216" i="26"/>
  <c r="F216" i="26"/>
  <c r="I215" i="26"/>
  <c r="H215" i="26"/>
  <c r="G215" i="26"/>
  <c r="F215" i="26"/>
  <c r="I214" i="26"/>
  <c r="H214" i="26"/>
  <c r="G214" i="26"/>
  <c r="F214" i="26"/>
  <c r="I213" i="26"/>
  <c r="H213" i="26"/>
  <c r="G213" i="26"/>
  <c r="F213" i="26"/>
  <c r="I212" i="26"/>
  <c r="H212" i="26"/>
  <c r="G212" i="26"/>
  <c r="F212" i="26"/>
  <c r="I211" i="26"/>
  <c r="H211" i="26"/>
  <c r="G211" i="26"/>
  <c r="F211" i="26"/>
  <c r="I210" i="26"/>
  <c r="H210" i="26"/>
  <c r="G210" i="26"/>
  <c r="F210" i="26"/>
  <c r="I209" i="26"/>
  <c r="H209" i="26"/>
  <c r="G209" i="26"/>
  <c r="F209" i="26"/>
  <c r="I208" i="26"/>
  <c r="H208" i="26"/>
  <c r="G208" i="26"/>
  <c r="F208" i="26"/>
  <c r="I207" i="26"/>
  <c r="H207" i="26"/>
  <c r="G207" i="26"/>
  <c r="F207" i="26"/>
  <c r="I206" i="26"/>
  <c r="H206" i="26"/>
  <c r="G206" i="26"/>
  <c r="F206" i="26"/>
  <c r="I205" i="26"/>
  <c r="H205" i="26"/>
  <c r="G205" i="26"/>
  <c r="F205" i="26"/>
  <c r="I204" i="26"/>
  <c r="H204" i="26"/>
  <c r="G204" i="26"/>
  <c r="F204" i="26"/>
  <c r="I203" i="26"/>
  <c r="H203" i="26"/>
  <c r="G203" i="26"/>
  <c r="F203" i="26"/>
  <c r="I202" i="26"/>
  <c r="H202" i="26"/>
  <c r="G202" i="26"/>
  <c r="F202" i="26"/>
  <c r="I201" i="26"/>
  <c r="H201" i="26"/>
  <c r="G201" i="26"/>
  <c r="F201" i="26"/>
  <c r="I200" i="26"/>
  <c r="H200" i="26"/>
  <c r="G200" i="26"/>
  <c r="F200" i="26"/>
  <c r="I199" i="26"/>
  <c r="H199" i="26"/>
  <c r="G199" i="26"/>
  <c r="F199" i="26"/>
  <c r="I198" i="26"/>
  <c r="H198" i="26"/>
  <c r="G198" i="26"/>
  <c r="F198" i="26"/>
  <c r="I197" i="26"/>
  <c r="H197" i="26"/>
  <c r="G197" i="26"/>
  <c r="F197" i="26"/>
  <c r="I196" i="26"/>
  <c r="H196" i="26"/>
  <c r="G196" i="26"/>
  <c r="F196" i="26"/>
  <c r="I195" i="26"/>
  <c r="H195" i="26"/>
  <c r="G195" i="26"/>
  <c r="F195" i="26"/>
  <c r="I194" i="26"/>
  <c r="H194" i="26"/>
  <c r="G194" i="26"/>
  <c r="F194" i="26"/>
  <c r="I193" i="26"/>
  <c r="H193" i="26"/>
  <c r="G193" i="26"/>
  <c r="F193" i="26"/>
  <c r="I192" i="26"/>
  <c r="H192" i="26"/>
  <c r="G192" i="26"/>
  <c r="F192" i="26"/>
  <c r="I191" i="26"/>
  <c r="H191" i="26"/>
  <c r="G191" i="26"/>
  <c r="F191" i="26"/>
  <c r="I190" i="26"/>
  <c r="H190" i="26"/>
  <c r="G190" i="26"/>
  <c r="F190" i="26"/>
  <c r="I189" i="26"/>
  <c r="H189" i="26"/>
  <c r="G189" i="26"/>
  <c r="F189" i="26"/>
  <c r="I188" i="26"/>
  <c r="H188" i="26"/>
  <c r="G188" i="26"/>
  <c r="F188" i="26"/>
  <c r="I187" i="26"/>
  <c r="H187" i="26"/>
  <c r="G187" i="26"/>
  <c r="F187" i="26"/>
  <c r="I186" i="26"/>
  <c r="H186" i="26"/>
  <c r="G186" i="26"/>
  <c r="F186" i="26"/>
  <c r="I185" i="26"/>
  <c r="H185" i="26"/>
  <c r="G185" i="26"/>
  <c r="F185" i="26"/>
  <c r="I184" i="26"/>
  <c r="H184" i="26"/>
  <c r="G184" i="26"/>
  <c r="F184" i="26"/>
  <c r="I183" i="26"/>
  <c r="H183" i="26"/>
  <c r="G183" i="26"/>
  <c r="F183" i="26"/>
  <c r="I182" i="26"/>
  <c r="H182" i="26"/>
  <c r="G182" i="26"/>
  <c r="F182" i="26"/>
  <c r="I181" i="26"/>
  <c r="H181" i="26"/>
  <c r="G181" i="26"/>
  <c r="F181" i="26"/>
  <c r="I180" i="26"/>
  <c r="H180" i="26"/>
  <c r="G180" i="26"/>
  <c r="F180" i="26"/>
  <c r="I179" i="26"/>
  <c r="H179" i="26"/>
  <c r="G179" i="26"/>
  <c r="F179" i="26"/>
  <c r="I178" i="26"/>
  <c r="H178" i="26"/>
  <c r="G178" i="26"/>
  <c r="F178" i="26"/>
  <c r="I177" i="26"/>
  <c r="H177" i="26"/>
  <c r="G177" i="26"/>
  <c r="F177" i="26"/>
  <c r="I176" i="26"/>
  <c r="H176" i="26"/>
  <c r="G176" i="26"/>
  <c r="F176" i="26"/>
  <c r="I175" i="26"/>
  <c r="H175" i="26"/>
  <c r="G175" i="26"/>
  <c r="F175" i="26"/>
  <c r="I174" i="26"/>
  <c r="H174" i="26"/>
  <c r="G174" i="26"/>
  <c r="F174" i="26"/>
  <c r="I173" i="26"/>
  <c r="H173" i="26"/>
  <c r="G173" i="26"/>
  <c r="F173" i="26"/>
  <c r="I172" i="26"/>
  <c r="H172" i="26"/>
  <c r="G172" i="26"/>
  <c r="F172" i="26"/>
  <c r="I171" i="26"/>
  <c r="H171" i="26"/>
  <c r="G171" i="26"/>
  <c r="F171" i="26"/>
  <c r="I170" i="26"/>
  <c r="H170" i="26"/>
  <c r="G170" i="26"/>
  <c r="F170" i="26"/>
  <c r="I169" i="26"/>
  <c r="H169" i="26"/>
  <c r="G169" i="26"/>
  <c r="F169" i="26"/>
  <c r="I168" i="26"/>
  <c r="H168" i="26"/>
  <c r="G168" i="26"/>
  <c r="F168" i="26"/>
  <c r="I167" i="26"/>
  <c r="H167" i="26"/>
  <c r="G167" i="26"/>
  <c r="F167" i="26"/>
  <c r="I166" i="26"/>
  <c r="H166" i="26"/>
  <c r="G166" i="26"/>
  <c r="F166" i="26"/>
  <c r="I165" i="26"/>
  <c r="H165" i="26"/>
  <c r="G165" i="26"/>
  <c r="F165" i="26"/>
  <c r="I164" i="26"/>
  <c r="H164" i="26"/>
  <c r="G164" i="26"/>
  <c r="F164" i="26"/>
  <c r="I163" i="26"/>
  <c r="H163" i="26"/>
  <c r="G163" i="26"/>
  <c r="F163" i="26"/>
  <c r="I162" i="26"/>
  <c r="H162" i="26"/>
  <c r="G162" i="26"/>
  <c r="F162" i="26"/>
  <c r="I161" i="26"/>
  <c r="H161" i="26"/>
  <c r="G161" i="26"/>
  <c r="F161" i="26"/>
  <c r="I160" i="26"/>
  <c r="H160" i="26"/>
  <c r="G160" i="26"/>
  <c r="F160" i="26"/>
  <c r="I159" i="26"/>
  <c r="H159" i="26"/>
  <c r="G159" i="26"/>
  <c r="F159" i="26"/>
  <c r="I158" i="26"/>
  <c r="H158" i="26"/>
  <c r="G158" i="26"/>
  <c r="F158" i="26"/>
  <c r="I157" i="26"/>
  <c r="H157" i="26"/>
  <c r="G157" i="26"/>
  <c r="F157" i="26"/>
  <c r="I156" i="26"/>
  <c r="H156" i="26"/>
  <c r="G156" i="26"/>
  <c r="F156" i="26"/>
  <c r="I155" i="26"/>
  <c r="H155" i="26"/>
  <c r="G155" i="26"/>
  <c r="F155" i="26"/>
  <c r="I154" i="26"/>
  <c r="H154" i="26"/>
  <c r="G154" i="26"/>
  <c r="F154" i="26"/>
  <c r="I153" i="26"/>
  <c r="H153" i="26"/>
  <c r="G153" i="26"/>
  <c r="F153" i="26"/>
  <c r="I152" i="26"/>
  <c r="H152" i="26"/>
  <c r="G152" i="26"/>
  <c r="F152" i="26"/>
  <c r="I151" i="26"/>
  <c r="H151" i="26"/>
  <c r="G151" i="26"/>
  <c r="F151" i="26"/>
  <c r="I150" i="26"/>
  <c r="H150" i="26"/>
  <c r="G150" i="26"/>
  <c r="F150" i="26"/>
  <c r="I149" i="26"/>
  <c r="H149" i="26"/>
  <c r="G149" i="26"/>
  <c r="F149" i="26"/>
  <c r="I148" i="26"/>
  <c r="H148" i="26"/>
  <c r="G148" i="26"/>
  <c r="F148" i="26"/>
  <c r="I147" i="26"/>
  <c r="H147" i="26"/>
  <c r="G147" i="26"/>
  <c r="F147" i="26"/>
  <c r="I146" i="26"/>
  <c r="H146" i="26"/>
  <c r="G146" i="26"/>
  <c r="F146" i="26"/>
  <c r="I145" i="26"/>
  <c r="H145" i="26"/>
  <c r="G145" i="26"/>
  <c r="F145" i="26"/>
  <c r="I144" i="26"/>
  <c r="H144" i="26"/>
  <c r="G144" i="26"/>
  <c r="F144" i="26"/>
  <c r="I143" i="26"/>
  <c r="H143" i="26"/>
  <c r="G143" i="26"/>
  <c r="F143" i="26"/>
  <c r="I142" i="26"/>
  <c r="H142" i="26"/>
  <c r="G142" i="26"/>
  <c r="F142" i="26"/>
  <c r="I141" i="26"/>
  <c r="H141" i="26"/>
  <c r="G141" i="26"/>
  <c r="F141" i="26"/>
  <c r="I140" i="26"/>
  <c r="H140" i="26"/>
  <c r="G140" i="26"/>
  <c r="F140" i="26"/>
  <c r="I139" i="26"/>
  <c r="H139" i="26"/>
  <c r="G139" i="26"/>
  <c r="F139" i="26"/>
  <c r="I138" i="26"/>
  <c r="H138" i="26"/>
  <c r="G138" i="26"/>
  <c r="F138" i="26"/>
  <c r="I137" i="26"/>
  <c r="H137" i="26"/>
  <c r="G137" i="26"/>
  <c r="F137" i="26"/>
  <c r="I136" i="26"/>
  <c r="H136" i="26"/>
  <c r="G136" i="26"/>
  <c r="F136" i="26"/>
  <c r="I135" i="26"/>
  <c r="H135" i="26"/>
  <c r="G135" i="26"/>
  <c r="F135" i="26"/>
  <c r="I134" i="26"/>
  <c r="H134" i="26"/>
  <c r="G134" i="26"/>
  <c r="F134" i="26"/>
  <c r="I133" i="26"/>
  <c r="H133" i="26"/>
  <c r="G133" i="26"/>
  <c r="F133" i="26"/>
  <c r="I132" i="26"/>
  <c r="H132" i="26"/>
  <c r="G132" i="26"/>
  <c r="F132" i="26"/>
  <c r="I131" i="26"/>
  <c r="H131" i="26"/>
  <c r="G131" i="26"/>
  <c r="F131" i="26"/>
  <c r="I130" i="26"/>
  <c r="H130" i="26"/>
  <c r="G130" i="26"/>
  <c r="F130" i="26"/>
  <c r="I129" i="26"/>
  <c r="H129" i="26"/>
  <c r="G129" i="26"/>
  <c r="F129" i="26"/>
  <c r="I128" i="26"/>
  <c r="H128" i="26"/>
  <c r="G128" i="26"/>
  <c r="F128" i="26"/>
  <c r="I127" i="26"/>
  <c r="H127" i="26"/>
  <c r="G127" i="26"/>
  <c r="F127" i="26"/>
  <c r="I126" i="26"/>
  <c r="H126" i="26"/>
  <c r="G126" i="26"/>
  <c r="F126" i="26"/>
  <c r="I125" i="26"/>
  <c r="H125" i="26"/>
  <c r="G125" i="26"/>
  <c r="F125" i="26"/>
  <c r="I124" i="26"/>
  <c r="H124" i="26"/>
  <c r="G124" i="26"/>
  <c r="F124" i="26"/>
  <c r="I123" i="26"/>
  <c r="H123" i="26"/>
  <c r="G123" i="26"/>
  <c r="F123" i="26"/>
  <c r="I122" i="26"/>
  <c r="H122" i="26"/>
  <c r="G122" i="26"/>
  <c r="F122" i="26"/>
  <c r="I121" i="26"/>
  <c r="H121" i="26"/>
  <c r="G121" i="26"/>
  <c r="F121" i="26"/>
  <c r="I120" i="26"/>
  <c r="H120" i="26"/>
  <c r="G120" i="26"/>
  <c r="F120" i="26"/>
  <c r="I119" i="26"/>
  <c r="H119" i="26"/>
  <c r="G119" i="26"/>
  <c r="F119" i="26"/>
  <c r="I118" i="26"/>
  <c r="H118" i="26"/>
  <c r="G118" i="26"/>
  <c r="F118" i="26"/>
  <c r="I117" i="26"/>
  <c r="H117" i="26"/>
  <c r="G117" i="26"/>
  <c r="F117" i="26"/>
  <c r="I116" i="26"/>
  <c r="H116" i="26"/>
  <c r="G116" i="26"/>
  <c r="F116" i="26"/>
  <c r="I115" i="26"/>
  <c r="H115" i="26"/>
  <c r="G115" i="26"/>
  <c r="F115" i="26"/>
  <c r="I114" i="26"/>
  <c r="H114" i="26"/>
  <c r="G114" i="26"/>
  <c r="F114" i="26"/>
  <c r="I113" i="26"/>
  <c r="H113" i="26"/>
  <c r="G113" i="26"/>
  <c r="F113" i="26"/>
  <c r="I112" i="26"/>
  <c r="H112" i="26"/>
  <c r="G112" i="26"/>
  <c r="F112" i="26"/>
  <c r="I111" i="26"/>
  <c r="H111" i="26"/>
  <c r="G111" i="26"/>
  <c r="F111" i="26"/>
  <c r="I110" i="26"/>
  <c r="H110" i="26"/>
  <c r="G110" i="26"/>
  <c r="F110" i="26"/>
  <c r="I109" i="26"/>
  <c r="H109" i="26"/>
  <c r="G109" i="26"/>
  <c r="F109" i="26"/>
  <c r="I108" i="26"/>
  <c r="H108" i="26"/>
  <c r="G108" i="26"/>
  <c r="F108" i="26"/>
  <c r="I107" i="26"/>
  <c r="H107" i="26"/>
  <c r="G107" i="26"/>
  <c r="F107" i="26"/>
  <c r="I106" i="26"/>
  <c r="H106" i="26"/>
  <c r="G106" i="26"/>
  <c r="F106" i="26"/>
  <c r="I105" i="26"/>
  <c r="H105" i="26"/>
  <c r="G105" i="26"/>
  <c r="F105" i="26"/>
  <c r="I104" i="26"/>
  <c r="H104" i="26"/>
  <c r="G104" i="26"/>
  <c r="F104" i="26"/>
  <c r="I103" i="26"/>
  <c r="H103" i="26"/>
  <c r="G103" i="26"/>
  <c r="F103" i="26"/>
  <c r="I102" i="26"/>
  <c r="H102" i="26"/>
  <c r="G102" i="26"/>
  <c r="F102" i="26"/>
  <c r="I101" i="26"/>
  <c r="H101" i="26"/>
  <c r="G101" i="26"/>
  <c r="F101" i="26"/>
  <c r="I100" i="26"/>
  <c r="H100" i="26"/>
  <c r="G100" i="26"/>
  <c r="F100" i="26"/>
  <c r="I99" i="26"/>
  <c r="H99" i="26"/>
  <c r="G99" i="26"/>
  <c r="F99" i="26"/>
  <c r="I98" i="26"/>
  <c r="H98" i="26"/>
  <c r="G98" i="26"/>
  <c r="F98" i="26"/>
  <c r="I97" i="26"/>
  <c r="H97" i="26"/>
  <c r="G97" i="26"/>
  <c r="F97" i="26"/>
  <c r="I96" i="26"/>
  <c r="H96" i="26"/>
  <c r="G96" i="26"/>
  <c r="F96" i="26"/>
  <c r="I95" i="26"/>
  <c r="H95" i="26"/>
  <c r="G95" i="26"/>
  <c r="F95" i="26"/>
  <c r="I94" i="26"/>
  <c r="H94" i="26"/>
  <c r="G94" i="26"/>
  <c r="F94" i="26"/>
  <c r="I93" i="26"/>
  <c r="H93" i="26"/>
  <c r="G93" i="26"/>
  <c r="F93" i="26"/>
  <c r="I92" i="26"/>
  <c r="H92" i="26"/>
  <c r="G92" i="26"/>
  <c r="F92" i="26"/>
  <c r="I91" i="26"/>
  <c r="H91" i="26"/>
  <c r="G91" i="26"/>
  <c r="F91" i="26"/>
  <c r="I90" i="26"/>
  <c r="H90" i="26"/>
  <c r="G90" i="26"/>
  <c r="F90" i="26"/>
  <c r="I89" i="26"/>
  <c r="H89" i="26"/>
  <c r="G89" i="26"/>
  <c r="F89" i="26"/>
  <c r="I88" i="26"/>
  <c r="H88" i="26"/>
  <c r="G88" i="26"/>
  <c r="F88" i="26"/>
  <c r="I87" i="26"/>
  <c r="H87" i="26"/>
  <c r="G87" i="26"/>
  <c r="F87" i="26"/>
  <c r="I86" i="26"/>
  <c r="H86" i="26"/>
  <c r="G86" i="26"/>
  <c r="F86" i="26"/>
  <c r="I85" i="26"/>
  <c r="H85" i="26"/>
  <c r="G85" i="26"/>
  <c r="F85" i="26"/>
  <c r="I84" i="26"/>
  <c r="H84" i="26"/>
  <c r="G84" i="26"/>
  <c r="F84" i="26"/>
  <c r="I83" i="26"/>
  <c r="H83" i="26"/>
  <c r="G83" i="26"/>
  <c r="F83" i="26"/>
  <c r="I82" i="26"/>
  <c r="H82" i="26"/>
  <c r="G82" i="26"/>
  <c r="F82" i="26"/>
  <c r="I81" i="26"/>
  <c r="H81" i="26"/>
  <c r="G81" i="26"/>
  <c r="F81" i="26"/>
  <c r="I80" i="26"/>
  <c r="H80" i="26"/>
  <c r="G80" i="26"/>
  <c r="F80" i="26"/>
  <c r="I79" i="26"/>
  <c r="H79" i="26"/>
  <c r="G79" i="26"/>
  <c r="F79" i="26"/>
  <c r="I78" i="26"/>
  <c r="H78" i="26"/>
  <c r="G78" i="26"/>
  <c r="F78" i="26"/>
  <c r="I77" i="26"/>
  <c r="H77" i="26"/>
  <c r="G77" i="26"/>
  <c r="F77" i="26"/>
  <c r="I76" i="26"/>
  <c r="H76" i="26"/>
  <c r="G76" i="26"/>
  <c r="F76" i="26"/>
  <c r="I75" i="26"/>
  <c r="H75" i="26"/>
  <c r="G75" i="26"/>
  <c r="F75" i="26"/>
  <c r="I74" i="26"/>
  <c r="H74" i="26"/>
  <c r="G74" i="26"/>
  <c r="F74" i="26"/>
  <c r="I73" i="26"/>
  <c r="H73" i="26"/>
  <c r="G73" i="26"/>
  <c r="F73" i="26"/>
  <c r="I72" i="26"/>
  <c r="H72" i="26"/>
  <c r="G72" i="26"/>
  <c r="F72" i="26"/>
  <c r="I71" i="26"/>
  <c r="H71" i="26"/>
  <c r="G71" i="26"/>
  <c r="F71" i="26"/>
  <c r="I70" i="26"/>
  <c r="H70" i="26"/>
  <c r="G70" i="26"/>
  <c r="F70" i="26"/>
  <c r="I69" i="26"/>
  <c r="H69" i="26"/>
  <c r="G69" i="26"/>
  <c r="F69" i="26"/>
  <c r="I68" i="26"/>
  <c r="H68" i="26"/>
  <c r="G68" i="26"/>
  <c r="F68" i="26"/>
  <c r="I67" i="26"/>
  <c r="H67" i="26"/>
  <c r="G67" i="26"/>
  <c r="F67" i="26"/>
  <c r="I66" i="26"/>
  <c r="H66" i="26"/>
  <c r="G66" i="26"/>
  <c r="F66" i="26"/>
  <c r="I65" i="26"/>
  <c r="H65" i="26"/>
  <c r="G65" i="26"/>
  <c r="F65" i="26"/>
  <c r="I64" i="26"/>
  <c r="H64" i="26"/>
  <c r="G64" i="26"/>
  <c r="F64" i="26"/>
  <c r="I63" i="26"/>
  <c r="H63" i="26"/>
  <c r="G63" i="26"/>
  <c r="F63" i="26"/>
  <c r="I62" i="26"/>
  <c r="H62" i="26"/>
  <c r="G62" i="26"/>
  <c r="F62" i="26"/>
  <c r="I61" i="26"/>
  <c r="H61" i="26"/>
  <c r="G61" i="26"/>
  <c r="F61" i="26"/>
  <c r="I60" i="26"/>
  <c r="H60" i="26"/>
  <c r="G60" i="26"/>
  <c r="F60" i="26"/>
  <c r="I59" i="26"/>
  <c r="H59" i="26"/>
  <c r="G59" i="26"/>
  <c r="F59" i="26"/>
  <c r="I58" i="26"/>
  <c r="H58" i="26"/>
  <c r="G58" i="26"/>
  <c r="F58" i="26"/>
  <c r="I57" i="26"/>
  <c r="H57" i="26"/>
  <c r="G57" i="26"/>
  <c r="F57" i="26"/>
  <c r="I56" i="26"/>
  <c r="H56" i="26"/>
  <c r="G56" i="26"/>
  <c r="F56" i="26"/>
  <c r="I55" i="26"/>
  <c r="H55" i="26"/>
  <c r="G55" i="26"/>
  <c r="F55" i="26"/>
  <c r="I54" i="26"/>
  <c r="H54" i="26"/>
  <c r="G54" i="26"/>
  <c r="F54" i="26"/>
  <c r="I53" i="26"/>
  <c r="H53" i="26"/>
  <c r="G53" i="26"/>
  <c r="F53" i="26"/>
  <c r="I52" i="26"/>
  <c r="H52" i="26"/>
  <c r="G52" i="26"/>
  <c r="F52" i="26"/>
  <c r="I51" i="26"/>
  <c r="H51" i="26"/>
  <c r="G51" i="26"/>
  <c r="F51" i="26"/>
  <c r="I50" i="26"/>
  <c r="H50" i="26"/>
  <c r="G50" i="26"/>
  <c r="F50" i="26"/>
  <c r="I49" i="26"/>
  <c r="H49" i="26"/>
  <c r="G49" i="26"/>
  <c r="F49" i="26"/>
  <c r="I48" i="26"/>
  <c r="H48" i="26"/>
  <c r="G48" i="26"/>
  <c r="F48" i="26"/>
  <c r="I47" i="26"/>
  <c r="H47" i="26"/>
  <c r="G47" i="26"/>
  <c r="F47" i="26"/>
  <c r="I46" i="26"/>
  <c r="H46" i="26"/>
  <c r="G46" i="26"/>
  <c r="F46" i="26"/>
  <c r="I45" i="26"/>
  <c r="H45" i="26"/>
  <c r="G45" i="26"/>
  <c r="F45" i="26"/>
  <c r="I44" i="26"/>
  <c r="H44" i="26"/>
  <c r="G44" i="26"/>
  <c r="F44" i="26"/>
  <c r="I43" i="26"/>
  <c r="H43" i="26"/>
  <c r="G43" i="26"/>
  <c r="F43" i="26"/>
  <c r="I42" i="26"/>
  <c r="H42" i="26"/>
  <c r="G42" i="26"/>
  <c r="F42" i="26"/>
  <c r="I41" i="26"/>
  <c r="H41" i="26"/>
  <c r="G41" i="26"/>
  <c r="F41" i="26"/>
  <c r="I40" i="26"/>
  <c r="H40" i="26"/>
  <c r="G40" i="26"/>
  <c r="F40" i="26"/>
  <c r="I39" i="26"/>
  <c r="H39" i="26"/>
  <c r="G39" i="26"/>
  <c r="F39" i="26"/>
  <c r="I38" i="26"/>
  <c r="H38" i="26"/>
  <c r="G38" i="26"/>
  <c r="F38" i="26"/>
  <c r="I37" i="26"/>
  <c r="H37" i="26"/>
  <c r="G37" i="26"/>
  <c r="F37" i="26"/>
  <c r="I36" i="26"/>
  <c r="H36" i="26"/>
  <c r="G36" i="26"/>
  <c r="F36" i="26"/>
  <c r="I35" i="26"/>
  <c r="H35" i="26"/>
  <c r="G35" i="26"/>
  <c r="F35" i="26"/>
  <c r="I34" i="26"/>
  <c r="H34" i="26"/>
  <c r="G34" i="26"/>
  <c r="F34" i="26"/>
  <c r="I33" i="26"/>
  <c r="H33" i="26"/>
  <c r="G33" i="26"/>
  <c r="F33" i="26"/>
  <c r="I32" i="26"/>
  <c r="H32" i="26"/>
  <c r="G32" i="26"/>
  <c r="F32" i="26"/>
  <c r="I31" i="26"/>
  <c r="H31" i="26"/>
  <c r="G31" i="26"/>
  <c r="F31" i="26"/>
  <c r="I30" i="26"/>
  <c r="H30" i="26"/>
  <c r="G30" i="26"/>
  <c r="F30" i="26"/>
  <c r="I29" i="26"/>
  <c r="H29" i="26"/>
  <c r="G29" i="26"/>
  <c r="F29" i="26"/>
  <c r="I28" i="26"/>
  <c r="H28" i="26"/>
  <c r="G28" i="26"/>
  <c r="F28" i="26"/>
  <c r="I27" i="26"/>
  <c r="H27" i="26"/>
  <c r="G27" i="26"/>
  <c r="F27" i="26"/>
  <c r="I26" i="26"/>
  <c r="H26" i="26"/>
  <c r="G26" i="26"/>
  <c r="F26" i="26"/>
  <c r="I25" i="26"/>
  <c r="H25" i="26"/>
  <c r="G25" i="26"/>
  <c r="F25" i="26"/>
  <c r="I24" i="26"/>
  <c r="H24" i="26"/>
  <c r="G24" i="26"/>
  <c r="F24" i="26"/>
  <c r="I23" i="26"/>
  <c r="H23" i="26"/>
  <c r="G23" i="26"/>
  <c r="F23" i="26"/>
  <c r="I22" i="26"/>
  <c r="H22" i="26"/>
  <c r="G22" i="26"/>
  <c r="F22" i="26"/>
  <c r="I21" i="26"/>
  <c r="H21" i="26"/>
  <c r="G21" i="26"/>
  <c r="F21" i="26"/>
  <c r="I20" i="26"/>
  <c r="H20" i="26"/>
  <c r="G20" i="26"/>
  <c r="F20" i="26"/>
  <c r="I19" i="26"/>
  <c r="H19" i="26"/>
  <c r="G19" i="26"/>
  <c r="F19" i="26"/>
  <c r="I18" i="26"/>
  <c r="H18" i="26"/>
  <c r="G18" i="26"/>
  <c r="F18" i="26"/>
  <c r="I17" i="26"/>
  <c r="H17" i="26"/>
  <c r="G17" i="26"/>
  <c r="F17" i="26"/>
  <c r="I16" i="26"/>
  <c r="H16" i="26"/>
  <c r="G16" i="26"/>
  <c r="F16" i="26"/>
  <c r="I15" i="26"/>
  <c r="H15" i="26"/>
  <c r="G15" i="26"/>
  <c r="F15" i="26"/>
  <c r="I14" i="26"/>
  <c r="H14" i="26"/>
  <c r="G14" i="26"/>
  <c r="F14" i="26"/>
  <c r="I13" i="26"/>
  <c r="H13" i="26"/>
  <c r="G13" i="26"/>
  <c r="F13" i="26"/>
  <c r="I12" i="26"/>
  <c r="H12" i="26"/>
  <c r="G12" i="26"/>
  <c r="F12" i="26"/>
  <c r="D6" i="33"/>
  <c r="M1036" i="21"/>
  <c r="K1036" i="21" s="1"/>
  <c r="M1035" i="21"/>
  <c r="K1035" i="21" s="1"/>
  <c r="Q1035" i="21" s="1"/>
  <c r="M1034" i="21"/>
  <c r="K1034" i="21" s="1"/>
  <c r="Q1034" i="21" s="1"/>
  <c r="M1033" i="21"/>
  <c r="K1033" i="21" s="1"/>
  <c r="Q1033" i="21" s="1"/>
  <c r="G114" i="12"/>
  <c r="F20" i="13" s="1"/>
  <c r="G112" i="12"/>
  <c r="F9" i="13" s="1"/>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K650" i="3" s="1"/>
  <c r="H651" i="3"/>
  <c r="H652" i="3"/>
  <c r="H653" i="3"/>
  <c r="H654" i="3"/>
  <c r="K654" i="3" s="1"/>
  <c r="H655" i="3"/>
  <c r="H656" i="3"/>
  <c r="H657" i="3"/>
  <c r="M1032" i="21"/>
  <c r="K1032" i="21" s="1"/>
  <c r="Q1032" i="21" s="1"/>
  <c r="M1031" i="21"/>
  <c r="K1031" i="21" s="1"/>
  <c r="Q1031" i="21" s="1"/>
  <c r="M1030" i="21"/>
  <c r="K1030" i="21" s="1"/>
  <c r="Q1030" i="21" s="1"/>
  <c r="M1029" i="21"/>
  <c r="K1029" i="21" s="1"/>
  <c r="Q1029" i="21" s="1"/>
  <c r="M1028" i="21"/>
  <c r="K1028" i="21" s="1"/>
  <c r="Q1028" i="21" s="1"/>
  <c r="M1027" i="21"/>
  <c r="K1027" i="21" s="1"/>
  <c r="Q1027" i="21" s="1"/>
  <c r="M1026" i="21"/>
  <c r="K1026" i="21" s="1"/>
  <c r="Q1026" i="21" s="1"/>
  <c r="M1025" i="21"/>
  <c r="K1025" i="21" s="1"/>
  <c r="Q1025" i="21" s="1"/>
  <c r="M1024" i="21"/>
  <c r="K1024" i="21" s="1"/>
  <c r="Q1024" i="21" s="1"/>
  <c r="M1023" i="21"/>
  <c r="K1023" i="21" s="1"/>
  <c r="Q1023" i="21" s="1"/>
  <c r="M1022" i="21"/>
  <c r="K1022" i="21" s="1"/>
  <c r="Q1022" i="21" s="1"/>
  <c r="M1021" i="21"/>
  <c r="K1021" i="21" s="1"/>
  <c r="Q1021" i="21" s="1"/>
  <c r="M1020" i="21"/>
  <c r="K1020" i="21" s="1"/>
  <c r="Q1020" i="21" s="1"/>
  <c r="M1019" i="21"/>
  <c r="K1019" i="21" s="1"/>
  <c r="Q1019" i="21" s="1"/>
  <c r="M1018" i="21"/>
  <c r="K1018" i="21" s="1"/>
  <c r="Q1018" i="21" s="1"/>
  <c r="M1017" i="21"/>
  <c r="K1017" i="21" s="1"/>
  <c r="Q1017" i="21" s="1"/>
  <c r="M1016" i="21"/>
  <c r="K1016" i="21" s="1"/>
  <c r="Q1016" i="21" s="1"/>
  <c r="M1015" i="21"/>
  <c r="K1015" i="21" s="1"/>
  <c r="Q1015" i="21" s="1"/>
  <c r="M1014" i="21"/>
  <c r="K1014" i="21" s="1"/>
  <c r="Q1014" i="21" s="1"/>
  <c r="M1013" i="21"/>
  <c r="K1013" i="21" s="1"/>
  <c r="Q1013" i="21" s="1"/>
  <c r="M1012" i="21"/>
  <c r="K1012" i="21" s="1"/>
  <c r="Q1012" i="21" s="1"/>
  <c r="M1011" i="21"/>
  <c r="K1011" i="21" s="1"/>
  <c r="Q1011" i="21" s="1"/>
  <c r="M1010" i="21"/>
  <c r="K1010" i="21" s="1"/>
  <c r="Q1010" i="21" s="1"/>
  <c r="M1009" i="21"/>
  <c r="K1009" i="21" s="1"/>
  <c r="Q1009" i="21" s="1"/>
  <c r="M1008" i="21"/>
  <c r="K1008" i="21" s="1"/>
  <c r="Q1008" i="21" s="1"/>
  <c r="M1007" i="21"/>
  <c r="K1007" i="21" s="1"/>
  <c r="Q1007" i="21" s="1"/>
  <c r="M1006" i="21"/>
  <c r="K1006" i="21" s="1"/>
  <c r="Q1006" i="21" s="1"/>
  <c r="M1005" i="21"/>
  <c r="K1005" i="21" s="1"/>
  <c r="Q1005" i="21" s="1"/>
  <c r="K1004" i="21"/>
  <c r="Q1004" i="21" s="1"/>
  <c r="M1003" i="21"/>
  <c r="K1003" i="21" s="1"/>
  <c r="Q1003" i="21" s="1"/>
  <c r="M1002" i="21"/>
  <c r="K1002" i="21" s="1"/>
  <c r="Q1002" i="21" s="1"/>
  <c r="M1001" i="21"/>
  <c r="K1001" i="21" s="1"/>
  <c r="Q1001" i="21" s="1"/>
  <c r="M1000" i="21"/>
  <c r="K1000" i="21" s="1"/>
  <c r="Q1000" i="21" s="1"/>
  <c r="M999" i="21"/>
  <c r="K999" i="21" s="1"/>
  <c r="Q999" i="21" s="1"/>
  <c r="M998" i="21"/>
  <c r="K998" i="21" s="1"/>
  <c r="Q998" i="21" s="1"/>
  <c r="M997" i="21"/>
  <c r="K997" i="21" s="1"/>
  <c r="Q997" i="21" s="1"/>
  <c r="M996" i="21"/>
  <c r="K996" i="21" s="1"/>
  <c r="Q996" i="21" s="1"/>
  <c r="M995" i="21"/>
  <c r="K995" i="21" s="1"/>
  <c r="Q995" i="21" s="1"/>
  <c r="AA1039" i="2"/>
  <c r="Z1039" i="2"/>
  <c r="Y1039" i="2"/>
  <c r="AA1037" i="2"/>
  <c r="Z1037" i="2"/>
  <c r="Y1037" i="2"/>
  <c r="T1037" i="2"/>
  <c r="S1037" i="2"/>
  <c r="N1037" i="2"/>
  <c r="P1037" i="2" s="1"/>
  <c r="K1037" i="2"/>
  <c r="T1044" i="2"/>
  <c r="S1044" i="2"/>
  <c r="T1043" i="2"/>
  <c r="S1043" i="2"/>
  <c r="T1042" i="2"/>
  <c r="S1042" i="2"/>
  <c r="T1041" i="2"/>
  <c r="S1041" i="2"/>
  <c r="T1040" i="2"/>
  <c r="S1040" i="2"/>
  <c r="T1039" i="2"/>
  <c r="S1039" i="2"/>
  <c r="T1038" i="2"/>
  <c r="S1038" i="2"/>
  <c r="T1036" i="2"/>
  <c r="S1036" i="2"/>
  <c r="B6" i="23"/>
  <c r="BI2" i="23"/>
  <c r="BJ2" i="23" s="1"/>
  <c r="BK2" i="23" s="1"/>
  <c r="BL2" i="23" s="1"/>
  <c r="BM2" i="23" s="1"/>
  <c r="BN2" i="23" s="1"/>
  <c r="BO2" i="23" s="1"/>
  <c r="BP2" i="23" s="1"/>
  <c r="BQ2" i="23" s="1"/>
  <c r="BR2" i="23" s="1"/>
  <c r="BS2" i="23" s="1"/>
  <c r="BT2" i="23" s="1"/>
  <c r="BU2" i="23" s="1"/>
  <c r="BV2" i="23" s="1"/>
  <c r="BW2" i="23" s="1"/>
  <c r="BX2" i="23" s="1"/>
  <c r="BY2" i="23" s="1"/>
  <c r="BZ2" i="23" s="1"/>
  <c r="CA2" i="23" s="1"/>
  <c r="CB2" i="23" s="1"/>
  <c r="CC2" i="23" s="1"/>
  <c r="CD2" i="23" s="1"/>
  <c r="CE2" i="23" s="1"/>
  <c r="CF2" i="23" s="1"/>
  <c r="CG2" i="23" s="1"/>
  <c r="CH2" i="23" s="1"/>
  <c r="CI2" i="23" s="1"/>
  <c r="CJ2" i="23" s="1"/>
  <c r="CK2" i="23" s="1"/>
  <c r="CL2" i="23" s="1"/>
  <c r="CM2" i="23" s="1"/>
  <c r="CN2" i="23" s="1"/>
  <c r="CO2" i="23" s="1"/>
  <c r="CP2" i="23" s="1"/>
  <c r="CQ2" i="23" s="1"/>
  <c r="CR2" i="23" s="1"/>
  <c r="CS2" i="23" s="1"/>
  <c r="CT2" i="23" s="1"/>
  <c r="CU2" i="23" s="1"/>
  <c r="CV2" i="23" s="1"/>
  <c r="CW2" i="23" s="1"/>
  <c r="CX2" i="23" s="1"/>
  <c r="CY2" i="23" s="1"/>
  <c r="CZ2" i="23" s="1"/>
  <c r="DA2" i="23" s="1"/>
  <c r="DB2" i="23" s="1"/>
  <c r="DC2" i="23" s="1"/>
  <c r="DD2" i="23" s="1"/>
  <c r="DE2" i="23" s="1"/>
  <c r="DF2" i="23" s="1"/>
  <c r="DG2" i="23" s="1"/>
  <c r="DH2" i="23" s="1"/>
  <c r="DI2" i="23" s="1"/>
  <c r="DJ2" i="23" s="1"/>
  <c r="DK2" i="23" s="1"/>
  <c r="DL2" i="23" s="1"/>
  <c r="DM2" i="23" s="1"/>
  <c r="DN2" i="23" s="1"/>
  <c r="DO2" i="23" s="1"/>
  <c r="DP2" i="23" s="1"/>
  <c r="DQ2" i="23" s="1"/>
  <c r="DR2" i="23" s="1"/>
  <c r="DS2" i="23" s="1"/>
  <c r="DT2" i="23" s="1"/>
  <c r="DU2" i="23" s="1"/>
  <c r="DV2" i="23" s="1"/>
  <c r="DW2" i="23" s="1"/>
  <c r="DX2" i="23" s="1"/>
  <c r="DY2" i="23" s="1"/>
  <c r="DZ2" i="23" s="1"/>
  <c r="EA2" i="23" s="1"/>
  <c r="EB2" i="23" s="1"/>
  <c r="EC2" i="23" s="1"/>
  <c r="ED2" i="23" s="1"/>
  <c r="EE2" i="23" s="1"/>
  <c r="EF2" i="23" s="1"/>
  <c r="EG2" i="23" s="1"/>
  <c r="EH2" i="23" s="1"/>
  <c r="EI2" i="23" s="1"/>
  <c r="EJ2" i="23" s="1"/>
  <c r="EK2" i="23" s="1"/>
  <c r="EL2" i="23" s="1"/>
  <c r="EM2" i="23" s="1"/>
  <c r="EN2" i="23" s="1"/>
  <c r="EO2" i="23" s="1"/>
  <c r="EP2" i="23" s="1"/>
  <c r="EQ2" i="23" s="1"/>
  <c r="ER2" i="23" s="1"/>
  <c r="ES2" i="23" s="1"/>
  <c r="ET2" i="23" s="1"/>
  <c r="EU2" i="23" s="1"/>
  <c r="EV2" i="23" s="1"/>
  <c r="EW2" i="23" s="1"/>
  <c r="EX2" i="23" s="1"/>
  <c r="EY2" i="23" s="1"/>
  <c r="EZ2" i="23" s="1"/>
  <c r="FA2" i="23" s="1"/>
  <c r="FB2" i="23" s="1"/>
  <c r="FC2" i="23" s="1"/>
  <c r="FD2" i="23" s="1"/>
  <c r="FE2" i="23" s="1"/>
  <c r="FF2" i="23" s="1"/>
  <c r="FG2" i="23" s="1"/>
  <c r="FH2" i="23" s="1"/>
  <c r="FI2" i="23" s="1"/>
  <c r="FJ2" i="23" s="1"/>
  <c r="FK2" i="23" s="1"/>
  <c r="FL2" i="23" s="1"/>
  <c r="FM2" i="23" s="1"/>
  <c r="FN2" i="23" s="1"/>
  <c r="FO2" i="23" s="1"/>
  <c r="FP2" i="23" s="1"/>
  <c r="FQ2" i="23" s="1"/>
  <c r="FR2" i="23" s="1"/>
  <c r="FS2" i="23" s="1"/>
  <c r="FT2" i="23" s="1"/>
  <c r="FU2" i="23" s="1"/>
  <c r="FV2" i="23" s="1"/>
  <c r="FW2" i="23" s="1"/>
  <c r="FX2" i="23" s="1"/>
  <c r="FY2" i="23" s="1"/>
  <c r="FZ2" i="23" s="1"/>
  <c r="GA2" i="23" s="1"/>
  <c r="GB2" i="23" s="1"/>
  <c r="GC2" i="23" s="1"/>
  <c r="GD2" i="23" s="1"/>
  <c r="GE2" i="23" s="1"/>
  <c r="GF2" i="23" s="1"/>
  <c r="GG2" i="23" s="1"/>
  <c r="GH2" i="23" s="1"/>
  <c r="GI2" i="23" s="1"/>
  <c r="GJ2" i="23" s="1"/>
  <c r="GK2" i="23" s="1"/>
  <c r="GL2" i="23" s="1"/>
  <c r="GM2" i="23" s="1"/>
  <c r="GN2" i="23" s="1"/>
  <c r="GO2" i="23" s="1"/>
  <c r="GP2" i="23" s="1"/>
  <c r="GQ2" i="23" s="1"/>
  <c r="GR2" i="23" s="1"/>
  <c r="GS2" i="23" s="1"/>
  <c r="GT2" i="23" s="1"/>
  <c r="GU2" i="23" s="1"/>
  <c r="GV2" i="23" s="1"/>
  <c r="GW2" i="23" s="1"/>
  <c r="GX2" i="23" s="1"/>
  <c r="GY2" i="23" s="1"/>
  <c r="GZ2" i="23" s="1"/>
  <c r="HA2" i="23" s="1"/>
  <c r="HB2" i="23" s="1"/>
  <c r="HC2" i="23" s="1"/>
  <c r="HD2" i="23" s="1"/>
  <c r="HE2" i="23" s="1"/>
  <c r="HF2" i="23" s="1"/>
  <c r="HG2" i="23" s="1"/>
  <c r="HH2" i="23" s="1"/>
  <c r="HI2" i="23" s="1"/>
  <c r="HJ2" i="23" s="1"/>
  <c r="HK2" i="23" s="1"/>
  <c r="HL2" i="23" s="1"/>
  <c r="HM2" i="23" s="1"/>
  <c r="HN2" i="23" s="1"/>
  <c r="HO2" i="23" s="1"/>
  <c r="HP2" i="23" s="1"/>
  <c r="HQ2" i="23" s="1"/>
  <c r="HR2" i="23" s="1"/>
  <c r="HS2" i="23" s="1"/>
  <c r="HT2" i="23" s="1"/>
  <c r="HU2" i="23" s="1"/>
  <c r="HV2" i="23" s="1"/>
  <c r="HW2" i="23" s="1"/>
  <c r="HX2" i="23" s="1"/>
  <c r="HY2" i="23" s="1"/>
  <c r="HZ2" i="23" s="1"/>
  <c r="IA2" i="23" s="1"/>
  <c r="IB2" i="23" s="1"/>
  <c r="IC2" i="23" s="1"/>
  <c r="ID2" i="23" s="1"/>
  <c r="IE2" i="23" s="1"/>
  <c r="IF2" i="23" s="1"/>
  <c r="IG2" i="23" s="1"/>
  <c r="IH2" i="23" s="1"/>
  <c r="II2" i="23" s="1"/>
  <c r="IJ2" i="23" s="1"/>
  <c r="IK2" i="23" s="1"/>
  <c r="IL2" i="23" s="1"/>
  <c r="IM2" i="23" s="1"/>
  <c r="IN2" i="23" s="1"/>
  <c r="IO2" i="23" s="1"/>
  <c r="IP2" i="23" s="1"/>
  <c r="IQ2" i="23" s="1"/>
  <c r="IR2" i="23" s="1"/>
  <c r="IS2" i="23" s="1"/>
  <c r="IT2" i="23" s="1"/>
  <c r="IU2" i="23" s="1"/>
  <c r="IV2" i="23" s="1"/>
  <c r="IW2" i="23" s="1"/>
  <c r="IX2" i="23" s="1"/>
  <c r="IY2" i="23" s="1"/>
  <c r="IZ2" i="23" s="1"/>
  <c r="JA2" i="23" s="1"/>
  <c r="JB2" i="23" s="1"/>
  <c r="JC2" i="23" s="1"/>
  <c r="JD2" i="23" s="1"/>
  <c r="JE2" i="23" s="1"/>
  <c r="JF2" i="23" s="1"/>
  <c r="JG2" i="23" s="1"/>
  <c r="JH2" i="23" s="1"/>
  <c r="JI2" i="23" s="1"/>
  <c r="JJ2" i="23" s="1"/>
  <c r="JK2" i="23" s="1"/>
  <c r="JL2" i="23" s="1"/>
  <c r="JM2" i="23" s="1"/>
  <c r="JN2" i="23" s="1"/>
  <c r="JO2" i="23" s="1"/>
  <c r="JP2" i="23" s="1"/>
  <c r="JQ2" i="23" s="1"/>
  <c r="JR2" i="23" s="1"/>
  <c r="JS2" i="23" s="1"/>
  <c r="JT2" i="23" s="1"/>
  <c r="JU2" i="23" s="1"/>
  <c r="JV2" i="23" s="1"/>
  <c r="JW2" i="23" s="1"/>
  <c r="JX2" i="23" s="1"/>
  <c r="JY2" i="23" s="1"/>
  <c r="JZ2" i="23" s="1"/>
  <c r="KA2" i="23" s="1"/>
  <c r="KB2" i="23" s="1"/>
  <c r="KC2" i="23" s="1"/>
  <c r="KD2" i="23" s="1"/>
  <c r="KE2" i="23" s="1"/>
  <c r="KF2" i="23" s="1"/>
  <c r="KG2" i="23" s="1"/>
  <c r="KH2" i="23" s="1"/>
  <c r="KI2" i="23" s="1"/>
  <c r="KJ2" i="23" s="1"/>
  <c r="KK2" i="23" s="1"/>
  <c r="KL2" i="23" s="1"/>
  <c r="KM2" i="23" s="1"/>
  <c r="KN2" i="23" s="1"/>
  <c r="KO2" i="23" s="1"/>
  <c r="KP2" i="23" s="1"/>
  <c r="KQ2" i="23" s="1"/>
  <c r="KR2" i="23" s="1"/>
  <c r="KS2" i="23" s="1"/>
  <c r="KT2" i="23" s="1"/>
  <c r="KU2" i="23" s="1"/>
  <c r="KV2" i="23" s="1"/>
  <c r="KW2" i="23" s="1"/>
  <c r="KX2" i="23" s="1"/>
  <c r="KY2" i="23" s="1"/>
  <c r="KZ2" i="23" s="1"/>
  <c r="LA2" i="23" s="1"/>
  <c r="LB2" i="23" s="1"/>
  <c r="LC2" i="23" s="1"/>
  <c r="LD2" i="23" s="1"/>
  <c r="LE2" i="23" s="1"/>
  <c r="LF2" i="23" s="1"/>
  <c r="LG2" i="23" s="1"/>
  <c r="LH2" i="23" s="1"/>
  <c r="LI2" i="23" s="1"/>
  <c r="LJ2" i="23" s="1"/>
  <c r="LK2" i="23" s="1"/>
  <c r="LL2" i="23" s="1"/>
  <c r="LM2" i="23" s="1"/>
  <c r="LN2" i="23" s="1"/>
  <c r="LO2" i="23" s="1"/>
  <c r="LP2" i="23" s="1"/>
  <c r="LQ2" i="23" s="1"/>
  <c r="LR2" i="23" s="1"/>
  <c r="LS2" i="23" s="1"/>
  <c r="LT2" i="23" s="1"/>
  <c r="LU2" i="23" s="1"/>
  <c r="LV2" i="23" s="1"/>
  <c r="LW2" i="23" s="1"/>
  <c r="LX2" i="23" s="1"/>
  <c r="LY2" i="23" s="1"/>
  <c r="LZ2" i="23" s="1"/>
  <c r="MA2" i="23" s="1"/>
  <c r="MB2" i="23" s="1"/>
  <c r="MC2" i="23" s="1"/>
  <c r="MD2" i="23" s="1"/>
  <c r="ME2" i="23" s="1"/>
  <c r="MF2" i="23" s="1"/>
  <c r="MG2" i="23" s="1"/>
  <c r="MH2" i="23" s="1"/>
  <c r="MI2" i="23" s="1"/>
  <c r="MJ2" i="23" s="1"/>
  <c r="MK2" i="23" s="1"/>
  <c r="ML2" i="23" s="1"/>
  <c r="MM2" i="23" s="1"/>
  <c r="MN2" i="23" s="1"/>
  <c r="MO2" i="23" s="1"/>
  <c r="MP2" i="23" s="1"/>
  <c r="MQ2" i="23" s="1"/>
  <c r="MR2" i="23" s="1"/>
  <c r="MS2" i="23" s="1"/>
  <c r="MT2" i="23" s="1"/>
  <c r="MU2" i="23" s="1"/>
  <c r="MV2" i="23" s="1"/>
  <c r="MW2" i="23" s="1"/>
  <c r="MX2" i="23" s="1"/>
  <c r="MY2" i="23" s="1"/>
  <c r="MZ2" i="23" s="1"/>
  <c r="NA2" i="23" s="1"/>
  <c r="NB2" i="23" s="1"/>
  <c r="NC2" i="23" s="1"/>
  <c r="ND2" i="23" s="1"/>
  <c r="NE2" i="23" s="1"/>
  <c r="NF2" i="23" s="1"/>
  <c r="NG2" i="23" s="1"/>
  <c r="A7" i="23"/>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A1054" i="2"/>
  <c r="Z1054" i="2"/>
  <c r="Y1054" i="2"/>
  <c r="T1054" i="2"/>
  <c r="S1054" i="2"/>
  <c r="N1054" i="2"/>
  <c r="P1054" i="2" s="1"/>
  <c r="K1054" i="2"/>
  <c r="N1207" i="2"/>
  <c r="L1207" i="2" s="1"/>
  <c r="AB1207" i="2" s="1"/>
  <c r="N1206" i="2"/>
  <c r="L1206" i="2" s="1"/>
  <c r="AB1206" i="2" s="1"/>
  <c r="N1205" i="2"/>
  <c r="L1205" i="2" s="1"/>
  <c r="AB1205" i="2" s="1"/>
  <c r="N1204" i="2"/>
  <c r="L1204" i="2" s="1"/>
  <c r="AB1204" i="2" s="1"/>
  <c r="N1203" i="2"/>
  <c r="L1203" i="2" s="1"/>
  <c r="AB1203" i="2" s="1"/>
  <c r="N1202" i="2"/>
  <c r="L1202" i="2" s="1"/>
  <c r="AB1202" i="2" s="1"/>
  <c r="N1201" i="2"/>
  <c r="L1201" i="2" s="1"/>
  <c r="AB1201" i="2" s="1"/>
  <c r="N1200" i="2"/>
  <c r="L1200" i="2" s="1"/>
  <c r="AB1200" i="2" s="1"/>
  <c r="N1199" i="2"/>
  <c r="L1199" i="2" s="1"/>
  <c r="AB1199" i="2" s="1"/>
  <c r="N1198" i="2"/>
  <c r="N1197" i="2"/>
  <c r="L1197" i="2" s="1"/>
  <c r="AB1197" i="2" s="1"/>
  <c r="N1196" i="2"/>
  <c r="N1195" i="2"/>
  <c r="L1195" i="2" s="1"/>
  <c r="AB1195" i="2" s="1"/>
  <c r="N1194" i="2"/>
  <c r="N1193" i="2"/>
  <c r="L1193" i="2" s="1"/>
  <c r="AB1193" i="2" s="1"/>
  <c r="N1192" i="2"/>
  <c r="N1191" i="2"/>
  <c r="L1191" i="2" s="1"/>
  <c r="AB1191" i="2" s="1"/>
  <c r="N1190" i="2"/>
  <c r="N1189" i="2"/>
  <c r="L1189" i="2" s="1"/>
  <c r="AB1189" i="2" s="1"/>
  <c r="N1188" i="2"/>
  <c r="N1187" i="2"/>
  <c r="L1187" i="2" s="1"/>
  <c r="AB1187" i="2" s="1"/>
  <c r="N1186" i="2"/>
  <c r="N1185" i="2"/>
  <c r="L1185" i="2" s="1"/>
  <c r="AB1185" i="2" s="1"/>
  <c r="N1184" i="2"/>
  <c r="N1183" i="2"/>
  <c r="L1183" i="2" s="1"/>
  <c r="AB1183" i="2" s="1"/>
  <c r="N1182" i="2"/>
  <c r="N1181" i="2"/>
  <c r="L1181" i="2" s="1"/>
  <c r="AB1181" i="2" s="1"/>
  <c r="N1180" i="2"/>
  <c r="N1179" i="2"/>
  <c r="L1179" i="2" s="1"/>
  <c r="AB1179" i="2" s="1"/>
  <c r="N1178" i="2"/>
  <c r="N1177" i="2"/>
  <c r="N1176" i="2"/>
  <c r="N1175" i="2"/>
  <c r="L1175" i="2" s="1"/>
  <c r="AB1175" i="2" s="1"/>
  <c r="N1174" i="2"/>
  <c r="N1173" i="2"/>
  <c r="L1173" i="2" s="1"/>
  <c r="AB1173" i="2" s="1"/>
  <c r="N1172" i="2"/>
  <c r="N1171" i="2"/>
  <c r="L1171" i="2" s="1"/>
  <c r="AB1171" i="2" s="1"/>
  <c r="N1170" i="2"/>
  <c r="N1169" i="2"/>
  <c r="L1169" i="2" s="1"/>
  <c r="AB1169" i="2" s="1"/>
  <c r="N1168" i="2"/>
  <c r="N1167" i="2"/>
  <c r="L1167" i="2" s="1"/>
  <c r="AB1167" i="2" s="1"/>
  <c r="N1166" i="2"/>
  <c r="N1165" i="2"/>
  <c r="L1165" i="2" s="1"/>
  <c r="AB1165" i="2" s="1"/>
  <c r="N1164" i="2"/>
  <c r="N1163" i="2"/>
  <c r="L1163" i="2" s="1"/>
  <c r="AB1163" i="2" s="1"/>
  <c r="N1162" i="2"/>
  <c r="N1161" i="2"/>
  <c r="L1161" i="2" s="1"/>
  <c r="AB1161" i="2" s="1"/>
  <c r="N1160" i="2"/>
  <c r="N1159" i="2"/>
  <c r="L1159" i="2" s="1"/>
  <c r="AB1159" i="2" s="1"/>
  <c r="N1158" i="2"/>
  <c r="N1157" i="2"/>
  <c r="L1157" i="2" s="1"/>
  <c r="AB1157" i="2" s="1"/>
  <c r="N1156" i="2"/>
  <c r="N1155" i="2"/>
  <c r="L1155" i="2" s="1"/>
  <c r="AB1155" i="2" s="1"/>
  <c r="N1154" i="2"/>
  <c r="N1153" i="2"/>
  <c r="L1153" i="2" s="1"/>
  <c r="AB1153" i="2" s="1"/>
  <c r="N1152" i="2"/>
  <c r="N1151" i="2"/>
  <c r="L1151" i="2" s="1"/>
  <c r="AB1151" i="2" s="1"/>
  <c r="N1150" i="2"/>
  <c r="N1149" i="2"/>
  <c r="L1149" i="2" s="1"/>
  <c r="AB1149" i="2" s="1"/>
  <c r="N1148" i="2"/>
  <c r="N1147" i="2"/>
  <c r="L1147" i="2" s="1"/>
  <c r="AB1147" i="2" s="1"/>
  <c r="N1146" i="2"/>
  <c r="N1145" i="2"/>
  <c r="N1144" i="2"/>
  <c r="N1143" i="2"/>
  <c r="L1143" i="2" s="1"/>
  <c r="AB1143" i="2" s="1"/>
  <c r="N1142" i="2"/>
  <c r="N1141" i="2"/>
  <c r="L1141" i="2" s="1"/>
  <c r="AB1141" i="2" s="1"/>
  <c r="N1140" i="2"/>
  <c r="N1139" i="2"/>
  <c r="L1139" i="2" s="1"/>
  <c r="AB1139" i="2" s="1"/>
  <c r="N1138" i="2"/>
  <c r="N1137" i="2"/>
  <c r="L1137" i="2" s="1"/>
  <c r="AB1137" i="2" s="1"/>
  <c r="N1136" i="2"/>
  <c r="N1135" i="2"/>
  <c r="L1135" i="2" s="1"/>
  <c r="AB1135" i="2" s="1"/>
  <c r="N1134" i="2"/>
  <c r="N1133" i="2"/>
  <c r="L1133" i="2" s="1"/>
  <c r="AB1133" i="2" s="1"/>
  <c r="N1132" i="2"/>
  <c r="N1131" i="2"/>
  <c r="L1131" i="2" s="1"/>
  <c r="AB1131" i="2" s="1"/>
  <c r="N1130" i="2"/>
  <c r="N1129" i="2"/>
  <c r="L1129" i="2" s="1"/>
  <c r="AB1129" i="2" s="1"/>
  <c r="N1128" i="2"/>
  <c r="N1127" i="2"/>
  <c r="L1127" i="2" s="1"/>
  <c r="AB1127" i="2" s="1"/>
  <c r="N1126" i="2"/>
  <c r="N1125" i="2"/>
  <c r="L1125" i="2" s="1"/>
  <c r="AB1125" i="2" s="1"/>
  <c r="N1124" i="2"/>
  <c r="N1123" i="2"/>
  <c r="L1123" i="2" s="1"/>
  <c r="AB1123" i="2" s="1"/>
  <c r="N1122" i="2"/>
  <c r="N1121" i="2"/>
  <c r="L1121" i="2" s="1"/>
  <c r="AB1121" i="2" s="1"/>
  <c r="N1120" i="2"/>
  <c r="N1119" i="2"/>
  <c r="L1119" i="2" s="1"/>
  <c r="AB1119" i="2" s="1"/>
  <c r="N1118" i="2"/>
  <c r="N1117" i="2"/>
  <c r="L1117" i="2" s="1"/>
  <c r="AB1117" i="2" s="1"/>
  <c r="N1116" i="2"/>
  <c r="N1115" i="2"/>
  <c r="L1115" i="2" s="1"/>
  <c r="AB1115" i="2" s="1"/>
  <c r="N1114" i="2"/>
  <c r="N1113" i="2"/>
  <c r="N1111" i="2"/>
  <c r="L1111" i="2" s="1"/>
  <c r="N1109" i="2"/>
  <c r="L1109" i="2" s="1"/>
  <c r="AB1109" i="2" s="1"/>
  <c r="N1108" i="2"/>
  <c r="L1108" i="2" s="1"/>
  <c r="AB1108" i="2" s="1"/>
  <c r="N1107" i="2"/>
  <c r="L1107" i="2" s="1"/>
  <c r="AB1107" i="2" s="1"/>
  <c r="N1099" i="2"/>
  <c r="L1099" i="2" s="1"/>
  <c r="AB1099" i="2" s="1"/>
  <c r="N1098" i="2"/>
  <c r="L1098" i="2" s="1"/>
  <c r="AB1098" i="2" s="1"/>
  <c r="N1097" i="2"/>
  <c r="L1097" i="2" s="1"/>
  <c r="AB1097" i="2" s="1"/>
  <c r="N1096" i="2"/>
  <c r="L1096" i="2" s="1"/>
  <c r="AB1096" i="2" s="1"/>
  <c r="N1095" i="2"/>
  <c r="L1095" i="2" s="1"/>
  <c r="AB1095" i="2" s="1"/>
  <c r="N1094" i="2"/>
  <c r="L1094" i="2" s="1"/>
  <c r="AB1094" i="2" s="1"/>
  <c r="N1093" i="2"/>
  <c r="L1093" i="2" s="1"/>
  <c r="AB1093" i="2" s="1"/>
  <c r="N1092" i="2"/>
  <c r="L1092" i="2" s="1"/>
  <c r="AB1092" i="2" s="1"/>
  <c r="N1091" i="2"/>
  <c r="L1091" i="2" s="1"/>
  <c r="AB1091" i="2" s="1"/>
  <c r="L1090" i="2"/>
  <c r="AB1090" i="2" s="1"/>
  <c r="N1089" i="2"/>
  <c r="L1089" i="2" s="1"/>
  <c r="AB1089" i="2" s="1"/>
  <c r="N1088" i="2"/>
  <c r="L1088" i="2" s="1"/>
  <c r="AB1088" i="2" s="1"/>
  <c r="N1087" i="2"/>
  <c r="L1087" i="2" s="1"/>
  <c r="AB1087" i="2" s="1"/>
  <c r="N1086" i="2"/>
  <c r="L1086" i="2" s="1"/>
  <c r="AB1086" i="2" s="1"/>
  <c r="N1085" i="2"/>
  <c r="L1085" i="2" s="1"/>
  <c r="AB1085" i="2" s="1"/>
  <c r="N1084" i="2"/>
  <c r="L1084" i="2" s="1"/>
  <c r="AB1084" i="2" s="1"/>
  <c r="N1083" i="2"/>
  <c r="L1083" i="2" s="1"/>
  <c r="AB1083" i="2" s="1"/>
  <c r="N1082" i="2"/>
  <c r="L1082" i="2" s="1"/>
  <c r="AB1082" i="2" s="1"/>
  <c r="N1081" i="2"/>
  <c r="L1081" i="2" s="1"/>
  <c r="AB1081" i="2" s="1"/>
  <c r="N1080" i="2"/>
  <c r="L1080" i="2" s="1"/>
  <c r="AB1080" i="2" s="1"/>
  <c r="N1079" i="2"/>
  <c r="L1079" i="2" s="1"/>
  <c r="AB1079" i="2" s="1"/>
  <c r="N1078" i="2"/>
  <c r="L1078" i="2" s="1"/>
  <c r="AB1078" i="2" s="1"/>
  <c r="N1077" i="2"/>
  <c r="N1076" i="2"/>
  <c r="L1076" i="2" s="1"/>
  <c r="AB1076" i="2" s="1"/>
  <c r="N1075" i="2"/>
  <c r="L1075" i="2" s="1"/>
  <c r="AB1075" i="2" s="1"/>
  <c r="N1074" i="2"/>
  <c r="L1074" i="2" s="1"/>
  <c r="AB1074" i="2" s="1"/>
  <c r="N1073" i="2"/>
  <c r="N1072" i="2"/>
  <c r="L1072" i="2" s="1"/>
  <c r="AB1072" i="2" s="1"/>
  <c r="N1071" i="2"/>
  <c r="L1071" i="2" s="1"/>
  <c r="AB1071" i="2" s="1"/>
  <c r="N1070" i="2"/>
  <c r="L1070" i="2" s="1"/>
  <c r="AB1070" i="2" s="1"/>
  <c r="N1069" i="2"/>
  <c r="L1069" i="2" s="1"/>
  <c r="AB1069" i="2" s="1"/>
  <c r="N1068" i="2"/>
  <c r="L1068" i="2" s="1"/>
  <c r="AB1068" i="2" s="1"/>
  <c r="N1067" i="2"/>
  <c r="L1067" i="2" s="1"/>
  <c r="AB1067" i="2" s="1"/>
  <c r="N1066" i="2"/>
  <c r="L1066" i="2" s="1"/>
  <c r="AB1066" i="2" s="1"/>
  <c r="N1065" i="2"/>
  <c r="N1064" i="2"/>
  <c r="L1064" i="2" s="1"/>
  <c r="AB1064" i="2" s="1"/>
  <c r="N1063" i="2"/>
  <c r="L1063" i="2" s="1"/>
  <c r="AB1063" i="2" s="1"/>
  <c r="N1062" i="2"/>
  <c r="L1062" i="2" s="1"/>
  <c r="AB1062" i="2" s="1"/>
  <c r="N1061" i="2"/>
  <c r="N1060" i="2"/>
  <c r="L1060" i="2" s="1"/>
  <c r="AB1060" i="2" s="1"/>
  <c r="N1059" i="2"/>
  <c r="L1059" i="2" s="1"/>
  <c r="AB1059" i="2" s="1"/>
  <c r="N1058" i="2"/>
  <c r="L1058" i="2" s="1"/>
  <c r="AB1058" i="2" s="1"/>
  <c r="N1057" i="2"/>
  <c r="L1057" i="2" s="1"/>
  <c r="AB1057" i="2" s="1"/>
  <c r="N1056" i="2"/>
  <c r="L1056" i="2" s="1"/>
  <c r="AB1056" i="2" s="1"/>
  <c r="N1055" i="2"/>
  <c r="L1055" i="2" s="1"/>
  <c r="AB1055" i="2" s="1"/>
  <c r="N1053" i="2"/>
  <c r="N1052" i="2"/>
  <c r="L1052" i="2" s="1"/>
  <c r="AB1052" i="2" s="1"/>
  <c r="N1051" i="2"/>
  <c r="L1051" i="2" s="1"/>
  <c r="AB1051" i="2" s="1"/>
  <c r="N1050" i="2"/>
  <c r="L1050" i="2" s="1"/>
  <c r="AB1050" i="2" s="1"/>
  <c r="N1049" i="2"/>
  <c r="N1048" i="2"/>
  <c r="L1048" i="2" s="1"/>
  <c r="AB1048" i="2" s="1"/>
  <c r="N1047" i="2"/>
  <c r="L1047" i="2" s="1"/>
  <c r="AB1047" i="2" s="1"/>
  <c r="N1046" i="2"/>
  <c r="L1046" i="2" s="1"/>
  <c r="AB1046" i="2" s="1"/>
  <c r="N1045" i="2"/>
  <c r="L1045" i="2" s="1"/>
  <c r="AB1045" i="2" s="1"/>
  <c r="N1044" i="2"/>
  <c r="L1044" i="2" s="1"/>
  <c r="AB1044" i="2" s="1"/>
  <c r="N1043" i="2"/>
  <c r="L1043" i="2" s="1"/>
  <c r="AB1043" i="2" s="1"/>
  <c r="N1042" i="2"/>
  <c r="L1042" i="2" s="1"/>
  <c r="AB1042" i="2" s="1"/>
  <c r="N1041" i="2"/>
  <c r="L1041" i="2" s="1"/>
  <c r="AB1041" i="2" s="1"/>
  <c r="N1040" i="2"/>
  <c r="L1040" i="2" s="1"/>
  <c r="AB1040" i="2" s="1"/>
  <c r="K1036" i="2"/>
  <c r="N1036" i="2"/>
  <c r="P1036" i="2" s="1"/>
  <c r="L1039" i="2"/>
  <c r="AB1037" i="2" s="1"/>
  <c r="N1038" i="2"/>
  <c r="L1038" i="2" s="1"/>
  <c r="AB1036" i="2" s="1"/>
  <c r="N1035" i="2"/>
  <c r="L1035" i="2" s="1"/>
  <c r="AB1035" i="2" s="1"/>
  <c r="N1034" i="2"/>
  <c r="L1034" i="2" s="1"/>
  <c r="AB1034" i="2" s="1"/>
  <c r="N1033" i="2"/>
  <c r="L1033" i="2" s="1"/>
  <c r="AB1033" i="2" s="1"/>
  <c r="N1032" i="2"/>
  <c r="L1032" i="2" s="1"/>
  <c r="AB1032" i="2" s="1"/>
  <c r="N1031" i="2"/>
  <c r="L1031" i="2" s="1"/>
  <c r="AB1031" i="2" s="1"/>
  <c r="N1030" i="2"/>
  <c r="L1030" i="2" s="1"/>
  <c r="AB1030" i="2" s="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217" i="21"/>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346" i="15"/>
  <c r="B345" i="15"/>
  <c r="B344" i="15"/>
  <c r="B343" i="15"/>
  <c r="B342" i="15"/>
  <c r="B341" i="15"/>
  <c r="B340" i="15"/>
  <c r="B339" i="15"/>
  <c r="B338" i="15"/>
  <c r="B337" i="15"/>
  <c r="B336" i="15"/>
  <c r="B335" i="15"/>
  <c r="P1197" i="21"/>
  <c r="P1196" i="21"/>
  <c r="P1195" i="21"/>
  <c r="P1194" i="21"/>
  <c r="P1193" i="21"/>
  <c r="P1192" i="21"/>
  <c r="P1191" i="21"/>
  <c r="P1190" i="21"/>
  <c r="P1189" i="21"/>
  <c r="P1188" i="21"/>
  <c r="P1187" i="21"/>
  <c r="P1186" i="21"/>
  <c r="P1185" i="21"/>
  <c r="P1184" i="21"/>
  <c r="P1183" i="21"/>
  <c r="P1182" i="21"/>
  <c r="P1181" i="21"/>
  <c r="P1180" i="21"/>
  <c r="P1179" i="21"/>
  <c r="P1178" i="21"/>
  <c r="P1177" i="21"/>
  <c r="P1176" i="21"/>
  <c r="P1175" i="21"/>
  <c r="P1174" i="21"/>
  <c r="P1173" i="21"/>
  <c r="P1172" i="21"/>
  <c r="P1171" i="21"/>
  <c r="P1170" i="21"/>
  <c r="P1169" i="21"/>
  <c r="P1168" i="21"/>
  <c r="P1167" i="21"/>
  <c r="P1166" i="21"/>
  <c r="P1165" i="21"/>
  <c r="P1164" i="21"/>
  <c r="P1163" i="21"/>
  <c r="P1162" i="21"/>
  <c r="P1161" i="21"/>
  <c r="P1160" i="21"/>
  <c r="P1159" i="21"/>
  <c r="P1158" i="21"/>
  <c r="P1157" i="21"/>
  <c r="P1156" i="21"/>
  <c r="P1155" i="21"/>
  <c r="P1154" i="21"/>
  <c r="P1153" i="21"/>
  <c r="P1152" i="21"/>
  <c r="P1151" i="21"/>
  <c r="P1150" i="21"/>
  <c r="P1149" i="21"/>
  <c r="P1148" i="21"/>
  <c r="P1147" i="21"/>
  <c r="P1146" i="21"/>
  <c r="P1145" i="21"/>
  <c r="P1144" i="21"/>
  <c r="P1143" i="21"/>
  <c r="P1142" i="21"/>
  <c r="P1141" i="21"/>
  <c r="P1140" i="21"/>
  <c r="P1139" i="21"/>
  <c r="P1138" i="21"/>
  <c r="P1137" i="21"/>
  <c r="P1136" i="21"/>
  <c r="P1135" i="21"/>
  <c r="P1134" i="21"/>
  <c r="P1133" i="21"/>
  <c r="P1132" i="21"/>
  <c r="P1131" i="21"/>
  <c r="P1130" i="21"/>
  <c r="P1129" i="21"/>
  <c r="P1128" i="21"/>
  <c r="P1127" i="21"/>
  <c r="P1126" i="21"/>
  <c r="P1125" i="21"/>
  <c r="P1124" i="21"/>
  <c r="P1123" i="21"/>
  <c r="P1122" i="21"/>
  <c r="P1121" i="21"/>
  <c r="P1120" i="21"/>
  <c r="P1119" i="21"/>
  <c r="P1118" i="21"/>
  <c r="P1117" i="21"/>
  <c r="P1116" i="21"/>
  <c r="P1115" i="21"/>
  <c r="P1114" i="21"/>
  <c r="P1113" i="21"/>
  <c r="P1112" i="21"/>
  <c r="P1111" i="21"/>
  <c r="P1110" i="21"/>
  <c r="P1109" i="21"/>
  <c r="P1108" i="21"/>
  <c r="P1107" i="21"/>
  <c r="P1106" i="21"/>
  <c r="P1105" i="21"/>
  <c r="P1104" i="21"/>
  <c r="P1103" i="21"/>
  <c r="P1102" i="21"/>
  <c r="P1101" i="21"/>
  <c r="P1100" i="21"/>
  <c r="P1099" i="21"/>
  <c r="P1098" i="21"/>
  <c r="P1097" i="21"/>
  <c r="P1096" i="21"/>
  <c r="P1095" i="21"/>
  <c r="P1094" i="21"/>
  <c r="P1093" i="21"/>
  <c r="P1092" i="21"/>
  <c r="P1091" i="21"/>
  <c r="P1090" i="21"/>
  <c r="P1089" i="21"/>
  <c r="P1088" i="21"/>
  <c r="P1087" i="21"/>
  <c r="P1086" i="21"/>
  <c r="P1085" i="21"/>
  <c r="P1084" i="21"/>
  <c r="P1083" i="21"/>
  <c r="P1082" i="21"/>
  <c r="P1081" i="21"/>
  <c r="P1080" i="21"/>
  <c r="P1079" i="21"/>
  <c r="P1078" i="21"/>
  <c r="P1077" i="21"/>
  <c r="P1076" i="21"/>
  <c r="P1075" i="21"/>
  <c r="P1074" i="21"/>
  <c r="P1073" i="21"/>
  <c r="P1072" i="21"/>
  <c r="P1071" i="21"/>
  <c r="P1070" i="21"/>
  <c r="P1069" i="21"/>
  <c r="P1068" i="21"/>
  <c r="P1067" i="21"/>
  <c r="P1066" i="21"/>
  <c r="P1065" i="21"/>
  <c r="P1064" i="21"/>
  <c r="P1063" i="21"/>
  <c r="P1062" i="21"/>
  <c r="P1061" i="21"/>
  <c r="P1060" i="21"/>
  <c r="P1059" i="21"/>
  <c r="P1058" i="21"/>
  <c r="P1057" i="21"/>
  <c r="P1056" i="21"/>
  <c r="P1055" i="21"/>
  <c r="P1054" i="21"/>
  <c r="P1053" i="21"/>
  <c r="P1052" i="21"/>
  <c r="P1051" i="21"/>
  <c r="P1050" i="21"/>
  <c r="P1049" i="21"/>
  <c r="P1048" i="21"/>
  <c r="P1047" i="21"/>
  <c r="P1046" i="21"/>
  <c r="P1045" i="21"/>
  <c r="P1044" i="21"/>
  <c r="P1043" i="21"/>
  <c r="P1042" i="21"/>
  <c r="P1041" i="21"/>
  <c r="P1040" i="21"/>
  <c r="P1039" i="21"/>
  <c r="P1038" i="21"/>
  <c r="P1037" i="21"/>
  <c r="P1036" i="21"/>
  <c r="P1035" i="21"/>
  <c r="P1034" i="21"/>
  <c r="P1033" i="21"/>
  <c r="P1032" i="21"/>
  <c r="P1031" i="21"/>
  <c r="P1030" i="21"/>
  <c r="P1029" i="21"/>
  <c r="P1028" i="21"/>
  <c r="P1027" i="21"/>
  <c r="P1026" i="21"/>
  <c r="P1025" i="21"/>
  <c r="P1024" i="21"/>
  <c r="P1023" i="21"/>
  <c r="P1022" i="21"/>
  <c r="P1021" i="21"/>
  <c r="P1020" i="21"/>
  <c r="P1019" i="21"/>
  <c r="P1018" i="21"/>
  <c r="P1017" i="21"/>
  <c r="P1016" i="21"/>
  <c r="P1015" i="21"/>
  <c r="P1014" i="21"/>
  <c r="P1013" i="21"/>
  <c r="P1012" i="21"/>
  <c r="P1011" i="21"/>
  <c r="P1010" i="21"/>
  <c r="P1009" i="21"/>
  <c r="P1008" i="21"/>
  <c r="P1007" i="21"/>
  <c r="P1006" i="21"/>
  <c r="P1005" i="21"/>
  <c r="P1004" i="21"/>
  <c r="P1003" i="21"/>
  <c r="P1002" i="21"/>
  <c r="P1001" i="21"/>
  <c r="P1000" i="21"/>
  <c r="P999" i="21"/>
  <c r="P998" i="21"/>
  <c r="P997" i="21"/>
  <c r="P996" i="21"/>
  <c r="P995" i="21"/>
  <c r="P994" i="21"/>
  <c r="P993" i="21"/>
  <c r="P992" i="21"/>
  <c r="P991" i="21"/>
  <c r="P990" i="21"/>
  <c r="P989" i="21"/>
  <c r="P988" i="21"/>
  <c r="P987" i="21"/>
  <c r="P986" i="21"/>
  <c r="P985" i="21"/>
  <c r="P984" i="21"/>
  <c r="P983" i="21"/>
  <c r="P982" i="21"/>
  <c r="P981" i="21"/>
  <c r="P980" i="21"/>
  <c r="P979" i="21"/>
  <c r="P978" i="21"/>
  <c r="P977" i="21"/>
  <c r="P976" i="21"/>
  <c r="P975" i="21"/>
  <c r="P974" i="21"/>
  <c r="P973" i="21"/>
  <c r="P972" i="21"/>
  <c r="P971" i="21"/>
  <c r="P970" i="21"/>
  <c r="P969" i="21"/>
  <c r="P968" i="21"/>
  <c r="P967" i="21"/>
  <c r="P966" i="21"/>
  <c r="P965" i="21"/>
  <c r="P964" i="21"/>
  <c r="P963" i="21"/>
  <c r="P962" i="21"/>
  <c r="P961" i="21"/>
  <c r="P960" i="21"/>
  <c r="P959" i="21"/>
  <c r="P958" i="21"/>
  <c r="P957" i="21"/>
  <c r="P956" i="21"/>
  <c r="P955" i="21"/>
  <c r="P954" i="21"/>
  <c r="P953" i="21"/>
  <c r="P952" i="21"/>
  <c r="P951" i="21"/>
  <c r="P950" i="21"/>
  <c r="P949" i="21"/>
  <c r="P948" i="21"/>
  <c r="P947" i="21"/>
  <c r="P946" i="21"/>
  <c r="P945" i="21"/>
  <c r="P944" i="21"/>
  <c r="P943" i="21"/>
  <c r="P942" i="21"/>
  <c r="P941" i="21"/>
  <c r="P940" i="21"/>
  <c r="P939" i="21"/>
  <c r="P938" i="21"/>
  <c r="P937" i="21"/>
  <c r="P936" i="21"/>
  <c r="P935" i="21"/>
  <c r="P934" i="21"/>
  <c r="P933" i="21"/>
  <c r="P932" i="21"/>
  <c r="P931" i="21"/>
  <c r="P930" i="21"/>
  <c r="P929" i="21"/>
  <c r="P928" i="21"/>
  <c r="P927" i="21"/>
  <c r="P926" i="21"/>
  <c r="P925" i="21"/>
  <c r="P924" i="21"/>
  <c r="P923" i="21"/>
  <c r="P922" i="21"/>
  <c r="P921" i="21"/>
  <c r="P920" i="21"/>
  <c r="P919" i="21"/>
  <c r="P918" i="21"/>
  <c r="P917" i="21"/>
  <c r="P916" i="21"/>
  <c r="P915" i="21"/>
  <c r="P914" i="21"/>
  <c r="P913" i="21"/>
  <c r="P912" i="21"/>
  <c r="P911" i="21"/>
  <c r="P910" i="21"/>
  <c r="P909" i="21"/>
  <c r="P908" i="21"/>
  <c r="P907" i="21"/>
  <c r="P906" i="21"/>
  <c r="P905" i="21"/>
  <c r="P904" i="21"/>
  <c r="P903" i="21"/>
  <c r="P902" i="21"/>
  <c r="P901" i="21"/>
  <c r="P900" i="21"/>
  <c r="P899" i="21"/>
  <c r="P898" i="21"/>
  <c r="P897" i="21"/>
  <c r="P896" i="21"/>
  <c r="P895" i="21"/>
  <c r="P894" i="21"/>
  <c r="P893" i="21"/>
  <c r="P892" i="21"/>
  <c r="P891" i="21"/>
  <c r="P890" i="21"/>
  <c r="P889" i="21"/>
  <c r="P888" i="21"/>
  <c r="P887" i="21"/>
  <c r="P886" i="21"/>
  <c r="P885" i="21"/>
  <c r="P884" i="21"/>
  <c r="P883" i="21"/>
  <c r="P882" i="21"/>
  <c r="P881" i="21"/>
  <c r="P880" i="21"/>
  <c r="P879" i="21"/>
  <c r="P878" i="21"/>
  <c r="P877" i="21"/>
  <c r="P876" i="21"/>
  <c r="P875" i="21"/>
  <c r="P874" i="21"/>
  <c r="P873" i="21"/>
  <c r="P872" i="21"/>
  <c r="P871" i="21"/>
  <c r="P870" i="21"/>
  <c r="P869" i="21"/>
  <c r="P868" i="21"/>
  <c r="P867" i="21"/>
  <c r="P866" i="21"/>
  <c r="P865" i="21"/>
  <c r="P864" i="21"/>
  <c r="P863" i="21"/>
  <c r="P862" i="21"/>
  <c r="P861" i="21"/>
  <c r="P860" i="21"/>
  <c r="P859" i="21"/>
  <c r="P858" i="21"/>
  <c r="P857" i="21"/>
  <c r="P856" i="21"/>
  <c r="P855" i="21"/>
  <c r="P854" i="21"/>
  <c r="P853" i="21"/>
  <c r="P852" i="21"/>
  <c r="P851" i="21"/>
  <c r="P850" i="21"/>
  <c r="P849" i="21"/>
  <c r="P848" i="21"/>
  <c r="P847" i="21"/>
  <c r="P846" i="21"/>
  <c r="P845" i="21"/>
  <c r="P844" i="21"/>
  <c r="P843" i="21"/>
  <c r="P842" i="21"/>
  <c r="P841" i="21"/>
  <c r="P840" i="21"/>
  <c r="P839" i="21"/>
  <c r="P838" i="21"/>
  <c r="P837" i="21"/>
  <c r="P836" i="21"/>
  <c r="P835" i="21"/>
  <c r="P834" i="21"/>
  <c r="P833" i="21"/>
  <c r="P832" i="21"/>
  <c r="P831" i="21"/>
  <c r="P830" i="21"/>
  <c r="P829" i="21"/>
  <c r="P828" i="21"/>
  <c r="P827" i="21"/>
  <c r="P826" i="21"/>
  <c r="P825" i="21"/>
  <c r="P824" i="21"/>
  <c r="P823" i="21"/>
  <c r="P822" i="21"/>
  <c r="P821" i="21"/>
  <c r="P820" i="21"/>
  <c r="P819" i="21"/>
  <c r="P818" i="21"/>
  <c r="P817" i="21"/>
  <c r="P816" i="21"/>
  <c r="P815" i="21"/>
  <c r="P814" i="21"/>
  <c r="P813" i="21"/>
  <c r="P812" i="21"/>
  <c r="P811" i="21"/>
  <c r="P810" i="21"/>
  <c r="P809" i="21"/>
  <c r="P808" i="21"/>
  <c r="P807" i="21"/>
  <c r="P806" i="21"/>
  <c r="P805" i="21"/>
  <c r="P804" i="21"/>
  <c r="P803" i="21"/>
  <c r="P802" i="21"/>
  <c r="P801" i="21"/>
  <c r="P800" i="21"/>
  <c r="P799" i="21"/>
  <c r="P798" i="21"/>
  <c r="P797" i="21"/>
  <c r="P796" i="21"/>
  <c r="P795" i="21"/>
  <c r="P794" i="21"/>
  <c r="P793" i="21"/>
  <c r="P792" i="21"/>
  <c r="P791" i="21"/>
  <c r="P790" i="21"/>
  <c r="P789" i="21"/>
  <c r="P788" i="21"/>
  <c r="P787" i="21"/>
  <c r="P786" i="21"/>
  <c r="P785" i="21"/>
  <c r="P784" i="21"/>
  <c r="P783" i="21"/>
  <c r="P782" i="21"/>
  <c r="P781" i="21"/>
  <c r="P780" i="21"/>
  <c r="P779" i="21"/>
  <c r="P778" i="21"/>
  <c r="P777" i="21"/>
  <c r="P776" i="21"/>
  <c r="P775" i="21"/>
  <c r="P774" i="21"/>
  <c r="P773" i="21"/>
  <c r="P772" i="21"/>
  <c r="P771" i="21"/>
  <c r="P770" i="21"/>
  <c r="P769" i="21"/>
  <c r="P768" i="21"/>
  <c r="P767" i="21"/>
  <c r="P766" i="21"/>
  <c r="P765" i="21"/>
  <c r="P764" i="21"/>
  <c r="P763" i="21"/>
  <c r="P762" i="21"/>
  <c r="P761" i="21"/>
  <c r="P760" i="21"/>
  <c r="P759" i="21"/>
  <c r="P758" i="21"/>
  <c r="P757" i="21"/>
  <c r="P756" i="21"/>
  <c r="P755" i="21"/>
  <c r="P754" i="21"/>
  <c r="P753" i="21"/>
  <c r="P752" i="21"/>
  <c r="P751" i="21"/>
  <c r="P750" i="21"/>
  <c r="P749" i="21"/>
  <c r="P748" i="21"/>
  <c r="P747" i="21"/>
  <c r="P746" i="21"/>
  <c r="P745" i="21"/>
  <c r="P744" i="21"/>
  <c r="P743" i="21"/>
  <c r="P742" i="21"/>
  <c r="P741" i="21"/>
  <c r="P740" i="21"/>
  <c r="P739" i="21"/>
  <c r="P738" i="21"/>
  <c r="P737" i="21"/>
  <c r="P736" i="21"/>
  <c r="P735" i="21"/>
  <c r="P734" i="21"/>
  <c r="P733" i="21"/>
  <c r="P732" i="21"/>
  <c r="P731" i="21"/>
  <c r="P730" i="21"/>
  <c r="P729" i="21"/>
  <c r="P728" i="21"/>
  <c r="P727" i="21"/>
  <c r="P726" i="21"/>
  <c r="P725" i="21"/>
  <c r="P724" i="21"/>
  <c r="P723" i="21"/>
  <c r="P722" i="21"/>
  <c r="P721" i="21"/>
  <c r="P720" i="21"/>
  <c r="P719" i="21"/>
  <c r="P718" i="21"/>
  <c r="P717" i="21"/>
  <c r="P716" i="21"/>
  <c r="P715" i="21"/>
  <c r="P714" i="21"/>
  <c r="P713" i="21"/>
  <c r="P712" i="21"/>
  <c r="P711" i="21"/>
  <c r="P710" i="21"/>
  <c r="P709" i="21"/>
  <c r="P708" i="21"/>
  <c r="P707" i="21"/>
  <c r="P706" i="21"/>
  <c r="P705" i="21"/>
  <c r="P704" i="21"/>
  <c r="P703" i="21"/>
  <c r="P702" i="21"/>
  <c r="P701" i="21"/>
  <c r="P700" i="21"/>
  <c r="P699" i="21"/>
  <c r="P698" i="21"/>
  <c r="P697" i="21"/>
  <c r="P696" i="21"/>
  <c r="P695" i="21"/>
  <c r="P694" i="21"/>
  <c r="P693" i="21"/>
  <c r="P692" i="21"/>
  <c r="P691" i="21"/>
  <c r="P690" i="21"/>
  <c r="P689" i="21"/>
  <c r="P688" i="21"/>
  <c r="P687" i="21"/>
  <c r="P686" i="21"/>
  <c r="P685" i="21"/>
  <c r="P684" i="21"/>
  <c r="P683" i="21"/>
  <c r="P682" i="21"/>
  <c r="P681" i="21"/>
  <c r="P680" i="21"/>
  <c r="P679" i="21"/>
  <c r="P678" i="21"/>
  <c r="P677" i="21"/>
  <c r="P676" i="21"/>
  <c r="P675" i="21"/>
  <c r="P674" i="21"/>
  <c r="P673" i="21"/>
  <c r="P672" i="21"/>
  <c r="P671" i="21"/>
  <c r="P670" i="21"/>
  <c r="P669" i="21"/>
  <c r="P668" i="21"/>
  <c r="P667" i="21"/>
  <c r="P666" i="21"/>
  <c r="P665" i="21"/>
  <c r="P664" i="21"/>
  <c r="P663" i="21"/>
  <c r="P662" i="21"/>
  <c r="P661" i="21"/>
  <c r="P660" i="21"/>
  <c r="P659" i="21"/>
  <c r="P658" i="21"/>
  <c r="P657" i="21"/>
  <c r="P656" i="21"/>
  <c r="P655" i="21"/>
  <c r="P654" i="21"/>
  <c r="P653" i="21"/>
  <c r="P652" i="21"/>
  <c r="P651" i="21"/>
  <c r="P650" i="21"/>
  <c r="P649" i="21"/>
  <c r="P648" i="21"/>
  <c r="P647" i="21"/>
  <c r="P646" i="21"/>
  <c r="P645" i="21"/>
  <c r="P644" i="21"/>
  <c r="P643" i="21"/>
  <c r="P642" i="21"/>
  <c r="P641" i="21"/>
  <c r="P640" i="21"/>
  <c r="P639" i="21"/>
  <c r="P638" i="21"/>
  <c r="P637" i="21"/>
  <c r="P636" i="21"/>
  <c r="P635" i="21"/>
  <c r="P634" i="21"/>
  <c r="P633" i="21"/>
  <c r="P632" i="21"/>
  <c r="P631" i="21"/>
  <c r="P630" i="21"/>
  <c r="P629" i="21"/>
  <c r="P628" i="21"/>
  <c r="P627" i="21"/>
  <c r="P626" i="21"/>
  <c r="P625" i="21"/>
  <c r="P624" i="21"/>
  <c r="P623" i="21"/>
  <c r="P622" i="21"/>
  <c r="P621" i="21"/>
  <c r="P620" i="21"/>
  <c r="P619" i="21"/>
  <c r="P618" i="21"/>
  <c r="P617" i="21"/>
  <c r="P616" i="21"/>
  <c r="P615" i="21"/>
  <c r="P614" i="21"/>
  <c r="P613" i="21"/>
  <c r="P612" i="21"/>
  <c r="P611" i="21"/>
  <c r="P610" i="21"/>
  <c r="P609" i="21"/>
  <c r="P608" i="21"/>
  <c r="P607" i="21"/>
  <c r="P606" i="21"/>
  <c r="P605" i="21"/>
  <c r="P604" i="21"/>
  <c r="P603" i="21"/>
  <c r="P602" i="21"/>
  <c r="P601" i="21"/>
  <c r="P600" i="21"/>
  <c r="P599" i="21"/>
  <c r="P598" i="21"/>
  <c r="P597" i="21"/>
  <c r="P596" i="21"/>
  <c r="P595" i="21"/>
  <c r="P594" i="21"/>
  <c r="P593" i="21"/>
  <c r="P592" i="21"/>
  <c r="P591" i="21"/>
  <c r="P590" i="21"/>
  <c r="P589" i="21"/>
  <c r="P588" i="21"/>
  <c r="P587" i="21"/>
  <c r="P586" i="21"/>
  <c r="P585" i="21"/>
  <c r="P584" i="21"/>
  <c r="P583" i="21"/>
  <c r="P582" i="21"/>
  <c r="P581" i="21"/>
  <c r="P580" i="21"/>
  <c r="P579" i="21"/>
  <c r="P578" i="21"/>
  <c r="P577" i="21"/>
  <c r="P576" i="21"/>
  <c r="P575" i="21"/>
  <c r="P574" i="21"/>
  <c r="P573" i="21"/>
  <c r="P572" i="21"/>
  <c r="P571" i="21"/>
  <c r="P570" i="21"/>
  <c r="P569" i="21"/>
  <c r="P568" i="21"/>
  <c r="P567" i="21"/>
  <c r="P566" i="21"/>
  <c r="P565" i="21"/>
  <c r="P564" i="21"/>
  <c r="P563" i="21"/>
  <c r="P562" i="21"/>
  <c r="P561" i="21"/>
  <c r="P560" i="21"/>
  <c r="P559" i="21"/>
  <c r="P558" i="21"/>
  <c r="P557" i="21"/>
  <c r="P556" i="21"/>
  <c r="P555" i="21"/>
  <c r="P554" i="21"/>
  <c r="P553" i="21"/>
  <c r="P552" i="21"/>
  <c r="P551" i="21"/>
  <c r="P550" i="21"/>
  <c r="P549" i="21"/>
  <c r="P548" i="21"/>
  <c r="P547" i="21"/>
  <c r="P546" i="21"/>
  <c r="P545" i="21"/>
  <c r="P544" i="21"/>
  <c r="P543" i="21"/>
  <c r="P542" i="21"/>
  <c r="P541" i="21"/>
  <c r="P540" i="21"/>
  <c r="P539" i="21"/>
  <c r="P538" i="21"/>
  <c r="P537" i="21"/>
  <c r="P536" i="21"/>
  <c r="P535" i="21"/>
  <c r="P534" i="21"/>
  <c r="P533" i="21"/>
  <c r="P532" i="21"/>
  <c r="P531" i="21"/>
  <c r="P530" i="21"/>
  <c r="P529" i="21"/>
  <c r="P528" i="21"/>
  <c r="P527" i="21"/>
  <c r="P526" i="21"/>
  <c r="P525" i="21"/>
  <c r="P524" i="21"/>
  <c r="P523" i="21"/>
  <c r="P522" i="21"/>
  <c r="P521" i="21"/>
  <c r="P520" i="21"/>
  <c r="P519" i="21"/>
  <c r="P518" i="21"/>
  <c r="P517" i="21"/>
  <c r="P516" i="21"/>
  <c r="P515" i="21"/>
  <c r="P514" i="21"/>
  <c r="P513" i="21"/>
  <c r="P512" i="21"/>
  <c r="P511" i="21"/>
  <c r="P510" i="21"/>
  <c r="P509" i="21"/>
  <c r="P508" i="21"/>
  <c r="P507" i="21"/>
  <c r="P506" i="21"/>
  <c r="P505" i="21"/>
  <c r="P504" i="21"/>
  <c r="P503" i="21"/>
  <c r="P502" i="21"/>
  <c r="P501" i="21"/>
  <c r="P500" i="21"/>
  <c r="P499" i="21"/>
  <c r="P498" i="21"/>
  <c r="P497" i="21"/>
  <c r="P496" i="21"/>
  <c r="P495" i="21"/>
  <c r="P494" i="21"/>
  <c r="P493" i="21"/>
  <c r="P492" i="21"/>
  <c r="P491" i="21"/>
  <c r="P490" i="21"/>
  <c r="P489" i="21"/>
  <c r="P488" i="21"/>
  <c r="P487" i="21"/>
  <c r="P486" i="21"/>
  <c r="P485" i="21"/>
  <c r="P484" i="21"/>
  <c r="P483" i="21"/>
  <c r="P482" i="21"/>
  <c r="P481" i="21"/>
  <c r="P480" i="21"/>
  <c r="P479" i="21"/>
  <c r="P478" i="21"/>
  <c r="P477" i="21"/>
  <c r="P476" i="21"/>
  <c r="P475" i="21"/>
  <c r="P474" i="21"/>
  <c r="P473" i="21"/>
  <c r="P472" i="21"/>
  <c r="P471" i="21"/>
  <c r="P470" i="21"/>
  <c r="P469" i="21"/>
  <c r="P468" i="21"/>
  <c r="P467" i="21"/>
  <c r="P466" i="21"/>
  <c r="P465" i="21"/>
  <c r="P464" i="21"/>
  <c r="P463" i="21"/>
  <c r="P462" i="21"/>
  <c r="P461" i="21"/>
  <c r="P460" i="21"/>
  <c r="P459" i="21"/>
  <c r="P458" i="21"/>
  <c r="P457" i="21"/>
  <c r="P456" i="21"/>
  <c r="P455" i="21"/>
  <c r="P454" i="21"/>
  <c r="P453" i="21"/>
  <c r="P452" i="21"/>
  <c r="P451" i="21"/>
  <c r="P450" i="21"/>
  <c r="P449" i="21"/>
  <c r="P448" i="21"/>
  <c r="P447" i="21"/>
  <c r="P446" i="21"/>
  <c r="P445" i="21"/>
  <c r="P444" i="21"/>
  <c r="P443" i="21"/>
  <c r="P442" i="21"/>
  <c r="P441" i="21"/>
  <c r="P440" i="21"/>
  <c r="P439" i="21"/>
  <c r="P438" i="21"/>
  <c r="P437" i="21"/>
  <c r="P436" i="21"/>
  <c r="P435" i="21"/>
  <c r="P434" i="21"/>
  <c r="P433" i="21"/>
  <c r="P432" i="21"/>
  <c r="P431" i="21"/>
  <c r="P430" i="21"/>
  <c r="P429" i="21"/>
  <c r="P428" i="21"/>
  <c r="P427" i="21"/>
  <c r="P426" i="21"/>
  <c r="P425" i="21"/>
  <c r="P424" i="21"/>
  <c r="P423" i="21"/>
  <c r="P422" i="21"/>
  <c r="P421" i="21"/>
  <c r="P420" i="21"/>
  <c r="P419" i="21"/>
  <c r="P418" i="21"/>
  <c r="P417" i="21"/>
  <c r="P416" i="21"/>
  <c r="P415" i="21"/>
  <c r="P414" i="21"/>
  <c r="P413" i="21"/>
  <c r="P412" i="21"/>
  <c r="P411" i="21"/>
  <c r="P410" i="21"/>
  <c r="P409" i="21"/>
  <c r="P408" i="21"/>
  <c r="P407" i="21"/>
  <c r="P406" i="21"/>
  <c r="P405" i="21"/>
  <c r="P404" i="21"/>
  <c r="P403" i="21"/>
  <c r="P402" i="21"/>
  <c r="P401" i="21"/>
  <c r="P400" i="21"/>
  <c r="P399" i="21"/>
  <c r="P398" i="21"/>
  <c r="P397" i="21"/>
  <c r="P396" i="21"/>
  <c r="P395" i="21"/>
  <c r="P394" i="21"/>
  <c r="P393" i="21"/>
  <c r="P392" i="21"/>
  <c r="P391" i="21"/>
  <c r="P390" i="21"/>
  <c r="P389" i="21"/>
  <c r="P388" i="21"/>
  <c r="P387" i="21"/>
  <c r="P386" i="21"/>
  <c r="P385" i="21"/>
  <c r="P384" i="21"/>
  <c r="P383" i="21"/>
  <c r="P382" i="21"/>
  <c r="P381" i="21"/>
  <c r="P380" i="21"/>
  <c r="P379" i="21"/>
  <c r="P378" i="21"/>
  <c r="P377" i="21"/>
  <c r="P376" i="21"/>
  <c r="P375" i="21"/>
  <c r="P374" i="21"/>
  <c r="P373" i="21"/>
  <c r="P372" i="21"/>
  <c r="P371" i="21"/>
  <c r="P370" i="21"/>
  <c r="P369" i="21"/>
  <c r="P368" i="21"/>
  <c r="P367" i="21"/>
  <c r="P366" i="21"/>
  <c r="P365" i="21"/>
  <c r="P364" i="21"/>
  <c r="P363" i="21"/>
  <c r="P362" i="21"/>
  <c r="P361" i="21"/>
  <c r="P360" i="21"/>
  <c r="P359" i="21"/>
  <c r="P358" i="21"/>
  <c r="P357" i="21"/>
  <c r="P356" i="21"/>
  <c r="P355" i="21"/>
  <c r="P354" i="21"/>
  <c r="P353" i="21"/>
  <c r="P352" i="21"/>
  <c r="P351" i="21"/>
  <c r="P350" i="21"/>
  <c r="P349" i="21"/>
  <c r="P348" i="21"/>
  <c r="P347" i="21"/>
  <c r="P346" i="21"/>
  <c r="P345" i="21"/>
  <c r="P344" i="21"/>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20" i="21"/>
  <c r="P319" i="21"/>
  <c r="P318" i="21"/>
  <c r="P317" i="21"/>
  <c r="P316" i="21"/>
  <c r="P315" i="21"/>
  <c r="P314" i="21"/>
  <c r="P313" i="21"/>
  <c r="P312" i="21"/>
  <c r="P311" i="21"/>
  <c r="P310" i="21"/>
  <c r="P309" i="21"/>
  <c r="P308" i="21"/>
  <c r="P307" i="21"/>
  <c r="P306" i="21"/>
  <c r="P305" i="21"/>
  <c r="P304" i="21"/>
  <c r="P303" i="21"/>
  <c r="P302" i="21"/>
  <c r="P301"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7" i="21"/>
  <c r="P16" i="21"/>
  <c r="P15" i="21"/>
  <c r="P14" i="21"/>
  <c r="P13" i="21"/>
  <c r="P12" i="21"/>
  <c r="P11" i="21"/>
  <c r="P10" i="21"/>
  <c r="P9" i="21"/>
  <c r="P8" i="21"/>
  <c r="P7" i="21"/>
  <c r="P6" i="21"/>
  <c r="P5" i="21"/>
  <c r="B13" i="22"/>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914" i="2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01" i="21"/>
  <c r="B902" i="21" s="1"/>
  <c r="B903" i="21" s="1"/>
  <c r="B904" i="21" s="1"/>
  <c r="B905" i="21" s="1"/>
  <c r="B906" i="21" s="1"/>
  <c r="B907" i="21" s="1"/>
  <c r="B908" i="21" s="1"/>
  <c r="B909" i="21" s="1"/>
  <c r="B910" i="21" s="1"/>
  <c r="B911" i="21" s="1"/>
  <c r="B912" i="21" s="1"/>
  <c r="M691" i="21"/>
  <c r="M994" i="21"/>
  <c r="M993" i="21"/>
  <c r="M992" i="21"/>
  <c r="M991" i="21"/>
  <c r="M990" i="21"/>
  <c r="M989" i="21"/>
  <c r="K989" i="21" s="1"/>
  <c r="Q989" i="21" s="1"/>
  <c r="M988" i="21"/>
  <c r="M987" i="21"/>
  <c r="M986" i="21"/>
  <c r="M985" i="21"/>
  <c r="K985" i="21" s="1"/>
  <c r="Q985" i="21" s="1"/>
  <c r="M984" i="21"/>
  <c r="M983" i="21"/>
  <c r="K983" i="21" s="1"/>
  <c r="Q983" i="21" s="1"/>
  <c r="M982" i="21"/>
  <c r="M981" i="21"/>
  <c r="M980" i="21"/>
  <c r="M979" i="21"/>
  <c r="M978" i="21"/>
  <c r="M977" i="21"/>
  <c r="K977" i="21" s="1"/>
  <c r="Q977" i="21" s="1"/>
  <c r="M976" i="21"/>
  <c r="M975" i="21"/>
  <c r="M974" i="21"/>
  <c r="M973" i="21"/>
  <c r="M972" i="21"/>
  <c r="M971" i="21"/>
  <c r="M970" i="21"/>
  <c r="K970" i="21" s="1"/>
  <c r="Q970" i="21" s="1"/>
  <c r="M969" i="21"/>
  <c r="K969" i="21" s="1"/>
  <c r="Q969" i="21" s="1"/>
  <c r="M968" i="21"/>
  <c r="M967" i="21"/>
  <c r="M966" i="21"/>
  <c r="M965" i="21"/>
  <c r="M964" i="21"/>
  <c r="K964" i="21" s="1"/>
  <c r="Q964" i="21" s="1"/>
  <c r="M963" i="21"/>
  <c r="M962" i="21"/>
  <c r="K962" i="21" s="1"/>
  <c r="Q962" i="21" s="1"/>
  <c r="M961" i="21"/>
  <c r="M960" i="21"/>
  <c r="K960" i="21" s="1"/>
  <c r="Q960" i="21" s="1"/>
  <c r="M959" i="21"/>
  <c r="M958" i="21"/>
  <c r="K958" i="21" s="1"/>
  <c r="Q958" i="21" s="1"/>
  <c r="M957" i="21"/>
  <c r="M956" i="21"/>
  <c r="K956" i="21"/>
  <c r="Q956" i="21" s="1"/>
  <c r="M955" i="21"/>
  <c r="M954" i="21"/>
  <c r="K954" i="21"/>
  <c r="Q954" i="21" s="1"/>
  <c r="M953" i="21"/>
  <c r="K953" i="21" s="1"/>
  <c r="Q953" i="21" s="1"/>
  <c r="M952" i="21"/>
  <c r="K952" i="21" s="1"/>
  <c r="Q952" i="21" s="1"/>
  <c r="M951" i="21"/>
  <c r="M950" i="21"/>
  <c r="K950" i="21"/>
  <c r="Q950" i="21" s="1"/>
  <c r="M949" i="21"/>
  <c r="M948" i="21"/>
  <c r="K948" i="21" s="1"/>
  <c r="Q948" i="21" s="1"/>
  <c r="M947" i="21"/>
  <c r="M946" i="21"/>
  <c r="K946" i="21" s="1"/>
  <c r="Q946" i="21" s="1"/>
  <c r="M945" i="21"/>
  <c r="K945" i="21" s="1"/>
  <c r="Q945" i="21" s="1"/>
  <c r="M944" i="21"/>
  <c r="M943" i="21"/>
  <c r="K943" i="21" s="1"/>
  <c r="M942" i="21"/>
  <c r="K942" i="21" s="1"/>
  <c r="Q942" i="21" s="1"/>
  <c r="M941" i="21"/>
  <c r="M940" i="21"/>
  <c r="K940" i="21" s="1"/>
  <c r="Q940" i="21"/>
  <c r="M939" i="21"/>
  <c r="M938" i="21"/>
  <c r="K938" i="21" s="1"/>
  <c r="Q938" i="21" s="1"/>
  <c r="M937" i="21"/>
  <c r="M936" i="21"/>
  <c r="M935" i="21"/>
  <c r="K935" i="21" s="1"/>
  <c r="Q935" i="21" s="1"/>
  <c r="M934" i="21"/>
  <c r="M933" i="21"/>
  <c r="K933" i="21" s="1"/>
  <c r="Q933" i="21" s="1"/>
  <c r="M932" i="21"/>
  <c r="K932" i="21" s="1"/>
  <c r="Q932" i="21" s="1"/>
  <c r="M931" i="21"/>
  <c r="K931" i="21" s="1"/>
  <c r="Q931" i="21" s="1"/>
  <c r="M930" i="21"/>
  <c r="M929" i="21"/>
  <c r="K929" i="21" s="1"/>
  <c r="Q929" i="21" s="1"/>
  <c r="M928" i="21"/>
  <c r="M927" i="21"/>
  <c r="K927" i="21" s="1"/>
  <c r="Q927" i="21" s="1"/>
  <c r="M926" i="21"/>
  <c r="M925" i="21"/>
  <c r="K925" i="21" s="1"/>
  <c r="Q925" i="21" s="1"/>
  <c r="M924" i="21"/>
  <c r="M923" i="21"/>
  <c r="K923" i="21" s="1"/>
  <c r="Q923" i="21" s="1"/>
  <c r="M922" i="21"/>
  <c r="M921" i="21"/>
  <c r="M920" i="21"/>
  <c r="K920" i="21" s="1"/>
  <c r="Q920" i="21" s="1"/>
  <c r="M919" i="21"/>
  <c r="K919" i="21" s="1"/>
  <c r="Q919" i="21" s="1"/>
  <c r="M918" i="21"/>
  <c r="K918" i="21" s="1"/>
  <c r="Q918" i="21" s="1"/>
  <c r="M917" i="21"/>
  <c r="K917" i="21" s="1"/>
  <c r="Q917" i="21" s="1"/>
  <c r="M916" i="21"/>
  <c r="M915" i="21"/>
  <c r="K915" i="21" s="1"/>
  <c r="Q915" i="21" s="1"/>
  <c r="M914" i="21"/>
  <c r="M913" i="21"/>
  <c r="K913" i="21" s="1"/>
  <c r="Q913" i="21" s="1"/>
  <c r="M912" i="21"/>
  <c r="M911" i="21"/>
  <c r="K911" i="21" s="1"/>
  <c r="Q911" i="21" s="1"/>
  <c r="M910" i="21"/>
  <c r="M909" i="21"/>
  <c r="K909" i="21" s="1"/>
  <c r="Q909" i="21" s="1"/>
  <c r="M908" i="21"/>
  <c r="M907" i="21"/>
  <c r="K907" i="21" s="1"/>
  <c r="Q907" i="21" s="1"/>
  <c r="M906" i="21"/>
  <c r="K906" i="21" s="1"/>
  <c r="Q906" i="21" s="1"/>
  <c r="M905" i="21"/>
  <c r="K905" i="21" s="1"/>
  <c r="Q905" i="21" s="1"/>
  <c r="M904" i="21"/>
  <c r="K904" i="21" s="1"/>
  <c r="Q904" i="21" s="1"/>
  <c r="M903" i="21"/>
  <c r="K903" i="21" s="1"/>
  <c r="Q903" i="21" s="1"/>
  <c r="M902" i="21"/>
  <c r="M901" i="21"/>
  <c r="K901" i="21" s="1"/>
  <c r="Q901" i="21" s="1"/>
  <c r="M900" i="21"/>
  <c r="M899" i="21"/>
  <c r="K899" i="21" s="1"/>
  <c r="Q899" i="21" s="1"/>
  <c r="M898" i="21"/>
  <c r="M897" i="21"/>
  <c r="K897" i="21" s="1"/>
  <c r="Q897" i="21" s="1"/>
  <c r="M896" i="21"/>
  <c r="M895" i="21"/>
  <c r="K895" i="21" s="1"/>
  <c r="Q895" i="21" s="1"/>
  <c r="M894" i="21"/>
  <c r="M893" i="21"/>
  <c r="K893" i="21"/>
  <c r="Q893" i="21" s="1"/>
  <c r="M892" i="21"/>
  <c r="M891" i="21"/>
  <c r="K891" i="21" s="1"/>
  <c r="Q891" i="21" s="1"/>
  <c r="M890" i="21"/>
  <c r="M889" i="21"/>
  <c r="K889" i="21" s="1"/>
  <c r="Q889" i="21" s="1"/>
  <c r="M888" i="21"/>
  <c r="K888" i="21" s="1"/>
  <c r="Q888" i="21" s="1"/>
  <c r="M887" i="21"/>
  <c r="K887" i="21" s="1"/>
  <c r="Q887" i="21" s="1"/>
  <c r="M886" i="21"/>
  <c r="M885" i="21"/>
  <c r="K885" i="21"/>
  <c r="Q885" i="21" s="1"/>
  <c r="M884" i="21"/>
  <c r="M883" i="21"/>
  <c r="K883" i="21" s="1"/>
  <c r="Q883" i="21" s="1"/>
  <c r="M882" i="21"/>
  <c r="M881" i="21"/>
  <c r="K881" i="21" s="1"/>
  <c r="Q881" i="21" s="1"/>
  <c r="M880" i="21"/>
  <c r="M879" i="21"/>
  <c r="K879" i="21" s="1"/>
  <c r="Q879" i="21" s="1"/>
  <c r="M878" i="21"/>
  <c r="M877" i="21"/>
  <c r="K877" i="21" s="1"/>
  <c r="Q877" i="21" s="1"/>
  <c r="M876" i="21"/>
  <c r="M875" i="21"/>
  <c r="K875" i="21" s="1"/>
  <c r="Q875" i="21" s="1"/>
  <c r="M874" i="21"/>
  <c r="K874" i="21" s="1"/>
  <c r="Q874" i="21" s="1"/>
  <c r="M873" i="21"/>
  <c r="K873" i="21" s="1"/>
  <c r="Q873" i="21" s="1"/>
  <c r="M872" i="21"/>
  <c r="M871" i="21"/>
  <c r="K871" i="21" s="1"/>
  <c r="Q871" i="21" s="1"/>
  <c r="M870" i="21"/>
  <c r="M869" i="21"/>
  <c r="K869" i="21" s="1"/>
  <c r="Q869" i="21" s="1"/>
  <c r="M868" i="21"/>
  <c r="M867" i="21"/>
  <c r="K867" i="21" s="1"/>
  <c r="Q867" i="21" s="1"/>
  <c r="M866" i="21"/>
  <c r="M865" i="21"/>
  <c r="K865" i="21" s="1"/>
  <c r="Q865" i="21" s="1"/>
  <c r="M864" i="21"/>
  <c r="M863" i="21"/>
  <c r="K863" i="21" s="1"/>
  <c r="Q863" i="21" s="1"/>
  <c r="M862" i="21"/>
  <c r="M861" i="21"/>
  <c r="K861" i="21" s="1"/>
  <c r="Q861" i="21" s="1"/>
  <c r="M860" i="21"/>
  <c r="M859" i="21"/>
  <c r="K859" i="21" s="1"/>
  <c r="Q859" i="21" s="1"/>
  <c r="M858" i="21"/>
  <c r="K858" i="21" s="1"/>
  <c r="Q858" i="21" s="1"/>
  <c r="M857" i="21"/>
  <c r="K857" i="21" s="1"/>
  <c r="Q857" i="21" s="1"/>
  <c r="M856" i="21"/>
  <c r="M855" i="21"/>
  <c r="K855" i="21" s="1"/>
  <c r="Q855" i="21" s="1"/>
  <c r="M854" i="21"/>
  <c r="M853" i="21"/>
  <c r="K853" i="21" s="1"/>
  <c r="Q853" i="21" s="1"/>
  <c r="M852" i="21"/>
  <c r="M851" i="21"/>
  <c r="K851" i="21" s="1"/>
  <c r="Q851" i="21" s="1"/>
  <c r="M850" i="21"/>
  <c r="M849" i="21"/>
  <c r="K849" i="21" s="1"/>
  <c r="Q849" i="21" s="1"/>
  <c r="M848" i="21"/>
  <c r="M847" i="21"/>
  <c r="K847" i="21" s="1"/>
  <c r="Q847" i="21" s="1"/>
  <c r="M846" i="21"/>
  <c r="M845" i="21"/>
  <c r="K845" i="21" s="1"/>
  <c r="Q845" i="21" s="1"/>
  <c r="M844" i="21"/>
  <c r="M843" i="21"/>
  <c r="K843" i="21" s="1"/>
  <c r="Q843" i="21" s="1"/>
  <c r="M842" i="21"/>
  <c r="K842" i="21" s="1"/>
  <c r="Q842" i="21" s="1"/>
  <c r="M841" i="21"/>
  <c r="K841" i="21" s="1"/>
  <c r="Q841" i="21" s="1"/>
  <c r="M840" i="21"/>
  <c r="M839" i="21"/>
  <c r="K839" i="21" s="1"/>
  <c r="Q839" i="21" s="1"/>
  <c r="M838" i="21"/>
  <c r="K838" i="21" s="1"/>
  <c r="Q838" i="21" s="1"/>
  <c r="M837" i="21"/>
  <c r="K837" i="21"/>
  <c r="Q837" i="21" s="1"/>
  <c r="M836" i="21"/>
  <c r="M835" i="21"/>
  <c r="K835" i="21" s="1"/>
  <c r="Q835" i="21" s="1"/>
  <c r="M834" i="21"/>
  <c r="M833" i="21"/>
  <c r="K833" i="21" s="1"/>
  <c r="Q833" i="21" s="1"/>
  <c r="M832" i="21"/>
  <c r="M831" i="21"/>
  <c r="K831" i="21" s="1"/>
  <c r="Q831" i="21" s="1"/>
  <c r="M830" i="21"/>
  <c r="M829" i="21"/>
  <c r="K829" i="21" s="1"/>
  <c r="Q829" i="21" s="1"/>
  <c r="M828" i="21"/>
  <c r="M827" i="21"/>
  <c r="K827" i="21" s="1"/>
  <c r="Q827" i="21" s="1"/>
  <c r="M826" i="21"/>
  <c r="K826" i="21" s="1"/>
  <c r="Q826" i="21" s="1"/>
  <c r="M825" i="21"/>
  <c r="K825" i="21" s="1"/>
  <c r="Q825" i="21" s="1"/>
  <c r="M824" i="21"/>
  <c r="K824" i="21" s="1"/>
  <c r="Q824" i="21" s="1"/>
  <c r="M823" i="21"/>
  <c r="M822" i="21"/>
  <c r="K822" i="21" s="1"/>
  <c r="Q822" i="21" s="1"/>
  <c r="M821" i="21"/>
  <c r="M820" i="21"/>
  <c r="K820" i="21" s="1"/>
  <c r="Q820" i="21" s="1"/>
  <c r="M819" i="21"/>
  <c r="M818" i="21"/>
  <c r="K818" i="21" s="1"/>
  <c r="Q818" i="21" s="1"/>
  <c r="M817" i="21"/>
  <c r="M816" i="21"/>
  <c r="K816" i="21" s="1"/>
  <c r="Q816" i="21" s="1"/>
  <c r="M815" i="21"/>
  <c r="M814" i="21"/>
  <c r="M813" i="21"/>
  <c r="K813" i="21"/>
  <c r="Q813" i="21" s="1"/>
  <c r="M812" i="21"/>
  <c r="M811" i="21"/>
  <c r="K811" i="21" s="1"/>
  <c r="Q811" i="21" s="1"/>
  <c r="M810" i="21"/>
  <c r="K810" i="21" s="1"/>
  <c r="Q810" i="21" s="1"/>
  <c r="M809" i="21"/>
  <c r="K809" i="21" s="1"/>
  <c r="Q809" i="21" s="1"/>
  <c r="M808" i="21"/>
  <c r="M807" i="21"/>
  <c r="K807" i="21"/>
  <c r="Q807" i="21" s="1"/>
  <c r="M806" i="21"/>
  <c r="M805" i="21"/>
  <c r="K805" i="21" s="1"/>
  <c r="Q805" i="21" s="1"/>
  <c r="M804" i="21"/>
  <c r="M803" i="21"/>
  <c r="K803" i="21" s="1"/>
  <c r="Q803" i="21" s="1"/>
  <c r="M802" i="21"/>
  <c r="K802" i="21" s="1"/>
  <c r="Q802" i="21" s="1"/>
  <c r="M801" i="21"/>
  <c r="K801" i="21" s="1"/>
  <c r="Q801" i="21" s="1"/>
  <c r="M800" i="21"/>
  <c r="M799" i="21"/>
  <c r="K799" i="21" s="1"/>
  <c r="Q799" i="21" s="1"/>
  <c r="M798" i="21"/>
  <c r="K798" i="21" s="1"/>
  <c r="Q798" i="21" s="1"/>
  <c r="M797" i="21"/>
  <c r="M796" i="21"/>
  <c r="K796" i="21" s="1"/>
  <c r="Q796" i="21" s="1"/>
  <c r="M795" i="21"/>
  <c r="K795" i="21" s="1"/>
  <c r="Q795" i="21" s="1"/>
  <c r="M794" i="21"/>
  <c r="M793" i="21"/>
  <c r="K793" i="21" s="1"/>
  <c r="Q793" i="21" s="1"/>
  <c r="M792" i="21"/>
  <c r="K792" i="21" s="1"/>
  <c r="Q792" i="21" s="1"/>
  <c r="M791" i="21"/>
  <c r="K791" i="21"/>
  <c r="Q791" i="21" s="1"/>
  <c r="M790" i="21"/>
  <c r="M789" i="21"/>
  <c r="K789" i="21" s="1"/>
  <c r="Q789" i="21" s="1"/>
  <c r="M788" i="21"/>
  <c r="M787" i="21"/>
  <c r="K787" i="21" s="1"/>
  <c r="Q787" i="21" s="1"/>
  <c r="M786" i="21"/>
  <c r="M785" i="21"/>
  <c r="K785" i="21" s="1"/>
  <c r="Q785" i="21" s="1"/>
  <c r="M784" i="21"/>
  <c r="K784" i="21" s="1"/>
  <c r="Q784" i="21" s="1"/>
  <c r="M783" i="21"/>
  <c r="K783" i="21" s="1"/>
  <c r="Q783" i="21" s="1"/>
  <c r="M782" i="21"/>
  <c r="M781" i="21"/>
  <c r="K781" i="21"/>
  <c r="Q781" i="21" s="1"/>
  <c r="M780" i="21"/>
  <c r="M779" i="21"/>
  <c r="K779" i="21" s="1"/>
  <c r="Q779" i="21" s="1"/>
  <c r="M778" i="21"/>
  <c r="M777" i="21"/>
  <c r="K777" i="21" s="1"/>
  <c r="Q777" i="21" s="1"/>
  <c r="M776" i="21"/>
  <c r="K776" i="21" s="1"/>
  <c r="Q776" i="21" s="1"/>
  <c r="M775" i="21"/>
  <c r="K775" i="21"/>
  <c r="Q775" i="21" s="1"/>
  <c r="M774" i="21"/>
  <c r="M773" i="21"/>
  <c r="K773" i="21" s="1"/>
  <c r="Q773" i="21" s="1"/>
  <c r="M772" i="21"/>
  <c r="M771" i="21"/>
  <c r="K771" i="21"/>
  <c r="Q771" i="21" s="1"/>
  <c r="M770" i="21"/>
  <c r="M769" i="21"/>
  <c r="K769" i="21" s="1"/>
  <c r="Q769" i="21" s="1"/>
  <c r="M768" i="21"/>
  <c r="M767" i="21"/>
  <c r="K767" i="21" s="1"/>
  <c r="Q767" i="21" s="1"/>
  <c r="M766" i="21"/>
  <c r="M765" i="21"/>
  <c r="K765" i="21"/>
  <c r="Q765" i="21" s="1"/>
  <c r="M764" i="21"/>
  <c r="M763" i="21"/>
  <c r="K763" i="21" s="1"/>
  <c r="Q763" i="21" s="1"/>
  <c r="M762" i="21"/>
  <c r="M761" i="21"/>
  <c r="K761" i="21" s="1"/>
  <c r="Q761" i="21" s="1"/>
  <c r="M760" i="21"/>
  <c r="K760" i="21" s="1"/>
  <c r="Q760" i="21" s="1"/>
  <c r="M759" i="21"/>
  <c r="K759" i="21" s="1"/>
  <c r="Q759" i="21" s="1"/>
  <c r="M758" i="21"/>
  <c r="M757" i="21"/>
  <c r="K757" i="21" s="1"/>
  <c r="Q757" i="21" s="1"/>
  <c r="M756" i="21"/>
  <c r="M755" i="21"/>
  <c r="K755" i="21" s="1"/>
  <c r="Q755" i="21" s="1"/>
  <c r="M754" i="21"/>
  <c r="M753" i="21"/>
  <c r="K753" i="21" s="1"/>
  <c r="Q753" i="21" s="1"/>
  <c r="M752" i="21"/>
  <c r="K752" i="21" s="1"/>
  <c r="Q752" i="21" s="1"/>
  <c r="M751" i="21"/>
  <c r="K751" i="21" s="1"/>
  <c r="Q751" i="21" s="1"/>
  <c r="M750" i="21"/>
  <c r="M749" i="21"/>
  <c r="K749" i="21"/>
  <c r="Q749" i="21" s="1"/>
  <c r="M748" i="21"/>
  <c r="M747" i="21"/>
  <c r="K747" i="21" s="1"/>
  <c r="Q747" i="21" s="1"/>
  <c r="M746" i="21"/>
  <c r="M745" i="21"/>
  <c r="K745" i="21" s="1"/>
  <c r="Q745" i="21" s="1"/>
  <c r="M744" i="21"/>
  <c r="M743" i="21"/>
  <c r="K743" i="21"/>
  <c r="Q743" i="21" s="1"/>
  <c r="M742" i="21"/>
  <c r="M741" i="21"/>
  <c r="K741" i="21" s="1"/>
  <c r="Q741" i="21" s="1"/>
  <c r="M740" i="21"/>
  <c r="M739" i="21"/>
  <c r="K739" i="21"/>
  <c r="Q739" i="21" s="1"/>
  <c r="M738" i="21"/>
  <c r="M737" i="21"/>
  <c r="K737" i="21" s="1"/>
  <c r="Q737" i="21" s="1"/>
  <c r="M736" i="21"/>
  <c r="K736" i="21" s="1"/>
  <c r="Q736" i="21" s="1"/>
  <c r="M735" i="21"/>
  <c r="K735" i="21" s="1"/>
  <c r="Q735" i="21" s="1"/>
  <c r="M734" i="21"/>
  <c r="M733" i="21"/>
  <c r="K733" i="21"/>
  <c r="Q733" i="21" s="1"/>
  <c r="M732" i="21"/>
  <c r="M731" i="21"/>
  <c r="K731" i="21" s="1"/>
  <c r="Q731" i="21" s="1"/>
  <c r="M730" i="21"/>
  <c r="M729" i="21"/>
  <c r="K729" i="21" s="1"/>
  <c r="Q729" i="21" s="1"/>
  <c r="M728" i="21"/>
  <c r="K728" i="21" s="1"/>
  <c r="Q728" i="21" s="1"/>
  <c r="M727" i="21"/>
  <c r="K727" i="21" s="1"/>
  <c r="Q727" i="21" s="1"/>
  <c r="M726" i="21"/>
  <c r="M725" i="21"/>
  <c r="K725" i="21" s="1"/>
  <c r="Q725" i="21" s="1"/>
  <c r="M724" i="21"/>
  <c r="M723" i="21"/>
  <c r="K723" i="21"/>
  <c r="Q723" i="21" s="1"/>
  <c r="M722" i="21"/>
  <c r="M721" i="21"/>
  <c r="K721" i="21" s="1"/>
  <c r="Q721" i="21" s="1"/>
  <c r="M720" i="21"/>
  <c r="K720" i="21" s="1"/>
  <c r="Q720" i="21" s="1"/>
  <c r="M719" i="21"/>
  <c r="K719" i="21" s="1"/>
  <c r="Q719" i="21" s="1"/>
  <c r="M718" i="21"/>
  <c r="K718" i="21" s="1"/>
  <c r="Q718" i="21" s="1"/>
  <c r="M717" i="21"/>
  <c r="K717" i="21" s="1"/>
  <c r="Q717" i="21" s="1"/>
  <c r="M716" i="21"/>
  <c r="M715" i="21"/>
  <c r="K715" i="21" s="1"/>
  <c r="Q715" i="21" s="1"/>
  <c r="M714" i="21"/>
  <c r="M713" i="21"/>
  <c r="K713" i="21" s="1"/>
  <c r="Q713" i="21" s="1"/>
  <c r="M712" i="21"/>
  <c r="K712" i="21" s="1"/>
  <c r="Q712" i="21" s="1"/>
  <c r="M711" i="21"/>
  <c r="K711" i="21" s="1"/>
  <c r="Q711" i="21" s="1"/>
  <c r="M710" i="21"/>
  <c r="M709" i="21"/>
  <c r="K709" i="21" s="1"/>
  <c r="Q709" i="21" s="1"/>
  <c r="M708" i="21"/>
  <c r="M707" i="21"/>
  <c r="K707" i="21" s="1"/>
  <c r="Q707" i="21" s="1"/>
  <c r="M706" i="21"/>
  <c r="M705" i="21"/>
  <c r="K705" i="21" s="1"/>
  <c r="Q705" i="21" s="1"/>
  <c r="M704" i="21"/>
  <c r="M703" i="21"/>
  <c r="K703" i="21" s="1"/>
  <c r="Q703" i="21" s="1"/>
  <c r="M702" i="21"/>
  <c r="M701" i="21"/>
  <c r="K701" i="21" s="1"/>
  <c r="Q701" i="21" s="1"/>
  <c r="M700" i="21"/>
  <c r="M699" i="21"/>
  <c r="K699" i="21" s="1"/>
  <c r="Q699" i="21" s="1"/>
  <c r="M698" i="21"/>
  <c r="M697" i="21"/>
  <c r="K697" i="21" s="1"/>
  <c r="Q697" i="21" s="1"/>
  <c r="M696" i="21"/>
  <c r="K696" i="21" s="1"/>
  <c r="Q696" i="21" s="1"/>
  <c r="M695" i="21"/>
  <c r="K695" i="21" s="1"/>
  <c r="Q695" i="21" s="1"/>
  <c r="M694" i="21"/>
  <c r="M693" i="21"/>
  <c r="K693" i="21" s="1"/>
  <c r="Q693" i="21" s="1"/>
  <c r="M692" i="21"/>
  <c r="M690" i="21"/>
  <c r="K690" i="21" s="1"/>
  <c r="Q690" i="21" s="1"/>
  <c r="M689" i="21"/>
  <c r="K689" i="21" s="1"/>
  <c r="Q689" i="21" s="1"/>
  <c r="M688" i="21"/>
  <c r="M687" i="21"/>
  <c r="K687" i="21" s="1"/>
  <c r="Q687" i="21" s="1"/>
  <c r="M686" i="21"/>
  <c r="K686" i="21" s="1"/>
  <c r="Q686" i="21" s="1"/>
  <c r="M685" i="21"/>
  <c r="K685" i="21" s="1"/>
  <c r="Q685" i="21" s="1"/>
  <c r="M684" i="21"/>
  <c r="K684" i="21" s="1"/>
  <c r="Q684" i="21" s="1"/>
  <c r="M683" i="21"/>
  <c r="M682" i="21"/>
  <c r="K682" i="21" s="1"/>
  <c r="Q682" i="21" s="1"/>
  <c r="M681" i="21"/>
  <c r="M680" i="21"/>
  <c r="K680" i="21" s="1"/>
  <c r="Q680" i="21" s="1"/>
  <c r="M679" i="21"/>
  <c r="K679" i="21" s="1"/>
  <c r="Q679" i="21" s="1"/>
  <c r="M678" i="21"/>
  <c r="K678" i="21" s="1"/>
  <c r="Q678" i="21" s="1"/>
  <c r="M677" i="21"/>
  <c r="M676" i="21"/>
  <c r="K676" i="21" s="1"/>
  <c r="Q676" i="21" s="1"/>
  <c r="M675" i="21"/>
  <c r="M674" i="21"/>
  <c r="K674" i="21" s="1"/>
  <c r="Q674" i="21" s="1"/>
  <c r="M673" i="21"/>
  <c r="M672" i="21"/>
  <c r="K672" i="21" s="1"/>
  <c r="Q672" i="21" s="1"/>
  <c r="M671" i="21"/>
  <c r="M670" i="21"/>
  <c r="K670" i="21" s="1"/>
  <c r="Q670" i="21" s="1"/>
  <c r="M669" i="21"/>
  <c r="K669" i="21" s="1"/>
  <c r="Q669" i="21" s="1"/>
  <c r="M668" i="21"/>
  <c r="K668" i="21" s="1"/>
  <c r="Q668" i="21" s="1"/>
  <c r="M667" i="21"/>
  <c r="M666" i="21"/>
  <c r="K666" i="21" s="1"/>
  <c r="Q666" i="21" s="1"/>
  <c r="M665" i="21"/>
  <c r="K665" i="21" s="1"/>
  <c r="Q665" i="21" s="1"/>
  <c r="M664" i="21"/>
  <c r="K664" i="21" s="1"/>
  <c r="Q664" i="21" s="1"/>
  <c r="M663" i="21"/>
  <c r="K663" i="21" s="1"/>
  <c r="Q663" i="21" s="1"/>
  <c r="M662" i="21"/>
  <c r="K662" i="21"/>
  <c r="Q662" i="21" s="1"/>
  <c r="M661" i="21"/>
  <c r="M660" i="21"/>
  <c r="K660" i="21" s="1"/>
  <c r="Q660" i="21" s="1"/>
  <c r="M659" i="21"/>
  <c r="K659" i="21" s="1"/>
  <c r="Q659" i="21" s="1"/>
  <c r="M658" i="21"/>
  <c r="K658" i="21" s="1"/>
  <c r="Q658" i="21" s="1"/>
  <c r="M657" i="21"/>
  <c r="M656" i="21"/>
  <c r="K656" i="21"/>
  <c r="Q656" i="21" s="1"/>
  <c r="M655" i="21"/>
  <c r="M654" i="21"/>
  <c r="K654" i="21" s="1"/>
  <c r="Q654" i="21" s="1"/>
  <c r="M653" i="21"/>
  <c r="K653" i="21" s="1"/>
  <c r="Q653" i="21" s="1"/>
  <c r="M652" i="21"/>
  <c r="K652" i="21" s="1"/>
  <c r="Q652" i="21" s="1"/>
  <c r="M651" i="21"/>
  <c r="M650" i="21"/>
  <c r="K650" i="21" s="1"/>
  <c r="Q650" i="21" s="1"/>
  <c r="M649" i="21"/>
  <c r="M648" i="21"/>
  <c r="K648" i="21" s="1"/>
  <c r="Q648" i="21" s="1"/>
  <c r="M647" i="21"/>
  <c r="M646" i="21"/>
  <c r="K646" i="21" s="1"/>
  <c r="Q646" i="21" s="1"/>
  <c r="M645" i="21"/>
  <c r="M644" i="21"/>
  <c r="K644" i="21"/>
  <c r="Q644" i="21" s="1"/>
  <c r="M643" i="21"/>
  <c r="M642" i="21"/>
  <c r="K642" i="21" s="1"/>
  <c r="Q642" i="21" s="1"/>
  <c r="M641" i="21"/>
  <c r="M640" i="21"/>
  <c r="K640" i="21" s="1"/>
  <c r="Q640" i="21" s="1"/>
  <c r="M639" i="21"/>
  <c r="M638" i="21"/>
  <c r="K638" i="21" s="1"/>
  <c r="Q638" i="21" s="1"/>
  <c r="M637" i="21"/>
  <c r="K637" i="21" s="1"/>
  <c r="Q637" i="21" s="1"/>
  <c r="M636" i="21"/>
  <c r="K636" i="21" s="1"/>
  <c r="Q636" i="21" s="1"/>
  <c r="M635" i="21"/>
  <c r="K635" i="21" s="1"/>
  <c r="Q635" i="21" s="1"/>
  <c r="M634" i="21"/>
  <c r="K634" i="21" s="1"/>
  <c r="Q634" i="21" s="1"/>
  <c r="M633" i="21"/>
  <c r="M632" i="21"/>
  <c r="M631" i="21"/>
  <c r="K631" i="21" s="1"/>
  <c r="Q631" i="21" s="1"/>
  <c r="M630" i="21"/>
  <c r="M629" i="21"/>
  <c r="K629" i="21" s="1"/>
  <c r="Q629" i="21" s="1"/>
  <c r="M628" i="21"/>
  <c r="M627" i="21"/>
  <c r="K627" i="21" s="1"/>
  <c r="Q627" i="21" s="1"/>
  <c r="M626" i="21"/>
  <c r="M625" i="21"/>
  <c r="K625" i="21" s="1"/>
  <c r="Q625" i="21" s="1"/>
  <c r="M624" i="21"/>
  <c r="M623" i="21"/>
  <c r="K623" i="21" s="1"/>
  <c r="Q623" i="21" s="1"/>
  <c r="M622" i="21"/>
  <c r="M621" i="21"/>
  <c r="K621" i="21" s="1"/>
  <c r="Q621" i="21" s="1"/>
  <c r="M620" i="21"/>
  <c r="K620" i="21" s="1"/>
  <c r="Q620" i="21" s="1"/>
  <c r="M619" i="21"/>
  <c r="K619" i="21" s="1"/>
  <c r="Q619" i="21" s="1"/>
  <c r="M618" i="21"/>
  <c r="K618" i="21" s="1"/>
  <c r="Q618" i="21" s="1"/>
  <c r="M617" i="21"/>
  <c r="K617" i="21" s="1"/>
  <c r="Q617" i="21" s="1"/>
  <c r="M616" i="21"/>
  <c r="K616" i="21" s="1"/>
  <c r="Q616" i="21" s="1"/>
  <c r="M615" i="21"/>
  <c r="K615" i="21" s="1"/>
  <c r="Q615" i="21" s="1"/>
  <c r="M614" i="21"/>
  <c r="M613" i="21"/>
  <c r="K613" i="21" s="1"/>
  <c r="Q613" i="21" s="1"/>
  <c r="M612" i="21"/>
  <c r="M611" i="21"/>
  <c r="K611" i="21" s="1"/>
  <c r="Q611" i="21" s="1"/>
  <c r="M610" i="21"/>
  <c r="M609" i="21"/>
  <c r="K609" i="21" s="1"/>
  <c r="Q609" i="21" s="1"/>
  <c r="M608" i="21"/>
  <c r="M607" i="21"/>
  <c r="K607" i="21" s="1"/>
  <c r="Q607" i="21" s="1"/>
  <c r="M606" i="21"/>
  <c r="M605" i="21"/>
  <c r="K605" i="21" s="1"/>
  <c r="Q605" i="21" s="1"/>
  <c r="M604" i="21"/>
  <c r="M603" i="21"/>
  <c r="K603" i="21" s="1"/>
  <c r="Q603" i="21"/>
  <c r="M602" i="21"/>
  <c r="K602" i="21" s="1"/>
  <c r="Q602" i="21" s="1"/>
  <c r="M601" i="21"/>
  <c r="K601" i="21" s="1"/>
  <c r="Q601" i="21" s="1"/>
  <c r="M600" i="21"/>
  <c r="K600" i="21"/>
  <c r="Q600" i="21" s="1"/>
  <c r="M599" i="21"/>
  <c r="M598" i="21"/>
  <c r="K598" i="21" s="1"/>
  <c r="Q598" i="21" s="1"/>
  <c r="M597" i="21"/>
  <c r="K597" i="21" s="1"/>
  <c r="Q597" i="21" s="1"/>
  <c r="M596" i="21"/>
  <c r="K596" i="21" s="1"/>
  <c r="Q596" i="21" s="1"/>
  <c r="M595" i="21"/>
  <c r="M594" i="21"/>
  <c r="K594" i="21" s="1"/>
  <c r="Q594" i="21" s="1"/>
  <c r="M593" i="21"/>
  <c r="M592" i="21"/>
  <c r="K592" i="21" s="1"/>
  <c r="Q592" i="21" s="1"/>
  <c r="M591" i="21"/>
  <c r="M590" i="21"/>
  <c r="K590" i="21"/>
  <c r="Q590" i="21" s="1"/>
  <c r="M589" i="21"/>
  <c r="M588" i="21"/>
  <c r="K588" i="21" s="1"/>
  <c r="Q588" i="21" s="1"/>
  <c r="M587" i="21"/>
  <c r="K587" i="21" s="1"/>
  <c r="Q587" i="21" s="1"/>
  <c r="M586" i="21"/>
  <c r="K586" i="21" s="1"/>
  <c r="Q586" i="21" s="1"/>
  <c r="M585" i="21"/>
  <c r="M584" i="21"/>
  <c r="K584" i="21" s="1"/>
  <c r="Q584" i="21" s="1"/>
  <c r="M583" i="21"/>
  <c r="M582" i="21"/>
  <c r="K582" i="21" s="1"/>
  <c r="Q582" i="21" s="1"/>
  <c r="M581" i="21"/>
  <c r="M580" i="21"/>
  <c r="K580" i="21" s="1"/>
  <c r="Q580" i="21" s="1"/>
  <c r="M579" i="21"/>
  <c r="M578" i="21"/>
  <c r="K578" i="21"/>
  <c r="Q578" i="21" s="1"/>
  <c r="M577" i="21"/>
  <c r="M576" i="21"/>
  <c r="K576" i="21" s="1"/>
  <c r="Q576" i="21" s="1"/>
  <c r="M575" i="21"/>
  <c r="M574" i="21"/>
  <c r="K574" i="21" s="1"/>
  <c r="Q574" i="21" s="1"/>
  <c r="M573" i="21"/>
  <c r="M572" i="21"/>
  <c r="K572" i="21" s="1"/>
  <c r="Q572" i="21" s="1"/>
  <c r="M571" i="21"/>
  <c r="M570" i="21"/>
  <c r="K570" i="21" s="1"/>
  <c r="Q570" i="21" s="1"/>
  <c r="M569" i="21"/>
  <c r="M568" i="21"/>
  <c r="K568" i="21" s="1"/>
  <c r="Q568" i="21" s="1"/>
  <c r="M567" i="21"/>
  <c r="M566" i="21"/>
  <c r="K566" i="21" s="1"/>
  <c r="Q566" i="21" s="1"/>
  <c r="M565" i="21"/>
  <c r="K565" i="21" s="1"/>
  <c r="Q565" i="21" s="1"/>
  <c r="M564" i="21"/>
  <c r="M563" i="21"/>
  <c r="M562" i="21"/>
  <c r="M561" i="21"/>
  <c r="K561" i="21" s="1"/>
  <c r="Q561" i="21" s="1"/>
  <c r="M560" i="21"/>
  <c r="M559" i="21"/>
  <c r="K559" i="21" s="1"/>
  <c r="Q559" i="21" s="1"/>
  <c r="M558" i="21"/>
  <c r="M557" i="21"/>
  <c r="K557" i="21" s="1"/>
  <c r="Q557" i="21" s="1"/>
  <c r="M556" i="21"/>
  <c r="M555" i="21"/>
  <c r="M554" i="21"/>
  <c r="M553" i="21"/>
  <c r="M552" i="21"/>
  <c r="M551" i="21"/>
  <c r="K551" i="21" s="1"/>
  <c r="M550" i="21"/>
  <c r="M549" i="21"/>
  <c r="K549" i="21" s="1"/>
  <c r="Q549" i="21" s="1"/>
  <c r="M548" i="21"/>
  <c r="M547" i="21"/>
  <c r="M546" i="21"/>
  <c r="M545" i="21"/>
  <c r="K545" i="21" s="1"/>
  <c r="Q545" i="21" s="1"/>
  <c r="M544" i="21"/>
  <c r="M543" i="21"/>
  <c r="K543" i="21" s="1"/>
  <c r="Q543" i="21" s="1"/>
  <c r="M542" i="21"/>
  <c r="M541" i="21"/>
  <c r="M540" i="21"/>
  <c r="M539" i="21"/>
  <c r="K539" i="21" s="1"/>
  <c r="Q539" i="21" s="1"/>
  <c r="M538" i="21"/>
  <c r="M537" i="21"/>
  <c r="M536" i="21"/>
  <c r="M535" i="21"/>
  <c r="K535" i="21" s="1"/>
  <c r="Q535" i="21" s="1"/>
  <c r="M534" i="21"/>
  <c r="M533" i="21"/>
  <c r="K533" i="21" s="1"/>
  <c r="Q533" i="21" s="1"/>
  <c r="M532" i="21"/>
  <c r="M531" i="21"/>
  <c r="M530" i="21"/>
  <c r="M529" i="21"/>
  <c r="K529" i="21" s="1"/>
  <c r="Q529" i="21" s="1"/>
  <c r="M528" i="21"/>
  <c r="M527" i="21"/>
  <c r="K527" i="21" s="1"/>
  <c r="Q527" i="21" s="1"/>
  <c r="M526" i="21"/>
  <c r="M525" i="21"/>
  <c r="K525" i="21" s="1"/>
  <c r="Q525" i="21" s="1"/>
  <c r="M524" i="21"/>
  <c r="M523" i="21"/>
  <c r="M522" i="21"/>
  <c r="M521" i="21"/>
  <c r="M520" i="21"/>
  <c r="M519" i="21"/>
  <c r="M518" i="21"/>
  <c r="M517" i="21"/>
  <c r="K517" i="21" s="1"/>
  <c r="Q517" i="21" s="1"/>
  <c r="M516" i="21"/>
  <c r="M515" i="21"/>
  <c r="K515" i="21" s="1"/>
  <c r="M514" i="21"/>
  <c r="M513" i="21"/>
  <c r="M512" i="21"/>
  <c r="M511" i="21"/>
  <c r="M510" i="21"/>
  <c r="M509" i="21"/>
  <c r="M508" i="21"/>
  <c r="K508" i="21" s="1"/>
  <c r="Q508" i="21" s="1"/>
  <c r="M507" i="21"/>
  <c r="K507" i="21" s="1"/>
  <c r="Q507" i="21" s="1"/>
  <c r="M506" i="21"/>
  <c r="M505" i="21"/>
  <c r="M504" i="21"/>
  <c r="M503" i="21"/>
  <c r="M502" i="21"/>
  <c r="M501" i="21"/>
  <c r="M500" i="21"/>
  <c r="M499" i="21"/>
  <c r="K499" i="21" s="1"/>
  <c r="Q499" i="21" s="1"/>
  <c r="M498" i="21"/>
  <c r="M497" i="21"/>
  <c r="M496" i="21"/>
  <c r="K496" i="21" s="1"/>
  <c r="Q496" i="21" s="1"/>
  <c r="M495" i="21"/>
  <c r="K495" i="21" s="1"/>
  <c r="Q495" i="21" s="1"/>
  <c r="M494" i="21"/>
  <c r="M493" i="21"/>
  <c r="M492" i="21"/>
  <c r="M491" i="21"/>
  <c r="M490" i="21"/>
  <c r="M489" i="21"/>
  <c r="K489" i="21" s="1"/>
  <c r="Q489" i="21" s="1"/>
  <c r="M488" i="21"/>
  <c r="M487" i="21"/>
  <c r="K487" i="21" s="1"/>
  <c r="Q487" i="21" s="1"/>
  <c r="M486" i="21"/>
  <c r="M485" i="21"/>
  <c r="M484" i="21"/>
  <c r="M483" i="21"/>
  <c r="M482" i="21"/>
  <c r="M481" i="21"/>
  <c r="K481" i="21" s="1"/>
  <c r="Q481" i="21" s="1"/>
  <c r="M480" i="21"/>
  <c r="M479" i="21"/>
  <c r="K479" i="21" s="1"/>
  <c r="Q479" i="21" s="1"/>
  <c r="M478" i="21"/>
  <c r="M477" i="21"/>
  <c r="M476" i="21"/>
  <c r="M475" i="21"/>
  <c r="M474" i="21"/>
  <c r="M473" i="21"/>
  <c r="K473" i="21" s="1"/>
  <c r="Q473" i="21" s="1"/>
  <c r="M472" i="21"/>
  <c r="M471" i="21"/>
  <c r="K471" i="21" s="1"/>
  <c r="Q471" i="21" s="1"/>
  <c r="M470" i="21"/>
  <c r="M469" i="21"/>
  <c r="M468" i="21"/>
  <c r="M467" i="21"/>
  <c r="K467" i="21" s="1"/>
  <c r="M466" i="21"/>
  <c r="M465" i="21"/>
  <c r="K465" i="21" s="1"/>
  <c r="Q465" i="21" s="1"/>
  <c r="M464" i="21"/>
  <c r="M463" i="21"/>
  <c r="K463" i="21" s="1"/>
  <c r="Q463" i="21" s="1"/>
  <c r="M462" i="21"/>
  <c r="M461" i="21"/>
  <c r="M460" i="21"/>
  <c r="M459" i="21"/>
  <c r="K459" i="21" s="1"/>
  <c r="Q459" i="21" s="1"/>
  <c r="M458" i="21"/>
  <c r="M457" i="21"/>
  <c r="M456" i="21"/>
  <c r="M455" i="21"/>
  <c r="K455" i="21" s="1"/>
  <c r="Q455" i="21" s="1"/>
  <c r="M454" i="21"/>
  <c r="M453" i="21"/>
  <c r="K453" i="21" s="1"/>
  <c r="Q453" i="21" s="1"/>
  <c r="M452" i="21"/>
  <c r="M451" i="21"/>
  <c r="M450" i="21"/>
  <c r="M449" i="21"/>
  <c r="K449" i="21" s="1"/>
  <c r="Q449" i="21" s="1"/>
  <c r="M448" i="21"/>
  <c r="M447" i="21"/>
  <c r="K447" i="21" s="1"/>
  <c r="Q447" i="21" s="1"/>
  <c r="M446" i="21"/>
  <c r="M445" i="21"/>
  <c r="M444" i="21"/>
  <c r="M443" i="21"/>
  <c r="M442" i="21"/>
  <c r="M441" i="21"/>
  <c r="K441" i="21" s="1"/>
  <c r="Q441" i="21" s="1"/>
  <c r="M440" i="21"/>
  <c r="M439" i="21"/>
  <c r="K439" i="21" s="1"/>
  <c r="Q439" i="21" s="1"/>
  <c r="M438" i="21"/>
  <c r="M437" i="21"/>
  <c r="M436" i="21"/>
  <c r="M435" i="21"/>
  <c r="M434" i="21"/>
  <c r="M433" i="21"/>
  <c r="K433" i="21" s="1"/>
  <c r="Q433" i="21" s="1"/>
  <c r="M432" i="21"/>
  <c r="M431" i="21"/>
  <c r="K431" i="21" s="1"/>
  <c r="Q431" i="21" s="1"/>
  <c r="M430" i="21"/>
  <c r="M429" i="21"/>
  <c r="K429" i="21" s="1"/>
  <c r="Q429" i="21" s="1"/>
  <c r="M428" i="21"/>
  <c r="M427" i="21"/>
  <c r="M426" i="21"/>
  <c r="M425" i="21"/>
  <c r="M424" i="21"/>
  <c r="M423" i="21"/>
  <c r="M422" i="21"/>
  <c r="M421" i="21"/>
  <c r="K421" i="21" s="1"/>
  <c r="Q421" i="21" s="1"/>
  <c r="M420" i="21"/>
  <c r="M419" i="21"/>
  <c r="M418" i="21"/>
  <c r="M417" i="21"/>
  <c r="M416" i="21"/>
  <c r="M415" i="21"/>
  <c r="K415" i="21" s="1"/>
  <c r="Q415" i="21" s="1"/>
  <c r="M414" i="21"/>
  <c r="M413" i="21"/>
  <c r="M412" i="21"/>
  <c r="M411" i="21"/>
  <c r="M410" i="21"/>
  <c r="M409" i="21"/>
  <c r="K409" i="21" s="1"/>
  <c r="Q409" i="21" s="1"/>
  <c r="M408" i="21"/>
  <c r="M407" i="21"/>
  <c r="M406" i="21"/>
  <c r="M405" i="21"/>
  <c r="M404" i="21"/>
  <c r="M403" i="21"/>
  <c r="M402" i="21"/>
  <c r="M401" i="21"/>
  <c r="K401" i="21" s="1"/>
  <c r="Q401" i="21" s="1"/>
  <c r="M400" i="21"/>
  <c r="M399" i="21"/>
  <c r="M398" i="21"/>
  <c r="M397" i="21"/>
  <c r="K397" i="21" s="1"/>
  <c r="M396" i="21"/>
  <c r="M395" i="21"/>
  <c r="M394" i="21"/>
  <c r="M393" i="21"/>
  <c r="M392" i="21"/>
  <c r="M391" i="21"/>
  <c r="K391" i="21" s="1"/>
  <c r="Q391" i="21" s="1"/>
  <c r="M390" i="21"/>
  <c r="M389" i="21"/>
  <c r="M388" i="21"/>
  <c r="M387" i="21"/>
  <c r="M386" i="21"/>
  <c r="M385" i="21"/>
  <c r="K385" i="21" s="1"/>
  <c r="Q385" i="21" s="1"/>
  <c r="M384" i="21"/>
  <c r="M383" i="21"/>
  <c r="M382" i="21"/>
  <c r="M381" i="21"/>
  <c r="K381" i="21" s="1"/>
  <c r="M380" i="21"/>
  <c r="M379" i="21"/>
  <c r="K379" i="21" s="1"/>
  <c r="Q379" i="21" s="1"/>
  <c r="M378" i="21"/>
  <c r="M377" i="21"/>
  <c r="K377" i="21" s="1"/>
  <c r="Q377" i="21" s="1"/>
  <c r="M376" i="21"/>
  <c r="M375" i="21"/>
  <c r="M374" i="21"/>
  <c r="M373" i="21"/>
  <c r="M372" i="21"/>
  <c r="M371" i="21"/>
  <c r="K371" i="21" s="1"/>
  <c r="Q371" i="21" s="1"/>
  <c r="M370" i="21"/>
  <c r="M369" i="21"/>
  <c r="K369" i="21" s="1"/>
  <c r="Q369" i="21" s="1"/>
  <c r="M368" i="21"/>
  <c r="M367" i="21"/>
  <c r="M366" i="21"/>
  <c r="M365" i="21"/>
  <c r="M364" i="21"/>
  <c r="M363" i="21"/>
  <c r="M362" i="21"/>
  <c r="M361" i="21"/>
  <c r="K361" i="21" s="1"/>
  <c r="Q361" i="21" s="1"/>
  <c r="M360" i="21"/>
  <c r="M359" i="21"/>
  <c r="M358" i="21"/>
  <c r="M357" i="21"/>
  <c r="M356" i="21"/>
  <c r="M355" i="21"/>
  <c r="M354" i="21"/>
  <c r="M353" i="21"/>
  <c r="K353" i="21" s="1"/>
  <c r="Q353" i="21" s="1"/>
  <c r="M352" i="21"/>
  <c r="M351" i="21"/>
  <c r="M350" i="21"/>
  <c r="M349" i="21"/>
  <c r="K349" i="21" s="1"/>
  <c r="M348" i="21"/>
  <c r="M347" i="21"/>
  <c r="M346" i="21"/>
  <c r="M345" i="21"/>
  <c r="K345" i="21" s="1"/>
  <c r="Q345" i="21" s="1"/>
  <c r="M344" i="21"/>
  <c r="M343" i="21"/>
  <c r="M342" i="21"/>
  <c r="M341" i="21"/>
  <c r="K341" i="21" s="1"/>
  <c r="Q341" i="21" s="1"/>
  <c r="M340" i="21"/>
  <c r="M339" i="21"/>
  <c r="M338" i="21"/>
  <c r="M337" i="21"/>
  <c r="K337" i="21" s="1"/>
  <c r="Q337" i="21" s="1"/>
  <c r="M336" i="21"/>
  <c r="K336" i="21" s="1"/>
  <c r="Q336" i="21" s="1"/>
  <c r="M335" i="21"/>
  <c r="M334" i="21"/>
  <c r="M333" i="21"/>
  <c r="M332" i="21"/>
  <c r="M331" i="21"/>
  <c r="M330" i="21"/>
  <c r="M329" i="21"/>
  <c r="K329" i="21" s="1"/>
  <c r="Q329" i="21" s="1"/>
  <c r="M328" i="21"/>
  <c r="M327" i="21"/>
  <c r="M326" i="21"/>
  <c r="M325" i="21"/>
  <c r="M324" i="21"/>
  <c r="K324" i="21" s="1"/>
  <c r="Q324" i="21" s="1"/>
  <c r="M323" i="21"/>
  <c r="M322" i="21"/>
  <c r="M321" i="21"/>
  <c r="K321" i="21" s="1"/>
  <c r="Q321" i="21" s="1"/>
  <c r="M320" i="21"/>
  <c r="M319" i="21"/>
  <c r="M318" i="21"/>
  <c r="M317" i="21"/>
  <c r="M316" i="21"/>
  <c r="M315" i="21"/>
  <c r="M314" i="21"/>
  <c r="M313" i="21"/>
  <c r="K313" i="21" s="1"/>
  <c r="Q313" i="21" s="1"/>
  <c r="M312" i="21"/>
  <c r="K312" i="21" s="1"/>
  <c r="M311" i="21"/>
  <c r="M310" i="21"/>
  <c r="M309" i="21"/>
  <c r="M308" i="21"/>
  <c r="M307" i="21"/>
  <c r="M306" i="21"/>
  <c r="M305" i="21"/>
  <c r="K305" i="21" s="1"/>
  <c r="Q305" i="21" s="1"/>
  <c r="M304" i="21"/>
  <c r="K304" i="21" s="1"/>
  <c r="Q304" i="21" s="1"/>
  <c r="M303" i="21"/>
  <c r="M302" i="21"/>
  <c r="K302" i="21" s="1"/>
  <c r="Q302" i="21" s="1"/>
  <c r="M301" i="21"/>
  <c r="M300" i="21"/>
  <c r="K300" i="21" s="1"/>
  <c r="Q300" i="21" s="1"/>
  <c r="M299" i="21"/>
  <c r="M298" i="21"/>
  <c r="K298" i="21" s="1"/>
  <c r="Q298" i="21" s="1"/>
  <c r="M297" i="21"/>
  <c r="K297" i="21" s="1"/>
  <c r="Q297" i="21" s="1"/>
  <c r="M296" i="21"/>
  <c r="K296" i="21" s="1"/>
  <c r="Q296" i="21" s="1"/>
  <c r="M295" i="21"/>
  <c r="M294" i="21"/>
  <c r="K294" i="21"/>
  <c r="Q294" i="21" s="1"/>
  <c r="M293" i="21"/>
  <c r="M292" i="21"/>
  <c r="K292" i="21" s="1"/>
  <c r="Q292" i="21" s="1"/>
  <c r="M291" i="21"/>
  <c r="M290" i="21"/>
  <c r="K290" i="21" s="1"/>
  <c r="Q290" i="21" s="1"/>
  <c r="M289" i="21"/>
  <c r="K289" i="21" s="1"/>
  <c r="Q289" i="21" s="1"/>
  <c r="M288" i="21"/>
  <c r="K288" i="21" s="1"/>
  <c r="Q288" i="21" s="1"/>
  <c r="M287" i="21"/>
  <c r="K287" i="21" s="1"/>
  <c r="Q287" i="21" s="1"/>
  <c r="M286" i="21"/>
  <c r="M285" i="21"/>
  <c r="K285" i="21" s="1"/>
  <c r="Q285" i="21" s="1"/>
  <c r="M284" i="21"/>
  <c r="K284" i="21" s="1"/>
  <c r="Q284" i="21" s="1"/>
  <c r="M283" i="21"/>
  <c r="K283" i="21" s="1"/>
  <c r="Q283" i="21"/>
  <c r="M282" i="21"/>
  <c r="M281" i="21"/>
  <c r="K281" i="21" s="1"/>
  <c r="Q281" i="21" s="1"/>
  <c r="M280" i="21"/>
  <c r="M279" i="21"/>
  <c r="K279" i="21" s="1"/>
  <c r="Q279" i="21" s="1"/>
  <c r="M278" i="21"/>
  <c r="M277" i="21"/>
  <c r="K277" i="21" s="1"/>
  <c r="Q277" i="21" s="1"/>
  <c r="M276" i="21"/>
  <c r="K276" i="21" s="1"/>
  <c r="Q276" i="21" s="1"/>
  <c r="M275" i="21"/>
  <c r="K275" i="21" s="1"/>
  <c r="Q275" i="21" s="1"/>
  <c r="M274" i="21"/>
  <c r="M273" i="21"/>
  <c r="K273" i="21" s="1"/>
  <c r="Q273" i="21" s="1"/>
  <c r="M272" i="21"/>
  <c r="M271" i="21"/>
  <c r="K271" i="21" s="1"/>
  <c r="Q271" i="21" s="1"/>
  <c r="M270" i="21"/>
  <c r="M269" i="21"/>
  <c r="K269" i="21" s="1"/>
  <c r="Q269" i="21" s="1"/>
  <c r="M268" i="21"/>
  <c r="M267" i="21"/>
  <c r="K267" i="21" s="1"/>
  <c r="Q267" i="21"/>
  <c r="M266" i="21"/>
  <c r="K266" i="21" s="1"/>
  <c r="Q266" i="21" s="1"/>
  <c r="M265" i="21"/>
  <c r="K265" i="21" s="1"/>
  <c r="Q265" i="21" s="1"/>
  <c r="M264" i="21"/>
  <c r="M263" i="21"/>
  <c r="K263" i="21" s="1"/>
  <c r="Q263" i="21" s="1"/>
  <c r="M262" i="21"/>
  <c r="K262" i="21" s="1"/>
  <c r="Q262" i="21" s="1"/>
  <c r="M261" i="21"/>
  <c r="K261" i="21" s="1"/>
  <c r="Q261" i="21" s="1"/>
  <c r="M260" i="21"/>
  <c r="M259" i="21"/>
  <c r="K259" i="21" s="1"/>
  <c r="Q259" i="21" s="1"/>
  <c r="M258" i="21"/>
  <c r="M257" i="21"/>
  <c r="K257" i="21" s="1"/>
  <c r="Q257" i="21" s="1"/>
  <c r="M256" i="21"/>
  <c r="K256" i="21" s="1"/>
  <c r="Q256" i="21" s="1"/>
  <c r="M255" i="21"/>
  <c r="K255" i="21" s="1"/>
  <c r="Q255" i="21" s="1"/>
  <c r="M254" i="21"/>
  <c r="M253" i="21"/>
  <c r="K253" i="21" s="1"/>
  <c r="Q253" i="21" s="1"/>
  <c r="M252" i="21"/>
  <c r="M251" i="21"/>
  <c r="K251" i="21" s="1"/>
  <c r="Q251" i="21" s="1"/>
  <c r="M250" i="21"/>
  <c r="M249" i="21"/>
  <c r="K249" i="21" s="1"/>
  <c r="Q249" i="21" s="1"/>
  <c r="M248" i="21"/>
  <c r="K248" i="21" s="1"/>
  <c r="Q248" i="21" s="1"/>
  <c r="M247" i="21"/>
  <c r="K247" i="21" s="1"/>
  <c r="Q247" i="21" s="1"/>
  <c r="M246" i="21"/>
  <c r="M245" i="21"/>
  <c r="K245" i="21" s="1"/>
  <c r="Q245" i="21" s="1"/>
  <c r="M244" i="21"/>
  <c r="K244" i="21" s="1"/>
  <c r="Q244" i="21" s="1"/>
  <c r="M243" i="21"/>
  <c r="K243" i="21" s="1"/>
  <c r="Q243" i="21" s="1"/>
  <c r="M242" i="21"/>
  <c r="M241" i="21"/>
  <c r="K241" i="21" s="1"/>
  <c r="Q241" i="21" s="1"/>
  <c r="M240" i="21"/>
  <c r="K240" i="21" s="1"/>
  <c r="Q240" i="21" s="1"/>
  <c r="M239" i="21"/>
  <c r="K239" i="21" s="1"/>
  <c r="Q239" i="21" s="1"/>
  <c r="M238" i="21"/>
  <c r="K238" i="21" s="1"/>
  <c r="Q238" i="21" s="1"/>
  <c r="M237" i="21"/>
  <c r="K237" i="21" s="1"/>
  <c r="Q237" i="21" s="1"/>
  <c r="M236" i="21"/>
  <c r="M235" i="21"/>
  <c r="K235" i="21" s="1"/>
  <c r="Q235" i="21" s="1"/>
  <c r="M234" i="21"/>
  <c r="M233" i="21"/>
  <c r="K233" i="21" s="1"/>
  <c r="Q233" i="21" s="1"/>
  <c r="M232" i="21"/>
  <c r="M231" i="21"/>
  <c r="K231" i="21" s="1"/>
  <c r="Q231" i="21" s="1"/>
  <c r="M230" i="21"/>
  <c r="K230" i="21" s="1"/>
  <c r="Q230" i="21" s="1"/>
  <c r="M229" i="21"/>
  <c r="K229" i="21" s="1"/>
  <c r="Q229" i="21" s="1"/>
  <c r="M228" i="21"/>
  <c r="M227" i="21"/>
  <c r="K227" i="21" s="1"/>
  <c r="Q227" i="21" s="1"/>
  <c r="M226" i="21"/>
  <c r="K226" i="21" s="1"/>
  <c r="Q226" i="21" s="1"/>
  <c r="M225" i="21"/>
  <c r="M224" i="21"/>
  <c r="M223" i="21"/>
  <c r="M222" i="21"/>
  <c r="K222" i="21" s="1"/>
  <c r="Q222" i="21" s="1"/>
  <c r="M221" i="21"/>
  <c r="M220" i="21"/>
  <c r="K220" i="21" s="1"/>
  <c r="Q220" i="21" s="1"/>
  <c r="M219" i="21"/>
  <c r="K219" i="21" s="1"/>
  <c r="Q219" i="21" s="1"/>
  <c r="M218" i="21"/>
  <c r="M217" i="21"/>
  <c r="M216" i="21"/>
  <c r="K216" i="21" s="1"/>
  <c r="Q216" i="21" s="1"/>
  <c r="M215" i="21"/>
  <c r="M214" i="21"/>
  <c r="M213" i="21"/>
  <c r="M212" i="21"/>
  <c r="M211" i="21"/>
  <c r="K211" i="21" s="1"/>
  <c r="Q211" i="21" s="1"/>
  <c r="M210" i="21"/>
  <c r="K210" i="21" s="1"/>
  <c r="Q210" i="21" s="1"/>
  <c r="M209" i="21"/>
  <c r="M208" i="21"/>
  <c r="K208" i="21" s="1"/>
  <c r="Q208" i="21" s="1"/>
  <c r="M207" i="21"/>
  <c r="M206" i="21"/>
  <c r="M205" i="21"/>
  <c r="M204" i="21"/>
  <c r="M203" i="21"/>
  <c r="K203" i="21" s="1"/>
  <c r="Q203" i="21" s="1"/>
  <c r="M202" i="21"/>
  <c r="K202" i="21" s="1"/>
  <c r="Q202" i="21" s="1"/>
  <c r="M201" i="21"/>
  <c r="M200" i="21"/>
  <c r="K200" i="21" s="1"/>
  <c r="Q200" i="21" s="1"/>
  <c r="M199" i="21"/>
  <c r="M198" i="21"/>
  <c r="M197" i="21"/>
  <c r="M196" i="21"/>
  <c r="M195" i="21"/>
  <c r="K195" i="21" s="1"/>
  <c r="Q195" i="21" s="1"/>
  <c r="M194" i="21"/>
  <c r="K194" i="21" s="1"/>
  <c r="Q194" i="21" s="1"/>
  <c r="M193" i="21"/>
  <c r="M192" i="21"/>
  <c r="K192" i="21" s="1"/>
  <c r="Q192" i="21" s="1"/>
  <c r="M191" i="21"/>
  <c r="M190" i="21"/>
  <c r="M189" i="21"/>
  <c r="M188" i="21"/>
  <c r="M187" i="21"/>
  <c r="K187" i="21" s="1"/>
  <c r="Q187" i="21" s="1"/>
  <c r="M186" i="21"/>
  <c r="K186" i="21" s="1"/>
  <c r="Q186" i="21" s="1"/>
  <c r="M185" i="21"/>
  <c r="M184" i="21"/>
  <c r="K184" i="21" s="1"/>
  <c r="Q184" i="21" s="1"/>
  <c r="M183" i="21"/>
  <c r="M182" i="21"/>
  <c r="M181" i="21"/>
  <c r="M180" i="21"/>
  <c r="M179" i="21"/>
  <c r="K179" i="21" s="1"/>
  <c r="Q179" i="21" s="1"/>
  <c r="M178" i="21"/>
  <c r="K178" i="21" s="1"/>
  <c r="Q178" i="21" s="1"/>
  <c r="M177" i="21"/>
  <c r="M176" i="21"/>
  <c r="K176" i="21" s="1"/>
  <c r="Q176" i="21" s="1"/>
  <c r="M175" i="21"/>
  <c r="M174" i="21"/>
  <c r="M173" i="21"/>
  <c r="M172" i="21"/>
  <c r="M171" i="21"/>
  <c r="K171" i="21" s="1"/>
  <c r="Q171" i="21" s="1"/>
  <c r="M170" i="21"/>
  <c r="K170" i="21" s="1"/>
  <c r="Q170" i="21" s="1"/>
  <c r="M169" i="21"/>
  <c r="M168" i="21"/>
  <c r="K168" i="21" s="1"/>
  <c r="Q168" i="21" s="1"/>
  <c r="M167" i="21"/>
  <c r="M166" i="21"/>
  <c r="M165" i="21"/>
  <c r="M164" i="21"/>
  <c r="M163" i="21"/>
  <c r="K163" i="21" s="1"/>
  <c r="Q163" i="21" s="1"/>
  <c r="M162" i="21"/>
  <c r="K162" i="21" s="1"/>
  <c r="Q162" i="21" s="1"/>
  <c r="M161" i="21"/>
  <c r="M160" i="21"/>
  <c r="K160" i="21" s="1"/>
  <c r="Q160" i="21" s="1"/>
  <c r="M159" i="21"/>
  <c r="M158" i="21"/>
  <c r="M157" i="21"/>
  <c r="M156" i="21"/>
  <c r="M155" i="21"/>
  <c r="K155" i="21" s="1"/>
  <c r="Q155" i="21" s="1"/>
  <c r="M154" i="21"/>
  <c r="K154" i="21" s="1"/>
  <c r="Q154" i="21" s="1"/>
  <c r="M153" i="21"/>
  <c r="M152" i="21"/>
  <c r="K152" i="21" s="1"/>
  <c r="Q152" i="21" s="1"/>
  <c r="M151" i="21"/>
  <c r="M150" i="21"/>
  <c r="M149" i="21"/>
  <c r="M148" i="21"/>
  <c r="M147" i="21"/>
  <c r="K147" i="21" s="1"/>
  <c r="Q147" i="21" s="1"/>
  <c r="M146" i="21"/>
  <c r="K146" i="21" s="1"/>
  <c r="Q146" i="21" s="1"/>
  <c r="M145" i="21"/>
  <c r="M144" i="21"/>
  <c r="K144" i="21" s="1"/>
  <c r="Q144" i="21" s="1"/>
  <c r="M143" i="21"/>
  <c r="M142" i="21"/>
  <c r="M141" i="21"/>
  <c r="M140" i="21"/>
  <c r="M139" i="21"/>
  <c r="K139" i="21" s="1"/>
  <c r="Q139" i="21" s="1"/>
  <c r="M138" i="21"/>
  <c r="K138" i="21" s="1"/>
  <c r="Q138" i="21" s="1"/>
  <c r="M137" i="21"/>
  <c r="M136" i="21"/>
  <c r="K136" i="21" s="1"/>
  <c r="Q136" i="21" s="1"/>
  <c r="M135" i="21"/>
  <c r="M134" i="21"/>
  <c r="M133" i="21"/>
  <c r="M132" i="21"/>
  <c r="M131" i="21"/>
  <c r="K131" i="21" s="1"/>
  <c r="Q131" i="21" s="1"/>
  <c r="M130" i="21"/>
  <c r="K130" i="21" s="1"/>
  <c r="Q130" i="21" s="1"/>
  <c r="M129" i="21"/>
  <c r="M128" i="21"/>
  <c r="K128" i="21" s="1"/>
  <c r="Q128" i="21" s="1"/>
  <c r="M127" i="21"/>
  <c r="M126" i="21"/>
  <c r="M125" i="21"/>
  <c r="M124" i="21"/>
  <c r="M123" i="21"/>
  <c r="K123" i="21" s="1"/>
  <c r="Q123" i="21" s="1"/>
  <c r="M122" i="21"/>
  <c r="K122" i="21" s="1"/>
  <c r="Q122" i="21" s="1"/>
  <c r="M121" i="21"/>
  <c r="M120" i="21"/>
  <c r="K120" i="21" s="1"/>
  <c r="Q120" i="21" s="1"/>
  <c r="M119" i="21"/>
  <c r="M118" i="21"/>
  <c r="M117" i="21"/>
  <c r="M116" i="21"/>
  <c r="M115" i="21"/>
  <c r="K115" i="21" s="1"/>
  <c r="Q115" i="21" s="1"/>
  <c r="M114" i="21"/>
  <c r="K114" i="21" s="1"/>
  <c r="Q114" i="21" s="1"/>
  <c r="M113" i="21"/>
  <c r="M112" i="21"/>
  <c r="K112" i="21" s="1"/>
  <c r="Q112" i="21" s="1"/>
  <c r="M111" i="21"/>
  <c r="M110" i="21"/>
  <c r="M109" i="21"/>
  <c r="M108" i="21"/>
  <c r="M107" i="21"/>
  <c r="K107" i="21" s="1"/>
  <c r="Q107" i="21" s="1"/>
  <c r="M106" i="21"/>
  <c r="K106" i="21" s="1"/>
  <c r="Q106" i="21" s="1"/>
  <c r="M105" i="21"/>
  <c r="M104" i="21"/>
  <c r="K104" i="21" s="1"/>
  <c r="Q104" i="21" s="1"/>
  <c r="M103" i="21"/>
  <c r="M102" i="21"/>
  <c r="M101" i="21"/>
  <c r="M100" i="21"/>
  <c r="M99" i="21"/>
  <c r="K99" i="21" s="1"/>
  <c r="Q99" i="21" s="1"/>
  <c r="M98" i="21"/>
  <c r="K98" i="21" s="1"/>
  <c r="Q98" i="21" s="1"/>
  <c r="M97" i="21"/>
  <c r="M96" i="21"/>
  <c r="K96" i="21" s="1"/>
  <c r="Q96" i="21" s="1"/>
  <c r="M95" i="21"/>
  <c r="M94" i="21"/>
  <c r="M93" i="21"/>
  <c r="M92" i="21"/>
  <c r="M91" i="21"/>
  <c r="M90" i="21"/>
  <c r="K90" i="21" s="1"/>
  <c r="Q90" i="21" s="1"/>
  <c r="M89" i="21"/>
  <c r="M88" i="21"/>
  <c r="K88" i="21" s="1"/>
  <c r="Q88" i="21" s="1"/>
  <c r="M87" i="21"/>
  <c r="K87" i="21" s="1"/>
  <c r="Q87" i="21" s="1"/>
  <c r="M86" i="21"/>
  <c r="M85" i="21"/>
  <c r="M84" i="21"/>
  <c r="M83" i="21"/>
  <c r="M82" i="21"/>
  <c r="K82" i="21" s="1"/>
  <c r="Q82" i="21" s="1"/>
  <c r="M81" i="21"/>
  <c r="M80" i="21"/>
  <c r="K80" i="21" s="1"/>
  <c r="Q80" i="21" s="1"/>
  <c r="M79" i="21"/>
  <c r="M78" i="21"/>
  <c r="M77" i="21"/>
  <c r="M76" i="21"/>
  <c r="M75" i="21"/>
  <c r="M74" i="21"/>
  <c r="K74" i="21" s="1"/>
  <c r="Q74" i="21" s="1"/>
  <c r="M73" i="21"/>
  <c r="M72" i="21"/>
  <c r="K72" i="21" s="1"/>
  <c r="Q72" i="21" s="1"/>
  <c r="M71" i="21"/>
  <c r="K71" i="21" s="1"/>
  <c r="Q71" i="21" s="1"/>
  <c r="M70" i="21"/>
  <c r="M69" i="21"/>
  <c r="M68" i="21"/>
  <c r="M67" i="21"/>
  <c r="M66" i="21"/>
  <c r="K66" i="21" s="1"/>
  <c r="Q66" i="21" s="1"/>
  <c r="M65" i="21"/>
  <c r="M64" i="21"/>
  <c r="K64" i="21" s="1"/>
  <c r="Q64" i="21" s="1"/>
  <c r="M63" i="21"/>
  <c r="M62" i="21"/>
  <c r="M61" i="21"/>
  <c r="M60" i="21"/>
  <c r="M59" i="21"/>
  <c r="M58" i="21"/>
  <c r="K58" i="21" s="1"/>
  <c r="Q58" i="21" s="1"/>
  <c r="M57" i="21"/>
  <c r="M56" i="21"/>
  <c r="K56" i="21" s="1"/>
  <c r="Q56" i="21" s="1"/>
  <c r="M55" i="21"/>
  <c r="K55" i="21" s="1"/>
  <c r="Q55" i="21" s="1"/>
  <c r="M54" i="21"/>
  <c r="K54" i="21" s="1"/>
  <c r="Q54" i="21" s="1"/>
  <c r="M53" i="21"/>
  <c r="M52" i="21"/>
  <c r="M51" i="21"/>
  <c r="M50" i="21"/>
  <c r="M49" i="21"/>
  <c r="M48" i="21"/>
  <c r="M47" i="21"/>
  <c r="M46" i="21"/>
  <c r="K46" i="21" s="1"/>
  <c r="Q46" i="21" s="1"/>
  <c r="M45" i="21"/>
  <c r="M44" i="21"/>
  <c r="K44" i="21" s="1"/>
  <c r="Q44" i="21" s="1"/>
  <c r="M43" i="21"/>
  <c r="M42" i="21"/>
  <c r="M41" i="21"/>
  <c r="M40" i="21"/>
  <c r="M39" i="21"/>
  <c r="K39" i="21" s="1"/>
  <c r="Q39" i="21" s="1"/>
  <c r="M38" i="21"/>
  <c r="K38" i="21" s="1"/>
  <c r="Q38" i="21" s="1"/>
  <c r="M37" i="21"/>
  <c r="M36" i="21"/>
  <c r="M35" i="21"/>
  <c r="M34" i="21"/>
  <c r="K34" i="21" s="1"/>
  <c r="Q34" i="21" s="1"/>
  <c r="M33" i="21"/>
  <c r="M32" i="21"/>
  <c r="M31" i="21"/>
  <c r="M30" i="21"/>
  <c r="K30" i="21" s="1"/>
  <c r="Q30" i="21" s="1"/>
  <c r="M29" i="21"/>
  <c r="M28" i="21"/>
  <c r="M27" i="21"/>
  <c r="M26" i="21"/>
  <c r="K26" i="21" s="1"/>
  <c r="Q26" i="21" s="1"/>
  <c r="M25" i="21"/>
  <c r="M24" i="21"/>
  <c r="M23" i="21"/>
  <c r="K23" i="21" s="1"/>
  <c r="Q23" i="21" s="1"/>
  <c r="M22" i="21"/>
  <c r="M21" i="21"/>
  <c r="M20" i="21"/>
  <c r="K20" i="21" s="1"/>
  <c r="Q20" i="21" s="1"/>
  <c r="M19" i="21"/>
  <c r="M18" i="21"/>
  <c r="M17" i="21"/>
  <c r="M16" i="21"/>
  <c r="M15" i="21"/>
  <c r="K15" i="21" s="1"/>
  <c r="Q15" i="21" s="1"/>
  <c r="M14" i="21"/>
  <c r="K14" i="21" s="1"/>
  <c r="Q14" i="21" s="1"/>
  <c r="M13" i="21"/>
  <c r="M12" i="21"/>
  <c r="M11" i="21"/>
  <c r="M10" i="21"/>
  <c r="K10" i="21" s="1"/>
  <c r="Q10" i="21" s="1"/>
  <c r="M9" i="21"/>
  <c r="M8" i="21"/>
  <c r="M7" i="21"/>
  <c r="K7" i="21" s="1"/>
  <c r="Q7" i="21" s="1"/>
  <c r="M6" i="21"/>
  <c r="A6" i="2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M5" i="21"/>
  <c r="J48" i="7"/>
  <c r="I48" i="7"/>
  <c r="H48" i="7"/>
  <c r="K48" i="7" s="1"/>
  <c r="AA1206" i="2"/>
  <c r="Z1206" i="2"/>
  <c r="Y1206" i="2"/>
  <c r="T1206" i="2"/>
  <c r="S1206" i="2"/>
  <c r="K1206" i="2"/>
  <c r="L1" i="8"/>
  <c r="D49" i="9" s="1"/>
  <c r="H5" i="20"/>
  <c r="G21" i="20"/>
  <c r="G14" i="20"/>
  <c r="G7" i="20"/>
  <c r="G5" i="20"/>
  <c r="F21" i="20"/>
  <c r="F14" i="20"/>
  <c r="F7" i="20"/>
  <c r="F5" i="20"/>
  <c r="E21" i="20"/>
  <c r="E14" i="20"/>
  <c r="E7" i="20"/>
  <c r="E5" i="20"/>
  <c r="D21" i="20"/>
  <c r="D14" i="20"/>
  <c r="D7" i="20"/>
  <c r="D5" i="20"/>
  <c r="H21" i="20"/>
  <c r="H14" i="20"/>
  <c r="H7" i="20"/>
  <c r="I183" i="15"/>
  <c r="I185" i="15"/>
  <c r="I186" i="15"/>
  <c r="I187" i="15"/>
  <c r="I188" i="15"/>
  <c r="I189" i="15"/>
  <c r="I190" i="15"/>
  <c r="I191" i="15"/>
  <c r="I192" i="15"/>
  <c r="I195" i="15"/>
  <c r="I193" i="15"/>
  <c r="I196" i="15"/>
  <c r="I194" i="15"/>
  <c r="I198" i="15"/>
  <c r="I200" i="15"/>
  <c r="I197" i="15"/>
  <c r="I202" i="15"/>
  <c r="I199" i="15"/>
  <c r="I201" i="15"/>
  <c r="I203" i="15"/>
  <c r="I204" i="15"/>
  <c r="I184" i="15"/>
  <c r="I182" i="15"/>
  <c r="C91" i="12"/>
  <c r="C90" i="12" s="1"/>
  <c r="AA1207" i="2"/>
  <c r="Z1207" i="2"/>
  <c r="Y1207" i="2"/>
  <c r="T1207" i="2"/>
  <c r="S1207" i="2"/>
  <c r="P1207" i="2"/>
  <c r="K1207" i="2"/>
  <c r="AA1205" i="2"/>
  <c r="Z1205" i="2"/>
  <c r="Y1205" i="2"/>
  <c r="T1205" i="2"/>
  <c r="S1205" i="2"/>
  <c r="P1205" i="2"/>
  <c r="K1205" i="2"/>
  <c r="AA1204" i="2"/>
  <c r="Z1204" i="2"/>
  <c r="Y1204" i="2"/>
  <c r="T1204" i="2"/>
  <c r="S1204" i="2"/>
  <c r="P1204" i="2"/>
  <c r="K1204" i="2"/>
  <c r="AA1203" i="2"/>
  <c r="Z1203" i="2"/>
  <c r="Y1203" i="2"/>
  <c r="T1203" i="2"/>
  <c r="S1203" i="2"/>
  <c r="P1203" i="2"/>
  <c r="K1203" i="2"/>
  <c r="AA1202" i="2"/>
  <c r="Z1202" i="2"/>
  <c r="Y1202" i="2"/>
  <c r="T1202" i="2"/>
  <c r="S1202" i="2"/>
  <c r="P1202" i="2"/>
  <c r="K1202" i="2"/>
  <c r="AA1201" i="2"/>
  <c r="Z1201" i="2"/>
  <c r="Y1201" i="2"/>
  <c r="T1201" i="2"/>
  <c r="S1201" i="2"/>
  <c r="P1201" i="2"/>
  <c r="K1201" i="2"/>
  <c r="AA1200" i="2"/>
  <c r="Z1200" i="2"/>
  <c r="Y1200" i="2"/>
  <c r="T1200" i="2"/>
  <c r="S1200" i="2"/>
  <c r="P1200" i="2"/>
  <c r="K1200" i="2"/>
  <c r="AA1199" i="2"/>
  <c r="Z1199" i="2"/>
  <c r="Y1199" i="2"/>
  <c r="T1199" i="2"/>
  <c r="S1199" i="2"/>
  <c r="P1199" i="2"/>
  <c r="K1199" i="2"/>
  <c r="AA1198" i="2"/>
  <c r="Z1198" i="2"/>
  <c r="Y1198" i="2"/>
  <c r="T1198" i="2"/>
  <c r="S1198" i="2"/>
  <c r="K1198" i="2"/>
  <c r="AA1197" i="2"/>
  <c r="Z1197" i="2"/>
  <c r="Y1197" i="2"/>
  <c r="T1197" i="2"/>
  <c r="S1197" i="2"/>
  <c r="P1197" i="2"/>
  <c r="K1197" i="2"/>
  <c r="AA1196" i="2"/>
  <c r="Z1196" i="2"/>
  <c r="Y1196" i="2"/>
  <c r="T1196" i="2"/>
  <c r="S1196" i="2"/>
  <c r="K1196" i="2"/>
  <c r="AA1195" i="2"/>
  <c r="Z1195" i="2"/>
  <c r="Y1195" i="2"/>
  <c r="T1195" i="2"/>
  <c r="S1195" i="2"/>
  <c r="P1195" i="2"/>
  <c r="K1195" i="2"/>
  <c r="AA1194" i="2"/>
  <c r="Z1194" i="2"/>
  <c r="Y1194" i="2"/>
  <c r="T1194" i="2"/>
  <c r="S1194" i="2"/>
  <c r="K1194" i="2"/>
  <c r="AA1193" i="2"/>
  <c r="Z1193" i="2"/>
  <c r="Y1193" i="2"/>
  <c r="T1193" i="2"/>
  <c r="S1193" i="2"/>
  <c r="P1193" i="2"/>
  <c r="K1193" i="2"/>
  <c r="AA1192" i="2"/>
  <c r="Z1192" i="2"/>
  <c r="Y1192" i="2"/>
  <c r="T1192" i="2"/>
  <c r="S1192" i="2"/>
  <c r="K1192" i="2"/>
  <c r="AA1191" i="2"/>
  <c r="Z1191" i="2"/>
  <c r="Y1191" i="2"/>
  <c r="T1191" i="2"/>
  <c r="S1191" i="2"/>
  <c r="P1191" i="2"/>
  <c r="K1191" i="2"/>
  <c r="AA1190" i="2"/>
  <c r="Z1190" i="2"/>
  <c r="Y1190" i="2"/>
  <c r="T1190" i="2"/>
  <c r="S1190" i="2"/>
  <c r="K1190" i="2"/>
  <c r="AA1189" i="2"/>
  <c r="Z1189" i="2"/>
  <c r="Y1189" i="2"/>
  <c r="T1189" i="2"/>
  <c r="S1189" i="2"/>
  <c r="P1189" i="2"/>
  <c r="K1189" i="2"/>
  <c r="AA1188" i="2"/>
  <c r="Z1188" i="2"/>
  <c r="Y1188" i="2"/>
  <c r="T1188" i="2"/>
  <c r="S1188" i="2"/>
  <c r="K1188" i="2"/>
  <c r="AA1187" i="2"/>
  <c r="Z1187" i="2"/>
  <c r="Y1187" i="2"/>
  <c r="T1187" i="2"/>
  <c r="S1187" i="2"/>
  <c r="P1187" i="2"/>
  <c r="K1187" i="2"/>
  <c r="AA1186" i="2"/>
  <c r="Z1186" i="2"/>
  <c r="Y1186" i="2"/>
  <c r="T1186" i="2"/>
  <c r="S1186" i="2"/>
  <c r="K1186" i="2"/>
  <c r="AA1185" i="2"/>
  <c r="Z1185" i="2"/>
  <c r="Y1185" i="2"/>
  <c r="T1185" i="2"/>
  <c r="S1185" i="2"/>
  <c r="P1185" i="2"/>
  <c r="K1185" i="2"/>
  <c r="AA1184" i="2"/>
  <c r="Z1184" i="2"/>
  <c r="Y1184" i="2"/>
  <c r="T1184" i="2"/>
  <c r="S1184" i="2"/>
  <c r="K1184" i="2"/>
  <c r="AA1183" i="2"/>
  <c r="Z1183" i="2"/>
  <c r="Y1183" i="2"/>
  <c r="T1183" i="2"/>
  <c r="S1183" i="2"/>
  <c r="P1183" i="2"/>
  <c r="K1183" i="2"/>
  <c r="AA1182" i="2"/>
  <c r="Z1182" i="2"/>
  <c r="Y1182" i="2"/>
  <c r="T1182" i="2"/>
  <c r="S1182" i="2"/>
  <c r="K1182" i="2"/>
  <c r="AA1181" i="2"/>
  <c r="Z1181" i="2"/>
  <c r="Y1181" i="2"/>
  <c r="T1181" i="2"/>
  <c r="S1181" i="2"/>
  <c r="P1181" i="2"/>
  <c r="K1181" i="2"/>
  <c r="AA1180" i="2"/>
  <c r="Z1180" i="2"/>
  <c r="Y1180" i="2"/>
  <c r="T1180" i="2"/>
  <c r="S1180" i="2"/>
  <c r="K1180" i="2"/>
  <c r="AA1179" i="2"/>
  <c r="Z1179" i="2"/>
  <c r="Y1179" i="2"/>
  <c r="T1179" i="2"/>
  <c r="S1179" i="2"/>
  <c r="P1179" i="2"/>
  <c r="K1179" i="2"/>
  <c r="AA1178" i="2"/>
  <c r="Z1178" i="2"/>
  <c r="Y1178" i="2"/>
  <c r="T1178" i="2"/>
  <c r="S1178" i="2"/>
  <c r="K1178" i="2"/>
  <c r="AA1177" i="2"/>
  <c r="Z1177" i="2"/>
  <c r="Y1177" i="2"/>
  <c r="T1177" i="2"/>
  <c r="S1177" i="2"/>
  <c r="K1177" i="2"/>
  <c r="AA1176" i="2"/>
  <c r="Z1176" i="2"/>
  <c r="Y1176" i="2"/>
  <c r="T1176" i="2"/>
  <c r="S1176" i="2"/>
  <c r="K1176" i="2"/>
  <c r="AA1175" i="2"/>
  <c r="Z1175" i="2"/>
  <c r="Y1175" i="2"/>
  <c r="T1175" i="2"/>
  <c r="S1175" i="2"/>
  <c r="P1175" i="2"/>
  <c r="K1175" i="2"/>
  <c r="AA1174" i="2"/>
  <c r="Z1174" i="2"/>
  <c r="Y1174" i="2"/>
  <c r="T1174" i="2"/>
  <c r="S1174" i="2"/>
  <c r="K1174" i="2"/>
  <c r="AA1173" i="2"/>
  <c r="Z1173" i="2"/>
  <c r="Y1173" i="2"/>
  <c r="T1173" i="2"/>
  <c r="S1173" i="2"/>
  <c r="P1173" i="2"/>
  <c r="K1173" i="2"/>
  <c r="AA1172" i="2"/>
  <c r="Z1172" i="2"/>
  <c r="Y1172" i="2"/>
  <c r="T1172" i="2"/>
  <c r="S1172" i="2"/>
  <c r="K1172" i="2"/>
  <c r="AA1171" i="2"/>
  <c r="Z1171" i="2"/>
  <c r="Y1171" i="2"/>
  <c r="T1171" i="2"/>
  <c r="S1171" i="2"/>
  <c r="P1171" i="2"/>
  <c r="K1171" i="2"/>
  <c r="AA1170" i="2"/>
  <c r="Z1170" i="2"/>
  <c r="Y1170" i="2"/>
  <c r="T1170" i="2"/>
  <c r="S1170" i="2"/>
  <c r="K1170" i="2"/>
  <c r="AA1169" i="2"/>
  <c r="Z1169" i="2"/>
  <c r="Y1169" i="2"/>
  <c r="T1169" i="2"/>
  <c r="S1169" i="2"/>
  <c r="P1169" i="2"/>
  <c r="K1169" i="2"/>
  <c r="AA1168" i="2"/>
  <c r="Z1168" i="2"/>
  <c r="Y1168" i="2"/>
  <c r="T1168" i="2"/>
  <c r="S1168" i="2"/>
  <c r="K1168" i="2"/>
  <c r="AA1167" i="2"/>
  <c r="Z1167" i="2"/>
  <c r="Y1167" i="2"/>
  <c r="T1167" i="2"/>
  <c r="S1167" i="2"/>
  <c r="P1167" i="2"/>
  <c r="K1167" i="2"/>
  <c r="AA1166" i="2"/>
  <c r="Z1166" i="2"/>
  <c r="Y1166" i="2"/>
  <c r="T1166" i="2"/>
  <c r="S1166" i="2"/>
  <c r="K1166" i="2"/>
  <c r="AA1165" i="2"/>
  <c r="Z1165" i="2"/>
  <c r="Y1165" i="2"/>
  <c r="T1165" i="2"/>
  <c r="S1165" i="2"/>
  <c r="P1165" i="2"/>
  <c r="K1165" i="2"/>
  <c r="AA1164" i="2"/>
  <c r="Z1164" i="2"/>
  <c r="Y1164" i="2"/>
  <c r="T1164" i="2"/>
  <c r="S1164" i="2"/>
  <c r="K1164" i="2"/>
  <c r="AA1163" i="2"/>
  <c r="Z1163" i="2"/>
  <c r="Y1163" i="2"/>
  <c r="T1163" i="2"/>
  <c r="S1163" i="2"/>
  <c r="P1163" i="2"/>
  <c r="K1163" i="2"/>
  <c r="AA1162" i="2"/>
  <c r="Z1162" i="2"/>
  <c r="Y1162" i="2"/>
  <c r="T1162" i="2"/>
  <c r="S1162" i="2"/>
  <c r="K1162" i="2"/>
  <c r="AA1161" i="2"/>
  <c r="Z1161" i="2"/>
  <c r="Y1161" i="2"/>
  <c r="T1161" i="2"/>
  <c r="S1161" i="2"/>
  <c r="P1161" i="2"/>
  <c r="K1161" i="2"/>
  <c r="AA1160" i="2"/>
  <c r="Z1160" i="2"/>
  <c r="Y1160" i="2"/>
  <c r="T1160" i="2"/>
  <c r="S1160" i="2"/>
  <c r="K1160" i="2"/>
  <c r="AA1159" i="2"/>
  <c r="Z1159" i="2"/>
  <c r="Y1159" i="2"/>
  <c r="T1159" i="2"/>
  <c r="S1159" i="2"/>
  <c r="P1159" i="2"/>
  <c r="K1159" i="2"/>
  <c r="AA1158" i="2"/>
  <c r="Z1158" i="2"/>
  <c r="Y1158" i="2"/>
  <c r="T1158" i="2"/>
  <c r="S1158" i="2"/>
  <c r="K1158" i="2"/>
  <c r="AA1157" i="2"/>
  <c r="Z1157" i="2"/>
  <c r="Y1157" i="2"/>
  <c r="T1157" i="2"/>
  <c r="S1157" i="2"/>
  <c r="P1157" i="2"/>
  <c r="K1157" i="2"/>
  <c r="AA1156" i="2"/>
  <c r="Z1156" i="2"/>
  <c r="Y1156" i="2"/>
  <c r="T1156" i="2"/>
  <c r="S1156" i="2"/>
  <c r="K1156" i="2"/>
  <c r="AA1155" i="2"/>
  <c r="Z1155" i="2"/>
  <c r="Y1155" i="2"/>
  <c r="T1155" i="2"/>
  <c r="S1155" i="2"/>
  <c r="P1155" i="2"/>
  <c r="K1155" i="2"/>
  <c r="AA1154" i="2"/>
  <c r="Z1154" i="2"/>
  <c r="Y1154" i="2"/>
  <c r="T1154" i="2"/>
  <c r="S1154" i="2"/>
  <c r="K1154" i="2"/>
  <c r="AA1153" i="2"/>
  <c r="Z1153" i="2"/>
  <c r="Y1153" i="2"/>
  <c r="T1153" i="2"/>
  <c r="S1153" i="2"/>
  <c r="P1153" i="2"/>
  <c r="K1153" i="2"/>
  <c r="AA1152" i="2"/>
  <c r="Z1152" i="2"/>
  <c r="Y1152" i="2"/>
  <c r="T1152" i="2"/>
  <c r="S1152" i="2"/>
  <c r="K1152" i="2"/>
  <c r="AA1151" i="2"/>
  <c r="Z1151" i="2"/>
  <c r="Y1151" i="2"/>
  <c r="T1151" i="2"/>
  <c r="S1151" i="2"/>
  <c r="P1151" i="2"/>
  <c r="K1151" i="2"/>
  <c r="AA1150" i="2"/>
  <c r="Z1150" i="2"/>
  <c r="Y1150" i="2"/>
  <c r="T1150" i="2"/>
  <c r="S1150" i="2"/>
  <c r="K1150" i="2"/>
  <c r="AA1149" i="2"/>
  <c r="Z1149" i="2"/>
  <c r="Y1149" i="2"/>
  <c r="T1149" i="2"/>
  <c r="S1149" i="2"/>
  <c r="P1149" i="2"/>
  <c r="K1149" i="2"/>
  <c r="AA1148" i="2"/>
  <c r="Z1148" i="2"/>
  <c r="Y1148" i="2"/>
  <c r="T1148" i="2"/>
  <c r="S1148" i="2"/>
  <c r="K1148" i="2"/>
  <c r="AA1147" i="2"/>
  <c r="Z1147" i="2"/>
  <c r="Y1147" i="2"/>
  <c r="T1147" i="2"/>
  <c r="S1147" i="2"/>
  <c r="P1147" i="2"/>
  <c r="K1147" i="2"/>
  <c r="AA1146" i="2"/>
  <c r="Z1146" i="2"/>
  <c r="Y1146" i="2"/>
  <c r="T1146" i="2"/>
  <c r="S1146" i="2"/>
  <c r="K1146" i="2"/>
  <c r="AA1145" i="2"/>
  <c r="Z1145" i="2"/>
  <c r="Y1145" i="2"/>
  <c r="T1145" i="2"/>
  <c r="S1145" i="2"/>
  <c r="K1145" i="2"/>
  <c r="AA1144" i="2"/>
  <c r="Z1144" i="2"/>
  <c r="Y1144" i="2"/>
  <c r="T1144" i="2"/>
  <c r="S1144" i="2"/>
  <c r="K1144" i="2"/>
  <c r="AA1143" i="2"/>
  <c r="Z1143" i="2"/>
  <c r="Y1143" i="2"/>
  <c r="T1143" i="2"/>
  <c r="S1143" i="2"/>
  <c r="P1143" i="2"/>
  <c r="K1143" i="2"/>
  <c r="AA1142" i="2"/>
  <c r="Z1142" i="2"/>
  <c r="Y1142" i="2"/>
  <c r="S1142" i="2"/>
  <c r="K1142" i="2"/>
  <c r="AA1141" i="2"/>
  <c r="Z1141" i="2"/>
  <c r="Y1141" i="2"/>
  <c r="S1141" i="2"/>
  <c r="P1141" i="2"/>
  <c r="K1141" i="2"/>
  <c r="AA1140" i="2"/>
  <c r="Z1140" i="2"/>
  <c r="Y1140" i="2"/>
  <c r="T1140" i="2"/>
  <c r="S1140" i="2"/>
  <c r="K1140" i="2"/>
  <c r="AA1139" i="2"/>
  <c r="Z1139" i="2"/>
  <c r="Y1139" i="2"/>
  <c r="T1139" i="2"/>
  <c r="S1139" i="2"/>
  <c r="P1139" i="2"/>
  <c r="K1139" i="2"/>
  <c r="AA1138" i="2"/>
  <c r="Z1138" i="2"/>
  <c r="Y1138" i="2"/>
  <c r="T1138" i="2"/>
  <c r="S1138" i="2"/>
  <c r="K1138" i="2"/>
  <c r="AA1137" i="2"/>
  <c r="Z1137" i="2"/>
  <c r="Y1137" i="2"/>
  <c r="T1137" i="2"/>
  <c r="S1137" i="2"/>
  <c r="P1137" i="2"/>
  <c r="K1137" i="2"/>
  <c r="AA1136" i="2"/>
  <c r="Z1136" i="2"/>
  <c r="Y1136" i="2"/>
  <c r="T1136" i="2"/>
  <c r="S1136" i="2"/>
  <c r="K1136" i="2"/>
  <c r="AA1135" i="2"/>
  <c r="Z1135" i="2"/>
  <c r="Y1135" i="2"/>
  <c r="T1135" i="2"/>
  <c r="S1135" i="2"/>
  <c r="P1135" i="2"/>
  <c r="K1135" i="2"/>
  <c r="AA1134" i="2"/>
  <c r="Z1134" i="2"/>
  <c r="Y1134" i="2"/>
  <c r="T1134" i="2"/>
  <c r="S1134" i="2"/>
  <c r="K1134" i="2"/>
  <c r="AA1133" i="2"/>
  <c r="Z1133" i="2"/>
  <c r="Y1133" i="2"/>
  <c r="T1133" i="2"/>
  <c r="S1133" i="2"/>
  <c r="P1133" i="2"/>
  <c r="K1133" i="2"/>
  <c r="AA1132" i="2"/>
  <c r="Z1132" i="2"/>
  <c r="Y1132" i="2"/>
  <c r="T1132" i="2"/>
  <c r="S1132" i="2"/>
  <c r="K1132" i="2"/>
  <c r="AA1131" i="2"/>
  <c r="Z1131" i="2"/>
  <c r="Y1131" i="2"/>
  <c r="T1131" i="2"/>
  <c r="S1131" i="2"/>
  <c r="P1131" i="2"/>
  <c r="K1131" i="2"/>
  <c r="AA1130" i="2"/>
  <c r="Z1130" i="2"/>
  <c r="Y1130" i="2"/>
  <c r="T1130" i="2"/>
  <c r="S1130" i="2"/>
  <c r="K1130" i="2"/>
  <c r="AA1129" i="2"/>
  <c r="Z1129" i="2"/>
  <c r="Y1129" i="2"/>
  <c r="T1129" i="2"/>
  <c r="S1129" i="2"/>
  <c r="P1129" i="2"/>
  <c r="K1129" i="2"/>
  <c r="AA1128" i="2"/>
  <c r="Z1128" i="2"/>
  <c r="Y1128" i="2"/>
  <c r="T1128" i="2"/>
  <c r="S1128" i="2"/>
  <c r="K1128" i="2"/>
  <c r="AA1127" i="2"/>
  <c r="Z1127" i="2"/>
  <c r="Y1127" i="2"/>
  <c r="T1127" i="2"/>
  <c r="S1127" i="2"/>
  <c r="P1127" i="2"/>
  <c r="K1127" i="2"/>
  <c r="AA1126" i="2"/>
  <c r="Z1126" i="2"/>
  <c r="Y1126" i="2"/>
  <c r="T1126" i="2"/>
  <c r="S1126" i="2"/>
  <c r="K1126" i="2"/>
  <c r="AA1125" i="2"/>
  <c r="Z1125" i="2"/>
  <c r="Y1125" i="2"/>
  <c r="T1125" i="2"/>
  <c r="S1125" i="2"/>
  <c r="P1125" i="2"/>
  <c r="K1125" i="2"/>
  <c r="AA1124" i="2"/>
  <c r="Z1124" i="2"/>
  <c r="Y1124" i="2"/>
  <c r="T1124" i="2"/>
  <c r="S1124" i="2"/>
  <c r="K1124" i="2"/>
  <c r="AA1123" i="2"/>
  <c r="Z1123" i="2"/>
  <c r="Y1123" i="2"/>
  <c r="T1123" i="2"/>
  <c r="S1123" i="2"/>
  <c r="P1123" i="2"/>
  <c r="K1123" i="2"/>
  <c r="AA1122" i="2"/>
  <c r="Z1122" i="2"/>
  <c r="Y1122" i="2"/>
  <c r="T1122" i="2"/>
  <c r="S1122" i="2"/>
  <c r="K1122" i="2"/>
  <c r="AA1121" i="2"/>
  <c r="Z1121" i="2"/>
  <c r="Y1121" i="2"/>
  <c r="T1121" i="2"/>
  <c r="S1121" i="2"/>
  <c r="P1121" i="2"/>
  <c r="K1121" i="2"/>
  <c r="AA1120" i="2"/>
  <c r="Z1120" i="2"/>
  <c r="Y1120" i="2"/>
  <c r="T1120" i="2"/>
  <c r="S1120" i="2"/>
  <c r="K1120" i="2"/>
  <c r="AA1119" i="2"/>
  <c r="Z1119" i="2"/>
  <c r="Y1119" i="2"/>
  <c r="T1119" i="2"/>
  <c r="S1119" i="2"/>
  <c r="P1119" i="2"/>
  <c r="K1119" i="2"/>
  <c r="AA1118" i="2"/>
  <c r="Z1118" i="2"/>
  <c r="Y1118" i="2"/>
  <c r="T1118" i="2"/>
  <c r="S1118" i="2"/>
  <c r="K1118" i="2"/>
  <c r="AA1117" i="2"/>
  <c r="Z1117" i="2"/>
  <c r="Y1117" i="2"/>
  <c r="T1117" i="2"/>
  <c r="S1117" i="2"/>
  <c r="P1117" i="2"/>
  <c r="K1117" i="2"/>
  <c r="AA1116" i="2"/>
  <c r="Z1116" i="2"/>
  <c r="Y1116" i="2"/>
  <c r="T1116" i="2"/>
  <c r="S1116" i="2"/>
  <c r="K1116" i="2"/>
  <c r="AA1115" i="2"/>
  <c r="Z1115" i="2"/>
  <c r="Y1115" i="2"/>
  <c r="T1115" i="2"/>
  <c r="S1115" i="2"/>
  <c r="P1115" i="2"/>
  <c r="K1115" i="2"/>
  <c r="AA1114" i="2"/>
  <c r="Z1114" i="2"/>
  <c r="Y1114" i="2"/>
  <c r="T1114" i="2"/>
  <c r="S1114" i="2"/>
  <c r="K1114" i="2"/>
  <c r="L1" i="5"/>
  <c r="D46" i="9" s="1"/>
  <c r="J200" i="5"/>
  <c r="I200" i="5"/>
  <c r="H200" i="5"/>
  <c r="K200" i="5"/>
  <c r="J199" i="5"/>
  <c r="I199" i="5"/>
  <c r="H199" i="5"/>
  <c r="K199" i="5"/>
  <c r="J198" i="5"/>
  <c r="I198" i="5"/>
  <c r="H198" i="5"/>
  <c r="K198" i="5"/>
  <c r="J197" i="5"/>
  <c r="I197" i="5"/>
  <c r="H197" i="5"/>
  <c r="K197" i="5"/>
  <c r="J196" i="5"/>
  <c r="I196" i="5"/>
  <c r="H196" i="5"/>
  <c r="K196" i="5"/>
  <c r="J195" i="5"/>
  <c r="I195" i="5"/>
  <c r="H195" i="5"/>
  <c r="K195" i="5"/>
  <c r="J194" i="5"/>
  <c r="I194" i="5"/>
  <c r="H194" i="5"/>
  <c r="K194" i="5"/>
  <c r="J193" i="5"/>
  <c r="I193" i="5"/>
  <c r="H193" i="5"/>
  <c r="K193" i="5"/>
  <c r="J192" i="5"/>
  <c r="I192" i="5"/>
  <c r="H192" i="5"/>
  <c r="K192" i="5"/>
  <c r="J191" i="5"/>
  <c r="I191" i="5"/>
  <c r="H191" i="5"/>
  <c r="K191" i="5"/>
  <c r="J190" i="5"/>
  <c r="I190" i="5"/>
  <c r="H190" i="5"/>
  <c r="K190" i="5"/>
  <c r="J189" i="5"/>
  <c r="I189" i="5"/>
  <c r="H189" i="5"/>
  <c r="K189" i="5"/>
  <c r="J188" i="5"/>
  <c r="I188" i="5"/>
  <c r="H188" i="5"/>
  <c r="K188" i="5"/>
  <c r="J187" i="5"/>
  <c r="I187" i="5"/>
  <c r="H187" i="5"/>
  <c r="K187" i="5"/>
  <c r="J186" i="5"/>
  <c r="I186" i="5"/>
  <c r="H186" i="5"/>
  <c r="K186" i="5"/>
  <c r="J185" i="5"/>
  <c r="I185" i="5"/>
  <c r="H185" i="5"/>
  <c r="K185" i="5"/>
  <c r="J184" i="5"/>
  <c r="I184" i="5"/>
  <c r="H184" i="5"/>
  <c r="K184" i="5"/>
  <c r="J183" i="5"/>
  <c r="I183" i="5"/>
  <c r="H183" i="5"/>
  <c r="K183" i="5"/>
  <c r="J182" i="5"/>
  <c r="I182" i="5"/>
  <c r="H182" i="5"/>
  <c r="K182" i="5"/>
  <c r="J181" i="5"/>
  <c r="I181" i="5"/>
  <c r="H181" i="5"/>
  <c r="K181" i="5"/>
  <c r="J180" i="5"/>
  <c r="I180" i="5"/>
  <c r="H180" i="5"/>
  <c r="K180" i="5"/>
  <c r="J179" i="5"/>
  <c r="I179" i="5"/>
  <c r="H179" i="5"/>
  <c r="K179" i="5"/>
  <c r="J178" i="5"/>
  <c r="I178" i="5"/>
  <c r="H178" i="5"/>
  <c r="K178" i="5"/>
  <c r="J177" i="5"/>
  <c r="I177" i="5"/>
  <c r="H177" i="5"/>
  <c r="K177" i="5"/>
  <c r="J176" i="5"/>
  <c r="I176" i="5"/>
  <c r="H176" i="5"/>
  <c r="K176" i="5"/>
  <c r="J175" i="5"/>
  <c r="I175" i="5"/>
  <c r="H175" i="5"/>
  <c r="K175" i="5"/>
  <c r="J174" i="5"/>
  <c r="I174" i="5"/>
  <c r="H174" i="5"/>
  <c r="K174" i="5"/>
  <c r="J173" i="5"/>
  <c r="I173" i="5"/>
  <c r="H173" i="5"/>
  <c r="K173" i="5"/>
  <c r="J172" i="5"/>
  <c r="I172" i="5"/>
  <c r="H172" i="5"/>
  <c r="K172" i="5"/>
  <c r="J171" i="5"/>
  <c r="I171" i="5"/>
  <c r="H171" i="5"/>
  <c r="K171" i="5"/>
  <c r="J170" i="5"/>
  <c r="I170" i="5"/>
  <c r="H170" i="5"/>
  <c r="K170" i="5"/>
  <c r="J169" i="5"/>
  <c r="I169" i="5"/>
  <c r="H169" i="5"/>
  <c r="K169" i="5"/>
  <c r="J168" i="5"/>
  <c r="I168" i="5"/>
  <c r="H168" i="5"/>
  <c r="K168" i="5"/>
  <c r="J167" i="5"/>
  <c r="I167" i="5"/>
  <c r="H167" i="5"/>
  <c r="K167" i="5"/>
  <c r="J166" i="5"/>
  <c r="I166" i="5"/>
  <c r="H166" i="5"/>
  <c r="K166" i="5"/>
  <c r="J165" i="5"/>
  <c r="I165" i="5"/>
  <c r="H165" i="5"/>
  <c r="K165" i="5"/>
  <c r="J164" i="5"/>
  <c r="I164" i="5"/>
  <c r="H164" i="5"/>
  <c r="K164" i="5"/>
  <c r="J163" i="5"/>
  <c r="I163" i="5"/>
  <c r="H163" i="5"/>
  <c r="K163" i="5"/>
  <c r="J162" i="5"/>
  <c r="I162" i="5"/>
  <c r="H162" i="5"/>
  <c r="K162" i="5"/>
  <c r="J161" i="5"/>
  <c r="I161" i="5"/>
  <c r="H161" i="5"/>
  <c r="K161" i="5"/>
  <c r="J160" i="5"/>
  <c r="I160" i="5"/>
  <c r="H160" i="5"/>
  <c r="K160" i="5"/>
  <c r="J159" i="5"/>
  <c r="I159" i="5"/>
  <c r="H159" i="5"/>
  <c r="K159" i="5"/>
  <c r="J158" i="5"/>
  <c r="I158" i="5"/>
  <c r="H158" i="5"/>
  <c r="K158" i="5"/>
  <c r="J157" i="5"/>
  <c r="I157" i="5"/>
  <c r="H157" i="5"/>
  <c r="K157" i="5"/>
  <c r="J156" i="5"/>
  <c r="I156" i="5"/>
  <c r="H156" i="5"/>
  <c r="K156" i="5"/>
  <c r="J155" i="5"/>
  <c r="I155" i="5"/>
  <c r="H155" i="5"/>
  <c r="K155" i="5"/>
  <c r="J154" i="5"/>
  <c r="I154" i="5"/>
  <c r="H154" i="5"/>
  <c r="K154" i="5"/>
  <c r="J153" i="5"/>
  <c r="I153" i="5"/>
  <c r="H153" i="5"/>
  <c r="K153" i="5"/>
  <c r="J152" i="5"/>
  <c r="I152" i="5"/>
  <c r="H152" i="5"/>
  <c r="K152" i="5"/>
  <c r="J151" i="5"/>
  <c r="I151" i="5"/>
  <c r="H151" i="5"/>
  <c r="K151" i="5"/>
  <c r="L1" i="7"/>
  <c r="D48" i="9" s="1"/>
  <c r="J49" i="7"/>
  <c r="I49" i="7"/>
  <c r="H49" i="7"/>
  <c r="K49" i="7" s="1"/>
  <c r="J47" i="7"/>
  <c r="I47" i="7"/>
  <c r="H47" i="7"/>
  <c r="K47" i="7" s="1"/>
  <c r="J46" i="7"/>
  <c r="I46" i="7"/>
  <c r="H46" i="7"/>
  <c r="K46" i="7" s="1"/>
  <c r="J45" i="7"/>
  <c r="I45" i="7"/>
  <c r="H45" i="7"/>
  <c r="K45" i="7" s="1"/>
  <c r="J44" i="7"/>
  <c r="I44" i="7"/>
  <c r="H44" i="7"/>
  <c r="K44" i="7" s="1"/>
  <c r="J43" i="7"/>
  <c r="I43" i="7"/>
  <c r="H43" i="7"/>
  <c r="K43" i="7" s="1"/>
  <c r="J42" i="7"/>
  <c r="I42" i="7"/>
  <c r="H42" i="7"/>
  <c r="K42" i="7" s="1"/>
  <c r="J41" i="7"/>
  <c r="I41" i="7"/>
  <c r="H41" i="7"/>
  <c r="K41" i="7" s="1"/>
  <c r="L1" i="6"/>
  <c r="D47" i="9" s="1"/>
  <c r="E47" i="9" s="1"/>
  <c r="J101" i="6"/>
  <c r="I101" i="6"/>
  <c r="H101" i="6"/>
  <c r="K101" i="6" s="1"/>
  <c r="J100" i="6"/>
  <c r="I100" i="6"/>
  <c r="H100" i="6"/>
  <c r="K100" i="6" s="1"/>
  <c r="J99" i="6"/>
  <c r="I99" i="6"/>
  <c r="H99" i="6"/>
  <c r="K99" i="6" s="1"/>
  <c r="J98" i="6"/>
  <c r="I98" i="6"/>
  <c r="H98" i="6"/>
  <c r="K98" i="6" s="1"/>
  <c r="J97" i="6"/>
  <c r="I97" i="6"/>
  <c r="H97" i="6"/>
  <c r="K97" i="6" s="1"/>
  <c r="J96" i="6"/>
  <c r="I96" i="6"/>
  <c r="H96" i="6"/>
  <c r="K96" i="6" s="1"/>
  <c r="J95" i="6"/>
  <c r="I95" i="6"/>
  <c r="H95" i="6"/>
  <c r="K95" i="6" s="1"/>
  <c r="J94" i="6"/>
  <c r="I94" i="6"/>
  <c r="H94" i="6"/>
  <c r="K94" i="6" s="1"/>
  <c r="J93" i="6"/>
  <c r="I93" i="6"/>
  <c r="H93" i="6"/>
  <c r="K93" i="6" s="1"/>
  <c r="J92" i="6"/>
  <c r="I92" i="6"/>
  <c r="H92" i="6"/>
  <c r="K92" i="6" s="1"/>
  <c r="J91" i="6"/>
  <c r="I91" i="6"/>
  <c r="H91" i="6"/>
  <c r="K91" i="6" s="1"/>
  <c r="J90" i="6"/>
  <c r="I90" i="6"/>
  <c r="H90" i="6"/>
  <c r="K90" i="6" s="1"/>
  <c r="J89" i="6"/>
  <c r="I89" i="6"/>
  <c r="H89" i="6"/>
  <c r="K89" i="6" s="1"/>
  <c r="J88" i="6"/>
  <c r="I88" i="6"/>
  <c r="H88" i="6"/>
  <c r="K88" i="6" s="1"/>
  <c r="J87" i="6"/>
  <c r="I87" i="6"/>
  <c r="H87" i="6"/>
  <c r="K87" i="6" s="1"/>
  <c r="J86" i="6"/>
  <c r="I86" i="6"/>
  <c r="H86" i="6"/>
  <c r="K86" i="6" s="1"/>
  <c r="J85" i="6"/>
  <c r="I85" i="6"/>
  <c r="H85" i="6"/>
  <c r="K85" i="6" s="1"/>
  <c r="J84" i="6"/>
  <c r="I84" i="6"/>
  <c r="H84" i="6"/>
  <c r="K84" i="6" s="1"/>
  <c r="J83" i="6"/>
  <c r="I83" i="6"/>
  <c r="H83" i="6"/>
  <c r="K83" i="6" s="1"/>
  <c r="J82" i="6"/>
  <c r="I82" i="6"/>
  <c r="H82" i="6"/>
  <c r="K82" i="6" s="1"/>
  <c r="J81" i="6"/>
  <c r="I81" i="6"/>
  <c r="H81" i="6"/>
  <c r="K81" i="6" s="1"/>
  <c r="J80" i="6"/>
  <c r="I80" i="6"/>
  <c r="H80" i="6"/>
  <c r="K80" i="6" s="1"/>
  <c r="J79" i="6"/>
  <c r="I79" i="6"/>
  <c r="H79" i="6"/>
  <c r="K79" i="6" s="1"/>
  <c r="J78" i="6"/>
  <c r="I78" i="6"/>
  <c r="H78" i="6"/>
  <c r="K78" i="6" s="1"/>
  <c r="J77" i="6"/>
  <c r="I77" i="6"/>
  <c r="H77" i="6"/>
  <c r="K77" i="6" s="1"/>
  <c r="J76" i="6"/>
  <c r="I76" i="6"/>
  <c r="H76" i="6"/>
  <c r="K76" i="6" s="1"/>
  <c r="J75" i="6"/>
  <c r="I75" i="6"/>
  <c r="H75" i="6"/>
  <c r="K75" i="6" s="1"/>
  <c r="J74" i="6"/>
  <c r="I74" i="6"/>
  <c r="H74" i="6"/>
  <c r="K74" i="6" s="1"/>
  <c r="J73" i="6"/>
  <c r="I73" i="6"/>
  <c r="H73" i="6"/>
  <c r="K73" i="6" s="1"/>
  <c r="J72" i="6"/>
  <c r="I72" i="6"/>
  <c r="H72" i="6"/>
  <c r="K72" i="6" s="1"/>
  <c r="J71" i="6"/>
  <c r="I71" i="6"/>
  <c r="H71" i="6"/>
  <c r="K71" i="6" s="1"/>
  <c r="J70" i="6"/>
  <c r="I70" i="6"/>
  <c r="H70" i="6"/>
  <c r="K70" i="6" s="1"/>
  <c r="J69" i="6"/>
  <c r="I69" i="6"/>
  <c r="H69" i="6"/>
  <c r="K69" i="6" s="1"/>
  <c r="J68" i="6"/>
  <c r="I68" i="6"/>
  <c r="H68" i="6"/>
  <c r="K68" i="6" s="1"/>
  <c r="J67" i="6"/>
  <c r="I67" i="6"/>
  <c r="H67" i="6"/>
  <c r="K67" i="6" s="1"/>
  <c r="J66" i="6"/>
  <c r="I66" i="6"/>
  <c r="H66" i="6"/>
  <c r="K66" i="6" s="1"/>
  <c r="J65" i="6"/>
  <c r="I65" i="6"/>
  <c r="H65" i="6"/>
  <c r="K65" i="6" s="1"/>
  <c r="J64" i="6"/>
  <c r="I64" i="6"/>
  <c r="H64" i="6"/>
  <c r="K64" i="6" s="1"/>
  <c r="J63" i="6"/>
  <c r="I63" i="6"/>
  <c r="H63" i="6"/>
  <c r="K63" i="6" s="1"/>
  <c r="J62" i="6"/>
  <c r="I62" i="6"/>
  <c r="H62" i="6"/>
  <c r="J61" i="6"/>
  <c r="I61" i="6"/>
  <c r="H61" i="6"/>
  <c r="K61" i="6" s="1"/>
  <c r="J60" i="6"/>
  <c r="I60" i="6"/>
  <c r="H60" i="6"/>
  <c r="K60" i="6" s="1"/>
  <c r="J150" i="5"/>
  <c r="I150" i="5"/>
  <c r="H150" i="5"/>
  <c r="K150" i="5" s="1"/>
  <c r="J149" i="5"/>
  <c r="I149" i="5"/>
  <c r="H149" i="5"/>
  <c r="K149" i="5" s="1"/>
  <c r="J148" i="5"/>
  <c r="I148" i="5"/>
  <c r="H148" i="5"/>
  <c r="K148" i="5" s="1"/>
  <c r="J147" i="5"/>
  <c r="I147" i="5"/>
  <c r="H147" i="5"/>
  <c r="K147" i="5" s="1"/>
  <c r="J146" i="5"/>
  <c r="I146" i="5"/>
  <c r="H146" i="5"/>
  <c r="K146" i="5" s="1"/>
  <c r="J145" i="5"/>
  <c r="I145" i="5"/>
  <c r="H145" i="5"/>
  <c r="J144" i="5"/>
  <c r="I144" i="5"/>
  <c r="H144" i="5"/>
  <c r="K144" i="5" s="1"/>
  <c r="J300" i="4"/>
  <c r="I300" i="4"/>
  <c r="H300" i="4"/>
  <c r="K300" i="4" s="1"/>
  <c r="J299" i="4"/>
  <c r="I299" i="4"/>
  <c r="H299" i="4"/>
  <c r="K299" i="4" s="1"/>
  <c r="J298" i="4"/>
  <c r="I298" i="4"/>
  <c r="H298" i="4"/>
  <c r="K298" i="4" s="1"/>
  <c r="J297" i="4"/>
  <c r="I297" i="4"/>
  <c r="H297" i="4"/>
  <c r="K297" i="4" s="1"/>
  <c r="J800" i="3"/>
  <c r="I800" i="3"/>
  <c r="H800" i="3"/>
  <c r="K800" i="3" s="1"/>
  <c r="J799" i="3"/>
  <c r="I799" i="3"/>
  <c r="H799" i="3"/>
  <c r="K799" i="3" s="1"/>
  <c r="J798" i="3"/>
  <c r="I798" i="3"/>
  <c r="H798" i="3"/>
  <c r="K798" i="3" s="1"/>
  <c r="K797" i="3"/>
  <c r="J797" i="3"/>
  <c r="I797" i="3"/>
  <c r="H797" i="3"/>
  <c r="J796" i="3"/>
  <c r="I796" i="3"/>
  <c r="H796" i="3"/>
  <c r="K796" i="3" s="1"/>
  <c r="J795" i="3"/>
  <c r="I795" i="3"/>
  <c r="H795" i="3"/>
  <c r="K795" i="3" s="1"/>
  <c r="J794" i="3"/>
  <c r="I794" i="3"/>
  <c r="H794" i="3"/>
  <c r="K794" i="3" s="1"/>
  <c r="K793" i="3"/>
  <c r="J793" i="3"/>
  <c r="I793" i="3"/>
  <c r="H793" i="3"/>
  <c r="J792" i="3"/>
  <c r="I792" i="3"/>
  <c r="H792" i="3"/>
  <c r="K792" i="3" s="1"/>
  <c r="K791" i="3"/>
  <c r="J791" i="3"/>
  <c r="I791" i="3"/>
  <c r="H791" i="3"/>
  <c r="J790" i="3"/>
  <c r="I790" i="3"/>
  <c r="H790" i="3"/>
  <c r="K790" i="3" s="1"/>
  <c r="K789" i="3"/>
  <c r="J789" i="3"/>
  <c r="I789" i="3"/>
  <c r="H789" i="3"/>
  <c r="J788" i="3"/>
  <c r="I788" i="3"/>
  <c r="H788" i="3"/>
  <c r="K788" i="3" s="1"/>
  <c r="J787" i="3"/>
  <c r="I787" i="3"/>
  <c r="H787" i="3"/>
  <c r="K787" i="3" s="1"/>
  <c r="J786" i="3"/>
  <c r="I786" i="3"/>
  <c r="H786" i="3"/>
  <c r="K786" i="3" s="1"/>
  <c r="K785" i="3"/>
  <c r="J785" i="3"/>
  <c r="I785" i="3"/>
  <c r="H785" i="3"/>
  <c r="J784" i="3"/>
  <c r="I784" i="3"/>
  <c r="H784" i="3"/>
  <c r="K784" i="3" s="1"/>
  <c r="K783" i="3"/>
  <c r="J783" i="3"/>
  <c r="I783" i="3"/>
  <c r="H783" i="3"/>
  <c r="J782" i="3"/>
  <c r="I782" i="3"/>
  <c r="H782" i="3"/>
  <c r="K782" i="3" s="1"/>
  <c r="K781" i="3"/>
  <c r="J781" i="3"/>
  <c r="I781" i="3"/>
  <c r="H781" i="3"/>
  <c r="J780" i="3"/>
  <c r="I780" i="3"/>
  <c r="H780" i="3"/>
  <c r="K780" i="3" s="1"/>
  <c r="J779" i="3"/>
  <c r="I779" i="3"/>
  <c r="H779" i="3"/>
  <c r="K779" i="3" s="1"/>
  <c r="J778" i="3"/>
  <c r="I778" i="3"/>
  <c r="H778" i="3"/>
  <c r="K778" i="3" s="1"/>
  <c r="K777" i="3"/>
  <c r="J777" i="3"/>
  <c r="I777" i="3"/>
  <c r="H777" i="3"/>
  <c r="J776" i="3"/>
  <c r="I776" i="3"/>
  <c r="H776" i="3"/>
  <c r="K776" i="3" s="1"/>
  <c r="K775" i="3"/>
  <c r="J775" i="3"/>
  <c r="I775" i="3"/>
  <c r="H775" i="3"/>
  <c r="J774" i="3"/>
  <c r="I774" i="3"/>
  <c r="H774" i="3"/>
  <c r="K774" i="3" s="1"/>
  <c r="K773" i="3"/>
  <c r="J773" i="3"/>
  <c r="I773" i="3"/>
  <c r="H773" i="3"/>
  <c r="J772" i="3"/>
  <c r="I772" i="3"/>
  <c r="H772" i="3"/>
  <c r="K772" i="3" s="1"/>
  <c r="J771" i="3"/>
  <c r="I771" i="3"/>
  <c r="H771" i="3"/>
  <c r="K771" i="3" s="1"/>
  <c r="J770" i="3"/>
  <c r="I770" i="3"/>
  <c r="H770" i="3"/>
  <c r="K770" i="3" s="1"/>
  <c r="K769" i="3"/>
  <c r="J769" i="3"/>
  <c r="I769" i="3"/>
  <c r="H769" i="3"/>
  <c r="J768" i="3"/>
  <c r="I768" i="3"/>
  <c r="H768" i="3"/>
  <c r="K768" i="3" s="1"/>
  <c r="K767" i="3"/>
  <c r="J767" i="3"/>
  <c r="I767" i="3"/>
  <c r="H767" i="3"/>
  <c r="J766" i="3"/>
  <c r="I766" i="3"/>
  <c r="H766" i="3"/>
  <c r="K766" i="3" s="1"/>
  <c r="K765" i="3"/>
  <c r="J765" i="3"/>
  <c r="I765" i="3"/>
  <c r="H765" i="3"/>
  <c r="J764" i="3"/>
  <c r="I764" i="3"/>
  <c r="H764" i="3"/>
  <c r="K764" i="3" s="1"/>
  <c r="J763" i="3"/>
  <c r="I763" i="3"/>
  <c r="H763" i="3"/>
  <c r="K763" i="3" s="1"/>
  <c r="J762" i="3"/>
  <c r="I762" i="3"/>
  <c r="H762" i="3"/>
  <c r="K762" i="3" s="1"/>
  <c r="K761" i="3"/>
  <c r="J761" i="3"/>
  <c r="I761" i="3"/>
  <c r="H761" i="3"/>
  <c r="J760" i="3"/>
  <c r="I760" i="3"/>
  <c r="H760" i="3"/>
  <c r="K760" i="3" s="1"/>
  <c r="K759" i="3"/>
  <c r="J759" i="3"/>
  <c r="I759" i="3"/>
  <c r="H759" i="3"/>
  <c r="J758" i="3"/>
  <c r="I758" i="3"/>
  <c r="H758" i="3"/>
  <c r="K758" i="3" s="1"/>
  <c r="K757" i="3"/>
  <c r="J757" i="3"/>
  <c r="I757" i="3"/>
  <c r="H757" i="3"/>
  <c r="J756" i="3"/>
  <c r="I756" i="3"/>
  <c r="H756" i="3"/>
  <c r="K756" i="3" s="1"/>
  <c r="J755" i="3"/>
  <c r="I755" i="3"/>
  <c r="H755" i="3"/>
  <c r="K755" i="3" s="1"/>
  <c r="J754" i="3"/>
  <c r="I754" i="3"/>
  <c r="H754" i="3"/>
  <c r="K754" i="3" s="1"/>
  <c r="K753" i="3"/>
  <c r="J753" i="3"/>
  <c r="I753" i="3"/>
  <c r="H753" i="3"/>
  <c r="J752" i="3"/>
  <c r="I752" i="3"/>
  <c r="H752" i="3"/>
  <c r="K752" i="3" s="1"/>
  <c r="K751" i="3"/>
  <c r="J751" i="3"/>
  <c r="I751" i="3"/>
  <c r="H751" i="3"/>
  <c r="J750" i="3"/>
  <c r="I750" i="3"/>
  <c r="H750" i="3"/>
  <c r="K750" i="3" s="1"/>
  <c r="K749" i="3"/>
  <c r="J749" i="3"/>
  <c r="I749" i="3"/>
  <c r="H749" i="3"/>
  <c r="J748" i="3"/>
  <c r="I748" i="3"/>
  <c r="H748" i="3"/>
  <c r="K748" i="3" s="1"/>
  <c r="J747" i="3"/>
  <c r="I747" i="3"/>
  <c r="H747" i="3"/>
  <c r="K747" i="3" s="1"/>
  <c r="J746" i="3"/>
  <c r="I746" i="3"/>
  <c r="H746" i="3"/>
  <c r="K746" i="3" s="1"/>
  <c r="K745" i="3"/>
  <c r="J745" i="3"/>
  <c r="I745" i="3"/>
  <c r="H745" i="3"/>
  <c r="J744" i="3"/>
  <c r="I744" i="3"/>
  <c r="H744" i="3"/>
  <c r="K744" i="3" s="1"/>
  <c r="K743" i="3"/>
  <c r="J743" i="3"/>
  <c r="I743" i="3"/>
  <c r="H743" i="3"/>
  <c r="J742" i="3"/>
  <c r="I742" i="3"/>
  <c r="H742" i="3"/>
  <c r="K742" i="3" s="1"/>
  <c r="K741" i="3"/>
  <c r="J741" i="3"/>
  <c r="I741" i="3"/>
  <c r="H741" i="3"/>
  <c r="J740" i="3"/>
  <c r="I740" i="3"/>
  <c r="H740" i="3"/>
  <c r="K740" i="3" s="1"/>
  <c r="J739" i="3"/>
  <c r="I739" i="3"/>
  <c r="H739" i="3"/>
  <c r="K739" i="3" s="1"/>
  <c r="J738" i="3"/>
  <c r="I738" i="3"/>
  <c r="H738" i="3"/>
  <c r="K738" i="3" s="1"/>
  <c r="K737" i="3"/>
  <c r="J737" i="3"/>
  <c r="I737" i="3"/>
  <c r="H737" i="3"/>
  <c r="J736" i="3"/>
  <c r="I736" i="3"/>
  <c r="H736" i="3"/>
  <c r="K736" i="3" s="1"/>
  <c r="K735" i="3"/>
  <c r="J735" i="3"/>
  <c r="I735" i="3"/>
  <c r="H735" i="3"/>
  <c r="J734" i="3"/>
  <c r="I734" i="3"/>
  <c r="H734" i="3"/>
  <c r="K734" i="3" s="1"/>
  <c r="K733" i="3"/>
  <c r="J733" i="3"/>
  <c r="I733" i="3"/>
  <c r="H733" i="3"/>
  <c r="J732" i="3"/>
  <c r="I732" i="3"/>
  <c r="H732" i="3"/>
  <c r="K732" i="3" s="1"/>
  <c r="J731" i="3"/>
  <c r="I731" i="3"/>
  <c r="H731" i="3"/>
  <c r="K731" i="3" s="1"/>
  <c r="J730" i="3"/>
  <c r="I730" i="3"/>
  <c r="H730" i="3"/>
  <c r="K730" i="3" s="1"/>
  <c r="K729" i="3"/>
  <c r="J729" i="3"/>
  <c r="I729" i="3"/>
  <c r="H729" i="3"/>
  <c r="J728" i="3"/>
  <c r="I728" i="3"/>
  <c r="H728" i="3"/>
  <c r="K728" i="3" s="1"/>
  <c r="K727" i="3"/>
  <c r="J727" i="3"/>
  <c r="I727" i="3"/>
  <c r="H727" i="3"/>
  <c r="J726" i="3"/>
  <c r="I726" i="3"/>
  <c r="H726" i="3"/>
  <c r="K726" i="3" s="1"/>
  <c r="J725" i="3"/>
  <c r="I725" i="3"/>
  <c r="H725" i="3"/>
  <c r="K725" i="3" s="1"/>
  <c r="J724" i="3"/>
  <c r="I724" i="3"/>
  <c r="H724" i="3"/>
  <c r="K724" i="3" s="1"/>
  <c r="J723" i="3"/>
  <c r="I723" i="3"/>
  <c r="H723" i="3"/>
  <c r="K723" i="3" s="1"/>
  <c r="J722" i="3"/>
  <c r="I722" i="3"/>
  <c r="H722" i="3"/>
  <c r="K722" i="3" s="1"/>
  <c r="K721" i="3"/>
  <c r="J721" i="3"/>
  <c r="I721" i="3"/>
  <c r="H721" i="3"/>
  <c r="J720" i="3"/>
  <c r="I720" i="3"/>
  <c r="H720" i="3"/>
  <c r="K720" i="3" s="1"/>
  <c r="K719" i="3"/>
  <c r="J719" i="3"/>
  <c r="I719" i="3"/>
  <c r="H719" i="3"/>
  <c r="L1" i="4"/>
  <c r="D45" i="9" s="1"/>
  <c r="L1" i="3"/>
  <c r="D44" i="9" s="1"/>
  <c r="AB221" i="2"/>
  <c r="A9" i="2"/>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N7" i="2"/>
  <c r="P7" i="2" s="1"/>
  <c r="AA7" i="2"/>
  <c r="Z7" i="2"/>
  <c r="Y7" i="2"/>
  <c r="T7" i="2"/>
  <c r="S7" i="2"/>
  <c r="K7" i="2"/>
  <c r="D71" i="12"/>
  <c r="AA1113" i="2"/>
  <c r="AA1112" i="2"/>
  <c r="AA1109" i="2"/>
  <c r="AA1108" i="2"/>
  <c r="AA1107" i="2"/>
  <c r="AA1099" i="2"/>
  <c r="AA1098" i="2"/>
  <c r="AA1097" i="2"/>
  <c r="AA1096" i="2"/>
  <c r="AA1095" i="2"/>
  <c r="AA1094" i="2"/>
  <c r="AA1093" i="2"/>
  <c r="AA1092" i="2"/>
  <c r="AA1091" i="2"/>
  <c r="AA1090" i="2"/>
  <c r="AA1089" i="2"/>
  <c r="AA1088" i="2"/>
  <c r="AA1087" i="2"/>
  <c r="AA1086" i="2"/>
  <c r="AA1085" i="2"/>
  <c r="AA1084" i="2"/>
  <c r="AA1083" i="2"/>
  <c r="AA1082" i="2"/>
  <c r="AA1081" i="2"/>
  <c r="AA1080" i="2"/>
  <c r="AA1079" i="2"/>
  <c r="AA1078" i="2"/>
  <c r="AA1077" i="2"/>
  <c r="AA1076" i="2"/>
  <c r="AA1075" i="2"/>
  <c r="AA1074" i="2"/>
  <c r="AA1073" i="2"/>
  <c r="AA1072" i="2"/>
  <c r="AA1071" i="2"/>
  <c r="AA1070" i="2"/>
  <c r="AA1069" i="2"/>
  <c r="AA1068" i="2"/>
  <c r="AA1067" i="2"/>
  <c r="AA1066" i="2"/>
  <c r="AA1065" i="2"/>
  <c r="AA1064" i="2"/>
  <c r="AA1063" i="2"/>
  <c r="AA1062" i="2"/>
  <c r="AA1061" i="2"/>
  <c r="AA1060" i="2"/>
  <c r="AA1059" i="2"/>
  <c r="AA1058" i="2"/>
  <c r="AA1057" i="2"/>
  <c r="AA1056" i="2"/>
  <c r="AA1055" i="2"/>
  <c r="AA1053" i="2"/>
  <c r="AA1052" i="2"/>
  <c r="AA1051" i="2"/>
  <c r="AA1050" i="2"/>
  <c r="AA1049" i="2"/>
  <c r="AA1048" i="2"/>
  <c r="AA1047" i="2"/>
  <c r="AA1046" i="2"/>
  <c r="AA1045" i="2"/>
  <c r="AA1044" i="2"/>
  <c r="AA1043" i="2"/>
  <c r="AA1042" i="2"/>
  <c r="AA1041" i="2"/>
  <c r="AA1040" i="2"/>
  <c r="AA1038" i="2"/>
  <c r="AA1036" i="2"/>
  <c r="AA1035" i="2"/>
  <c r="AA1034" i="2"/>
  <c r="AA1033" i="2"/>
  <c r="AA1032" i="2"/>
  <c r="AA1031" i="2"/>
  <c r="AA1030" i="2"/>
  <c r="AA1029" i="2"/>
  <c r="AA1028" i="2"/>
  <c r="AA1027" i="2"/>
  <c r="AA1026" i="2"/>
  <c r="AA1025" i="2"/>
  <c r="AA1024" i="2"/>
  <c r="AA1023" i="2"/>
  <c r="AA1022" i="2"/>
  <c r="AA1021" i="2"/>
  <c r="AA1020" i="2"/>
  <c r="AA1019" i="2"/>
  <c r="AA1018" i="2"/>
  <c r="AA1017" i="2"/>
  <c r="AA1016" i="2"/>
  <c r="AA1015" i="2"/>
  <c r="AA1014" i="2"/>
  <c r="AA1013" i="2"/>
  <c r="AA1012" i="2"/>
  <c r="AA1011" i="2"/>
  <c r="AA1010" i="2"/>
  <c r="AA1009" i="2"/>
  <c r="AA1008" i="2"/>
  <c r="AA1007" i="2"/>
  <c r="AA1006" i="2"/>
  <c r="AA1005" i="2"/>
  <c r="AA1004" i="2"/>
  <c r="AA1003" i="2"/>
  <c r="AA1002" i="2"/>
  <c r="AA1001" i="2"/>
  <c r="AA1000" i="2"/>
  <c r="AA999" i="2"/>
  <c r="AA998" i="2"/>
  <c r="AA997" i="2"/>
  <c r="AA996" i="2"/>
  <c r="AA995" i="2"/>
  <c r="AA994" i="2"/>
  <c r="AA993" i="2"/>
  <c r="AA992" i="2"/>
  <c r="AA991" i="2"/>
  <c r="AA990" i="2"/>
  <c r="AA989" i="2"/>
  <c r="AA988" i="2"/>
  <c r="AA987" i="2"/>
  <c r="AA986" i="2"/>
  <c r="AA985" i="2"/>
  <c r="AA984" i="2"/>
  <c r="AA983" i="2"/>
  <c r="AA982" i="2"/>
  <c r="AA981" i="2"/>
  <c r="AA980" i="2"/>
  <c r="AA979" i="2"/>
  <c r="AA978" i="2"/>
  <c r="AA977" i="2"/>
  <c r="AA976" i="2"/>
  <c r="AA975" i="2"/>
  <c r="AA974" i="2"/>
  <c r="AA973" i="2"/>
  <c r="AA972" i="2"/>
  <c r="AA971" i="2"/>
  <c r="AA970" i="2"/>
  <c r="AA969" i="2"/>
  <c r="AA968" i="2"/>
  <c r="AA967" i="2"/>
  <c r="AA966" i="2"/>
  <c r="AA965" i="2"/>
  <c r="AA964" i="2"/>
  <c r="AA963" i="2"/>
  <c r="AA962" i="2"/>
  <c r="AA961" i="2"/>
  <c r="AA960" i="2"/>
  <c r="AA959" i="2"/>
  <c r="AA958" i="2"/>
  <c r="AA957" i="2"/>
  <c r="AA956" i="2"/>
  <c r="AA955" i="2"/>
  <c r="AA954" i="2"/>
  <c r="AA953" i="2"/>
  <c r="AA952" i="2"/>
  <c r="AA951" i="2"/>
  <c r="AA950" i="2"/>
  <c r="AA949" i="2"/>
  <c r="AA948" i="2"/>
  <c r="AA947" i="2"/>
  <c r="AA946" i="2"/>
  <c r="AA945" i="2"/>
  <c r="AA944" i="2"/>
  <c r="AA943" i="2"/>
  <c r="AA942" i="2"/>
  <c r="AA941" i="2"/>
  <c r="AA940" i="2"/>
  <c r="AA939" i="2"/>
  <c r="AA938" i="2"/>
  <c r="AA937" i="2"/>
  <c r="AA936" i="2"/>
  <c r="AA935" i="2"/>
  <c r="AA934" i="2"/>
  <c r="AA933" i="2"/>
  <c r="AA932" i="2"/>
  <c r="AA931" i="2"/>
  <c r="AA930" i="2"/>
  <c r="AA929" i="2"/>
  <c r="AA928" i="2"/>
  <c r="AA927" i="2"/>
  <c r="AA926" i="2"/>
  <c r="AA925" i="2"/>
  <c r="AA924" i="2"/>
  <c r="AA923" i="2"/>
  <c r="AA922" i="2"/>
  <c r="AA921" i="2"/>
  <c r="AA920" i="2"/>
  <c r="AA919" i="2"/>
  <c r="AA918" i="2"/>
  <c r="AA917" i="2"/>
  <c r="AA916" i="2"/>
  <c r="AA915" i="2"/>
  <c r="AA914" i="2"/>
  <c r="AA913" i="2"/>
  <c r="AA912" i="2"/>
  <c r="AA911" i="2"/>
  <c r="AA910" i="2"/>
  <c r="AA909" i="2"/>
  <c r="AA908" i="2"/>
  <c r="AA907" i="2"/>
  <c r="AA906" i="2"/>
  <c r="AA905" i="2"/>
  <c r="AA904" i="2"/>
  <c r="AA903" i="2"/>
  <c r="AA902" i="2"/>
  <c r="AA901" i="2"/>
  <c r="AA900" i="2"/>
  <c r="AA899" i="2"/>
  <c r="AA898" i="2"/>
  <c r="AA897" i="2"/>
  <c r="AA896" i="2"/>
  <c r="AA895" i="2"/>
  <c r="AA894" i="2"/>
  <c r="AA893" i="2"/>
  <c r="AA892" i="2"/>
  <c r="AA891" i="2"/>
  <c r="AA890" i="2"/>
  <c r="AA889" i="2"/>
  <c r="AA888" i="2"/>
  <c r="AA887" i="2"/>
  <c r="AA886" i="2"/>
  <c r="AA885" i="2"/>
  <c r="AA884" i="2"/>
  <c r="AA883" i="2"/>
  <c r="AA882" i="2"/>
  <c r="AA881" i="2"/>
  <c r="AA880" i="2"/>
  <c r="AA879" i="2"/>
  <c r="AA878" i="2"/>
  <c r="AA877" i="2"/>
  <c r="AA876" i="2"/>
  <c r="AA875" i="2"/>
  <c r="AA874" i="2"/>
  <c r="AA873" i="2"/>
  <c r="AA872" i="2"/>
  <c r="AA871" i="2"/>
  <c r="AA870" i="2"/>
  <c r="AA869" i="2"/>
  <c r="AA868" i="2"/>
  <c r="AA867" i="2"/>
  <c r="AA866" i="2"/>
  <c r="AA865" i="2"/>
  <c r="AA864" i="2"/>
  <c r="AA863" i="2"/>
  <c r="AA862" i="2"/>
  <c r="AA861" i="2"/>
  <c r="AA860" i="2"/>
  <c r="AA859" i="2"/>
  <c r="AA858" i="2"/>
  <c r="AA857" i="2"/>
  <c r="AA856" i="2"/>
  <c r="AA855" i="2"/>
  <c r="AA854" i="2"/>
  <c r="AA853" i="2"/>
  <c r="AA852" i="2"/>
  <c r="AA851" i="2"/>
  <c r="AA850" i="2"/>
  <c r="AA849" i="2"/>
  <c r="AA848" i="2"/>
  <c r="AA847" i="2"/>
  <c r="AA846" i="2"/>
  <c r="AA845" i="2"/>
  <c r="AA844" i="2"/>
  <c r="AA843" i="2"/>
  <c r="AA842" i="2"/>
  <c r="AA841" i="2"/>
  <c r="AA840" i="2"/>
  <c r="AA839" i="2"/>
  <c r="AA838" i="2"/>
  <c r="AA837" i="2"/>
  <c r="AA836" i="2"/>
  <c r="AA835" i="2"/>
  <c r="AA834" i="2"/>
  <c r="AA833" i="2"/>
  <c r="AA832" i="2"/>
  <c r="AA831" i="2"/>
  <c r="AA830" i="2"/>
  <c r="AA829" i="2"/>
  <c r="AA828" i="2"/>
  <c r="AA827" i="2"/>
  <c r="AA826" i="2"/>
  <c r="AA825" i="2"/>
  <c r="AA824" i="2"/>
  <c r="AA823" i="2"/>
  <c r="AA822" i="2"/>
  <c r="AA821" i="2"/>
  <c r="AA820" i="2"/>
  <c r="AA819" i="2"/>
  <c r="AA818" i="2"/>
  <c r="AA817" i="2"/>
  <c r="AA816" i="2"/>
  <c r="AA815" i="2"/>
  <c r="AA814" i="2"/>
  <c r="AA813" i="2"/>
  <c r="AA812" i="2"/>
  <c r="AA811" i="2"/>
  <c r="AA810" i="2"/>
  <c r="AA809" i="2"/>
  <c r="AA808" i="2"/>
  <c r="AA807" i="2"/>
  <c r="AA806" i="2"/>
  <c r="AA805" i="2"/>
  <c r="AA804" i="2"/>
  <c r="AA803" i="2"/>
  <c r="AA802" i="2"/>
  <c r="AA801" i="2"/>
  <c r="AA800" i="2"/>
  <c r="AA799" i="2"/>
  <c r="AA798" i="2"/>
  <c r="AA797" i="2"/>
  <c r="AA796" i="2"/>
  <c r="AA795" i="2"/>
  <c r="AA794" i="2"/>
  <c r="AA793" i="2"/>
  <c r="AA792" i="2"/>
  <c r="AA791" i="2"/>
  <c r="AA790" i="2"/>
  <c r="AA789" i="2"/>
  <c r="AA788" i="2"/>
  <c r="AA787" i="2"/>
  <c r="AA786" i="2"/>
  <c r="AA785" i="2"/>
  <c r="AA784" i="2"/>
  <c r="AA783" i="2"/>
  <c r="AA782" i="2"/>
  <c r="AA781" i="2"/>
  <c r="AA780" i="2"/>
  <c r="AA779" i="2"/>
  <c r="AA778" i="2"/>
  <c r="AA777" i="2"/>
  <c r="AA776" i="2"/>
  <c r="AA775" i="2"/>
  <c r="AA774" i="2"/>
  <c r="AA773" i="2"/>
  <c r="AA772" i="2"/>
  <c r="AA771" i="2"/>
  <c r="AA770" i="2"/>
  <c r="AA769" i="2"/>
  <c r="AA768" i="2"/>
  <c r="AA767" i="2"/>
  <c r="AA766" i="2"/>
  <c r="AA765" i="2"/>
  <c r="AA764" i="2"/>
  <c r="AA763" i="2"/>
  <c r="AA762" i="2"/>
  <c r="AA761" i="2"/>
  <c r="AA760" i="2"/>
  <c r="AA759" i="2"/>
  <c r="AA758" i="2"/>
  <c r="AA757" i="2"/>
  <c r="AA756" i="2"/>
  <c r="AA755" i="2"/>
  <c r="AA754" i="2"/>
  <c r="AA753" i="2"/>
  <c r="AA752" i="2"/>
  <c r="AA751" i="2"/>
  <c r="AA750" i="2"/>
  <c r="AA749" i="2"/>
  <c r="AA748" i="2"/>
  <c r="AA747" i="2"/>
  <c r="AA746" i="2"/>
  <c r="AA745" i="2"/>
  <c r="AA744" i="2"/>
  <c r="AA743" i="2"/>
  <c r="AA742" i="2"/>
  <c r="AA741" i="2"/>
  <c r="AA740" i="2"/>
  <c r="AA739" i="2"/>
  <c r="AA738" i="2"/>
  <c r="AA737" i="2"/>
  <c r="AA736" i="2"/>
  <c r="AA735" i="2"/>
  <c r="AA734" i="2"/>
  <c r="AA733" i="2"/>
  <c r="AA732" i="2"/>
  <c r="AA731" i="2"/>
  <c r="AA730" i="2"/>
  <c r="AA729" i="2"/>
  <c r="AA728" i="2"/>
  <c r="AA727" i="2"/>
  <c r="AA726" i="2"/>
  <c r="AA725" i="2"/>
  <c r="AA724" i="2"/>
  <c r="AA723" i="2"/>
  <c r="AA722" i="2"/>
  <c r="AA721" i="2"/>
  <c r="AA720" i="2"/>
  <c r="AA719" i="2"/>
  <c r="AA718" i="2"/>
  <c r="AA717" i="2"/>
  <c r="AA716" i="2"/>
  <c r="AA715" i="2"/>
  <c r="AA714" i="2"/>
  <c r="AA713" i="2"/>
  <c r="AA712" i="2"/>
  <c r="AA711" i="2"/>
  <c r="AA710" i="2"/>
  <c r="AA709" i="2"/>
  <c r="AA708" i="2"/>
  <c r="AA707" i="2"/>
  <c r="AA706" i="2"/>
  <c r="AA705" i="2"/>
  <c r="AA704" i="2"/>
  <c r="AA703" i="2"/>
  <c r="AA702" i="2"/>
  <c r="AA701" i="2"/>
  <c r="AA700" i="2"/>
  <c r="AA699" i="2"/>
  <c r="AA698" i="2"/>
  <c r="AA697" i="2"/>
  <c r="AA696" i="2"/>
  <c r="AA695" i="2"/>
  <c r="AA694" i="2"/>
  <c r="AA693" i="2"/>
  <c r="AA692" i="2"/>
  <c r="AA691" i="2"/>
  <c r="AA690" i="2"/>
  <c r="AA689" i="2"/>
  <c r="AA688" i="2"/>
  <c r="AA687" i="2"/>
  <c r="AA686" i="2"/>
  <c r="AA685" i="2"/>
  <c r="AA684" i="2"/>
  <c r="AA683" i="2"/>
  <c r="AA682" i="2"/>
  <c r="AA681" i="2"/>
  <c r="AA680" i="2"/>
  <c r="AA679" i="2"/>
  <c r="AA678" i="2"/>
  <c r="AA677" i="2"/>
  <c r="AA676" i="2"/>
  <c r="AA675" i="2"/>
  <c r="AA674" i="2"/>
  <c r="AA673" i="2"/>
  <c r="AA672" i="2"/>
  <c r="AA671" i="2"/>
  <c r="AA670" i="2"/>
  <c r="AA669" i="2"/>
  <c r="AA668" i="2"/>
  <c r="AA667" i="2"/>
  <c r="AA666" i="2"/>
  <c r="AA665" i="2"/>
  <c r="AA664" i="2"/>
  <c r="AA663" i="2"/>
  <c r="AA662" i="2"/>
  <c r="AA661" i="2"/>
  <c r="AA660" i="2"/>
  <c r="AA659" i="2"/>
  <c r="AA658" i="2"/>
  <c r="AA657" i="2"/>
  <c r="AA656" i="2"/>
  <c r="AA655" i="2"/>
  <c r="AA654" i="2"/>
  <c r="AA653" i="2"/>
  <c r="AA652" i="2"/>
  <c r="AA651" i="2"/>
  <c r="AA650" i="2"/>
  <c r="AA649" i="2"/>
  <c r="AA648" i="2"/>
  <c r="AA647" i="2"/>
  <c r="AA646" i="2"/>
  <c r="AA645" i="2"/>
  <c r="AA644" i="2"/>
  <c r="AA643" i="2"/>
  <c r="AA642" i="2"/>
  <c r="AA641" i="2"/>
  <c r="AA640" i="2"/>
  <c r="AA639" i="2"/>
  <c r="AA638" i="2"/>
  <c r="AA637" i="2"/>
  <c r="AA636" i="2"/>
  <c r="AA635" i="2"/>
  <c r="AA634" i="2"/>
  <c r="AA633" i="2"/>
  <c r="AA632" i="2"/>
  <c r="AA631" i="2"/>
  <c r="AA630" i="2"/>
  <c r="AA629" i="2"/>
  <c r="AA628" i="2"/>
  <c r="AA627" i="2"/>
  <c r="AA626" i="2"/>
  <c r="AA625" i="2"/>
  <c r="AA624" i="2"/>
  <c r="AA623" i="2"/>
  <c r="AA622" i="2"/>
  <c r="AA621" i="2"/>
  <c r="AA620" i="2"/>
  <c r="AA619" i="2"/>
  <c r="AA618" i="2"/>
  <c r="AA617" i="2"/>
  <c r="AA616" i="2"/>
  <c r="AA615" i="2"/>
  <c r="AA614" i="2"/>
  <c r="AA613" i="2"/>
  <c r="AA612" i="2"/>
  <c r="AA611" i="2"/>
  <c r="AA610" i="2"/>
  <c r="AA609" i="2"/>
  <c r="AA608" i="2"/>
  <c r="AA607" i="2"/>
  <c r="AA606" i="2"/>
  <c r="AA605" i="2"/>
  <c r="AA604" i="2"/>
  <c r="AA603" i="2"/>
  <c r="AA602" i="2"/>
  <c r="AA601" i="2"/>
  <c r="AA600" i="2"/>
  <c r="AA599" i="2"/>
  <c r="AA598" i="2"/>
  <c r="AA597" i="2"/>
  <c r="AA596" i="2"/>
  <c r="AA595" i="2"/>
  <c r="AA594" i="2"/>
  <c r="AA593" i="2"/>
  <c r="AA592" i="2"/>
  <c r="AA591" i="2"/>
  <c r="AA590" i="2"/>
  <c r="AA589" i="2"/>
  <c r="AA588" i="2"/>
  <c r="AA587" i="2"/>
  <c r="AA586" i="2"/>
  <c r="AA585" i="2"/>
  <c r="AA584" i="2"/>
  <c r="AA583" i="2"/>
  <c r="AA582" i="2"/>
  <c r="AA581" i="2"/>
  <c r="AA580" i="2"/>
  <c r="AA579" i="2"/>
  <c r="AA578" i="2"/>
  <c r="AA577" i="2"/>
  <c r="AA576" i="2"/>
  <c r="AA575" i="2"/>
  <c r="AA574" i="2"/>
  <c r="AA573" i="2"/>
  <c r="AA572" i="2"/>
  <c r="AA571" i="2"/>
  <c r="AA570" i="2"/>
  <c r="AA569" i="2"/>
  <c r="AA568" i="2"/>
  <c r="AA567" i="2"/>
  <c r="AA566" i="2"/>
  <c r="AA565" i="2"/>
  <c r="AA564" i="2"/>
  <c r="AA563" i="2"/>
  <c r="AA562" i="2"/>
  <c r="AA561" i="2"/>
  <c r="AA560" i="2"/>
  <c r="AA559" i="2"/>
  <c r="AA558" i="2"/>
  <c r="AA557" i="2"/>
  <c r="AA556" i="2"/>
  <c r="AA555" i="2"/>
  <c r="AA554" i="2"/>
  <c r="AA553" i="2"/>
  <c r="AA552" i="2"/>
  <c r="AA551" i="2"/>
  <c r="AA550" i="2"/>
  <c r="AA549" i="2"/>
  <c r="AA548" i="2"/>
  <c r="AA547" i="2"/>
  <c r="AA546" i="2"/>
  <c r="AA545" i="2"/>
  <c r="AA544" i="2"/>
  <c r="AA543" i="2"/>
  <c r="AA542" i="2"/>
  <c r="AA541" i="2"/>
  <c r="AA540" i="2"/>
  <c r="AA539" i="2"/>
  <c r="AA538" i="2"/>
  <c r="AA537" i="2"/>
  <c r="AA536" i="2"/>
  <c r="AA535" i="2"/>
  <c r="AA534" i="2"/>
  <c r="AA533" i="2"/>
  <c r="AA532" i="2"/>
  <c r="AA531" i="2"/>
  <c r="AA530" i="2"/>
  <c r="AA529" i="2"/>
  <c r="AA528" i="2"/>
  <c r="AA527" i="2"/>
  <c r="AA526" i="2"/>
  <c r="AA525" i="2"/>
  <c r="AA524" i="2"/>
  <c r="AA523" i="2"/>
  <c r="AA522" i="2"/>
  <c r="AA521" i="2"/>
  <c r="AA520" i="2"/>
  <c r="AA519" i="2"/>
  <c r="AA518" i="2"/>
  <c r="AA517" i="2"/>
  <c r="AA516" i="2"/>
  <c r="AA515" i="2"/>
  <c r="AA514" i="2"/>
  <c r="AA513" i="2"/>
  <c r="AA512" i="2"/>
  <c r="AA511" i="2"/>
  <c r="AA510" i="2"/>
  <c r="AA509" i="2"/>
  <c r="AA508" i="2"/>
  <c r="AA507" i="2"/>
  <c r="AA506" i="2"/>
  <c r="AA505" i="2"/>
  <c r="AA504" i="2"/>
  <c r="AA503" i="2"/>
  <c r="AA502" i="2"/>
  <c r="AA501" i="2"/>
  <c r="AA500" i="2"/>
  <c r="AA499" i="2"/>
  <c r="AA498" i="2"/>
  <c r="AA497" i="2"/>
  <c r="AA496" i="2"/>
  <c r="AA495" i="2"/>
  <c r="AA494" i="2"/>
  <c r="AA493" i="2"/>
  <c r="AA492" i="2"/>
  <c r="AA491" i="2"/>
  <c r="AA490" i="2"/>
  <c r="AA489" i="2"/>
  <c r="AA488" i="2"/>
  <c r="AA487" i="2"/>
  <c r="AA486" i="2"/>
  <c r="AA485" i="2"/>
  <c r="AA484" i="2"/>
  <c r="AA483" i="2"/>
  <c r="AA482" i="2"/>
  <c r="AA481" i="2"/>
  <c r="AA480" i="2"/>
  <c r="AA479" i="2"/>
  <c r="AA478" i="2"/>
  <c r="AA477" i="2"/>
  <c r="AA476" i="2"/>
  <c r="AA475" i="2"/>
  <c r="AA474" i="2"/>
  <c r="AA473" i="2"/>
  <c r="AA472" i="2"/>
  <c r="AA471" i="2"/>
  <c r="AA470" i="2"/>
  <c r="AA469" i="2"/>
  <c r="AA468" i="2"/>
  <c r="AA467" i="2"/>
  <c r="AA466" i="2"/>
  <c r="AA465" i="2"/>
  <c r="AA464" i="2"/>
  <c r="AA463" i="2"/>
  <c r="AA462" i="2"/>
  <c r="AA461" i="2"/>
  <c r="AA460" i="2"/>
  <c r="AA459" i="2"/>
  <c r="AA458" i="2"/>
  <c r="AA457" i="2"/>
  <c r="AA456" i="2"/>
  <c r="AA455" i="2"/>
  <c r="AA454" i="2"/>
  <c r="AA453" i="2"/>
  <c r="AA452" i="2"/>
  <c r="AA451" i="2"/>
  <c r="AA450" i="2"/>
  <c r="AA449" i="2"/>
  <c r="AA448" i="2"/>
  <c r="AA447" i="2"/>
  <c r="AA446" i="2"/>
  <c r="AA445" i="2"/>
  <c r="AA444" i="2"/>
  <c r="AA443" i="2"/>
  <c r="AA442" i="2"/>
  <c r="AA441" i="2"/>
  <c r="AA440" i="2"/>
  <c r="AA439" i="2"/>
  <c r="AA438" i="2"/>
  <c r="AA437" i="2"/>
  <c r="AA436" i="2"/>
  <c r="AA435" i="2"/>
  <c r="AA434" i="2"/>
  <c r="AA433" i="2"/>
  <c r="AA432" i="2"/>
  <c r="AA431" i="2"/>
  <c r="AA430" i="2"/>
  <c r="AA429" i="2"/>
  <c r="AA428" i="2"/>
  <c r="AA427" i="2"/>
  <c r="AA426" i="2"/>
  <c r="AA425" i="2"/>
  <c r="AA424" i="2"/>
  <c r="AA423" i="2"/>
  <c r="AA422" i="2"/>
  <c r="AA421" i="2"/>
  <c r="AA420" i="2"/>
  <c r="AA419" i="2"/>
  <c r="AA418" i="2"/>
  <c r="AA417" i="2"/>
  <c r="AA416" i="2"/>
  <c r="AA415" i="2"/>
  <c r="AA414" i="2"/>
  <c r="AA413" i="2"/>
  <c r="AA412" i="2"/>
  <c r="AA411" i="2"/>
  <c r="AA410" i="2"/>
  <c r="AA409" i="2"/>
  <c r="AA408" i="2"/>
  <c r="AA407" i="2"/>
  <c r="AA406" i="2"/>
  <c r="AA405" i="2"/>
  <c r="AA404" i="2"/>
  <c r="AA403" i="2"/>
  <c r="AA402" i="2"/>
  <c r="AA401" i="2"/>
  <c r="AA400" i="2"/>
  <c r="AA399" i="2"/>
  <c r="AA398" i="2"/>
  <c r="AA397" i="2"/>
  <c r="AA396" i="2"/>
  <c r="AA395" i="2"/>
  <c r="AA394" i="2"/>
  <c r="AA393" i="2"/>
  <c r="AA392" i="2"/>
  <c r="AA391" i="2"/>
  <c r="AA390" i="2"/>
  <c r="AA389" i="2"/>
  <c r="AA388" i="2"/>
  <c r="AA387" i="2"/>
  <c r="AA386" i="2"/>
  <c r="AA385" i="2"/>
  <c r="AA384" i="2"/>
  <c r="AA383" i="2"/>
  <c r="AA382" i="2"/>
  <c r="AA381" i="2"/>
  <c r="AA380" i="2"/>
  <c r="AA379" i="2"/>
  <c r="AA378" i="2"/>
  <c r="AA377" i="2"/>
  <c r="AA376" i="2"/>
  <c r="AA375" i="2"/>
  <c r="AA374" i="2"/>
  <c r="AA373" i="2"/>
  <c r="AA372" i="2"/>
  <c r="AA371" i="2"/>
  <c r="AA370" i="2"/>
  <c r="AA369" i="2"/>
  <c r="AA368" i="2"/>
  <c r="AA367" i="2"/>
  <c r="AA366" i="2"/>
  <c r="AA365" i="2"/>
  <c r="AA364" i="2"/>
  <c r="AA363" i="2"/>
  <c r="AA362" i="2"/>
  <c r="AA361" i="2"/>
  <c r="AA360" i="2"/>
  <c r="AA359" i="2"/>
  <c r="AA358" i="2"/>
  <c r="AA357" i="2"/>
  <c r="AA356" i="2"/>
  <c r="AA355" i="2"/>
  <c r="AA354" i="2"/>
  <c r="AA353" i="2"/>
  <c r="AA352" i="2"/>
  <c r="AA351" i="2"/>
  <c r="AA350" i="2"/>
  <c r="AA349" i="2"/>
  <c r="AA348" i="2"/>
  <c r="AA347" i="2"/>
  <c r="AA346" i="2"/>
  <c r="AA345" i="2"/>
  <c r="AA344" i="2"/>
  <c r="AA343" i="2"/>
  <c r="AA342" i="2"/>
  <c r="AA341" i="2"/>
  <c r="AA340" i="2"/>
  <c r="AA339" i="2"/>
  <c r="AA338" i="2"/>
  <c r="AA337" i="2"/>
  <c r="AA336" i="2"/>
  <c r="AA335" i="2"/>
  <c r="AA334" i="2"/>
  <c r="AA333" i="2"/>
  <c r="AA332" i="2"/>
  <c r="AA331" i="2"/>
  <c r="AA330" i="2"/>
  <c r="AA329" i="2"/>
  <c r="AA328" i="2"/>
  <c r="AA327" i="2"/>
  <c r="AA326" i="2"/>
  <c r="AA325" i="2"/>
  <c r="AA324" i="2"/>
  <c r="AA323" i="2"/>
  <c r="AA322" i="2"/>
  <c r="AA321" i="2"/>
  <c r="AA320" i="2"/>
  <c r="AA319" i="2"/>
  <c r="AA318" i="2"/>
  <c r="AA317" i="2"/>
  <c r="AA316" i="2"/>
  <c r="AA315" i="2"/>
  <c r="AA314" i="2"/>
  <c r="AA313" i="2"/>
  <c r="AA312" i="2"/>
  <c r="AA311" i="2"/>
  <c r="AA310" i="2"/>
  <c r="AA309" i="2"/>
  <c r="AA308" i="2"/>
  <c r="AA307" i="2"/>
  <c r="AA306" i="2"/>
  <c r="AA305" i="2"/>
  <c r="AA304" i="2"/>
  <c r="AA303" i="2"/>
  <c r="AA302" i="2"/>
  <c r="AA301" i="2"/>
  <c r="AA300" i="2"/>
  <c r="AA299" i="2"/>
  <c r="AA298" i="2"/>
  <c r="AA297" i="2"/>
  <c r="AA296" i="2"/>
  <c r="AA295" i="2"/>
  <c r="AA294" i="2"/>
  <c r="AA293" i="2"/>
  <c r="AA292" i="2"/>
  <c r="AA291" i="2"/>
  <c r="AA290" i="2"/>
  <c r="AA289" i="2"/>
  <c r="AA288" i="2"/>
  <c r="AA287" i="2"/>
  <c r="AA286" i="2"/>
  <c r="AA285" i="2"/>
  <c r="AA284" i="2"/>
  <c r="AA283" i="2"/>
  <c r="AA282" i="2"/>
  <c r="AA281" i="2"/>
  <c r="AA280" i="2"/>
  <c r="AA279" i="2"/>
  <c r="AA278" i="2"/>
  <c r="AA277" i="2"/>
  <c r="AA276" i="2"/>
  <c r="AA275" i="2"/>
  <c r="AA274" i="2"/>
  <c r="AA273" i="2"/>
  <c r="AA272" i="2"/>
  <c r="AA271" i="2"/>
  <c r="AA270" i="2"/>
  <c r="AA269" i="2"/>
  <c r="AA268" i="2"/>
  <c r="AA267" i="2"/>
  <c r="AA266" i="2"/>
  <c r="AA265" i="2"/>
  <c r="AA264" i="2"/>
  <c r="AA263" i="2"/>
  <c r="AA262" i="2"/>
  <c r="AA261" i="2"/>
  <c r="AA260" i="2"/>
  <c r="AA259" i="2"/>
  <c r="AA258" i="2"/>
  <c r="AA257" i="2"/>
  <c r="AA256" i="2"/>
  <c r="AA255" i="2"/>
  <c r="AA254" i="2"/>
  <c r="AA253" i="2"/>
  <c r="AA252" i="2"/>
  <c r="AA251" i="2"/>
  <c r="AA250" i="2"/>
  <c r="AA249" i="2"/>
  <c r="AA248" i="2"/>
  <c r="AA247" i="2"/>
  <c r="AA246" i="2"/>
  <c r="AA245" i="2"/>
  <c r="AA244" i="2"/>
  <c r="AA243" i="2"/>
  <c r="AA242" i="2"/>
  <c r="AA241" i="2"/>
  <c r="AA240" i="2"/>
  <c r="AA239" i="2"/>
  <c r="AA238" i="2"/>
  <c r="AA237" i="2"/>
  <c r="AA236" i="2"/>
  <c r="AA235" i="2"/>
  <c r="AA234" i="2"/>
  <c r="AA233" i="2"/>
  <c r="AA232" i="2"/>
  <c r="AA231" i="2"/>
  <c r="AA230" i="2"/>
  <c r="AA229" i="2"/>
  <c r="AA228" i="2"/>
  <c r="AA227" i="2"/>
  <c r="AA226" i="2"/>
  <c r="AA225" i="2"/>
  <c r="AA224" i="2"/>
  <c r="AA223" i="2"/>
  <c r="AA222" i="2"/>
  <c r="AA221" i="2"/>
  <c r="AA220" i="2"/>
  <c r="AA219" i="2"/>
  <c r="AA218" i="2"/>
  <c r="AA217" i="2"/>
  <c r="AA216" i="2"/>
  <c r="AA215" i="2"/>
  <c r="AA214" i="2"/>
  <c r="AA213" i="2"/>
  <c r="AA212" i="2"/>
  <c r="AA211" i="2"/>
  <c r="AA210" i="2"/>
  <c r="AA209" i="2"/>
  <c r="AA208" i="2"/>
  <c r="AA207" i="2"/>
  <c r="AA206" i="2"/>
  <c r="AA205" i="2"/>
  <c r="AA204" i="2"/>
  <c r="AA203" i="2"/>
  <c r="AA202" i="2"/>
  <c r="AA201" i="2"/>
  <c r="AA200" i="2"/>
  <c r="AA199" i="2"/>
  <c r="AA198" i="2"/>
  <c r="AA197" i="2"/>
  <c r="AA196" i="2"/>
  <c r="AA195" i="2"/>
  <c r="AA194" i="2"/>
  <c r="AA193" i="2"/>
  <c r="AA192" i="2"/>
  <c r="AA191" i="2"/>
  <c r="AA190" i="2"/>
  <c r="AA189" i="2"/>
  <c r="AA188" i="2"/>
  <c r="AA187" i="2"/>
  <c r="AA186" i="2"/>
  <c r="AA185" i="2"/>
  <c r="AA184" i="2"/>
  <c r="AA183" i="2"/>
  <c r="AA182" i="2"/>
  <c r="AA181" i="2"/>
  <c r="AA180" i="2"/>
  <c r="AA179" i="2"/>
  <c r="AA178" i="2"/>
  <c r="AA177" i="2"/>
  <c r="AA176" i="2"/>
  <c r="AA175" i="2"/>
  <c r="AA174" i="2"/>
  <c r="AA173" i="2"/>
  <c r="AA172" i="2"/>
  <c r="AA171" i="2"/>
  <c r="AA170" i="2"/>
  <c r="AA169" i="2"/>
  <c r="AA168" i="2"/>
  <c r="AA167" i="2"/>
  <c r="AA166" i="2"/>
  <c r="AA165" i="2"/>
  <c r="AA164" i="2"/>
  <c r="AA163" i="2"/>
  <c r="AA162" i="2"/>
  <c r="AA161" i="2"/>
  <c r="AA160" i="2"/>
  <c r="AA159" i="2"/>
  <c r="AA158" i="2"/>
  <c r="AA157" i="2"/>
  <c r="AA156" i="2"/>
  <c r="AA155" i="2"/>
  <c r="AA154" i="2"/>
  <c r="AA153" i="2"/>
  <c r="AA152" i="2"/>
  <c r="AA151" i="2"/>
  <c r="AA150" i="2"/>
  <c r="AA149" i="2"/>
  <c r="AA148" i="2"/>
  <c r="AA147" i="2"/>
  <c r="AA146" i="2"/>
  <c r="AA145" i="2"/>
  <c r="AA144" i="2"/>
  <c r="AA143" i="2"/>
  <c r="AA142" i="2"/>
  <c r="AA141" i="2"/>
  <c r="AA140" i="2"/>
  <c r="AA139" i="2"/>
  <c r="AA138" i="2"/>
  <c r="AA137" i="2"/>
  <c r="AA136" i="2"/>
  <c r="AA135" i="2"/>
  <c r="AA134" i="2"/>
  <c r="AA133" i="2"/>
  <c r="AA132" i="2"/>
  <c r="AA131" i="2"/>
  <c r="AA130" i="2"/>
  <c r="AA129" i="2"/>
  <c r="AA128" i="2"/>
  <c r="AA127" i="2"/>
  <c r="AA126" i="2"/>
  <c r="AA125" i="2"/>
  <c r="AA124" i="2"/>
  <c r="AA123" i="2"/>
  <c r="AA122" i="2"/>
  <c r="AA121" i="2"/>
  <c r="AA120" i="2"/>
  <c r="AA119" i="2"/>
  <c r="AA118" i="2"/>
  <c r="AA117" i="2"/>
  <c r="AA116" i="2"/>
  <c r="AA115" i="2"/>
  <c r="AA114" i="2"/>
  <c r="AA113" i="2"/>
  <c r="AA112" i="2"/>
  <c r="AA111" i="2"/>
  <c r="AA110" i="2"/>
  <c r="AA109" i="2"/>
  <c r="AA108" i="2"/>
  <c r="AA107" i="2"/>
  <c r="AA106" i="2"/>
  <c r="AA105" i="2"/>
  <c r="AA104" i="2"/>
  <c r="AA103" i="2"/>
  <c r="AA102" i="2"/>
  <c r="AA101" i="2"/>
  <c r="AA100" i="2"/>
  <c r="AA99" i="2"/>
  <c r="AA98" i="2"/>
  <c r="AA97" i="2"/>
  <c r="AA96" i="2"/>
  <c r="AA95" i="2"/>
  <c r="AA94" i="2"/>
  <c r="AA93" i="2"/>
  <c r="AA92" i="2"/>
  <c r="AA91" i="2"/>
  <c r="AA90" i="2"/>
  <c r="AA89" i="2"/>
  <c r="AA88" i="2"/>
  <c r="AA87" i="2"/>
  <c r="AA86" i="2"/>
  <c r="AA85" i="2"/>
  <c r="AA84" i="2"/>
  <c r="AA83" i="2"/>
  <c r="AA82" i="2"/>
  <c r="AA81" i="2"/>
  <c r="AA80" i="2"/>
  <c r="AA79" i="2"/>
  <c r="AA78" i="2"/>
  <c r="AA77" i="2"/>
  <c r="AA76" i="2"/>
  <c r="AA75" i="2"/>
  <c r="AA74" i="2"/>
  <c r="AA73" i="2"/>
  <c r="AA72" i="2"/>
  <c r="AA71" i="2"/>
  <c r="AA70" i="2"/>
  <c r="AA69" i="2"/>
  <c r="AA68" i="2"/>
  <c r="AA67" i="2"/>
  <c r="AA66" i="2"/>
  <c r="AA65" i="2"/>
  <c r="AA64" i="2"/>
  <c r="AA63" i="2"/>
  <c r="AA62" i="2"/>
  <c r="AA61" i="2"/>
  <c r="AA60" i="2"/>
  <c r="AA59" i="2"/>
  <c r="AA58" i="2"/>
  <c r="AA57" i="2"/>
  <c r="AA56" i="2"/>
  <c r="AA55" i="2"/>
  <c r="AA54"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A28" i="2"/>
  <c r="AA27" i="2"/>
  <c r="AA26" i="2"/>
  <c r="AA25" i="2"/>
  <c r="AA24" i="2"/>
  <c r="AA23" i="2"/>
  <c r="AA22" i="2"/>
  <c r="AA21" i="2"/>
  <c r="AA20" i="2"/>
  <c r="AA19" i="2"/>
  <c r="AA18" i="2"/>
  <c r="AA17" i="2"/>
  <c r="AA16" i="2"/>
  <c r="AA15" i="2"/>
  <c r="AA14" i="2"/>
  <c r="AA13" i="2"/>
  <c r="AA12" i="2"/>
  <c r="AA11" i="2"/>
  <c r="AA10" i="2"/>
  <c r="AA9" i="2"/>
  <c r="AA8" i="2"/>
  <c r="K657" i="3"/>
  <c r="K656" i="3"/>
  <c r="K655" i="3"/>
  <c r="H12" i="14"/>
  <c r="H13" i="14"/>
  <c r="H15" i="14"/>
  <c r="D5" i="16"/>
  <c r="D6" i="16"/>
  <c r="C5" i="16"/>
  <c r="C6" i="16"/>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H49" i="6"/>
  <c r="K49" i="6" s="1"/>
  <c r="H59" i="6"/>
  <c r="K59" i="6" s="1"/>
  <c r="H58" i="6"/>
  <c r="K58" i="6" s="1"/>
  <c r="H57" i="6"/>
  <c r="K57" i="6" s="1"/>
  <c r="H56" i="6"/>
  <c r="K56" i="6" s="1"/>
  <c r="H55" i="6"/>
  <c r="K55" i="6" s="1"/>
  <c r="H54" i="6"/>
  <c r="K54" i="6" s="1"/>
  <c r="H53" i="6"/>
  <c r="K53" i="6" s="1"/>
  <c r="H52" i="6"/>
  <c r="K52" i="6" s="1"/>
  <c r="H51" i="6"/>
  <c r="K51" i="6" s="1"/>
  <c r="H50" i="6"/>
  <c r="K50" i="6" s="1"/>
  <c r="H48" i="6"/>
  <c r="K48" i="6" s="1"/>
  <c r="H47" i="6"/>
  <c r="K47" i="6" s="1"/>
  <c r="H46" i="6"/>
  <c r="K46" i="6" s="1"/>
  <c r="H45" i="6"/>
  <c r="K45" i="6" s="1"/>
  <c r="H44" i="6"/>
  <c r="K44" i="6" s="1"/>
  <c r="H43" i="6"/>
  <c r="K43" i="6" s="1"/>
  <c r="H42" i="6"/>
  <c r="K42" i="6" s="1"/>
  <c r="H41" i="6"/>
  <c r="K41" i="6" s="1"/>
  <c r="H40" i="6"/>
  <c r="K40" i="6" s="1"/>
  <c r="H39" i="6"/>
  <c r="K39" i="6" s="1"/>
  <c r="H38" i="6"/>
  <c r="K38" i="6" s="1"/>
  <c r="H37" i="6"/>
  <c r="K37" i="6" s="1"/>
  <c r="H36" i="6"/>
  <c r="K36" i="6" s="1"/>
  <c r="H35" i="6"/>
  <c r="K35" i="6" s="1"/>
  <c r="H34" i="6"/>
  <c r="K34" i="6" s="1"/>
  <c r="H33" i="6"/>
  <c r="K33" i="6" s="1"/>
  <c r="H32" i="6"/>
  <c r="K32" i="6" s="1"/>
  <c r="H31" i="6"/>
  <c r="K31" i="6" s="1"/>
  <c r="H30" i="6"/>
  <c r="K30" i="6" s="1"/>
  <c r="H29" i="6"/>
  <c r="K29" i="6" s="1"/>
  <c r="H28" i="6"/>
  <c r="K28" i="6" s="1"/>
  <c r="H27" i="6"/>
  <c r="K27" i="6" s="1"/>
  <c r="H26" i="6"/>
  <c r="K26" i="6" s="1"/>
  <c r="H24" i="6"/>
  <c r="K24" i="6" s="1"/>
  <c r="H23" i="6"/>
  <c r="K23" i="6" s="1"/>
  <c r="H22" i="6"/>
  <c r="K22" i="6" s="1"/>
  <c r="H21" i="6"/>
  <c r="K21" i="6" s="1"/>
  <c r="H20" i="6"/>
  <c r="K20" i="6" s="1"/>
  <c r="H19" i="6"/>
  <c r="K19" i="6" s="1"/>
  <c r="H18" i="6"/>
  <c r="K18" i="6" s="1"/>
  <c r="H17" i="6"/>
  <c r="K17" i="6" s="1"/>
  <c r="H16" i="6"/>
  <c r="K16" i="6" s="1"/>
  <c r="H15" i="6"/>
  <c r="K15" i="6" s="1"/>
  <c r="H14" i="6"/>
  <c r="K14" i="6" s="1"/>
  <c r="H13" i="6"/>
  <c r="K13" i="6" s="1"/>
  <c r="H12" i="6"/>
  <c r="K12" i="6" s="1"/>
  <c r="H11" i="6"/>
  <c r="K11" i="6" s="1"/>
  <c r="H10" i="6"/>
  <c r="K10" i="6" s="1"/>
  <c r="H9" i="6"/>
  <c r="K9" i="6" s="1"/>
  <c r="H8" i="6"/>
  <c r="K8" i="6" s="1"/>
  <c r="H7" i="6"/>
  <c r="K7" i="6" s="1"/>
  <c r="J10" i="8"/>
  <c r="I10" i="8"/>
  <c r="J9" i="8"/>
  <c r="I9" i="8"/>
  <c r="J8" i="8"/>
  <c r="I8" i="8"/>
  <c r="J7" i="8"/>
  <c r="H11" i="20" s="1"/>
  <c r="I7" i="8"/>
  <c r="H16" i="20" s="1"/>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7" i="7"/>
  <c r="I17" i="7"/>
  <c r="J16" i="7"/>
  <c r="I16" i="7"/>
  <c r="J15" i="7"/>
  <c r="I15" i="7"/>
  <c r="J14" i="7"/>
  <c r="I14" i="7"/>
  <c r="J13" i="7"/>
  <c r="I13" i="7"/>
  <c r="J12" i="7"/>
  <c r="I12" i="7"/>
  <c r="J11" i="7"/>
  <c r="I11" i="7"/>
  <c r="J10" i="7"/>
  <c r="I10" i="7"/>
  <c r="J9" i="7"/>
  <c r="I9" i="7"/>
  <c r="J8" i="7"/>
  <c r="I8" i="7"/>
  <c r="J7" i="7"/>
  <c r="G12" i="20" s="1"/>
  <c r="I7" i="7"/>
  <c r="J59" i="6"/>
  <c r="I59" i="6"/>
  <c r="J58" i="6"/>
  <c r="I58" i="6"/>
  <c r="J57" i="6"/>
  <c r="I57" i="6"/>
  <c r="J56" i="6"/>
  <c r="I56" i="6"/>
  <c r="J55" i="6"/>
  <c r="I55" i="6"/>
  <c r="J54" i="6"/>
  <c r="I54" i="6"/>
  <c r="J53" i="6"/>
  <c r="I53" i="6"/>
  <c r="J52" i="6"/>
  <c r="I52" i="6"/>
  <c r="J51" i="6"/>
  <c r="I51" i="6"/>
  <c r="J50" i="6"/>
  <c r="I50" i="6"/>
  <c r="J49" i="6"/>
  <c r="I49" i="6"/>
  <c r="J48" i="6"/>
  <c r="I48" i="6"/>
  <c r="J47" i="6"/>
  <c r="I47" i="6"/>
  <c r="J46" i="6"/>
  <c r="I46" i="6"/>
  <c r="J45" i="6"/>
  <c r="I45" i="6"/>
  <c r="J44" i="6"/>
  <c r="I44" i="6"/>
  <c r="J43" i="6"/>
  <c r="I43" i="6"/>
  <c r="J42" i="6"/>
  <c r="I42" i="6"/>
  <c r="J41" i="6"/>
  <c r="I41" i="6"/>
  <c r="J40" i="6"/>
  <c r="I40" i="6"/>
  <c r="J39" i="6"/>
  <c r="I39" i="6"/>
  <c r="J38" i="6"/>
  <c r="I38" i="6"/>
  <c r="J37" i="6"/>
  <c r="I37" i="6"/>
  <c r="J36" i="6"/>
  <c r="I36" i="6"/>
  <c r="J35" i="6"/>
  <c r="I35" i="6"/>
  <c r="J34" i="6"/>
  <c r="I34" i="6"/>
  <c r="J33" i="6"/>
  <c r="I33" i="6"/>
  <c r="J32" i="6"/>
  <c r="I32" i="6"/>
  <c r="J31" i="6"/>
  <c r="I31" i="6"/>
  <c r="J30" i="6"/>
  <c r="I30" i="6"/>
  <c r="J29" i="6"/>
  <c r="I29" i="6"/>
  <c r="J28" i="6"/>
  <c r="I28" i="6"/>
  <c r="J27" i="6"/>
  <c r="I27" i="6"/>
  <c r="J26" i="6"/>
  <c r="I26" i="6"/>
  <c r="J24" i="6"/>
  <c r="I24" i="6"/>
  <c r="J23" i="6"/>
  <c r="I23" i="6"/>
  <c r="J22" i="6"/>
  <c r="I22" i="6"/>
  <c r="J21" i="6"/>
  <c r="I21" i="6"/>
  <c r="J20" i="6"/>
  <c r="I20" i="6"/>
  <c r="J19" i="6"/>
  <c r="I19" i="6"/>
  <c r="J18" i="6"/>
  <c r="I18" i="6"/>
  <c r="J17" i="6"/>
  <c r="I17" i="6"/>
  <c r="J16" i="6"/>
  <c r="I16" i="6"/>
  <c r="J15" i="6"/>
  <c r="I15" i="6"/>
  <c r="J14" i="6"/>
  <c r="I14" i="6"/>
  <c r="J13" i="6"/>
  <c r="I13" i="6"/>
  <c r="J12" i="6"/>
  <c r="I12" i="6"/>
  <c r="J11" i="6"/>
  <c r="I11" i="6"/>
  <c r="J10" i="6"/>
  <c r="I10" i="6"/>
  <c r="J9" i="6"/>
  <c r="I9" i="6"/>
  <c r="J8" i="6"/>
  <c r="I8" i="6"/>
  <c r="J7" i="6"/>
  <c r="I7" i="6"/>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3" i="5"/>
  <c r="I123"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4" i="5"/>
  <c r="I104"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7" i="5"/>
  <c r="I87"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296" i="4"/>
  <c r="I296" i="4"/>
  <c r="J295" i="4"/>
  <c r="I295" i="4"/>
  <c r="J294" i="4"/>
  <c r="I294" i="4"/>
  <c r="J293" i="4"/>
  <c r="I293" i="4"/>
  <c r="J292" i="4"/>
  <c r="I292" i="4"/>
  <c r="J291" i="4"/>
  <c r="I291" i="4"/>
  <c r="J290" i="4"/>
  <c r="I290" i="4"/>
  <c r="J289" i="4"/>
  <c r="I289" i="4"/>
  <c r="J288" i="4"/>
  <c r="I288" i="4"/>
  <c r="J287" i="4"/>
  <c r="I287" i="4"/>
  <c r="J286" i="4"/>
  <c r="I286" i="4"/>
  <c r="J285" i="4"/>
  <c r="I285" i="4"/>
  <c r="J284" i="4"/>
  <c r="I284" i="4"/>
  <c r="J283" i="4"/>
  <c r="I283" i="4"/>
  <c r="J282" i="4"/>
  <c r="I282" i="4"/>
  <c r="J281" i="4"/>
  <c r="I281" i="4"/>
  <c r="J280" i="4"/>
  <c r="I280" i="4"/>
  <c r="J279" i="4"/>
  <c r="I279" i="4"/>
  <c r="J278" i="4"/>
  <c r="I278" i="4"/>
  <c r="J277" i="4"/>
  <c r="I277" i="4"/>
  <c r="J276" i="4"/>
  <c r="I276" i="4"/>
  <c r="J275" i="4"/>
  <c r="I275" i="4"/>
  <c r="J274" i="4"/>
  <c r="I274" i="4"/>
  <c r="J273" i="4"/>
  <c r="I273" i="4"/>
  <c r="J272" i="4"/>
  <c r="I272" i="4"/>
  <c r="J271" i="4"/>
  <c r="I271" i="4"/>
  <c r="J270" i="4"/>
  <c r="I270" i="4"/>
  <c r="J269" i="4"/>
  <c r="I269" i="4"/>
  <c r="J268" i="4"/>
  <c r="I268" i="4"/>
  <c r="J267" i="4"/>
  <c r="I267" i="4"/>
  <c r="J266" i="4"/>
  <c r="I266" i="4"/>
  <c r="J265" i="4"/>
  <c r="I265" i="4"/>
  <c r="J264" i="4"/>
  <c r="I264" i="4"/>
  <c r="J263" i="4"/>
  <c r="I263" i="4"/>
  <c r="J262" i="4"/>
  <c r="I262" i="4"/>
  <c r="J261" i="4"/>
  <c r="I261" i="4"/>
  <c r="J260" i="4"/>
  <c r="I260" i="4"/>
  <c r="J259" i="4"/>
  <c r="I259" i="4"/>
  <c r="J258" i="4"/>
  <c r="I258" i="4"/>
  <c r="J257" i="4"/>
  <c r="I257" i="4"/>
  <c r="J256" i="4"/>
  <c r="I256" i="4"/>
  <c r="J255" i="4"/>
  <c r="I255" i="4"/>
  <c r="J254" i="4"/>
  <c r="I254" i="4"/>
  <c r="J253" i="4"/>
  <c r="I253" i="4"/>
  <c r="J252" i="4"/>
  <c r="I252" i="4"/>
  <c r="J251" i="4"/>
  <c r="I251" i="4"/>
  <c r="J250" i="4"/>
  <c r="I250" i="4"/>
  <c r="J249" i="4"/>
  <c r="I249" i="4"/>
  <c r="J248" i="4"/>
  <c r="I248" i="4"/>
  <c r="J247" i="4"/>
  <c r="I247" i="4"/>
  <c r="J246" i="4"/>
  <c r="I246" i="4"/>
  <c r="J245" i="4"/>
  <c r="I245" i="4"/>
  <c r="J244" i="4"/>
  <c r="I244" i="4"/>
  <c r="J243" i="4"/>
  <c r="I243" i="4"/>
  <c r="J242" i="4"/>
  <c r="I242" i="4"/>
  <c r="J241" i="4"/>
  <c r="I241" i="4"/>
  <c r="J240" i="4"/>
  <c r="I240" i="4"/>
  <c r="J239" i="4"/>
  <c r="I239" i="4"/>
  <c r="J238" i="4"/>
  <c r="I238" i="4"/>
  <c r="J237" i="4"/>
  <c r="I237" i="4"/>
  <c r="J236" i="4"/>
  <c r="I236" i="4"/>
  <c r="J235" i="4"/>
  <c r="I235" i="4"/>
  <c r="J234" i="4"/>
  <c r="I234" i="4"/>
  <c r="J233" i="4"/>
  <c r="I233" i="4"/>
  <c r="J232" i="4"/>
  <c r="I232" i="4"/>
  <c r="J231" i="4"/>
  <c r="I231" i="4"/>
  <c r="J230" i="4"/>
  <c r="I230" i="4"/>
  <c r="J229" i="4"/>
  <c r="I229" i="4"/>
  <c r="J228" i="4"/>
  <c r="I228" i="4"/>
  <c r="J227" i="4"/>
  <c r="I227" i="4"/>
  <c r="J226" i="4"/>
  <c r="I226" i="4"/>
  <c r="J225" i="4"/>
  <c r="I225" i="4"/>
  <c r="J224" i="4"/>
  <c r="I224" i="4"/>
  <c r="J223" i="4"/>
  <c r="I223" i="4"/>
  <c r="J222" i="4"/>
  <c r="I222" i="4"/>
  <c r="J221" i="4"/>
  <c r="I221" i="4"/>
  <c r="J220" i="4"/>
  <c r="I220" i="4"/>
  <c r="J219" i="4"/>
  <c r="I219" i="4"/>
  <c r="J218" i="4"/>
  <c r="I218" i="4"/>
  <c r="J217" i="4"/>
  <c r="I217" i="4"/>
  <c r="J216" i="4"/>
  <c r="I216" i="4"/>
  <c r="J215" i="4"/>
  <c r="I215" i="4"/>
  <c r="J214" i="4"/>
  <c r="I214" i="4"/>
  <c r="J213" i="4"/>
  <c r="I213" i="4"/>
  <c r="J212" i="4"/>
  <c r="I212" i="4"/>
  <c r="J211" i="4"/>
  <c r="I211" i="4"/>
  <c r="J210" i="4"/>
  <c r="I210" i="4"/>
  <c r="J209" i="4"/>
  <c r="I209" i="4"/>
  <c r="J208" i="4"/>
  <c r="I208" i="4"/>
  <c r="J207" i="4"/>
  <c r="I207" i="4"/>
  <c r="J206" i="4"/>
  <c r="I206" i="4"/>
  <c r="J205" i="4"/>
  <c r="I205" i="4"/>
  <c r="J204" i="4"/>
  <c r="I204" i="4"/>
  <c r="J203" i="4"/>
  <c r="I203" i="4"/>
  <c r="J202" i="4"/>
  <c r="I202" i="4"/>
  <c r="J201" i="4"/>
  <c r="I201" i="4"/>
  <c r="J200" i="4"/>
  <c r="I200" i="4"/>
  <c r="J199" i="4"/>
  <c r="I199" i="4"/>
  <c r="J198" i="4"/>
  <c r="I198" i="4"/>
  <c r="J197" i="4"/>
  <c r="I197" i="4"/>
  <c r="J196" i="4"/>
  <c r="I196" i="4"/>
  <c r="J195" i="4"/>
  <c r="I195" i="4"/>
  <c r="J194" i="4"/>
  <c r="I194" i="4"/>
  <c r="J193" i="4"/>
  <c r="I193" i="4"/>
  <c r="J192" i="4"/>
  <c r="I192" i="4"/>
  <c r="J191" i="4"/>
  <c r="I191" i="4"/>
  <c r="J190" i="4"/>
  <c r="I190" i="4"/>
  <c r="J189" i="4"/>
  <c r="I189" i="4"/>
  <c r="J188" i="4"/>
  <c r="I188" i="4"/>
  <c r="J187" i="4"/>
  <c r="I187" i="4"/>
  <c r="J186" i="4"/>
  <c r="I186" i="4"/>
  <c r="J185" i="4"/>
  <c r="I185" i="4"/>
  <c r="J184" i="4"/>
  <c r="I184" i="4"/>
  <c r="J183" i="4"/>
  <c r="I183" i="4"/>
  <c r="J182" i="4"/>
  <c r="I182" i="4"/>
  <c r="J181" i="4"/>
  <c r="I181" i="4"/>
  <c r="J180" i="4"/>
  <c r="I180" i="4"/>
  <c r="J179" i="4"/>
  <c r="I179" i="4"/>
  <c r="J178" i="4"/>
  <c r="I178" i="4"/>
  <c r="J177" i="4"/>
  <c r="I177" i="4"/>
  <c r="J176" i="4"/>
  <c r="I176" i="4"/>
  <c r="J175" i="4"/>
  <c r="I175" i="4"/>
  <c r="J174" i="4"/>
  <c r="I174" i="4"/>
  <c r="J173" i="4"/>
  <c r="I173" i="4"/>
  <c r="J172" i="4"/>
  <c r="I172" i="4"/>
  <c r="J171" i="4"/>
  <c r="I171" i="4"/>
  <c r="J170" i="4"/>
  <c r="I170" i="4"/>
  <c r="J169" i="4"/>
  <c r="I169" i="4"/>
  <c r="J168" i="4"/>
  <c r="I168" i="4"/>
  <c r="J167" i="4"/>
  <c r="I167" i="4"/>
  <c r="J166" i="4"/>
  <c r="I166" i="4"/>
  <c r="J165" i="4"/>
  <c r="I165" i="4"/>
  <c r="J164" i="4"/>
  <c r="I164" i="4"/>
  <c r="J163" i="4"/>
  <c r="I163" i="4"/>
  <c r="J162" i="4"/>
  <c r="I162" i="4"/>
  <c r="J161" i="4"/>
  <c r="I161" i="4"/>
  <c r="J160" i="4"/>
  <c r="I160" i="4"/>
  <c r="J159" i="4"/>
  <c r="I159" i="4"/>
  <c r="J158" i="4"/>
  <c r="I158" i="4"/>
  <c r="J157" i="4"/>
  <c r="I157" i="4"/>
  <c r="J156" i="4"/>
  <c r="I156" i="4"/>
  <c r="J155" i="4"/>
  <c r="I155" i="4"/>
  <c r="J154" i="4"/>
  <c r="I154" i="4"/>
  <c r="J153" i="4"/>
  <c r="I153" i="4"/>
  <c r="J152" i="4"/>
  <c r="I152" i="4"/>
  <c r="J151" i="4"/>
  <c r="I151" i="4"/>
  <c r="J150" i="4"/>
  <c r="I150" i="4"/>
  <c r="J149" i="4"/>
  <c r="I149" i="4"/>
  <c r="J148" i="4"/>
  <c r="I148" i="4"/>
  <c r="J147" i="4"/>
  <c r="I147" i="4"/>
  <c r="J146" i="4"/>
  <c r="I146" i="4"/>
  <c r="J145" i="4"/>
  <c r="I145" i="4"/>
  <c r="J144" i="4"/>
  <c r="I144" i="4"/>
  <c r="J143" i="4"/>
  <c r="I143" i="4"/>
  <c r="J142" i="4"/>
  <c r="I142" i="4"/>
  <c r="J141" i="4"/>
  <c r="I141" i="4"/>
  <c r="J140" i="4"/>
  <c r="I140" i="4"/>
  <c r="J139" i="4"/>
  <c r="I139" i="4"/>
  <c r="J138" i="4"/>
  <c r="I138" i="4"/>
  <c r="J137" i="4"/>
  <c r="I137" i="4"/>
  <c r="J136" i="4"/>
  <c r="I136" i="4"/>
  <c r="J135" i="4"/>
  <c r="I135" i="4"/>
  <c r="J134" i="4"/>
  <c r="I134" i="4"/>
  <c r="J133" i="4"/>
  <c r="I133" i="4"/>
  <c r="J132" i="4"/>
  <c r="I132" i="4"/>
  <c r="J131" i="4"/>
  <c r="I131" i="4"/>
  <c r="J130" i="4"/>
  <c r="I130" i="4"/>
  <c r="J129" i="4"/>
  <c r="I129" i="4"/>
  <c r="J128" i="4"/>
  <c r="I128" i="4"/>
  <c r="J127" i="4"/>
  <c r="I127" i="4"/>
  <c r="J126" i="4"/>
  <c r="I126" i="4"/>
  <c r="J125" i="4"/>
  <c r="I125" i="4"/>
  <c r="J124" i="4"/>
  <c r="I124" i="4"/>
  <c r="J123" i="4"/>
  <c r="I123" i="4"/>
  <c r="J122" i="4"/>
  <c r="I122" i="4"/>
  <c r="J121" i="4"/>
  <c r="I121" i="4"/>
  <c r="J120" i="4"/>
  <c r="I120" i="4"/>
  <c r="J119" i="4"/>
  <c r="I119" i="4"/>
  <c r="J118" i="4"/>
  <c r="I118" i="4"/>
  <c r="J117" i="4"/>
  <c r="I117" i="4"/>
  <c r="J116" i="4"/>
  <c r="I116" i="4"/>
  <c r="J115" i="4"/>
  <c r="I115" i="4"/>
  <c r="J114" i="4"/>
  <c r="I114" i="4"/>
  <c r="J113" i="4"/>
  <c r="I113" i="4"/>
  <c r="J112" i="4"/>
  <c r="I112" i="4"/>
  <c r="J111" i="4"/>
  <c r="I111" i="4"/>
  <c r="J110" i="4"/>
  <c r="I110" i="4"/>
  <c r="J109" i="4"/>
  <c r="I109" i="4"/>
  <c r="J108" i="4"/>
  <c r="I108" i="4"/>
  <c r="J107" i="4"/>
  <c r="I107" i="4"/>
  <c r="J106" i="4"/>
  <c r="I106" i="4"/>
  <c r="J105" i="4"/>
  <c r="I105" i="4"/>
  <c r="J104" i="4"/>
  <c r="I104" i="4"/>
  <c r="J103" i="4"/>
  <c r="I103" i="4"/>
  <c r="J102" i="4"/>
  <c r="I102" i="4"/>
  <c r="J101" i="4"/>
  <c r="I101" i="4"/>
  <c r="J100" i="4"/>
  <c r="I100" i="4"/>
  <c r="J99" i="4"/>
  <c r="I99" i="4"/>
  <c r="J98" i="4"/>
  <c r="I98" i="4"/>
  <c r="J97" i="4"/>
  <c r="I97" i="4"/>
  <c r="J96" i="4"/>
  <c r="I96" i="4"/>
  <c r="J95" i="4"/>
  <c r="I95" i="4"/>
  <c r="J94" i="4"/>
  <c r="I94" i="4"/>
  <c r="J93" i="4"/>
  <c r="I93" i="4"/>
  <c r="J92" i="4"/>
  <c r="I92" i="4"/>
  <c r="J91" i="4"/>
  <c r="I91" i="4"/>
  <c r="J90" i="4"/>
  <c r="I90" i="4"/>
  <c r="J89" i="4"/>
  <c r="I89" i="4"/>
  <c r="J88" i="4"/>
  <c r="I88" i="4"/>
  <c r="J87" i="4"/>
  <c r="I87" i="4"/>
  <c r="J86" i="4"/>
  <c r="I86" i="4"/>
  <c r="J85" i="4"/>
  <c r="I85" i="4"/>
  <c r="J84" i="4"/>
  <c r="I84" i="4"/>
  <c r="J83" i="4"/>
  <c r="I83" i="4"/>
  <c r="J82" i="4"/>
  <c r="I82" i="4"/>
  <c r="J81" i="4"/>
  <c r="I81" i="4"/>
  <c r="J80" i="4"/>
  <c r="I80" i="4"/>
  <c r="J79" i="4"/>
  <c r="I79"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6" i="4"/>
  <c r="I16" i="4"/>
  <c r="J15" i="4"/>
  <c r="I15" i="4"/>
  <c r="J14" i="4"/>
  <c r="I14" i="4"/>
  <c r="J13" i="4"/>
  <c r="I13" i="4"/>
  <c r="J12" i="4"/>
  <c r="I12" i="4"/>
  <c r="J11" i="4"/>
  <c r="I11" i="4"/>
  <c r="J10" i="4"/>
  <c r="I10" i="4"/>
  <c r="J9" i="4"/>
  <c r="I9" i="4"/>
  <c r="J8" i="4"/>
  <c r="I8" i="4"/>
  <c r="J7" i="4"/>
  <c r="I7" i="4"/>
  <c r="J718" i="3"/>
  <c r="I718" i="3"/>
  <c r="J717" i="3"/>
  <c r="I717" i="3"/>
  <c r="J716" i="3"/>
  <c r="I716" i="3"/>
  <c r="J715" i="3"/>
  <c r="I715" i="3"/>
  <c r="J714" i="3"/>
  <c r="I714" i="3"/>
  <c r="J713" i="3"/>
  <c r="I713" i="3"/>
  <c r="J712" i="3"/>
  <c r="I712" i="3"/>
  <c r="J711" i="3"/>
  <c r="I711" i="3"/>
  <c r="J710" i="3"/>
  <c r="I710" i="3"/>
  <c r="J709" i="3"/>
  <c r="I709" i="3"/>
  <c r="J708" i="3"/>
  <c r="I708" i="3"/>
  <c r="J707" i="3"/>
  <c r="I707" i="3"/>
  <c r="J706" i="3"/>
  <c r="I706" i="3"/>
  <c r="J705" i="3"/>
  <c r="I705" i="3"/>
  <c r="J702" i="3"/>
  <c r="I702" i="3"/>
  <c r="J701" i="3"/>
  <c r="I701" i="3"/>
  <c r="J700" i="3"/>
  <c r="I700" i="3"/>
  <c r="J699" i="3"/>
  <c r="I699" i="3"/>
  <c r="J698" i="3"/>
  <c r="I698" i="3"/>
  <c r="J697" i="3"/>
  <c r="I697" i="3"/>
  <c r="J696" i="3"/>
  <c r="I696" i="3"/>
  <c r="J695" i="3"/>
  <c r="I695" i="3"/>
  <c r="J694" i="3"/>
  <c r="I694" i="3"/>
  <c r="J693" i="3"/>
  <c r="I693" i="3"/>
  <c r="J692" i="3"/>
  <c r="I692" i="3"/>
  <c r="J691" i="3"/>
  <c r="I691" i="3"/>
  <c r="J690" i="3"/>
  <c r="I690" i="3"/>
  <c r="J689" i="3"/>
  <c r="I689" i="3"/>
  <c r="J688" i="3"/>
  <c r="I688" i="3"/>
  <c r="J687" i="3"/>
  <c r="I687" i="3"/>
  <c r="J686" i="3"/>
  <c r="I686" i="3"/>
  <c r="J685" i="3"/>
  <c r="I685" i="3"/>
  <c r="J684" i="3"/>
  <c r="I684" i="3"/>
  <c r="J683" i="3"/>
  <c r="I683" i="3"/>
  <c r="J682" i="3"/>
  <c r="I682" i="3"/>
  <c r="J681" i="3"/>
  <c r="I681" i="3"/>
  <c r="J680" i="3"/>
  <c r="I680" i="3"/>
  <c r="J679" i="3"/>
  <c r="I679" i="3"/>
  <c r="J678" i="3"/>
  <c r="I678" i="3"/>
  <c r="J677" i="3"/>
  <c r="I677" i="3"/>
  <c r="J676" i="3"/>
  <c r="I676" i="3"/>
  <c r="J675" i="3"/>
  <c r="I675" i="3"/>
  <c r="J674" i="3"/>
  <c r="I674" i="3"/>
  <c r="J673" i="3"/>
  <c r="I673" i="3"/>
  <c r="J672" i="3"/>
  <c r="I672" i="3"/>
  <c r="J671" i="3"/>
  <c r="I671" i="3"/>
  <c r="J670" i="3"/>
  <c r="I670" i="3"/>
  <c r="J669" i="3"/>
  <c r="I669" i="3"/>
  <c r="J668" i="3"/>
  <c r="I668" i="3"/>
  <c r="J667" i="3"/>
  <c r="I667" i="3"/>
  <c r="J666" i="3"/>
  <c r="I666" i="3"/>
  <c r="J665" i="3"/>
  <c r="I665" i="3"/>
  <c r="J664" i="3"/>
  <c r="I664" i="3"/>
  <c r="J663" i="3"/>
  <c r="I663" i="3"/>
  <c r="J662" i="3"/>
  <c r="I662" i="3"/>
  <c r="J661" i="3"/>
  <c r="I661" i="3"/>
  <c r="J660" i="3"/>
  <c r="I660" i="3"/>
  <c r="J659" i="3"/>
  <c r="I659" i="3"/>
  <c r="J658" i="3"/>
  <c r="I658" i="3"/>
  <c r="J657" i="3"/>
  <c r="I657" i="3"/>
  <c r="J656" i="3"/>
  <c r="I656" i="3"/>
  <c r="J655" i="3"/>
  <c r="I655" i="3"/>
  <c r="J654" i="3"/>
  <c r="I654" i="3"/>
  <c r="J653" i="3"/>
  <c r="I653" i="3"/>
  <c r="J652" i="3"/>
  <c r="I652" i="3"/>
  <c r="J651" i="3"/>
  <c r="I651" i="3"/>
  <c r="J650" i="3"/>
  <c r="I650" i="3"/>
  <c r="J649" i="3"/>
  <c r="I649" i="3"/>
  <c r="J648" i="3"/>
  <c r="I648" i="3"/>
  <c r="J647" i="3"/>
  <c r="I647" i="3"/>
  <c r="J646" i="3"/>
  <c r="I646" i="3"/>
  <c r="J645" i="3"/>
  <c r="I645" i="3"/>
  <c r="J644" i="3"/>
  <c r="I644" i="3"/>
  <c r="J643" i="3"/>
  <c r="I643" i="3"/>
  <c r="J642" i="3"/>
  <c r="I642" i="3"/>
  <c r="J641" i="3"/>
  <c r="I641" i="3"/>
  <c r="J640" i="3"/>
  <c r="I640" i="3"/>
  <c r="J639" i="3"/>
  <c r="I639" i="3"/>
  <c r="J638" i="3"/>
  <c r="I638" i="3"/>
  <c r="J637" i="3"/>
  <c r="I637" i="3"/>
  <c r="J636" i="3"/>
  <c r="I636" i="3"/>
  <c r="J635" i="3"/>
  <c r="I635" i="3"/>
  <c r="J634" i="3"/>
  <c r="I634" i="3"/>
  <c r="J633" i="3"/>
  <c r="I633" i="3"/>
  <c r="J632" i="3"/>
  <c r="I632" i="3"/>
  <c r="J631" i="3"/>
  <c r="I631" i="3"/>
  <c r="J630" i="3"/>
  <c r="I630" i="3"/>
  <c r="J629" i="3"/>
  <c r="I629" i="3"/>
  <c r="J628" i="3"/>
  <c r="I628" i="3"/>
  <c r="J627" i="3"/>
  <c r="I627" i="3"/>
  <c r="J626" i="3"/>
  <c r="I626" i="3"/>
  <c r="J625" i="3"/>
  <c r="I625" i="3"/>
  <c r="J624" i="3"/>
  <c r="I624" i="3"/>
  <c r="J623" i="3"/>
  <c r="I623" i="3"/>
  <c r="J622" i="3"/>
  <c r="I622" i="3"/>
  <c r="J621" i="3"/>
  <c r="I621" i="3"/>
  <c r="J620" i="3"/>
  <c r="I620" i="3"/>
  <c r="J619" i="3"/>
  <c r="I619" i="3"/>
  <c r="J618" i="3"/>
  <c r="I618" i="3"/>
  <c r="J617" i="3"/>
  <c r="I617" i="3"/>
  <c r="J616" i="3"/>
  <c r="I616" i="3"/>
  <c r="J615" i="3"/>
  <c r="I615" i="3"/>
  <c r="J614" i="3"/>
  <c r="I614" i="3"/>
  <c r="J613" i="3"/>
  <c r="I613" i="3"/>
  <c r="J612" i="3"/>
  <c r="I612" i="3"/>
  <c r="J611" i="3"/>
  <c r="I611" i="3"/>
  <c r="J610" i="3"/>
  <c r="I610" i="3"/>
  <c r="J609" i="3"/>
  <c r="I609" i="3"/>
  <c r="J608" i="3"/>
  <c r="I608" i="3"/>
  <c r="J607" i="3"/>
  <c r="I607" i="3"/>
  <c r="J606" i="3"/>
  <c r="I606" i="3"/>
  <c r="J605" i="3"/>
  <c r="I605" i="3"/>
  <c r="J604" i="3"/>
  <c r="I604" i="3"/>
  <c r="J603" i="3"/>
  <c r="I603" i="3"/>
  <c r="J602" i="3"/>
  <c r="I602" i="3"/>
  <c r="J601" i="3"/>
  <c r="I601" i="3"/>
  <c r="J600" i="3"/>
  <c r="I600" i="3"/>
  <c r="J599" i="3"/>
  <c r="I599" i="3"/>
  <c r="J598" i="3"/>
  <c r="I598" i="3"/>
  <c r="J597" i="3"/>
  <c r="I597" i="3"/>
  <c r="J596" i="3"/>
  <c r="I596" i="3"/>
  <c r="J595" i="3"/>
  <c r="I595" i="3"/>
  <c r="J594" i="3"/>
  <c r="I594" i="3"/>
  <c r="J593" i="3"/>
  <c r="I593" i="3"/>
  <c r="J592" i="3"/>
  <c r="I592" i="3"/>
  <c r="J591" i="3"/>
  <c r="I591" i="3"/>
  <c r="J590" i="3"/>
  <c r="I590" i="3"/>
  <c r="J589" i="3"/>
  <c r="I589" i="3"/>
  <c r="J588" i="3"/>
  <c r="I588" i="3"/>
  <c r="J587" i="3"/>
  <c r="I587" i="3"/>
  <c r="J586" i="3"/>
  <c r="I586" i="3"/>
  <c r="J585" i="3"/>
  <c r="I585" i="3"/>
  <c r="J584" i="3"/>
  <c r="I584" i="3"/>
  <c r="J583" i="3"/>
  <c r="I583" i="3"/>
  <c r="J582" i="3"/>
  <c r="I582" i="3"/>
  <c r="J581" i="3"/>
  <c r="I581" i="3"/>
  <c r="J580" i="3"/>
  <c r="I580" i="3"/>
  <c r="J579" i="3"/>
  <c r="I579" i="3"/>
  <c r="J578" i="3"/>
  <c r="I578" i="3"/>
  <c r="J577" i="3"/>
  <c r="I577" i="3"/>
  <c r="J576" i="3"/>
  <c r="I576" i="3"/>
  <c r="J575" i="3"/>
  <c r="I575" i="3"/>
  <c r="J574" i="3"/>
  <c r="I574" i="3"/>
  <c r="J573" i="3"/>
  <c r="I573" i="3"/>
  <c r="J572" i="3"/>
  <c r="I572" i="3"/>
  <c r="J571" i="3"/>
  <c r="I571" i="3"/>
  <c r="J570" i="3"/>
  <c r="I570" i="3"/>
  <c r="J569" i="3"/>
  <c r="I569" i="3"/>
  <c r="J568" i="3"/>
  <c r="I568" i="3"/>
  <c r="J567" i="3"/>
  <c r="I567" i="3"/>
  <c r="J566" i="3"/>
  <c r="I566" i="3"/>
  <c r="J565" i="3"/>
  <c r="I565" i="3"/>
  <c r="J564" i="3"/>
  <c r="I564" i="3"/>
  <c r="J563" i="3"/>
  <c r="I563" i="3"/>
  <c r="J562" i="3"/>
  <c r="I562" i="3"/>
  <c r="J561" i="3"/>
  <c r="I561" i="3"/>
  <c r="J560" i="3"/>
  <c r="I560" i="3"/>
  <c r="J559" i="3"/>
  <c r="I559" i="3"/>
  <c r="J558" i="3"/>
  <c r="I558" i="3"/>
  <c r="J557" i="3"/>
  <c r="I557" i="3"/>
  <c r="J556" i="3"/>
  <c r="I556" i="3"/>
  <c r="J555" i="3"/>
  <c r="I555" i="3"/>
  <c r="J554" i="3"/>
  <c r="I554" i="3"/>
  <c r="J553" i="3"/>
  <c r="I553" i="3"/>
  <c r="J552" i="3"/>
  <c r="I552" i="3"/>
  <c r="J551" i="3"/>
  <c r="I551" i="3"/>
  <c r="J550" i="3"/>
  <c r="I550" i="3"/>
  <c r="J549" i="3"/>
  <c r="I549" i="3"/>
  <c r="J548" i="3"/>
  <c r="I548" i="3"/>
  <c r="J547" i="3"/>
  <c r="I547" i="3"/>
  <c r="J546" i="3"/>
  <c r="I546" i="3"/>
  <c r="J545" i="3"/>
  <c r="I545" i="3"/>
  <c r="J544" i="3"/>
  <c r="I544" i="3"/>
  <c r="J543" i="3"/>
  <c r="I543" i="3"/>
  <c r="J542" i="3"/>
  <c r="I542" i="3"/>
  <c r="J541" i="3"/>
  <c r="I541" i="3"/>
  <c r="J540" i="3"/>
  <c r="I540" i="3"/>
  <c r="J539" i="3"/>
  <c r="I539" i="3"/>
  <c r="J538" i="3"/>
  <c r="I538" i="3"/>
  <c r="J537" i="3"/>
  <c r="I537" i="3"/>
  <c r="J536" i="3"/>
  <c r="I536" i="3"/>
  <c r="J535" i="3"/>
  <c r="I535" i="3"/>
  <c r="J534" i="3"/>
  <c r="I534" i="3"/>
  <c r="J533" i="3"/>
  <c r="I533" i="3"/>
  <c r="J532" i="3"/>
  <c r="I532" i="3"/>
  <c r="J531" i="3"/>
  <c r="I531" i="3"/>
  <c r="J530" i="3"/>
  <c r="I530" i="3"/>
  <c r="J529" i="3"/>
  <c r="I529" i="3"/>
  <c r="J528" i="3"/>
  <c r="I528" i="3"/>
  <c r="J527" i="3"/>
  <c r="I527" i="3"/>
  <c r="J526" i="3"/>
  <c r="I526" i="3"/>
  <c r="J525" i="3"/>
  <c r="I525" i="3"/>
  <c r="J524" i="3"/>
  <c r="I524" i="3"/>
  <c r="J523" i="3"/>
  <c r="I523" i="3"/>
  <c r="J522" i="3"/>
  <c r="I522" i="3"/>
  <c r="J521" i="3"/>
  <c r="I521" i="3"/>
  <c r="J520" i="3"/>
  <c r="I520" i="3"/>
  <c r="J519" i="3"/>
  <c r="I519" i="3"/>
  <c r="J518" i="3"/>
  <c r="I518" i="3"/>
  <c r="J517" i="3"/>
  <c r="I517" i="3"/>
  <c r="J516" i="3"/>
  <c r="I516" i="3"/>
  <c r="J515" i="3"/>
  <c r="I515" i="3"/>
  <c r="J514" i="3"/>
  <c r="I514" i="3"/>
  <c r="J513" i="3"/>
  <c r="I513" i="3"/>
  <c r="J512" i="3"/>
  <c r="I512" i="3"/>
  <c r="J511" i="3"/>
  <c r="I511" i="3"/>
  <c r="J510" i="3"/>
  <c r="I510" i="3"/>
  <c r="J509" i="3"/>
  <c r="I509" i="3"/>
  <c r="J508" i="3"/>
  <c r="I508" i="3"/>
  <c r="J507" i="3"/>
  <c r="I507" i="3"/>
  <c r="J506" i="3"/>
  <c r="I506" i="3"/>
  <c r="J505" i="3"/>
  <c r="I505" i="3"/>
  <c r="J504" i="3"/>
  <c r="I504" i="3"/>
  <c r="J503" i="3"/>
  <c r="I503" i="3"/>
  <c r="J502" i="3"/>
  <c r="I502" i="3"/>
  <c r="J501" i="3"/>
  <c r="I501" i="3"/>
  <c r="J500" i="3"/>
  <c r="I500" i="3"/>
  <c r="J499" i="3"/>
  <c r="I499" i="3"/>
  <c r="J498" i="3"/>
  <c r="I498" i="3"/>
  <c r="J497" i="3"/>
  <c r="I497" i="3"/>
  <c r="J496" i="3"/>
  <c r="I496" i="3"/>
  <c r="J495" i="3"/>
  <c r="I495" i="3"/>
  <c r="J494" i="3"/>
  <c r="I494" i="3"/>
  <c r="J493" i="3"/>
  <c r="I493" i="3"/>
  <c r="J492" i="3"/>
  <c r="I492" i="3"/>
  <c r="J491" i="3"/>
  <c r="I491" i="3"/>
  <c r="J490" i="3"/>
  <c r="I490" i="3"/>
  <c r="J489" i="3"/>
  <c r="I489" i="3"/>
  <c r="J488" i="3"/>
  <c r="I488" i="3"/>
  <c r="J487" i="3"/>
  <c r="I487" i="3"/>
  <c r="J486" i="3"/>
  <c r="I486" i="3"/>
  <c r="J485" i="3"/>
  <c r="I485" i="3"/>
  <c r="J484" i="3"/>
  <c r="I484" i="3"/>
  <c r="J483" i="3"/>
  <c r="I483" i="3"/>
  <c r="J482" i="3"/>
  <c r="I482" i="3"/>
  <c r="J481" i="3"/>
  <c r="I481" i="3"/>
  <c r="J480" i="3"/>
  <c r="I480" i="3"/>
  <c r="J479" i="3"/>
  <c r="I479" i="3"/>
  <c r="J478" i="3"/>
  <c r="I478" i="3"/>
  <c r="J477" i="3"/>
  <c r="I477" i="3"/>
  <c r="J476" i="3"/>
  <c r="I476" i="3"/>
  <c r="J475" i="3"/>
  <c r="I475" i="3"/>
  <c r="J474" i="3"/>
  <c r="I474" i="3"/>
  <c r="J473" i="3"/>
  <c r="I473" i="3"/>
  <c r="J472" i="3"/>
  <c r="I472" i="3"/>
  <c r="J471" i="3"/>
  <c r="I471" i="3"/>
  <c r="J470" i="3"/>
  <c r="I470" i="3"/>
  <c r="J469" i="3"/>
  <c r="I469" i="3"/>
  <c r="J468" i="3"/>
  <c r="I468" i="3"/>
  <c r="J467" i="3"/>
  <c r="I467" i="3"/>
  <c r="J466" i="3"/>
  <c r="I466" i="3"/>
  <c r="J465" i="3"/>
  <c r="I465" i="3"/>
  <c r="J464" i="3"/>
  <c r="I464" i="3"/>
  <c r="J463" i="3"/>
  <c r="I463" i="3"/>
  <c r="J462" i="3"/>
  <c r="I462" i="3"/>
  <c r="J461" i="3"/>
  <c r="I461" i="3"/>
  <c r="J460" i="3"/>
  <c r="I460" i="3"/>
  <c r="J459" i="3"/>
  <c r="I459" i="3"/>
  <c r="J458" i="3"/>
  <c r="I458" i="3"/>
  <c r="J457" i="3"/>
  <c r="I457" i="3"/>
  <c r="J456" i="3"/>
  <c r="I456" i="3"/>
  <c r="J455" i="3"/>
  <c r="I455" i="3"/>
  <c r="J454" i="3"/>
  <c r="I454" i="3"/>
  <c r="J453" i="3"/>
  <c r="I453" i="3"/>
  <c r="J452" i="3"/>
  <c r="I452" i="3"/>
  <c r="J451" i="3"/>
  <c r="I451" i="3"/>
  <c r="J450" i="3"/>
  <c r="I450" i="3"/>
  <c r="J449" i="3"/>
  <c r="I449" i="3"/>
  <c r="J448" i="3"/>
  <c r="I448" i="3"/>
  <c r="J447" i="3"/>
  <c r="I447" i="3"/>
  <c r="J446" i="3"/>
  <c r="I446" i="3"/>
  <c r="J445" i="3"/>
  <c r="I445" i="3"/>
  <c r="J444" i="3"/>
  <c r="I444" i="3"/>
  <c r="J443" i="3"/>
  <c r="I443" i="3"/>
  <c r="J442" i="3"/>
  <c r="I442" i="3"/>
  <c r="J441" i="3"/>
  <c r="I441" i="3"/>
  <c r="J440" i="3"/>
  <c r="I440" i="3"/>
  <c r="J439" i="3"/>
  <c r="I439" i="3"/>
  <c r="J438" i="3"/>
  <c r="I438" i="3"/>
  <c r="J437" i="3"/>
  <c r="I437" i="3"/>
  <c r="J436" i="3"/>
  <c r="I436" i="3"/>
  <c r="J435" i="3"/>
  <c r="I435" i="3"/>
  <c r="J434" i="3"/>
  <c r="I434" i="3"/>
  <c r="J433" i="3"/>
  <c r="I433" i="3"/>
  <c r="J432" i="3"/>
  <c r="I432" i="3"/>
  <c r="J431" i="3"/>
  <c r="I431" i="3"/>
  <c r="J430" i="3"/>
  <c r="I430" i="3"/>
  <c r="J429" i="3"/>
  <c r="I429" i="3"/>
  <c r="J428" i="3"/>
  <c r="I428" i="3"/>
  <c r="J427" i="3"/>
  <c r="I427" i="3"/>
  <c r="J426" i="3"/>
  <c r="I426" i="3"/>
  <c r="J425" i="3"/>
  <c r="I425" i="3"/>
  <c r="J424" i="3"/>
  <c r="I424" i="3"/>
  <c r="J423" i="3"/>
  <c r="I423" i="3"/>
  <c r="J422" i="3"/>
  <c r="I422" i="3"/>
  <c r="J421" i="3"/>
  <c r="I421" i="3"/>
  <c r="J420" i="3"/>
  <c r="I420" i="3"/>
  <c r="J419" i="3"/>
  <c r="I419" i="3"/>
  <c r="J418" i="3"/>
  <c r="I418" i="3"/>
  <c r="J417" i="3"/>
  <c r="I417" i="3"/>
  <c r="J416" i="3"/>
  <c r="I416" i="3"/>
  <c r="J415" i="3"/>
  <c r="I415" i="3"/>
  <c r="J414" i="3"/>
  <c r="I414" i="3"/>
  <c r="J413" i="3"/>
  <c r="I413" i="3"/>
  <c r="J412" i="3"/>
  <c r="I412" i="3"/>
  <c r="J411" i="3"/>
  <c r="I411" i="3"/>
  <c r="J410" i="3"/>
  <c r="I410" i="3"/>
  <c r="J409" i="3"/>
  <c r="I409" i="3"/>
  <c r="J408" i="3"/>
  <c r="I408" i="3"/>
  <c r="J407" i="3"/>
  <c r="I407" i="3"/>
  <c r="J406" i="3"/>
  <c r="I406" i="3"/>
  <c r="J405" i="3"/>
  <c r="I405" i="3"/>
  <c r="J404" i="3"/>
  <c r="I404" i="3"/>
  <c r="J403" i="3"/>
  <c r="I403" i="3"/>
  <c r="J402" i="3"/>
  <c r="I402" i="3"/>
  <c r="J401" i="3"/>
  <c r="I401" i="3"/>
  <c r="J400" i="3"/>
  <c r="I400" i="3"/>
  <c r="J399" i="3"/>
  <c r="I399" i="3"/>
  <c r="J398" i="3"/>
  <c r="I398" i="3"/>
  <c r="J397" i="3"/>
  <c r="I397" i="3"/>
  <c r="J396" i="3"/>
  <c r="I396" i="3"/>
  <c r="J395" i="3"/>
  <c r="I395" i="3"/>
  <c r="J394" i="3"/>
  <c r="I394" i="3"/>
  <c r="J393" i="3"/>
  <c r="I393" i="3"/>
  <c r="J392" i="3"/>
  <c r="I392" i="3"/>
  <c r="J391" i="3"/>
  <c r="I391" i="3"/>
  <c r="J390" i="3"/>
  <c r="I390" i="3"/>
  <c r="J389" i="3"/>
  <c r="I389" i="3"/>
  <c r="J388" i="3"/>
  <c r="I388" i="3"/>
  <c r="J387" i="3"/>
  <c r="I387" i="3"/>
  <c r="J386" i="3"/>
  <c r="I386" i="3"/>
  <c r="J385" i="3"/>
  <c r="I385" i="3"/>
  <c r="J384" i="3"/>
  <c r="I384" i="3"/>
  <c r="J383" i="3"/>
  <c r="I383" i="3"/>
  <c r="J382" i="3"/>
  <c r="I382" i="3"/>
  <c r="J381" i="3"/>
  <c r="I381" i="3"/>
  <c r="J380" i="3"/>
  <c r="I380" i="3"/>
  <c r="J379" i="3"/>
  <c r="I379" i="3"/>
  <c r="J378" i="3"/>
  <c r="I378" i="3"/>
  <c r="J377" i="3"/>
  <c r="I377" i="3"/>
  <c r="J376" i="3"/>
  <c r="I376" i="3"/>
  <c r="J375" i="3"/>
  <c r="I375" i="3"/>
  <c r="J374" i="3"/>
  <c r="I374" i="3"/>
  <c r="J373" i="3"/>
  <c r="I373" i="3"/>
  <c r="J372" i="3"/>
  <c r="I372" i="3"/>
  <c r="J371" i="3"/>
  <c r="I371" i="3"/>
  <c r="J370" i="3"/>
  <c r="I370" i="3"/>
  <c r="J369" i="3"/>
  <c r="I369" i="3"/>
  <c r="J368" i="3"/>
  <c r="I368" i="3"/>
  <c r="J367" i="3"/>
  <c r="I367" i="3"/>
  <c r="J366" i="3"/>
  <c r="I366" i="3"/>
  <c r="J365" i="3"/>
  <c r="I365" i="3"/>
  <c r="J364" i="3"/>
  <c r="I364" i="3"/>
  <c r="J363" i="3"/>
  <c r="I363" i="3"/>
  <c r="J362" i="3"/>
  <c r="I362" i="3"/>
  <c r="J361" i="3"/>
  <c r="I361" i="3"/>
  <c r="J360" i="3"/>
  <c r="I360" i="3"/>
  <c r="J359" i="3"/>
  <c r="I359" i="3"/>
  <c r="J358" i="3"/>
  <c r="I358" i="3"/>
  <c r="J357" i="3"/>
  <c r="I357" i="3"/>
  <c r="J356" i="3"/>
  <c r="I356" i="3"/>
  <c r="J355" i="3"/>
  <c r="I355" i="3"/>
  <c r="J354" i="3"/>
  <c r="I354" i="3"/>
  <c r="J353" i="3"/>
  <c r="I353" i="3"/>
  <c r="J352" i="3"/>
  <c r="I352" i="3"/>
  <c r="J351" i="3"/>
  <c r="I351" i="3"/>
  <c r="J350" i="3"/>
  <c r="I350" i="3"/>
  <c r="J349" i="3"/>
  <c r="I349" i="3"/>
  <c r="J348" i="3"/>
  <c r="I348" i="3"/>
  <c r="J347" i="3"/>
  <c r="I347" i="3"/>
  <c r="J346" i="3"/>
  <c r="I346" i="3"/>
  <c r="J345" i="3"/>
  <c r="I345" i="3"/>
  <c r="J344" i="3"/>
  <c r="I344" i="3"/>
  <c r="J343" i="3"/>
  <c r="I343" i="3"/>
  <c r="J342" i="3"/>
  <c r="I342" i="3"/>
  <c r="J341" i="3"/>
  <c r="I341" i="3"/>
  <c r="J340" i="3"/>
  <c r="I340" i="3"/>
  <c r="J339" i="3"/>
  <c r="I339" i="3"/>
  <c r="J338" i="3"/>
  <c r="I338" i="3"/>
  <c r="J337" i="3"/>
  <c r="I337" i="3"/>
  <c r="J336" i="3"/>
  <c r="I336" i="3"/>
  <c r="J335" i="3"/>
  <c r="I335" i="3"/>
  <c r="J334" i="3"/>
  <c r="I334" i="3"/>
  <c r="J333" i="3"/>
  <c r="I333" i="3"/>
  <c r="J332" i="3"/>
  <c r="I332" i="3"/>
  <c r="J331" i="3"/>
  <c r="I331" i="3"/>
  <c r="J330" i="3"/>
  <c r="I330" i="3"/>
  <c r="J329" i="3"/>
  <c r="I329" i="3"/>
  <c r="J328" i="3"/>
  <c r="I328" i="3"/>
  <c r="J327" i="3"/>
  <c r="I327" i="3"/>
  <c r="J326" i="3"/>
  <c r="I326" i="3"/>
  <c r="J325" i="3"/>
  <c r="I325" i="3"/>
  <c r="J324" i="3"/>
  <c r="I324" i="3"/>
  <c r="J323" i="3"/>
  <c r="I323" i="3"/>
  <c r="J322" i="3"/>
  <c r="I322" i="3"/>
  <c r="J321" i="3"/>
  <c r="I321" i="3"/>
  <c r="J320" i="3"/>
  <c r="I320" i="3"/>
  <c r="J319" i="3"/>
  <c r="I319" i="3"/>
  <c r="J318" i="3"/>
  <c r="I318" i="3"/>
  <c r="J317" i="3"/>
  <c r="I317" i="3"/>
  <c r="J316" i="3"/>
  <c r="I316" i="3"/>
  <c r="J315" i="3"/>
  <c r="I315" i="3"/>
  <c r="J314" i="3"/>
  <c r="I314" i="3"/>
  <c r="J313" i="3"/>
  <c r="I313" i="3"/>
  <c r="J312" i="3"/>
  <c r="I312" i="3"/>
  <c r="J311" i="3"/>
  <c r="I311" i="3"/>
  <c r="J310" i="3"/>
  <c r="I310" i="3"/>
  <c r="J309" i="3"/>
  <c r="I309" i="3"/>
  <c r="J308" i="3"/>
  <c r="I308" i="3"/>
  <c r="J307" i="3"/>
  <c r="I307" i="3"/>
  <c r="J306" i="3"/>
  <c r="I306" i="3"/>
  <c r="J305" i="3"/>
  <c r="I305" i="3"/>
  <c r="J304" i="3"/>
  <c r="I304" i="3"/>
  <c r="J303" i="3"/>
  <c r="I303" i="3"/>
  <c r="J302" i="3"/>
  <c r="I302" i="3"/>
  <c r="J301" i="3"/>
  <c r="I301" i="3"/>
  <c r="J300" i="3"/>
  <c r="I300" i="3"/>
  <c r="J299" i="3"/>
  <c r="I299" i="3"/>
  <c r="J298" i="3"/>
  <c r="I298" i="3"/>
  <c r="J297" i="3"/>
  <c r="I297" i="3"/>
  <c r="J296" i="3"/>
  <c r="I296" i="3"/>
  <c r="J295" i="3"/>
  <c r="I295" i="3"/>
  <c r="J294" i="3"/>
  <c r="I294" i="3"/>
  <c r="J293" i="3"/>
  <c r="I293" i="3"/>
  <c r="J292" i="3"/>
  <c r="I292" i="3"/>
  <c r="J291" i="3"/>
  <c r="I291" i="3"/>
  <c r="J290" i="3"/>
  <c r="I290" i="3"/>
  <c r="J289" i="3"/>
  <c r="I289" i="3"/>
  <c r="J288" i="3"/>
  <c r="I288" i="3"/>
  <c r="J287" i="3"/>
  <c r="I287" i="3"/>
  <c r="J286" i="3"/>
  <c r="I286" i="3"/>
  <c r="J285" i="3"/>
  <c r="I285" i="3"/>
  <c r="J284" i="3"/>
  <c r="I284" i="3"/>
  <c r="J283" i="3"/>
  <c r="I283" i="3"/>
  <c r="J282" i="3"/>
  <c r="I282" i="3"/>
  <c r="J281" i="3"/>
  <c r="I281" i="3"/>
  <c r="J280" i="3"/>
  <c r="I280" i="3"/>
  <c r="J279" i="3"/>
  <c r="I279" i="3"/>
  <c r="J278" i="3"/>
  <c r="I278" i="3"/>
  <c r="J277" i="3"/>
  <c r="I277" i="3"/>
  <c r="J276" i="3"/>
  <c r="I276" i="3"/>
  <c r="J275" i="3"/>
  <c r="I275" i="3"/>
  <c r="J274" i="3"/>
  <c r="I274" i="3"/>
  <c r="J273" i="3"/>
  <c r="I273" i="3"/>
  <c r="J272" i="3"/>
  <c r="I272" i="3"/>
  <c r="J271" i="3"/>
  <c r="I271" i="3"/>
  <c r="J270" i="3"/>
  <c r="I270" i="3"/>
  <c r="J269" i="3"/>
  <c r="I269" i="3"/>
  <c r="J268" i="3"/>
  <c r="I268" i="3"/>
  <c r="J267" i="3"/>
  <c r="I267" i="3"/>
  <c r="J266" i="3"/>
  <c r="I266" i="3"/>
  <c r="J265" i="3"/>
  <c r="I265" i="3"/>
  <c r="J264" i="3"/>
  <c r="I264" i="3"/>
  <c r="J263" i="3"/>
  <c r="I263" i="3"/>
  <c r="J262" i="3"/>
  <c r="I262" i="3"/>
  <c r="J261" i="3"/>
  <c r="I261" i="3"/>
  <c r="J260" i="3"/>
  <c r="I260" i="3"/>
  <c r="J259" i="3"/>
  <c r="I259" i="3"/>
  <c r="J258" i="3"/>
  <c r="I258" i="3"/>
  <c r="J257" i="3"/>
  <c r="I257" i="3"/>
  <c r="J256" i="3"/>
  <c r="I256" i="3"/>
  <c r="J255" i="3"/>
  <c r="I255" i="3"/>
  <c r="J254" i="3"/>
  <c r="I254" i="3"/>
  <c r="J253" i="3"/>
  <c r="I253" i="3"/>
  <c r="J252" i="3"/>
  <c r="I252" i="3"/>
  <c r="J251" i="3"/>
  <c r="I251" i="3"/>
  <c r="J250" i="3"/>
  <c r="I250" i="3"/>
  <c r="J249" i="3"/>
  <c r="I249" i="3"/>
  <c r="J248" i="3"/>
  <c r="I248" i="3"/>
  <c r="J247" i="3"/>
  <c r="I247" i="3"/>
  <c r="J246" i="3"/>
  <c r="I246" i="3"/>
  <c r="J245" i="3"/>
  <c r="I245" i="3"/>
  <c r="J244" i="3"/>
  <c r="I244" i="3"/>
  <c r="J243" i="3"/>
  <c r="I243" i="3"/>
  <c r="J242" i="3"/>
  <c r="I242" i="3"/>
  <c r="J241" i="3"/>
  <c r="I241" i="3"/>
  <c r="J240" i="3"/>
  <c r="I240" i="3"/>
  <c r="J239" i="3"/>
  <c r="I239" i="3"/>
  <c r="J238" i="3"/>
  <c r="I238" i="3"/>
  <c r="J237" i="3"/>
  <c r="I237" i="3"/>
  <c r="J236" i="3"/>
  <c r="I236" i="3"/>
  <c r="J235" i="3"/>
  <c r="I235" i="3"/>
  <c r="J234" i="3"/>
  <c r="I234" i="3"/>
  <c r="J233" i="3"/>
  <c r="I233" i="3"/>
  <c r="J232" i="3"/>
  <c r="I232" i="3"/>
  <c r="J231" i="3"/>
  <c r="I231" i="3"/>
  <c r="J230" i="3"/>
  <c r="I230" i="3"/>
  <c r="J229" i="3"/>
  <c r="I229" i="3"/>
  <c r="J228" i="3"/>
  <c r="I228" i="3"/>
  <c r="J227" i="3"/>
  <c r="I227" i="3"/>
  <c r="J226" i="3"/>
  <c r="I226" i="3"/>
  <c r="J225" i="3"/>
  <c r="I225" i="3"/>
  <c r="J224" i="3"/>
  <c r="I224" i="3"/>
  <c r="J223" i="3"/>
  <c r="I223" i="3"/>
  <c r="J222" i="3"/>
  <c r="I222" i="3"/>
  <c r="J221" i="3"/>
  <c r="I221" i="3"/>
  <c r="J220" i="3"/>
  <c r="I220" i="3"/>
  <c r="J219" i="3"/>
  <c r="I219" i="3"/>
  <c r="J218" i="3"/>
  <c r="I218" i="3"/>
  <c r="J217" i="3"/>
  <c r="I217" i="3"/>
  <c r="J216" i="3"/>
  <c r="I216" i="3"/>
  <c r="J215" i="3"/>
  <c r="I215" i="3"/>
  <c r="J214" i="3"/>
  <c r="I214" i="3"/>
  <c r="J213" i="3"/>
  <c r="I213" i="3"/>
  <c r="J212" i="3"/>
  <c r="I212" i="3"/>
  <c r="J211" i="3"/>
  <c r="I211" i="3"/>
  <c r="J210" i="3"/>
  <c r="I210" i="3"/>
  <c r="J209" i="3"/>
  <c r="I209" i="3"/>
  <c r="J208" i="3"/>
  <c r="I208" i="3"/>
  <c r="J207" i="3"/>
  <c r="I207" i="3"/>
  <c r="J206" i="3"/>
  <c r="I206" i="3"/>
  <c r="J205" i="3"/>
  <c r="I205" i="3"/>
  <c r="J204" i="3"/>
  <c r="I204" i="3"/>
  <c r="J203" i="3"/>
  <c r="I203" i="3"/>
  <c r="J202" i="3"/>
  <c r="I202" i="3"/>
  <c r="J201" i="3"/>
  <c r="I201" i="3"/>
  <c r="J200" i="3"/>
  <c r="I200" i="3"/>
  <c r="J199" i="3"/>
  <c r="I199" i="3"/>
  <c r="J198" i="3"/>
  <c r="I198" i="3"/>
  <c r="J197" i="3"/>
  <c r="I197" i="3"/>
  <c r="J196" i="3"/>
  <c r="I196" i="3"/>
  <c r="J195" i="3"/>
  <c r="I195" i="3"/>
  <c r="J194" i="3"/>
  <c r="I194" i="3"/>
  <c r="J193" i="3"/>
  <c r="I193" i="3"/>
  <c r="J192" i="3"/>
  <c r="I192" i="3"/>
  <c r="J191" i="3"/>
  <c r="I191" i="3"/>
  <c r="J190" i="3"/>
  <c r="I190" i="3"/>
  <c r="J189" i="3"/>
  <c r="I189" i="3"/>
  <c r="J188" i="3"/>
  <c r="I188" i="3"/>
  <c r="J187" i="3"/>
  <c r="I187" i="3"/>
  <c r="J186" i="3"/>
  <c r="I186" i="3"/>
  <c r="J185" i="3"/>
  <c r="I185" i="3"/>
  <c r="J184" i="3"/>
  <c r="I184" i="3"/>
  <c r="J183" i="3"/>
  <c r="I183" i="3"/>
  <c r="J182" i="3"/>
  <c r="I182" i="3"/>
  <c r="J181" i="3"/>
  <c r="I181" i="3"/>
  <c r="J180" i="3"/>
  <c r="I180" i="3"/>
  <c r="J179" i="3"/>
  <c r="I179" i="3"/>
  <c r="J178" i="3"/>
  <c r="I178" i="3"/>
  <c r="J177" i="3"/>
  <c r="I177" i="3"/>
  <c r="J176" i="3"/>
  <c r="I176" i="3"/>
  <c r="J175" i="3"/>
  <c r="I175" i="3"/>
  <c r="J174" i="3"/>
  <c r="I174" i="3"/>
  <c r="J173" i="3"/>
  <c r="I173" i="3"/>
  <c r="J172" i="3"/>
  <c r="I172" i="3"/>
  <c r="J171" i="3"/>
  <c r="I171" i="3"/>
  <c r="J170" i="3"/>
  <c r="I170" i="3"/>
  <c r="J169" i="3"/>
  <c r="I169" i="3"/>
  <c r="J168" i="3"/>
  <c r="I168" i="3"/>
  <c r="J167" i="3"/>
  <c r="I167" i="3"/>
  <c r="J166" i="3"/>
  <c r="I166" i="3"/>
  <c r="J165" i="3"/>
  <c r="I165" i="3"/>
  <c r="J164" i="3"/>
  <c r="I164" i="3"/>
  <c r="J163" i="3"/>
  <c r="I163" i="3"/>
  <c r="J162" i="3"/>
  <c r="I162" i="3"/>
  <c r="J161" i="3"/>
  <c r="I161" i="3"/>
  <c r="J160" i="3"/>
  <c r="I160" i="3"/>
  <c r="J159" i="3"/>
  <c r="I159" i="3"/>
  <c r="J158" i="3"/>
  <c r="I158" i="3"/>
  <c r="J157" i="3"/>
  <c r="I157" i="3"/>
  <c r="J156" i="3"/>
  <c r="I156" i="3"/>
  <c r="J155" i="3"/>
  <c r="I155" i="3"/>
  <c r="J154" i="3"/>
  <c r="I154" i="3"/>
  <c r="J153" i="3"/>
  <c r="I153" i="3"/>
  <c r="J152" i="3"/>
  <c r="I152" i="3"/>
  <c r="J151" i="3"/>
  <c r="I151" i="3"/>
  <c r="J150" i="3"/>
  <c r="I150" i="3"/>
  <c r="J149" i="3"/>
  <c r="I149" i="3"/>
  <c r="J148" i="3"/>
  <c r="I148" i="3"/>
  <c r="J147" i="3"/>
  <c r="I147" i="3"/>
  <c r="J146" i="3"/>
  <c r="I146" i="3"/>
  <c r="J145" i="3"/>
  <c r="I145" i="3"/>
  <c r="J144" i="3"/>
  <c r="I144" i="3"/>
  <c r="J143" i="3"/>
  <c r="I143" i="3"/>
  <c r="J142" i="3"/>
  <c r="I142" i="3"/>
  <c r="J141" i="3"/>
  <c r="I141" i="3"/>
  <c r="J140" i="3"/>
  <c r="I140" i="3"/>
  <c r="J139" i="3"/>
  <c r="I139" i="3"/>
  <c r="J138" i="3"/>
  <c r="I138" i="3"/>
  <c r="J137" i="3"/>
  <c r="I137" i="3"/>
  <c r="J136" i="3"/>
  <c r="I136" i="3"/>
  <c r="J135" i="3"/>
  <c r="I135" i="3"/>
  <c r="J134" i="3"/>
  <c r="I134" i="3"/>
  <c r="J133" i="3"/>
  <c r="I133" i="3"/>
  <c r="J132" i="3"/>
  <c r="I132" i="3"/>
  <c r="J131" i="3"/>
  <c r="I131" i="3"/>
  <c r="J130" i="3"/>
  <c r="I130" i="3"/>
  <c r="J129" i="3"/>
  <c r="I129" i="3"/>
  <c r="J128" i="3"/>
  <c r="I128" i="3"/>
  <c r="J127" i="3"/>
  <c r="I127" i="3"/>
  <c r="J126" i="3"/>
  <c r="I126" i="3"/>
  <c r="J125" i="3"/>
  <c r="I125" i="3"/>
  <c r="J124" i="3"/>
  <c r="I124" i="3"/>
  <c r="J123" i="3"/>
  <c r="I123" i="3"/>
  <c r="J122" i="3"/>
  <c r="I122" i="3"/>
  <c r="J121" i="3"/>
  <c r="I121" i="3"/>
  <c r="J120" i="3"/>
  <c r="I120" i="3"/>
  <c r="J119" i="3"/>
  <c r="I119" i="3"/>
  <c r="J118" i="3"/>
  <c r="I118" i="3"/>
  <c r="J117" i="3"/>
  <c r="I117" i="3"/>
  <c r="J116" i="3"/>
  <c r="I116" i="3"/>
  <c r="J115" i="3"/>
  <c r="I115" i="3"/>
  <c r="J114" i="3"/>
  <c r="I114" i="3"/>
  <c r="J113" i="3"/>
  <c r="I113" i="3"/>
  <c r="J112" i="3"/>
  <c r="I112" i="3"/>
  <c r="J111" i="3"/>
  <c r="I111" i="3"/>
  <c r="J110" i="3"/>
  <c r="I110" i="3"/>
  <c r="J109" i="3"/>
  <c r="I109" i="3"/>
  <c r="J108" i="3"/>
  <c r="I108" i="3"/>
  <c r="J107" i="3"/>
  <c r="I107" i="3"/>
  <c r="J106" i="3"/>
  <c r="I106" i="3"/>
  <c r="J105" i="3"/>
  <c r="I105" i="3"/>
  <c r="J104" i="3"/>
  <c r="I104" i="3"/>
  <c r="J103" i="3"/>
  <c r="I103" i="3"/>
  <c r="J102" i="3"/>
  <c r="I102" i="3"/>
  <c r="J101" i="3"/>
  <c r="I101" i="3"/>
  <c r="J100" i="3"/>
  <c r="I100" i="3"/>
  <c r="J99" i="3"/>
  <c r="I99" i="3"/>
  <c r="J98" i="3"/>
  <c r="I98" i="3"/>
  <c r="J97" i="3"/>
  <c r="I97" i="3"/>
  <c r="J96" i="3"/>
  <c r="I96" i="3"/>
  <c r="J95" i="3"/>
  <c r="I95" i="3"/>
  <c r="J94" i="3"/>
  <c r="I94" i="3"/>
  <c r="J93" i="3"/>
  <c r="I93" i="3"/>
  <c r="J92" i="3"/>
  <c r="I92" i="3"/>
  <c r="J91" i="3"/>
  <c r="I91" i="3"/>
  <c r="J90" i="3"/>
  <c r="I90" i="3"/>
  <c r="J89" i="3"/>
  <c r="I89" i="3"/>
  <c r="J88" i="3"/>
  <c r="I88" i="3"/>
  <c r="J87" i="3"/>
  <c r="I87" i="3"/>
  <c r="J86" i="3"/>
  <c r="I86" i="3"/>
  <c r="J85" i="3"/>
  <c r="I85" i="3"/>
  <c r="J84" i="3"/>
  <c r="I84" i="3"/>
  <c r="J83" i="3"/>
  <c r="I83"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J43" i="3"/>
  <c r="I43" i="3"/>
  <c r="J42" i="3"/>
  <c r="I42" i="3"/>
  <c r="J41" i="3"/>
  <c r="I41" i="3"/>
  <c r="J40" i="3"/>
  <c r="I40" i="3"/>
  <c r="J39" i="3"/>
  <c r="I39" i="3"/>
  <c r="J38" i="3"/>
  <c r="I38" i="3"/>
  <c r="J37" i="3"/>
  <c r="I37" i="3"/>
  <c r="J36" i="3"/>
  <c r="I36" i="3"/>
  <c r="J35" i="3"/>
  <c r="I35" i="3"/>
  <c r="J34" i="3"/>
  <c r="I34" i="3"/>
  <c r="J33" i="3"/>
  <c r="I33" i="3"/>
  <c r="J32" i="3"/>
  <c r="I32" i="3"/>
  <c r="J31" i="3"/>
  <c r="I31" i="3"/>
  <c r="J30" i="3"/>
  <c r="I30" i="3"/>
  <c r="J29" i="3"/>
  <c r="I29" i="3"/>
  <c r="J28" i="3"/>
  <c r="I28" i="3"/>
  <c r="J27" i="3"/>
  <c r="I27" i="3"/>
  <c r="J26" i="3"/>
  <c r="I26" i="3"/>
  <c r="J25" i="3"/>
  <c r="I25" i="3"/>
  <c r="J24" i="3"/>
  <c r="I24" i="3"/>
  <c r="J23" i="3"/>
  <c r="I23" i="3"/>
  <c r="J22" i="3"/>
  <c r="I22" i="3"/>
  <c r="J21" i="3"/>
  <c r="I21" i="3"/>
  <c r="J20" i="3"/>
  <c r="I20" i="3"/>
  <c r="J19" i="3"/>
  <c r="I19" i="3"/>
  <c r="J18" i="3"/>
  <c r="I18" i="3"/>
  <c r="J17" i="3"/>
  <c r="I17" i="3"/>
  <c r="J16" i="3"/>
  <c r="I16" i="3"/>
  <c r="J15" i="3"/>
  <c r="I15" i="3"/>
  <c r="J14" i="3"/>
  <c r="I14" i="3"/>
  <c r="J13" i="3"/>
  <c r="I13" i="3"/>
  <c r="J12" i="3"/>
  <c r="I12" i="3"/>
  <c r="J11" i="3"/>
  <c r="I11" i="3"/>
  <c r="J10" i="3"/>
  <c r="I10" i="3"/>
  <c r="J9" i="3"/>
  <c r="I9" i="3"/>
  <c r="J8" i="3"/>
  <c r="I8" i="3"/>
  <c r="J7" i="3"/>
  <c r="I7" i="3"/>
  <c r="B131" i="11"/>
  <c r="B132" i="11" s="1"/>
  <c r="A8" i="8"/>
  <c r="A9" i="8" s="1"/>
  <c r="A10" i="8"/>
  <c r="H10" i="8"/>
  <c r="K10" i="8"/>
  <c r="H9" i="8"/>
  <c r="K9" i="8"/>
  <c r="H7" i="8"/>
  <c r="H8" i="8"/>
  <c r="K8" i="8" s="1"/>
  <c r="H40" i="7"/>
  <c r="K40" i="7" s="1"/>
  <c r="H39" i="7"/>
  <c r="K39" i="7" s="1"/>
  <c r="H38" i="7"/>
  <c r="K38" i="7" s="1"/>
  <c r="H37" i="7"/>
  <c r="K37" i="7" s="1"/>
  <c r="H36" i="7"/>
  <c r="K36" i="7" s="1"/>
  <c r="H35" i="7"/>
  <c r="K35" i="7" s="1"/>
  <c r="H34" i="7"/>
  <c r="K34" i="7" s="1"/>
  <c r="H33" i="7"/>
  <c r="K33" i="7" s="1"/>
  <c r="H32" i="7"/>
  <c r="K32" i="7" s="1"/>
  <c r="H31" i="7"/>
  <c r="K31" i="7" s="1"/>
  <c r="H30" i="7"/>
  <c r="K30" i="7" s="1"/>
  <c r="H29" i="7"/>
  <c r="K29" i="7" s="1"/>
  <c r="H28" i="7"/>
  <c r="K28" i="7" s="1"/>
  <c r="H27" i="7"/>
  <c r="K27" i="7" s="1"/>
  <c r="H26" i="7"/>
  <c r="K26" i="7" s="1"/>
  <c r="H25" i="7"/>
  <c r="K25" i="7" s="1"/>
  <c r="H24" i="7"/>
  <c r="K24" i="7" s="1"/>
  <c r="H23" i="7"/>
  <c r="K23" i="7" s="1"/>
  <c r="H22" i="7"/>
  <c r="K22" i="7" s="1"/>
  <c r="H21" i="7"/>
  <c r="K21" i="7" s="1"/>
  <c r="H20" i="7"/>
  <c r="K20" i="7" s="1"/>
  <c r="H19" i="7"/>
  <c r="K19" i="7" s="1"/>
  <c r="H18" i="7"/>
  <c r="K18" i="7" s="1"/>
  <c r="H17" i="7"/>
  <c r="K17" i="7" s="1"/>
  <c r="H16" i="7"/>
  <c r="K16" i="7" s="1"/>
  <c r="H15" i="7"/>
  <c r="K15" i="7" s="1"/>
  <c r="H14" i="7"/>
  <c r="K14" i="7" s="1"/>
  <c r="H13" i="7"/>
  <c r="K13" i="7" s="1"/>
  <c r="H12" i="7"/>
  <c r="K12" i="7" s="1"/>
  <c r="H11" i="7"/>
  <c r="K11" i="7" s="1"/>
  <c r="H10" i="7"/>
  <c r="K10" i="7" s="1"/>
  <c r="H9" i="7"/>
  <c r="K9" i="7" s="1"/>
  <c r="H7" i="7"/>
  <c r="H8" i="7"/>
  <c r="K8" i="7" s="1"/>
  <c r="H143" i="5"/>
  <c r="K143" i="5"/>
  <c r="H142" i="5"/>
  <c r="K142" i="5"/>
  <c r="H141" i="5"/>
  <c r="K141" i="5"/>
  <c r="H140" i="5"/>
  <c r="K140" i="5"/>
  <c r="H139" i="5"/>
  <c r="K139" i="5"/>
  <c r="H138" i="5"/>
  <c r="K138" i="5"/>
  <c r="H137" i="5"/>
  <c r="K137" i="5"/>
  <c r="H136" i="5"/>
  <c r="K136" i="5"/>
  <c r="H135" i="5"/>
  <c r="K135" i="5"/>
  <c r="H134" i="5"/>
  <c r="K134" i="5" s="1"/>
  <c r="H133" i="5"/>
  <c r="K133" i="5" s="1"/>
  <c r="H132" i="5"/>
  <c r="K132" i="5" s="1"/>
  <c r="H131" i="5"/>
  <c r="K131" i="5"/>
  <c r="H130" i="5"/>
  <c r="K130" i="5"/>
  <c r="H129" i="5"/>
  <c r="K129" i="5"/>
  <c r="H128" i="5"/>
  <c r="K128" i="5"/>
  <c r="H127" i="5"/>
  <c r="K127" i="5"/>
  <c r="H126" i="5"/>
  <c r="K126" i="5"/>
  <c r="H125" i="5"/>
  <c r="K125" i="5"/>
  <c r="H124" i="5"/>
  <c r="K124" i="5"/>
  <c r="H123" i="5"/>
  <c r="K123" i="5"/>
  <c r="H122" i="5"/>
  <c r="K122" i="5"/>
  <c r="H121" i="5"/>
  <c r="K121" i="5"/>
  <c r="H120" i="5"/>
  <c r="K120" i="5"/>
  <c r="H119" i="5"/>
  <c r="K119" i="5"/>
  <c r="H118" i="5"/>
  <c r="K118" i="5"/>
  <c r="H117" i="5"/>
  <c r="K117" i="5"/>
  <c r="H116" i="5"/>
  <c r="K116" i="5"/>
  <c r="H115" i="5"/>
  <c r="K115" i="5"/>
  <c r="H114" i="5"/>
  <c r="K114" i="5"/>
  <c r="H113" i="5"/>
  <c r="K113" i="5"/>
  <c r="H112" i="5"/>
  <c r="K112" i="5"/>
  <c r="H111" i="5"/>
  <c r="K111" i="5"/>
  <c r="H110" i="5"/>
  <c r="K110" i="5"/>
  <c r="H109" i="5"/>
  <c r="K109" i="5"/>
  <c r="H108" i="5"/>
  <c r="K108" i="5"/>
  <c r="H107" i="5"/>
  <c r="K107" i="5"/>
  <c r="H106" i="5"/>
  <c r="K106" i="5"/>
  <c r="H105" i="5"/>
  <c r="K105" i="5"/>
  <c r="H104" i="5"/>
  <c r="K104" i="5"/>
  <c r="H103" i="5"/>
  <c r="K103" i="5"/>
  <c r="H102" i="5"/>
  <c r="K102" i="5"/>
  <c r="H101" i="5"/>
  <c r="K101" i="5"/>
  <c r="H100" i="5"/>
  <c r="K100" i="5"/>
  <c r="H99" i="5"/>
  <c r="K99" i="5"/>
  <c r="H98" i="5"/>
  <c r="K98" i="5"/>
  <c r="H97" i="5"/>
  <c r="K97" i="5"/>
  <c r="H96" i="5"/>
  <c r="K96" i="5"/>
  <c r="H95" i="5"/>
  <c r="K95" i="5"/>
  <c r="H94" i="5"/>
  <c r="K94" i="5"/>
  <c r="H93" i="5"/>
  <c r="K93" i="5"/>
  <c r="H92" i="5"/>
  <c r="K92" i="5"/>
  <c r="H91" i="5"/>
  <c r="K91" i="5"/>
  <c r="H90" i="5"/>
  <c r="K90" i="5"/>
  <c r="H89" i="5"/>
  <c r="K89" i="5"/>
  <c r="H88" i="5"/>
  <c r="K88" i="5"/>
  <c r="H87" i="5"/>
  <c r="K87" i="5"/>
  <c r="H86" i="5"/>
  <c r="K86" i="5"/>
  <c r="H85" i="5"/>
  <c r="K85" i="5"/>
  <c r="H84" i="5"/>
  <c r="K84" i="5"/>
  <c r="H83" i="5"/>
  <c r="K83" i="5"/>
  <c r="H82" i="5"/>
  <c r="K82" i="5"/>
  <c r="H81" i="5"/>
  <c r="K81" i="5"/>
  <c r="H80" i="5"/>
  <c r="K80" i="5"/>
  <c r="H79" i="5"/>
  <c r="K79" i="5"/>
  <c r="H78" i="5"/>
  <c r="K78" i="5"/>
  <c r="H77" i="5"/>
  <c r="K77" i="5"/>
  <c r="H76" i="5"/>
  <c r="K76" i="5"/>
  <c r="H75" i="5"/>
  <c r="K75" i="5"/>
  <c r="H74" i="5"/>
  <c r="K74" i="5"/>
  <c r="H73" i="5"/>
  <c r="K73" i="5"/>
  <c r="H72" i="5"/>
  <c r="K72" i="5"/>
  <c r="H71" i="5"/>
  <c r="K71" i="5"/>
  <c r="H70" i="5"/>
  <c r="K70" i="5"/>
  <c r="H69" i="5"/>
  <c r="K69" i="5"/>
  <c r="H68" i="5"/>
  <c r="K68" i="5"/>
  <c r="H67" i="5"/>
  <c r="K67" i="5"/>
  <c r="H66" i="5"/>
  <c r="K66" i="5"/>
  <c r="H65" i="5"/>
  <c r="K65" i="5"/>
  <c r="H64" i="5"/>
  <c r="K64" i="5"/>
  <c r="H63" i="5"/>
  <c r="K63" i="5"/>
  <c r="H62" i="5"/>
  <c r="K62" i="5"/>
  <c r="H61" i="5"/>
  <c r="K61" i="5"/>
  <c r="H60" i="5"/>
  <c r="K60" i="5"/>
  <c r="H59" i="5"/>
  <c r="K59" i="5"/>
  <c r="H58" i="5"/>
  <c r="K58" i="5"/>
  <c r="H57" i="5"/>
  <c r="K57" i="5"/>
  <c r="H56" i="5"/>
  <c r="K56" i="5"/>
  <c r="H55" i="5"/>
  <c r="K55" i="5"/>
  <c r="H54" i="5"/>
  <c r="K54" i="5"/>
  <c r="H53" i="5"/>
  <c r="K53" i="5"/>
  <c r="H52" i="5"/>
  <c r="K52" i="5"/>
  <c r="H51" i="5"/>
  <c r="K51" i="5"/>
  <c r="H50" i="5"/>
  <c r="K50" i="5"/>
  <c r="H49" i="5"/>
  <c r="K49" i="5"/>
  <c r="H48" i="5"/>
  <c r="K48" i="5"/>
  <c r="H47" i="5"/>
  <c r="K47" i="5"/>
  <c r="H46" i="5"/>
  <c r="K46" i="5"/>
  <c r="H45" i="5"/>
  <c r="K45" i="5"/>
  <c r="H44" i="5"/>
  <c r="K44" i="5"/>
  <c r="H43" i="5"/>
  <c r="K43" i="5"/>
  <c r="H42" i="5"/>
  <c r="K42" i="5"/>
  <c r="H41" i="5"/>
  <c r="K41" i="5"/>
  <c r="H40" i="5"/>
  <c r="K40" i="5"/>
  <c r="H39" i="5"/>
  <c r="K39" i="5"/>
  <c r="H38" i="5"/>
  <c r="K38" i="5"/>
  <c r="H37" i="5"/>
  <c r="K37" i="5"/>
  <c r="H36" i="5"/>
  <c r="K36" i="5"/>
  <c r="H35" i="5"/>
  <c r="K35" i="5"/>
  <c r="H34" i="5"/>
  <c r="K34" i="5"/>
  <c r="H33" i="5"/>
  <c r="K33" i="5"/>
  <c r="H32" i="5"/>
  <c r="K32" i="5"/>
  <c r="H31" i="5"/>
  <c r="K31" i="5"/>
  <c r="H30" i="5"/>
  <c r="K30" i="5"/>
  <c r="H29" i="5"/>
  <c r="K29" i="5"/>
  <c r="H28" i="5"/>
  <c r="K28" i="5"/>
  <c r="H27" i="5"/>
  <c r="K27" i="5"/>
  <c r="H26" i="5"/>
  <c r="K26" i="5"/>
  <c r="H25" i="5"/>
  <c r="K25" i="5"/>
  <c r="H24" i="5"/>
  <c r="K24" i="5"/>
  <c r="H23" i="5"/>
  <c r="K23" i="5"/>
  <c r="H22" i="5"/>
  <c r="K22" i="5"/>
  <c r="H21" i="5"/>
  <c r="K21" i="5"/>
  <c r="H20" i="5"/>
  <c r="K20" i="5"/>
  <c r="H19" i="5"/>
  <c r="K19" i="5"/>
  <c r="H18" i="5"/>
  <c r="K18" i="5"/>
  <c r="H17" i="5"/>
  <c r="K17" i="5"/>
  <c r="H16" i="5"/>
  <c r="K16" i="5"/>
  <c r="H15" i="5"/>
  <c r="K15" i="5"/>
  <c r="H14" i="5"/>
  <c r="K14" i="5"/>
  <c r="H13" i="5"/>
  <c r="K13" i="5"/>
  <c r="H12" i="5"/>
  <c r="K12" i="5"/>
  <c r="H11" i="5"/>
  <c r="K11" i="5"/>
  <c r="H10" i="5"/>
  <c r="K10" i="5"/>
  <c r="H9" i="5"/>
  <c r="K9" i="5"/>
  <c r="H7" i="5"/>
  <c r="K7" i="5"/>
  <c r="H8" i="5"/>
  <c r="K8" i="5"/>
  <c r="H296" i="4"/>
  <c r="K296" i="4"/>
  <c r="H295" i="4"/>
  <c r="K295" i="4"/>
  <c r="H294" i="4"/>
  <c r="K294" i="4"/>
  <c r="H293" i="4"/>
  <c r="K293" i="4"/>
  <c r="H292" i="4"/>
  <c r="K292" i="4"/>
  <c r="H291" i="4"/>
  <c r="K291" i="4"/>
  <c r="H290" i="4"/>
  <c r="K290" i="4"/>
  <c r="H289" i="4"/>
  <c r="K289" i="4"/>
  <c r="H288" i="4"/>
  <c r="K288" i="4"/>
  <c r="H287" i="4"/>
  <c r="K287" i="4"/>
  <c r="H286" i="4"/>
  <c r="K286" i="4"/>
  <c r="H285" i="4"/>
  <c r="K285" i="4"/>
  <c r="H284" i="4"/>
  <c r="K284" i="4"/>
  <c r="H283" i="4"/>
  <c r="K283" i="4"/>
  <c r="H282" i="4"/>
  <c r="K282" i="4"/>
  <c r="H281" i="4"/>
  <c r="K281" i="4"/>
  <c r="H280" i="4"/>
  <c r="K280" i="4"/>
  <c r="H279" i="4"/>
  <c r="K279" i="4"/>
  <c r="H278" i="4"/>
  <c r="K278" i="4"/>
  <c r="H277" i="4"/>
  <c r="K277" i="4"/>
  <c r="H276" i="4"/>
  <c r="K276" i="4"/>
  <c r="H275" i="4"/>
  <c r="K275" i="4"/>
  <c r="H274" i="4"/>
  <c r="K274" i="4"/>
  <c r="H273" i="4"/>
  <c r="K273" i="4"/>
  <c r="H272" i="4"/>
  <c r="K272" i="4"/>
  <c r="H271" i="4"/>
  <c r="K271" i="4"/>
  <c r="H270" i="4"/>
  <c r="K270" i="4"/>
  <c r="H269" i="4"/>
  <c r="K269" i="4"/>
  <c r="H268" i="4"/>
  <c r="K268" i="4"/>
  <c r="H267" i="4"/>
  <c r="K267" i="4"/>
  <c r="H266" i="4"/>
  <c r="K266" i="4"/>
  <c r="H265" i="4"/>
  <c r="K265" i="4"/>
  <c r="H264" i="4"/>
  <c r="K264" i="4"/>
  <c r="H263" i="4"/>
  <c r="K263" i="4"/>
  <c r="H262" i="4"/>
  <c r="K262" i="4"/>
  <c r="H261" i="4"/>
  <c r="K261" i="4"/>
  <c r="H260" i="4"/>
  <c r="K260" i="4"/>
  <c r="H259" i="4"/>
  <c r="K259" i="4"/>
  <c r="H258" i="4"/>
  <c r="K258" i="4"/>
  <c r="H257" i="4"/>
  <c r="K257" i="4"/>
  <c r="H256" i="4"/>
  <c r="K256" i="4"/>
  <c r="H255" i="4"/>
  <c r="K255" i="4"/>
  <c r="H254" i="4"/>
  <c r="K254" i="4"/>
  <c r="H253" i="4"/>
  <c r="K253" i="4"/>
  <c r="H252" i="4"/>
  <c r="K252" i="4"/>
  <c r="H251" i="4"/>
  <c r="K251" i="4"/>
  <c r="H250" i="4"/>
  <c r="K250" i="4"/>
  <c r="H249" i="4"/>
  <c r="K249" i="4" s="1"/>
  <c r="H248" i="4"/>
  <c r="K248" i="4" s="1"/>
  <c r="H247" i="4"/>
  <c r="K247" i="4" s="1"/>
  <c r="H246" i="4"/>
  <c r="K246" i="4" s="1"/>
  <c r="H245" i="4"/>
  <c r="K245" i="4" s="1"/>
  <c r="H244" i="4"/>
  <c r="K244" i="4" s="1"/>
  <c r="H243" i="4"/>
  <c r="K243" i="4" s="1"/>
  <c r="H242" i="4"/>
  <c r="K242" i="4" s="1"/>
  <c r="H241" i="4"/>
  <c r="K241" i="4" s="1"/>
  <c r="H240" i="4"/>
  <c r="K240" i="4" s="1"/>
  <c r="H239" i="4"/>
  <c r="K239" i="4" s="1"/>
  <c r="H238" i="4"/>
  <c r="K238" i="4" s="1"/>
  <c r="H237" i="4"/>
  <c r="K237" i="4"/>
  <c r="H236" i="4"/>
  <c r="K236" i="4"/>
  <c r="H235" i="4"/>
  <c r="K235" i="4" s="1"/>
  <c r="H234" i="4"/>
  <c r="K234" i="4"/>
  <c r="H233" i="4"/>
  <c r="K233" i="4" s="1"/>
  <c r="K232" i="4"/>
  <c r="H231" i="4"/>
  <c r="K231" i="4" s="1"/>
  <c r="H230" i="4"/>
  <c r="K230" i="4" s="1"/>
  <c r="H229" i="4"/>
  <c r="K229" i="4" s="1"/>
  <c r="H228" i="4"/>
  <c r="K228" i="4" s="1"/>
  <c r="H227" i="4"/>
  <c r="K227" i="4" s="1"/>
  <c r="H226" i="4"/>
  <c r="K226" i="4" s="1"/>
  <c r="H225" i="4"/>
  <c r="K225" i="4" s="1"/>
  <c r="H224" i="4"/>
  <c r="K224" i="4" s="1"/>
  <c r="H223" i="4"/>
  <c r="K223" i="4" s="1"/>
  <c r="H222" i="4"/>
  <c r="K222" i="4" s="1"/>
  <c r="H221" i="4"/>
  <c r="K221" i="4" s="1"/>
  <c r="H220" i="4"/>
  <c r="K220" i="4" s="1"/>
  <c r="H219" i="4"/>
  <c r="K219" i="4" s="1"/>
  <c r="H218" i="4"/>
  <c r="K218" i="4" s="1"/>
  <c r="H217" i="4"/>
  <c r="K217" i="4" s="1"/>
  <c r="H216" i="4"/>
  <c r="K216" i="4" s="1"/>
  <c r="H215" i="4"/>
  <c r="K215" i="4" s="1"/>
  <c r="H214" i="4"/>
  <c r="K214" i="4" s="1"/>
  <c r="H213" i="4"/>
  <c r="K213" i="4" s="1"/>
  <c r="H212" i="4"/>
  <c r="K212" i="4" s="1"/>
  <c r="H211" i="4"/>
  <c r="K211" i="4" s="1"/>
  <c r="H210" i="4"/>
  <c r="K210" i="4" s="1"/>
  <c r="H209" i="4"/>
  <c r="K209" i="4" s="1"/>
  <c r="H208" i="4"/>
  <c r="K208" i="4" s="1"/>
  <c r="H207" i="4"/>
  <c r="K207" i="4" s="1"/>
  <c r="H206" i="4"/>
  <c r="K206" i="4" s="1"/>
  <c r="H205" i="4"/>
  <c r="K205" i="4" s="1"/>
  <c r="H204" i="4"/>
  <c r="K204" i="4" s="1"/>
  <c r="H203" i="4"/>
  <c r="K203" i="4" s="1"/>
  <c r="H202" i="4"/>
  <c r="K202" i="4" s="1"/>
  <c r="H201" i="4"/>
  <c r="K201" i="4" s="1"/>
  <c r="H200" i="4"/>
  <c r="K200" i="4" s="1"/>
  <c r="H199" i="4"/>
  <c r="K199" i="4" s="1"/>
  <c r="H198" i="4"/>
  <c r="K198" i="4" s="1"/>
  <c r="H197" i="4"/>
  <c r="K197" i="4" s="1"/>
  <c r="H196" i="4"/>
  <c r="K196" i="4" s="1"/>
  <c r="H195" i="4"/>
  <c r="K195" i="4" s="1"/>
  <c r="H194" i="4"/>
  <c r="K194" i="4" s="1"/>
  <c r="H193" i="4"/>
  <c r="K193" i="4" s="1"/>
  <c r="H192" i="4"/>
  <c r="K192" i="4" s="1"/>
  <c r="H191" i="4"/>
  <c r="K191" i="4" s="1"/>
  <c r="H190" i="4"/>
  <c r="K190" i="4" s="1"/>
  <c r="H189" i="4"/>
  <c r="K189" i="4" s="1"/>
  <c r="H188" i="4"/>
  <c r="K188" i="4" s="1"/>
  <c r="H187" i="4"/>
  <c r="K187" i="4" s="1"/>
  <c r="H186" i="4"/>
  <c r="K186" i="4" s="1"/>
  <c r="H185" i="4"/>
  <c r="K185" i="4" s="1"/>
  <c r="H184" i="4"/>
  <c r="K184" i="4" s="1"/>
  <c r="H183" i="4"/>
  <c r="K183" i="4" s="1"/>
  <c r="H182" i="4"/>
  <c r="K182" i="4" s="1"/>
  <c r="H181" i="4"/>
  <c r="K181" i="4" s="1"/>
  <c r="H180" i="4"/>
  <c r="K180" i="4" s="1"/>
  <c r="H179" i="4"/>
  <c r="K179" i="4" s="1"/>
  <c r="H178" i="4"/>
  <c r="K178" i="4" s="1"/>
  <c r="H177" i="4"/>
  <c r="K177" i="4" s="1"/>
  <c r="H176" i="4"/>
  <c r="K176" i="4" s="1"/>
  <c r="H175" i="4"/>
  <c r="K175" i="4" s="1"/>
  <c r="H174" i="4"/>
  <c r="K174" i="4" s="1"/>
  <c r="H173" i="4"/>
  <c r="K173" i="4" s="1"/>
  <c r="H172" i="4"/>
  <c r="K172" i="4" s="1"/>
  <c r="H171" i="4"/>
  <c r="K171" i="4" s="1"/>
  <c r="H170" i="4"/>
  <c r="K170" i="4" s="1"/>
  <c r="H169" i="4"/>
  <c r="K169" i="4" s="1"/>
  <c r="H168" i="4"/>
  <c r="K168" i="4" s="1"/>
  <c r="H167" i="4"/>
  <c r="K167" i="4" s="1"/>
  <c r="H166" i="4"/>
  <c r="K166" i="4" s="1"/>
  <c r="H165" i="4"/>
  <c r="K165" i="4" s="1"/>
  <c r="H164" i="4"/>
  <c r="K164" i="4" s="1"/>
  <c r="H163" i="4"/>
  <c r="K163" i="4" s="1"/>
  <c r="H162" i="4"/>
  <c r="K162" i="4" s="1"/>
  <c r="H161" i="4"/>
  <c r="K161" i="4" s="1"/>
  <c r="H160" i="4"/>
  <c r="K160" i="4" s="1"/>
  <c r="H159" i="4"/>
  <c r="K159" i="4" s="1"/>
  <c r="H158" i="4"/>
  <c r="K158" i="4" s="1"/>
  <c r="H157" i="4"/>
  <c r="K157" i="4" s="1"/>
  <c r="H156" i="4"/>
  <c r="K156" i="4" s="1"/>
  <c r="H155" i="4"/>
  <c r="K155" i="4" s="1"/>
  <c r="H154" i="4"/>
  <c r="K154" i="4" s="1"/>
  <c r="H153" i="4"/>
  <c r="K153" i="4" s="1"/>
  <c r="H152" i="4"/>
  <c r="K152" i="4" s="1"/>
  <c r="H151" i="4"/>
  <c r="K151" i="4" s="1"/>
  <c r="H150" i="4"/>
  <c r="K150" i="4" s="1"/>
  <c r="H149" i="4"/>
  <c r="K149" i="4" s="1"/>
  <c r="H148" i="4"/>
  <c r="K148" i="4" s="1"/>
  <c r="H147" i="4"/>
  <c r="K147" i="4" s="1"/>
  <c r="H146" i="4"/>
  <c r="K146" i="4" s="1"/>
  <c r="H145" i="4"/>
  <c r="K145" i="4" s="1"/>
  <c r="H144" i="4"/>
  <c r="K144" i="4" s="1"/>
  <c r="H143" i="4"/>
  <c r="K143" i="4" s="1"/>
  <c r="H142" i="4"/>
  <c r="K142" i="4" s="1"/>
  <c r="H141" i="4"/>
  <c r="K141" i="4" s="1"/>
  <c r="H140" i="4"/>
  <c r="K140" i="4" s="1"/>
  <c r="H139" i="4"/>
  <c r="K139" i="4" s="1"/>
  <c r="H138" i="4"/>
  <c r="K138" i="4" s="1"/>
  <c r="H137" i="4"/>
  <c r="K137" i="4" s="1"/>
  <c r="H136" i="4"/>
  <c r="K136" i="4" s="1"/>
  <c r="H135" i="4"/>
  <c r="K135" i="4" s="1"/>
  <c r="H134" i="4"/>
  <c r="K134" i="4" s="1"/>
  <c r="H133" i="4"/>
  <c r="K133" i="4" s="1"/>
  <c r="H132" i="4"/>
  <c r="K132" i="4" s="1"/>
  <c r="H131" i="4"/>
  <c r="K131" i="4" s="1"/>
  <c r="H130" i="4"/>
  <c r="K130" i="4" s="1"/>
  <c r="H129" i="4"/>
  <c r="K129" i="4" s="1"/>
  <c r="H128" i="4"/>
  <c r="K128" i="4" s="1"/>
  <c r="H127" i="4"/>
  <c r="K127" i="4" s="1"/>
  <c r="H126" i="4"/>
  <c r="K126" i="4" s="1"/>
  <c r="H125" i="4"/>
  <c r="K125" i="4" s="1"/>
  <c r="H124" i="4"/>
  <c r="K124" i="4" s="1"/>
  <c r="H123" i="4"/>
  <c r="K123" i="4" s="1"/>
  <c r="H122" i="4"/>
  <c r="K122" i="4" s="1"/>
  <c r="H121" i="4"/>
  <c r="K121" i="4" s="1"/>
  <c r="H120" i="4"/>
  <c r="K120" i="4" s="1"/>
  <c r="H119" i="4"/>
  <c r="K119" i="4" s="1"/>
  <c r="H118" i="4"/>
  <c r="K118" i="4" s="1"/>
  <c r="H117" i="4"/>
  <c r="K117" i="4" s="1"/>
  <c r="H116" i="4"/>
  <c r="K116" i="4" s="1"/>
  <c r="H115" i="4"/>
  <c r="K115" i="4" s="1"/>
  <c r="H114" i="4"/>
  <c r="K114" i="4" s="1"/>
  <c r="H113" i="4"/>
  <c r="K113" i="4" s="1"/>
  <c r="H112" i="4"/>
  <c r="K112" i="4" s="1"/>
  <c r="H111" i="4"/>
  <c r="K111" i="4" s="1"/>
  <c r="H110" i="4"/>
  <c r="K110" i="4" s="1"/>
  <c r="H109" i="4"/>
  <c r="K109" i="4" s="1"/>
  <c r="H108" i="4"/>
  <c r="K108" i="4" s="1"/>
  <c r="H107" i="4"/>
  <c r="K107" i="4" s="1"/>
  <c r="H106" i="4"/>
  <c r="K106" i="4" s="1"/>
  <c r="H105" i="4"/>
  <c r="K105" i="4" s="1"/>
  <c r="H104" i="4"/>
  <c r="K104" i="4" s="1"/>
  <c r="H103" i="4"/>
  <c r="K103" i="4" s="1"/>
  <c r="H102" i="4"/>
  <c r="K102" i="4" s="1"/>
  <c r="H101" i="4"/>
  <c r="K101" i="4" s="1"/>
  <c r="H100" i="4"/>
  <c r="K100" i="4" s="1"/>
  <c r="H99" i="4"/>
  <c r="K99" i="4" s="1"/>
  <c r="H98" i="4"/>
  <c r="K98" i="4" s="1"/>
  <c r="H97" i="4"/>
  <c r="K97" i="4" s="1"/>
  <c r="H96" i="4"/>
  <c r="K96" i="4" s="1"/>
  <c r="H95" i="4"/>
  <c r="K95" i="4" s="1"/>
  <c r="H94" i="4"/>
  <c r="K94" i="4" s="1"/>
  <c r="H93" i="4"/>
  <c r="K93" i="4" s="1"/>
  <c r="H92" i="4"/>
  <c r="K92" i="4" s="1"/>
  <c r="H91" i="4"/>
  <c r="K91" i="4" s="1"/>
  <c r="H90" i="4"/>
  <c r="K90" i="4" s="1"/>
  <c r="H89" i="4"/>
  <c r="K89" i="4" s="1"/>
  <c r="H88" i="4"/>
  <c r="K88" i="4" s="1"/>
  <c r="H87" i="4"/>
  <c r="K87" i="4" s="1"/>
  <c r="H86" i="4"/>
  <c r="K86" i="4" s="1"/>
  <c r="H85" i="4"/>
  <c r="K85" i="4" s="1"/>
  <c r="H84" i="4"/>
  <c r="K84" i="4" s="1"/>
  <c r="H83" i="4"/>
  <c r="K83" i="4" s="1"/>
  <c r="H82" i="4"/>
  <c r="K82" i="4" s="1"/>
  <c r="H81" i="4"/>
  <c r="K81" i="4" s="1"/>
  <c r="H80" i="4"/>
  <c r="K80" i="4" s="1"/>
  <c r="H79" i="4"/>
  <c r="K79" i="4" s="1"/>
  <c r="H78" i="4"/>
  <c r="K78" i="4" s="1"/>
  <c r="H77" i="4"/>
  <c r="K77" i="4" s="1"/>
  <c r="H76" i="4"/>
  <c r="K76" i="4" s="1"/>
  <c r="H75" i="4"/>
  <c r="K75" i="4" s="1"/>
  <c r="H74" i="4"/>
  <c r="K74" i="4" s="1"/>
  <c r="H73" i="4"/>
  <c r="K73" i="4" s="1"/>
  <c r="H72" i="4"/>
  <c r="K72" i="4" s="1"/>
  <c r="H71" i="4"/>
  <c r="K71" i="4" s="1"/>
  <c r="H70" i="4"/>
  <c r="K70" i="4" s="1"/>
  <c r="H69" i="4"/>
  <c r="K69" i="4" s="1"/>
  <c r="H68" i="4"/>
  <c r="K68" i="4" s="1"/>
  <c r="H67" i="4"/>
  <c r="K67" i="4" s="1"/>
  <c r="H66" i="4"/>
  <c r="K66" i="4" s="1"/>
  <c r="H65" i="4"/>
  <c r="K65" i="4" s="1"/>
  <c r="H64" i="4"/>
  <c r="K64" i="4" s="1"/>
  <c r="H63" i="4"/>
  <c r="K63" i="4" s="1"/>
  <c r="H62" i="4"/>
  <c r="K62" i="4" s="1"/>
  <c r="H61" i="4"/>
  <c r="K61" i="4" s="1"/>
  <c r="H60" i="4"/>
  <c r="K60" i="4" s="1"/>
  <c r="H59" i="4"/>
  <c r="K59" i="4" s="1"/>
  <c r="H58" i="4"/>
  <c r="K58" i="4" s="1"/>
  <c r="H57" i="4"/>
  <c r="K57" i="4" s="1"/>
  <c r="H56" i="4"/>
  <c r="K56" i="4" s="1"/>
  <c r="H55" i="4"/>
  <c r="K55" i="4" s="1"/>
  <c r="H54" i="4"/>
  <c r="K54" i="4" s="1"/>
  <c r="H53" i="4"/>
  <c r="K53" i="4" s="1"/>
  <c r="H52" i="4"/>
  <c r="K52" i="4" s="1"/>
  <c r="H51" i="4"/>
  <c r="K51" i="4" s="1"/>
  <c r="H50" i="4"/>
  <c r="K50" i="4" s="1"/>
  <c r="H49" i="4"/>
  <c r="K49" i="4" s="1"/>
  <c r="H48" i="4"/>
  <c r="K48" i="4" s="1"/>
  <c r="H47" i="4"/>
  <c r="K47" i="4" s="1"/>
  <c r="H46" i="4"/>
  <c r="K46" i="4" s="1"/>
  <c r="H45" i="4"/>
  <c r="K45" i="4" s="1"/>
  <c r="H44" i="4"/>
  <c r="K44" i="4" s="1"/>
  <c r="H43" i="4"/>
  <c r="K43" i="4" s="1"/>
  <c r="H42" i="4"/>
  <c r="K42" i="4" s="1"/>
  <c r="H41" i="4"/>
  <c r="K41" i="4" s="1"/>
  <c r="H40" i="4"/>
  <c r="K40" i="4" s="1"/>
  <c r="H39" i="4"/>
  <c r="K39" i="4" s="1"/>
  <c r="H38" i="4"/>
  <c r="K38" i="4" s="1"/>
  <c r="H37" i="4"/>
  <c r="K37" i="4" s="1"/>
  <c r="H36" i="4"/>
  <c r="K36" i="4" s="1"/>
  <c r="H35" i="4"/>
  <c r="K35" i="4" s="1"/>
  <c r="H34" i="4"/>
  <c r="K34" i="4" s="1"/>
  <c r="H33" i="4"/>
  <c r="K33" i="4" s="1"/>
  <c r="H32" i="4"/>
  <c r="K32" i="4" s="1"/>
  <c r="H31" i="4"/>
  <c r="K31" i="4" s="1"/>
  <c r="H30" i="4"/>
  <c r="K30" i="4" s="1"/>
  <c r="H29" i="4"/>
  <c r="K29" i="4" s="1"/>
  <c r="H28" i="4"/>
  <c r="K28" i="4" s="1"/>
  <c r="H27" i="4"/>
  <c r="K27" i="4" s="1"/>
  <c r="H26" i="4"/>
  <c r="K26" i="4" s="1"/>
  <c r="H25" i="4"/>
  <c r="K25" i="4" s="1"/>
  <c r="H24" i="4"/>
  <c r="K24" i="4" s="1"/>
  <c r="H23" i="4"/>
  <c r="K23" i="4" s="1"/>
  <c r="H22" i="4"/>
  <c r="K22" i="4" s="1"/>
  <c r="H21" i="4"/>
  <c r="K21" i="4" s="1"/>
  <c r="H20" i="4"/>
  <c r="K20" i="4" s="1"/>
  <c r="H19" i="4"/>
  <c r="K19" i="4" s="1"/>
  <c r="H18" i="4"/>
  <c r="K18" i="4" s="1"/>
  <c r="H17" i="4"/>
  <c r="K17" i="4" s="1"/>
  <c r="H16" i="4"/>
  <c r="K16" i="4" s="1"/>
  <c r="H15" i="4"/>
  <c r="K15" i="4" s="1"/>
  <c r="H14" i="4"/>
  <c r="K14" i="4" s="1"/>
  <c r="H13" i="4"/>
  <c r="K13" i="4" s="1"/>
  <c r="H12" i="4"/>
  <c r="K12" i="4" s="1"/>
  <c r="H11" i="4"/>
  <c r="K11" i="4" s="1"/>
  <c r="H10" i="4"/>
  <c r="K10" i="4" s="1"/>
  <c r="H9" i="4"/>
  <c r="K9" i="4" s="1"/>
  <c r="H7" i="4"/>
  <c r="K7" i="4" s="1"/>
  <c r="H8" i="4"/>
  <c r="K8" i="4" s="1"/>
  <c r="H718" i="3"/>
  <c r="K718" i="3" s="1"/>
  <c r="H717" i="3"/>
  <c r="K717" i="3" s="1"/>
  <c r="H716" i="3"/>
  <c r="K716" i="3" s="1"/>
  <c r="H715" i="3"/>
  <c r="K715" i="3" s="1"/>
  <c r="H714" i="3"/>
  <c r="K714" i="3" s="1"/>
  <c r="H713" i="3"/>
  <c r="K713" i="3" s="1"/>
  <c r="H712" i="3"/>
  <c r="K712" i="3" s="1"/>
  <c r="H711" i="3"/>
  <c r="K711" i="3" s="1"/>
  <c r="H710" i="3"/>
  <c r="K710" i="3" s="1"/>
  <c r="H709" i="3"/>
  <c r="K709" i="3" s="1"/>
  <c r="H708" i="3"/>
  <c r="K708" i="3" s="1"/>
  <c r="H707" i="3"/>
  <c r="K707" i="3" s="1"/>
  <c r="H706" i="3"/>
  <c r="K706" i="3" s="1"/>
  <c r="H705" i="3"/>
  <c r="K705" i="3" s="1"/>
  <c r="K702" i="3"/>
  <c r="K701" i="3"/>
  <c r="K700" i="3"/>
  <c r="K699" i="3"/>
  <c r="K698" i="3"/>
  <c r="K697" i="3"/>
  <c r="K696" i="3"/>
  <c r="K695" i="3"/>
  <c r="K694" i="3"/>
  <c r="K693" i="3"/>
  <c r="K692" i="3"/>
  <c r="K691" i="3"/>
  <c r="K690" i="3"/>
  <c r="K689" i="3"/>
  <c r="K688" i="3"/>
  <c r="K687" i="3"/>
  <c r="K686" i="3"/>
  <c r="K685" i="3"/>
  <c r="K684" i="3"/>
  <c r="K683" i="3"/>
  <c r="K682" i="3"/>
  <c r="K681" i="3"/>
  <c r="H680" i="3"/>
  <c r="K680" i="3" s="1"/>
  <c r="H679" i="3"/>
  <c r="K679" i="3" s="1"/>
  <c r="H678" i="3"/>
  <c r="K678" i="3" s="1"/>
  <c r="H677" i="3"/>
  <c r="K677" i="3" s="1"/>
  <c r="H676" i="3"/>
  <c r="K676" i="3" s="1"/>
  <c r="H675" i="3"/>
  <c r="K675" i="3" s="1"/>
  <c r="H674" i="3"/>
  <c r="K674" i="3" s="1"/>
  <c r="H673" i="3"/>
  <c r="K673" i="3" s="1"/>
  <c r="H672" i="3"/>
  <c r="K672" i="3" s="1"/>
  <c r="H671" i="3"/>
  <c r="K671" i="3" s="1"/>
  <c r="H670" i="3"/>
  <c r="K670" i="3" s="1"/>
  <c r="H669" i="3"/>
  <c r="K669" i="3" s="1"/>
  <c r="H668" i="3"/>
  <c r="K668" i="3" s="1"/>
  <c r="H667" i="3"/>
  <c r="K667" i="3" s="1"/>
  <c r="H666" i="3"/>
  <c r="K666" i="3" s="1"/>
  <c r="H665" i="3"/>
  <c r="K665" i="3" s="1"/>
  <c r="K664" i="3"/>
  <c r="K663" i="3"/>
  <c r="K662" i="3"/>
  <c r="K661" i="3"/>
  <c r="K660" i="3"/>
  <c r="K659" i="3"/>
  <c r="K658" i="3"/>
  <c r="K653" i="3"/>
  <c r="K652" i="3"/>
  <c r="K651"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H619" i="3"/>
  <c r="K619" i="3"/>
  <c r="H618" i="3"/>
  <c r="K618" i="3" s="1"/>
  <c r="H617" i="3"/>
  <c r="K617" i="3"/>
  <c r="H616" i="3"/>
  <c r="K616" i="3" s="1"/>
  <c r="H615" i="3"/>
  <c r="K615" i="3"/>
  <c r="H614" i="3"/>
  <c r="K614" i="3" s="1"/>
  <c r="H613" i="3"/>
  <c r="K613" i="3"/>
  <c r="H612" i="3"/>
  <c r="K612" i="3" s="1"/>
  <c r="H611" i="3"/>
  <c r="K611" i="3"/>
  <c r="H610" i="3"/>
  <c r="K610" i="3" s="1"/>
  <c r="H609" i="3"/>
  <c r="K609" i="3"/>
  <c r="H608" i="3"/>
  <c r="K608" i="3" s="1"/>
  <c r="H607" i="3"/>
  <c r="K607" i="3"/>
  <c r="H606" i="3"/>
  <c r="K606" i="3" s="1"/>
  <c r="H605" i="3"/>
  <c r="K605" i="3"/>
  <c r="H604" i="3"/>
  <c r="K604" i="3" s="1"/>
  <c r="H603" i="3"/>
  <c r="K603" i="3"/>
  <c r="H602" i="3"/>
  <c r="K602" i="3" s="1"/>
  <c r="H601" i="3"/>
  <c r="K601" i="3"/>
  <c r="H600" i="3"/>
  <c r="K600" i="3" s="1"/>
  <c r="H599" i="3"/>
  <c r="K599" i="3"/>
  <c r="H598" i="3"/>
  <c r="K598" i="3" s="1"/>
  <c r="H597" i="3"/>
  <c r="K597" i="3"/>
  <c r="H596" i="3"/>
  <c r="K596" i="3" s="1"/>
  <c r="H595" i="3"/>
  <c r="K595" i="3"/>
  <c r="H594" i="3"/>
  <c r="K594" i="3" s="1"/>
  <c r="H593" i="3"/>
  <c r="K593" i="3"/>
  <c r="H592" i="3"/>
  <c r="K592" i="3" s="1"/>
  <c r="H591" i="3"/>
  <c r="K591" i="3"/>
  <c r="H590" i="3"/>
  <c r="K590" i="3" s="1"/>
  <c r="H589" i="3"/>
  <c r="K589" i="3"/>
  <c r="H588" i="3"/>
  <c r="K588" i="3" s="1"/>
  <c r="H587" i="3"/>
  <c r="K587" i="3"/>
  <c r="H586" i="3"/>
  <c r="K586" i="3" s="1"/>
  <c r="H585" i="3"/>
  <c r="K585" i="3"/>
  <c r="H584" i="3"/>
  <c r="K584" i="3" s="1"/>
  <c r="H583" i="3"/>
  <c r="K583" i="3"/>
  <c r="H582" i="3"/>
  <c r="K582" i="3" s="1"/>
  <c r="H581" i="3"/>
  <c r="K581" i="3"/>
  <c r="H580" i="3"/>
  <c r="K580" i="3" s="1"/>
  <c r="H579" i="3"/>
  <c r="K579" i="3"/>
  <c r="H578" i="3"/>
  <c r="K578" i="3" s="1"/>
  <c r="H577" i="3"/>
  <c r="K577" i="3"/>
  <c r="H576" i="3"/>
  <c r="K576" i="3" s="1"/>
  <c r="H575" i="3"/>
  <c r="K575" i="3"/>
  <c r="H574" i="3"/>
  <c r="K574" i="3" s="1"/>
  <c r="H573" i="3"/>
  <c r="K573" i="3"/>
  <c r="H572" i="3"/>
  <c r="K572" i="3" s="1"/>
  <c r="H571" i="3"/>
  <c r="K571" i="3"/>
  <c r="H570" i="3"/>
  <c r="K570" i="3" s="1"/>
  <c r="H569" i="3"/>
  <c r="K569" i="3"/>
  <c r="H568" i="3"/>
  <c r="K568" i="3" s="1"/>
  <c r="H567" i="3"/>
  <c r="K567" i="3"/>
  <c r="H566" i="3"/>
  <c r="K566" i="3" s="1"/>
  <c r="H565" i="3"/>
  <c r="K565" i="3"/>
  <c r="H564" i="3"/>
  <c r="K564" i="3" s="1"/>
  <c r="H563" i="3"/>
  <c r="K563" i="3"/>
  <c r="H562" i="3"/>
  <c r="K562" i="3" s="1"/>
  <c r="H561" i="3"/>
  <c r="K561" i="3"/>
  <c r="H560" i="3"/>
  <c r="K560" i="3" s="1"/>
  <c r="H559" i="3"/>
  <c r="K559" i="3"/>
  <c r="H558" i="3"/>
  <c r="K558" i="3" s="1"/>
  <c r="H557" i="3"/>
  <c r="K557" i="3"/>
  <c r="H556" i="3"/>
  <c r="K556" i="3" s="1"/>
  <c r="H555" i="3"/>
  <c r="K555" i="3"/>
  <c r="H554" i="3"/>
  <c r="K554" i="3" s="1"/>
  <c r="H553" i="3"/>
  <c r="K553" i="3"/>
  <c r="H552" i="3"/>
  <c r="K552" i="3" s="1"/>
  <c r="H551" i="3"/>
  <c r="K551" i="3"/>
  <c r="H550" i="3"/>
  <c r="K550" i="3" s="1"/>
  <c r="H549" i="3"/>
  <c r="K549" i="3"/>
  <c r="H548" i="3"/>
  <c r="K548" i="3" s="1"/>
  <c r="H547" i="3"/>
  <c r="K547" i="3"/>
  <c r="H546" i="3"/>
  <c r="K546" i="3" s="1"/>
  <c r="H545" i="3"/>
  <c r="K545" i="3"/>
  <c r="H544" i="3"/>
  <c r="K544" i="3" s="1"/>
  <c r="H543" i="3"/>
  <c r="K543" i="3"/>
  <c r="H542" i="3"/>
  <c r="K542" i="3" s="1"/>
  <c r="H541" i="3"/>
  <c r="K541" i="3"/>
  <c r="H540" i="3"/>
  <c r="K540" i="3" s="1"/>
  <c r="H539" i="3"/>
  <c r="K539" i="3"/>
  <c r="H538" i="3"/>
  <c r="K538" i="3" s="1"/>
  <c r="H537" i="3"/>
  <c r="K537" i="3"/>
  <c r="H536" i="3"/>
  <c r="K536" i="3" s="1"/>
  <c r="H535" i="3"/>
  <c r="K535" i="3"/>
  <c r="H534" i="3"/>
  <c r="K534" i="3" s="1"/>
  <c r="H533" i="3"/>
  <c r="K533" i="3"/>
  <c r="H532" i="3"/>
  <c r="K532" i="3" s="1"/>
  <c r="H531" i="3"/>
  <c r="K531" i="3"/>
  <c r="H530" i="3"/>
  <c r="K530" i="3" s="1"/>
  <c r="H529" i="3"/>
  <c r="K529" i="3"/>
  <c r="H528" i="3"/>
  <c r="K528" i="3" s="1"/>
  <c r="H527" i="3"/>
  <c r="K527" i="3"/>
  <c r="H526" i="3"/>
  <c r="K526" i="3" s="1"/>
  <c r="H525" i="3"/>
  <c r="K525" i="3"/>
  <c r="H524" i="3"/>
  <c r="K524" i="3" s="1"/>
  <c r="H523" i="3"/>
  <c r="K523" i="3"/>
  <c r="H522" i="3"/>
  <c r="K522" i="3" s="1"/>
  <c r="H521" i="3"/>
  <c r="K521" i="3"/>
  <c r="H520" i="3"/>
  <c r="K520" i="3" s="1"/>
  <c r="H519" i="3"/>
  <c r="K519" i="3"/>
  <c r="H518" i="3"/>
  <c r="K518" i="3" s="1"/>
  <c r="H517" i="3"/>
  <c r="K517" i="3"/>
  <c r="H516" i="3"/>
  <c r="K516" i="3" s="1"/>
  <c r="H515" i="3"/>
  <c r="K515" i="3"/>
  <c r="H514" i="3"/>
  <c r="K514" i="3" s="1"/>
  <c r="H513" i="3"/>
  <c r="K513" i="3"/>
  <c r="H512" i="3"/>
  <c r="K512" i="3" s="1"/>
  <c r="H511" i="3"/>
  <c r="K511" i="3"/>
  <c r="H510" i="3"/>
  <c r="K510" i="3" s="1"/>
  <c r="H509" i="3"/>
  <c r="K509" i="3"/>
  <c r="H508" i="3"/>
  <c r="K508" i="3" s="1"/>
  <c r="H507" i="3"/>
  <c r="K507" i="3"/>
  <c r="H506" i="3"/>
  <c r="K506" i="3" s="1"/>
  <c r="H505" i="3"/>
  <c r="K505" i="3"/>
  <c r="H504" i="3"/>
  <c r="K504" i="3" s="1"/>
  <c r="H503" i="3"/>
  <c r="K503" i="3"/>
  <c r="H502" i="3"/>
  <c r="K502" i="3" s="1"/>
  <c r="H501" i="3"/>
  <c r="K501" i="3"/>
  <c r="H500" i="3"/>
  <c r="K500" i="3" s="1"/>
  <c r="H499" i="3"/>
  <c r="K499" i="3"/>
  <c r="H498" i="3"/>
  <c r="K498" i="3" s="1"/>
  <c r="H497" i="3"/>
  <c r="K497" i="3"/>
  <c r="H496" i="3"/>
  <c r="K496" i="3" s="1"/>
  <c r="H495" i="3"/>
  <c r="K495" i="3"/>
  <c r="H494" i="3"/>
  <c r="K494" i="3" s="1"/>
  <c r="H493" i="3"/>
  <c r="K493" i="3"/>
  <c r="H492" i="3"/>
  <c r="K492" i="3" s="1"/>
  <c r="H491" i="3"/>
  <c r="K491" i="3"/>
  <c r="H490" i="3"/>
  <c r="K490" i="3" s="1"/>
  <c r="H489" i="3"/>
  <c r="K489" i="3"/>
  <c r="H488" i="3"/>
  <c r="K488" i="3" s="1"/>
  <c r="H487" i="3"/>
  <c r="K487" i="3"/>
  <c r="H486" i="3"/>
  <c r="K486" i="3" s="1"/>
  <c r="H485" i="3"/>
  <c r="K485" i="3"/>
  <c r="H484" i="3"/>
  <c r="K484" i="3" s="1"/>
  <c r="H483" i="3"/>
  <c r="K483" i="3"/>
  <c r="H482" i="3"/>
  <c r="K482" i="3" s="1"/>
  <c r="H481" i="3"/>
  <c r="K481" i="3"/>
  <c r="H480" i="3"/>
  <c r="K480" i="3" s="1"/>
  <c r="H479" i="3"/>
  <c r="K479" i="3"/>
  <c r="H478" i="3"/>
  <c r="K478" i="3" s="1"/>
  <c r="H477" i="3"/>
  <c r="K477" i="3"/>
  <c r="H476" i="3"/>
  <c r="K476" i="3" s="1"/>
  <c r="H475" i="3"/>
  <c r="K475" i="3"/>
  <c r="H474" i="3"/>
  <c r="K474" i="3" s="1"/>
  <c r="H473" i="3"/>
  <c r="K473" i="3"/>
  <c r="H472" i="3"/>
  <c r="K472" i="3" s="1"/>
  <c r="H471" i="3"/>
  <c r="K471" i="3"/>
  <c r="H470" i="3"/>
  <c r="K470" i="3" s="1"/>
  <c r="H469" i="3"/>
  <c r="K469" i="3"/>
  <c r="H468" i="3"/>
  <c r="K468" i="3" s="1"/>
  <c r="H467" i="3"/>
  <c r="K467" i="3"/>
  <c r="H466" i="3"/>
  <c r="K466" i="3" s="1"/>
  <c r="H465" i="3"/>
  <c r="K465" i="3"/>
  <c r="H464" i="3"/>
  <c r="K464" i="3" s="1"/>
  <c r="H463" i="3"/>
  <c r="K463" i="3"/>
  <c r="H462" i="3"/>
  <c r="K462" i="3" s="1"/>
  <c r="H461" i="3"/>
  <c r="K461" i="3"/>
  <c r="H460" i="3"/>
  <c r="K460" i="3" s="1"/>
  <c r="H459" i="3"/>
  <c r="K459" i="3"/>
  <c r="H458" i="3"/>
  <c r="K458" i="3" s="1"/>
  <c r="H457" i="3"/>
  <c r="K457" i="3"/>
  <c r="H456" i="3"/>
  <c r="K456" i="3" s="1"/>
  <c r="H455" i="3"/>
  <c r="K455" i="3"/>
  <c r="H454" i="3"/>
  <c r="K454" i="3" s="1"/>
  <c r="H453" i="3"/>
  <c r="K453" i="3"/>
  <c r="H452" i="3"/>
  <c r="K452" i="3" s="1"/>
  <c r="H451" i="3"/>
  <c r="K451" i="3"/>
  <c r="H450" i="3"/>
  <c r="K450" i="3" s="1"/>
  <c r="H449" i="3"/>
  <c r="K449" i="3"/>
  <c r="H448" i="3"/>
  <c r="K448" i="3" s="1"/>
  <c r="H447" i="3"/>
  <c r="K447" i="3"/>
  <c r="H446" i="3"/>
  <c r="K446" i="3" s="1"/>
  <c r="H445" i="3"/>
  <c r="K445" i="3"/>
  <c r="H444" i="3"/>
  <c r="K444" i="3" s="1"/>
  <c r="H443" i="3"/>
  <c r="K443" i="3"/>
  <c r="H442" i="3"/>
  <c r="K442" i="3" s="1"/>
  <c r="H441" i="3"/>
  <c r="K441" i="3"/>
  <c r="H440" i="3"/>
  <c r="K440" i="3" s="1"/>
  <c r="H439" i="3"/>
  <c r="K439" i="3"/>
  <c r="H438" i="3"/>
  <c r="K438" i="3" s="1"/>
  <c r="H437" i="3"/>
  <c r="K437" i="3"/>
  <c r="H436" i="3"/>
  <c r="K436" i="3" s="1"/>
  <c r="H435" i="3"/>
  <c r="K435" i="3"/>
  <c r="H434" i="3"/>
  <c r="K434" i="3" s="1"/>
  <c r="H433" i="3"/>
  <c r="K433" i="3"/>
  <c r="H432" i="3"/>
  <c r="K432" i="3" s="1"/>
  <c r="H431" i="3"/>
  <c r="K431" i="3"/>
  <c r="H430" i="3"/>
  <c r="K430" i="3" s="1"/>
  <c r="H429" i="3"/>
  <c r="K429" i="3"/>
  <c r="H428" i="3"/>
  <c r="K428" i="3" s="1"/>
  <c r="H427" i="3"/>
  <c r="K427" i="3"/>
  <c r="H426" i="3"/>
  <c r="K426" i="3" s="1"/>
  <c r="H425" i="3"/>
  <c r="K425" i="3"/>
  <c r="H424" i="3"/>
  <c r="K424" i="3" s="1"/>
  <c r="H423" i="3"/>
  <c r="K423" i="3"/>
  <c r="H422" i="3"/>
  <c r="K422" i="3" s="1"/>
  <c r="H421" i="3"/>
  <c r="K421" i="3"/>
  <c r="H420" i="3"/>
  <c r="K420" i="3" s="1"/>
  <c r="H419" i="3"/>
  <c r="K419" i="3"/>
  <c r="H418" i="3"/>
  <c r="K418" i="3" s="1"/>
  <c r="H417" i="3"/>
  <c r="K417" i="3"/>
  <c r="H416" i="3"/>
  <c r="K416" i="3" s="1"/>
  <c r="H415" i="3"/>
  <c r="K415" i="3"/>
  <c r="H414" i="3"/>
  <c r="K414" i="3" s="1"/>
  <c r="H413" i="3"/>
  <c r="K413" i="3"/>
  <c r="H412" i="3"/>
  <c r="K412" i="3" s="1"/>
  <c r="H411" i="3"/>
  <c r="K411" i="3"/>
  <c r="H410" i="3"/>
  <c r="K410" i="3" s="1"/>
  <c r="H409" i="3"/>
  <c r="K409" i="3"/>
  <c r="H408" i="3"/>
  <c r="K408" i="3" s="1"/>
  <c r="H407" i="3"/>
  <c r="K407" i="3"/>
  <c r="H406" i="3"/>
  <c r="K406" i="3" s="1"/>
  <c r="H405" i="3"/>
  <c r="K405" i="3"/>
  <c r="H404" i="3"/>
  <c r="K404" i="3" s="1"/>
  <c r="H403" i="3"/>
  <c r="K403" i="3"/>
  <c r="H402" i="3"/>
  <c r="K402" i="3" s="1"/>
  <c r="H401" i="3"/>
  <c r="K401" i="3"/>
  <c r="H400" i="3"/>
  <c r="K400" i="3" s="1"/>
  <c r="H399" i="3"/>
  <c r="K399" i="3"/>
  <c r="H398" i="3"/>
  <c r="K398" i="3" s="1"/>
  <c r="H397" i="3"/>
  <c r="K397" i="3"/>
  <c r="H396" i="3"/>
  <c r="K396" i="3" s="1"/>
  <c r="H395" i="3"/>
  <c r="K395" i="3"/>
  <c r="H394" i="3"/>
  <c r="K394" i="3" s="1"/>
  <c r="H393" i="3"/>
  <c r="K393" i="3"/>
  <c r="H392" i="3"/>
  <c r="K392" i="3" s="1"/>
  <c r="H391" i="3"/>
  <c r="K391" i="3"/>
  <c r="H390" i="3"/>
  <c r="K390" i="3" s="1"/>
  <c r="H389" i="3"/>
  <c r="K389" i="3"/>
  <c r="H388" i="3"/>
  <c r="K388" i="3" s="1"/>
  <c r="H387" i="3"/>
  <c r="K387" i="3"/>
  <c r="H386" i="3"/>
  <c r="K386" i="3" s="1"/>
  <c r="H385" i="3"/>
  <c r="K385" i="3"/>
  <c r="H384" i="3"/>
  <c r="K384" i="3" s="1"/>
  <c r="H383" i="3"/>
  <c r="K383" i="3"/>
  <c r="H382" i="3"/>
  <c r="K382" i="3" s="1"/>
  <c r="H381" i="3"/>
  <c r="K381" i="3"/>
  <c r="H380" i="3"/>
  <c r="K380" i="3" s="1"/>
  <c r="H379" i="3"/>
  <c r="K379" i="3"/>
  <c r="H378" i="3"/>
  <c r="K378" i="3" s="1"/>
  <c r="H377" i="3"/>
  <c r="K377" i="3"/>
  <c r="H376" i="3"/>
  <c r="K376" i="3" s="1"/>
  <c r="H375" i="3"/>
  <c r="K375" i="3"/>
  <c r="H374" i="3"/>
  <c r="K374" i="3" s="1"/>
  <c r="H373" i="3"/>
  <c r="K373" i="3"/>
  <c r="H372" i="3"/>
  <c r="K372" i="3" s="1"/>
  <c r="H371" i="3"/>
  <c r="K371" i="3"/>
  <c r="H370" i="3"/>
  <c r="K370" i="3" s="1"/>
  <c r="H369" i="3"/>
  <c r="K369" i="3"/>
  <c r="H368" i="3"/>
  <c r="K368" i="3" s="1"/>
  <c r="H367" i="3"/>
  <c r="K367" i="3"/>
  <c r="H366" i="3"/>
  <c r="K366" i="3" s="1"/>
  <c r="H365" i="3"/>
  <c r="K365" i="3"/>
  <c r="H364" i="3"/>
  <c r="K364" i="3" s="1"/>
  <c r="H363" i="3"/>
  <c r="K363" i="3"/>
  <c r="H362" i="3"/>
  <c r="K362" i="3" s="1"/>
  <c r="H361" i="3"/>
  <c r="K361" i="3"/>
  <c r="H360" i="3"/>
  <c r="K360" i="3" s="1"/>
  <c r="H359" i="3"/>
  <c r="K359" i="3"/>
  <c r="H358" i="3"/>
  <c r="K358" i="3" s="1"/>
  <c r="H357" i="3"/>
  <c r="K357" i="3"/>
  <c r="H356" i="3"/>
  <c r="K356" i="3" s="1"/>
  <c r="H355" i="3"/>
  <c r="K355" i="3"/>
  <c r="H354" i="3"/>
  <c r="K354" i="3" s="1"/>
  <c r="H353" i="3"/>
  <c r="K353" i="3"/>
  <c r="H352" i="3"/>
  <c r="K352" i="3" s="1"/>
  <c r="H351" i="3"/>
  <c r="K351" i="3"/>
  <c r="H350" i="3"/>
  <c r="K350" i="3" s="1"/>
  <c r="H349" i="3"/>
  <c r="K349" i="3"/>
  <c r="H348" i="3"/>
  <c r="K348" i="3" s="1"/>
  <c r="H347" i="3"/>
  <c r="K347" i="3"/>
  <c r="H346" i="3"/>
  <c r="K346" i="3" s="1"/>
  <c r="H345" i="3"/>
  <c r="K345" i="3"/>
  <c r="H344" i="3"/>
  <c r="K344" i="3" s="1"/>
  <c r="H343" i="3"/>
  <c r="K343" i="3"/>
  <c r="H342" i="3"/>
  <c r="K342" i="3" s="1"/>
  <c r="H341" i="3"/>
  <c r="K341" i="3"/>
  <c r="H340" i="3"/>
  <c r="K340" i="3" s="1"/>
  <c r="H339" i="3"/>
  <c r="K339" i="3"/>
  <c r="H338" i="3"/>
  <c r="K338" i="3" s="1"/>
  <c r="H337" i="3"/>
  <c r="K337" i="3"/>
  <c r="H336" i="3"/>
  <c r="K336" i="3" s="1"/>
  <c r="H335" i="3"/>
  <c r="K335" i="3"/>
  <c r="H334" i="3"/>
  <c r="K334" i="3" s="1"/>
  <c r="H333" i="3"/>
  <c r="K333" i="3"/>
  <c r="H332" i="3"/>
  <c r="K332" i="3" s="1"/>
  <c r="H331" i="3"/>
  <c r="K331" i="3"/>
  <c r="H330" i="3"/>
  <c r="K330" i="3" s="1"/>
  <c r="H329" i="3"/>
  <c r="K329" i="3"/>
  <c r="H328" i="3"/>
  <c r="K328" i="3" s="1"/>
  <c r="H327" i="3"/>
  <c r="K327" i="3"/>
  <c r="H326" i="3"/>
  <c r="K326" i="3" s="1"/>
  <c r="H325" i="3"/>
  <c r="K325" i="3"/>
  <c r="H324" i="3"/>
  <c r="K324" i="3" s="1"/>
  <c r="H323" i="3"/>
  <c r="K323" i="3"/>
  <c r="H322" i="3"/>
  <c r="K322" i="3" s="1"/>
  <c r="H321" i="3"/>
  <c r="K321" i="3"/>
  <c r="H320" i="3"/>
  <c r="K320" i="3" s="1"/>
  <c r="H319" i="3"/>
  <c r="K319" i="3"/>
  <c r="H318" i="3"/>
  <c r="K318" i="3" s="1"/>
  <c r="H317" i="3"/>
  <c r="K317" i="3"/>
  <c r="H316" i="3"/>
  <c r="K316" i="3" s="1"/>
  <c r="H315" i="3"/>
  <c r="K315" i="3"/>
  <c r="H314" i="3"/>
  <c r="K314" i="3" s="1"/>
  <c r="H313" i="3"/>
  <c r="K313" i="3"/>
  <c r="H312" i="3"/>
  <c r="K312" i="3" s="1"/>
  <c r="H311" i="3"/>
  <c r="K311" i="3"/>
  <c r="H310" i="3"/>
  <c r="K310" i="3" s="1"/>
  <c r="H309" i="3"/>
  <c r="K309" i="3"/>
  <c r="H308" i="3"/>
  <c r="K308" i="3" s="1"/>
  <c r="H307" i="3"/>
  <c r="K307" i="3"/>
  <c r="H306" i="3"/>
  <c r="K306" i="3" s="1"/>
  <c r="H305" i="3"/>
  <c r="K305" i="3"/>
  <c r="H304" i="3"/>
  <c r="K304" i="3" s="1"/>
  <c r="H303" i="3"/>
  <c r="K303" i="3"/>
  <c r="H302" i="3"/>
  <c r="K302" i="3" s="1"/>
  <c r="H301" i="3"/>
  <c r="K301" i="3" s="1"/>
  <c r="H300" i="3"/>
  <c r="K300" i="3" s="1"/>
  <c r="H299" i="3"/>
  <c r="K299" i="3" s="1"/>
  <c r="H298" i="3"/>
  <c r="K298" i="3" s="1"/>
  <c r="H297" i="3"/>
  <c r="K297" i="3" s="1"/>
  <c r="H296" i="3"/>
  <c r="K296" i="3" s="1"/>
  <c r="H295" i="3"/>
  <c r="K295" i="3" s="1"/>
  <c r="H294" i="3"/>
  <c r="K294" i="3" s="1"/>
  <c r="H293" i="3"/>
  <c r="K293" i="3" s="1"/>
  <c r="H292" i="3"/>
  <c r="K292" i="3" s="1"/>
  <c r="H291" i="3"/>
  <c r="K291" i="3" s="1"/>
  <c r="H290" i="3"/>
  <c r="K290" i="3" s="1"/>
  <c r="H289" i="3"/>
  <c r="K289" i="3" s="1"/>
  <c r="H288" i="3"/>
  <c r="K288" i="3" s="1"/>
  <c r="H287" i="3"/>
  <c r="K287" i="3" s="1"/>
  <c r="H286" i="3"/>
  <c r="K286" i="3" s="1"/>
  <c r="H285" i="3"/>
  <c r="K285" i="3" s="1"/>
  <c r="H284" i="3"/>
  <c r="K284" i="3" s="1"/>
  <c r="H283" i="3"/>
  <c r="K283" i="3" s="1"/>
  <c r="H282" i="3"/>
  <c r="K282" i="3" s="1"/>
  <c r="H281" i="3"/>
  <c r="K281" i="3" s="1"/>
  <c r="H280" i="3"/>
  <c r="K280" i="3" s="1"/>
  <c r="H279" i="3"/>
  <c r="K279" i="3" s="1"/>
  <c r="H278" i="3"/>
  <c r="K278" i="3" s="1"/>
  <c r="H277" i="3"/>
  <c r="K277" i="3" s="1"/>
  <c r="H276" i="3"/>
  <c r="K276" i="3" s="1"/>
  <c r="H275" i="3"/>
  <c r="K275" i="3" s="1"/>
  <c r="H274" i="3"/>
  <c r="K274" i="3" s="1"/>
  <c r="H273" i="3"/>
  <c r="K273" i="3" s="1"/>
  <c r="H272" i="3"/>
  <c r="K272" i="3" s="1"/>
  <c r="H271" i="3"/>
  <c r="K271" i="3" s="1"/>
  <c r="H270" i="3"/>
  <c r="K270" i="3" s="1"/>
  <c r="H269" i="3"/>
  <c r="K269" i="3" s="1"/>
  <c r="H268" i="3"/>
  <c r="K268" i="3" s="1"/>
  <c r="H267" i="3"/>
  <c r="K267" i="3" s="1"/>
  <c r="H266" i="3"/>
  <c r="K266" i="3" s="1"/>
  <c r="H265" i="3"/>
  <c r="K265" i="3" s="1"/>
  <c r="H264" i="3"/>
  <c r="K264" i="3" s="1"/>
  <c r="H263" i="3"/>
  <c r="K263" i="3" s="1"/>
  <c r="H262" i="3"/>
  <c r="K262" i="3" s="1"/>
  <c r="H261" i="3"/>
  <c r="K261" i="3" s="1"/>
  <c r="H260" i="3"/>
  <c r="K260" i="3" s="1"/>
  <c r="H259" i="3"/>
  <c r="K259" i="3" s="1"/>
  <c r="H258" i="3"/>
  <c r="K258" i="3" s="1"/>
  <c r="H257" i="3"/>
  <c r="K257" i="3" s="1"/>
  <c r="H256" i="3"/>
  <c r="K256" i="3" s="1"/>
  <c r="H255" i="3"/>
  <c r="K255" i="3" s="1"/>
  <c r="H254" i="3"/>
  <c r="K254" i="3" s="1"/>
  <c r="H253" i="3"/>
  <c r="K253" i="3" s="1"/>
  <c r="H252" i="3"/>
  <c r="K252" i="3" s="1"/>
  <c r="H251" i="3"/>
  <c r="K251" i="3" s="1"/>
  <c r="H250" i="3"/>
  <c r="K250" i="3" s="1"/>
  <c r="H249" i="3"/>
  <c r="K249" i="3" s="1"/>
  <c r="H248" i="3"/>
  <c r="K248" i="3" s="1"/>
  <c r="H247" i="3"/>
  <c r="K247" i="3" s="1"/>
  <c r="H246" i="3"/>
  <c r="K246" i="3" s="1"/>
  <c r="H245" i="3"/>
  <c r="K245" i="3" s="1"/>
  <c r="H244" i="3"/>
  <c r="K244" i="3" s="1"/>
  <c r="H243" i="3"/>
  <c r="K243" i="3" s="1"/>
  <c r="H242" i="3"/>
  <c r="K242" i="3" s="1"/>
  <c r="H241" i="3"/>
  <c r="K241" i="3" s="1"/>
  <c r="H240" i="3"/>
  <c r="K240" i="3" s="1"/>
  <c r="H239" i="3"/>
  <c r="K239" i="3" s="1"/>
  <c r="H238" i="3"/>
  <c r="K238" i="3" s="1"/>
  <c r="H237" i="3"/>
  <c r="K237" i="3" s="1"/>
  <c r="H236" i="3"/>
  <c r="K236" i="3" s="1"/>
  <c r="H235" i="3"/>
  <c r="K235" i="3" s="1"/>
  <c r="H234" i="3"/>
  <c r="K234" i="3" s="1"/>
  <c r="H233" i="3"/>
  <c r="K233" i="3" s="1"/>
  <c r="H232" i="3"/>
  <c r="K232" i="3" s="1"/>
  <c r="H231" i="3"/>
  <c r="K231" i="3" s="1"/>
  <c r="H230" i="3"/>
  <c r="K230" i="3" s="1"/>
  <c r="H229" i="3"/>
  <c r="K229" i="3" s="1"/>
  <c r="H228" i="3"/>
  <c r="K228" i="3" s="1"/>
  <c r="H227" i="3"/>
  <c r="K227" i="3" s="1"/>
  <c r="H226" i="3"/>
  <c r="K226" i="3" s="1"/>
  <c r="H225" i="3"/>
  <c r="K225" i="3" s="1"/>
  <c r="H224" i="3"/>
  <c r="K224" i="3" s="1"/>
  <c r="H223" i="3"/>
  <c r="K223" i="3" s="1"/>
  <c r="H222" i="3"/>
  <c r="K222" i="3" s="1"/>
  <c r="H221" i="3"/>
  <c r="K221" i="3" s="1"/>
  <c r="H220" i="3"/>
  <c r="K220" i="3" s="1"/>
  <c r="H219" i="3"/>
  <c r="K219" i="3" s="1"/>
  <c r="H218" i="3"/>
  <c r="K218" i="3" s="1"/>
  <c r="H217" i="3"/>
  <c r="K217" i="3" s="1"/>
  <c r="H216" i="3"/>
  <c r="K216" i="3" s="1"/>
  <c r="H215" i="3"/>
  <c r="K215" i="3" s="1"/>
  <c r="H214" i="3"/>
  <c r="K214" i="3" s="1"/>
  <c r="H213" i="3"/>
  <c r="K213" i="3" s="1"/>
  <c r="H212" i="3"/>
  <c r="K212" i="3" s="1"/>
  <c r="H211" i="3"/>
  <c r="K211" i="3" s="1"/>
  <c r="H210" i="3"/>
  <c r="K210" i="3" s="1"/>
  <c r="H209" i="3"/>
  <c r="K209" i="3" s="1"/>
  <c r="H208" i="3"/>
  <c r="K208" i="3" s="1"/>
  <c r="H207" i="3"/>
  <c r="K207" i="3" s="1"/>
  <c r="H206" i="3"/>
  <c r="K206" i="3" s="1"/>
  <c r="H205" i="3"/>
  <c r="K205" i="3" s="1"/>
  <c r="H204" i="3"/>
  <c r="K204" i="3" s="1"/>
  <c r="H203" i="3"/>
  <c r="K203" i="3" s="1"/>
  <c r="H202" i="3"/>
  <c r="K202" i="3" s="1"/>
  <c r="H201" i="3"/>
  <c r="K201" i="3" s="1"/>
  <c r="H200" i="3"/>
  <c r="K200" i="3" s="1"/>
  <c r="H199" i="3"/>
  <c r="K199" i="3" s="1"/>
  <c r="H198" i="3"/>
  <c r="K198" i="3"/>
  <c r="H197" i="3"/>
  <c r="K197" i="3" s="1"/>
  <c r="H196" i="3"/>
  <c r="K196" i="3" s="1"/>
  <c r="H195" i="3"/>
  <c r="K195" i="3" s="1"/>
  <c r="H194" i="3"/>
  <c r="K194" i="3"/>
  <c r="H193" i="3"/>
  <c r="K193" i="3" s="1"/>
  <c r="H192" i="3"/>
  <c r="K192" i="3" s="1"/>
  <c r="H191" i="3"/>
  <c r="K191" i="3" s="1"/>
  <c r="H190" i="3"/>
  <c r="K190" i="3"/>
  <c r="H189" i="3"/>
  <c r="K189" i="3" s="1"/>
  <c r="H188" i="3"/>
  <c r="K188" i="3" s="1"/>
  <c r="H187" i="3"/>
  <c r="K187" i="3" s="1"/>
  <c r="H186" i="3"/>
  <c r="K186" i="3"/>
  <c r="H185" i="3"/>
  <c r="K185" i="3" s="1"/>
  <c r="H184" i="3"/>
  <c r="K184" i="3" s="1"/>
  <c r="H183" i="3"/>
  <c r="K183" i="3" s="1"/>
  <c r="H182" i="3"/>
  <c r="K182" i="3"/>
  <c r="H181" i="3"/>
  <c r="K181" i="3" s="1"/>
  <c r="H180" i="3"/>
  <c r="K180" i="3" s="1"/>
  <c r="H179" i="3"/>
  <c r="K179" i="3" s="1"/>
  <c r="H178" i="3"/>
  <c r="K178" i="3"/>
  <c r="H177" i="3"/>
  <c r="K177" i="3" s="1"/>
  <c r="H176" i="3"/>
  <c r="K176" i="3" s="1"/>
  <c r="H175" i="3"/>
  <c r="K175" i="3" s="1"/>
  <c r="H174" i="3"/>
  <c r="K174" i="3"/>
  <c r="H173" i="3"/>
  <c r="K173" i="3" s="1"/>
  <c r="H172" i="3"/>
  <c r="K172" i="3" s="1"/>
  <c r="H171" i="3"/>
  <c r="K171" i="3" s="1"/>
  <c r="H170" i="3"/>
  <c r="K170" i="3"/>
  <c r="H169" i="3"/>
  <c r="K169" i="3" s="1"/>
  <c r="H168" i="3"/>
  <c r="K168" i="3" s="1"/>
  <c r="H167" i="3"/>
  <c r="K167" i="3" s="1"/>
  <c r="H166" i="3"/>
  <c r="K166" i="3"/>
  <c r="H165" i="3"/>
  <c r="K165" i="3" s="1"/>
  <c r="H164" i="3"/>
  <c r="K164" i="3" s="1"/>
  <c r="H163" i="3"/>
  <c r="K163" i="3" s="1"/>
  <c r="H162" i="3"/>
  <c r="K162" i="3"/>
  <c r="H161" i="3"/>
  <c r="K161" i="3" s="1"/>
  <c r="H160" i="3"/>
  <c r="K160" i="3" s="1"/>
  <c r="H159" i="3"/>
  <c r="K159" i="3" s="1"/>
  <c r="H158" i="3"/>
  <c r="K158" i="3"/>
  <c r="H157" i="3"/>
  <c r="K157" i="3" s="1"/>
  <c r="H156" i="3"/>
  <c r="K156" i="3" s="1"/>
  <c r="H155" i="3"/>
  <c r="K155" i="3" s="1"/>
  <c r="H154" i="3"/>
  <c r="K154" i="3"/>
  <c r="H153" i="3"/>
  <c r="K153" i="3" s="1"/>
  <c r="H152" i="3"/>
  <c r="K152" i="3" s="1"/>
  <c r="H151" i="3"/>
  <c r="K151" i="3" s="1"/>
  <c r="H150" i="3"/>
  <c r="K150" i="3"/>
  <c r="H149" i="3"/>
  <c r="K149" i="3" s="1"/>
  <c r="H148" i="3"/>
  <c r="K148" i="3" s="1"/>
  <c r="H147" i="3"/>
  <c r="K147" i="3" s="1"/>
  <c r="H146" i="3"/>
  <c r="K146" i="3"/>
  <c r="H145" i="3"/>
  <c r="K145" i="3" s="1"/>
  <c r="H144" i="3"/>
  <c r="K144" i="3" s="1"/>
  <c r="H143" i="3"/>
  <c r="K143" i="3" s="1"/>
  <c r="H142" i="3"/>
  <c r="K142" i="3"/>
  <c r="H141" i="3"/>
  <c r="K141" i="3" s="1"/>
  <c r="H140" i="3"/>
  <c r="K140" i="3" s="1"/>
  <c r="H139" i="3"/>
  <c r="K139" i="3" s="1"/>
  <c r="H138" i="3"/>
  <c r="K138" i="3"/>
  <c r="H137" i="3"/>
  <c r="K137" i="3" s="1"/>
  <c r="H136" i="3"/>
  <c r="K136" i="3" s="1"/>
  <c r="H135" i="3"/>
  <c r="K135" i="3" s="1"/>
  <c r="H134" i="3"/>
  <c r="K134" i="3"/>
  <c r="H133" i="3"/>
  <c r="K133" i="3" s="1"/>
  <c r="H132" i="3"/>
  <c r="K132" i="3" s="1"/>
  <c r="H131" i="3"/>
  <c r="K131" i="3" s="1"/>
  <c r="H130" i="3"/>
  <c r="K130" i="3"/>
  <c r="H129" i="3"/>
  <c r="K129" i="3" s="1"/>
  <c r="H128" i="3"/>
  <c r="K128" i="3" s="1"/>
  <c r="H127" i="3"/>
  <c r="K127" i="3" s="1"/>
  <c r="H126" i="3"/>
  <c r="K126" i="3"/>
  <c r="H125" i="3"/>
  <c r="K125" i="3" s="1"/>
  <c r="H124" i="3"/>
  <c r="K124" i="3" s="1"/>
  <c r="H123" i="3"/>
  <c r="K123" i="3" s="1"/>
  <c r="H122" i="3"/>
  <c r="K122" i="3"/>
  <c r="H121" i="3"/>
  <c r="K121" i="3" s="1"/>
  <c r="H120" i="3"/>
  <c r="K120" i="3" s="1"/>
  <c r="H119" i="3"/>
  <c r="K119" i="3" s="1"/>
  <c r="H118" i="3"/>
  <c r="K118" i="3"/>
  <c r="H117" i="3"/>
  <c r="K117" i="3" s="1"/>
  <c r="H116" i="3"/>
  <c r="K116" i="3" s="1"/>
  <c r="H115" i="3"/>
  <c r="K115" i="3" s="1"/>
  <c r="H114" i="3"/>
  <c r="K114" i="3"/>
  <c r="H113" i="3"/>
  <c r="K113" i="3" s="1"/>
  <c r="H112" i="3"/>
  <c r="K112" i="3" s="1"/>
  <c r="H111" i="3"/>
  <c r="K111" i="3" s="1"/>
  <c r="H110" i="3"/>
  <c r="K110" i="3"/>
  <c r="H109" i="3"/>
  <c r="K109" i="3" s="1"/>
  <c r="H108" i="3"/>
  <c r="K108" i="3" s="1"/>
  <c r="H107" i="3"/>
  <c r="K107" i="3" s="1"/>
  <c r="H106" i="3"/>
  <c r="K106" i="3"/>
  <c r="H105" i="3"/>
  <c r="K105" i="3" s="1"/>
  <c r="H104" i="3"/>
  <c r="K104" i="3" s="1"/>
  <c r="H103" i="3"/>
  <c r="K103" i="3" s="1"/>
  <c r="H102" i="3"/>
  <c r="K102" i="3"/>
  <c r="H101" i="3"/>
  <c r="K101" i="3" s="1"/>
  <c r="H100" i="3"/>
  <c r="K100" i="3" s="1"/>
  <c r="H99" i="3"/>
  <c r="K99" i="3" s="1"/>
  <c r="H98" i="3"/>
  <c r="K98" i="3"/>
  <c r="H97" i="3"/>
  <c r="K97" i="3" s="1"/>
  <c r="H96" i="3"/>
  <c r="K96" i="3" s="1"/>
  <c r="H95" i="3"/>
  <c r="K95" i="3" s="1"/>
  <c r="H94" i="3"/>
  <c r="K94" i="3"/>
  <c r="H93" i="3"/>
  <c r="K93" i="3" s="1"/>
  <c r="H92" i="3"/>
  <c r="K92" i="3" s="1"/>
  <c r="H91" i="3"/>
  <c r="K91" i="3" s="1"/>
  <c r="H90" i="3"/>
  <c r="K90" i="3"/>
  <c r="H89" i="3"/>
  <c r="K89" i="3" s="1"/>
  <c r="H88" i="3"/>
  <c r="K88" i="3" s="1"/>
  <c r="H87" i="3"/>
  <c r="K87" i="3" s="1"/>
  <c r="H86" i="3"/>
  <c r="K86" i="3"/>
  <c r="H85" i="3"/>
  <c r="K85" i="3" s="1"/>
  <c r="H84" i="3"/>
  <c r="K84" i="3" s="1"/>
  <c r="H83" i="3"/>
  <c r="K83" i="3" s="1"/>
  <c r="H82" i="3"/>
  <c r="K82" i="3"/>
  <c r="H81" i="3"/>
  <c r="K81" i="3" s="1"/>
  <c r="H80" i="3"/>
  <c r="K80" i="3" s="1"/>
  <c r="H79" i="3"/>
  <c r="K79" i="3" s="1"/>
  <c r="H78" i="3"/>
  <c r="K78" i="3"/>
  <c r="H77" i="3"/>
  <c r="K77" i="3" s="1"/>
  <c r="H76" i="3"/>
  <c r="K76" i="3" s="1"/>
  <c r="H75" i="3"/>
  <c r="K75" i="3" s="1"/>
  <c r="H74" i="3"/>
  <c r="K74" i="3"/>
  <c r="H73" i="3"/>
  <c r="K73" i="3" s="1"/>
  <c r="H72" i="3"/>
  <c r="K72" i="3" s="1"/>
  <c r="H71" i="3"/>
  <c r="K71" i="3" s="1"/>
  <c r="H70" i="3"/>
  <c r="K70" i="3"/>
  <c r="H69" i="3"/>
  <c r="K69" i="3" s="1"/>
  <c r="H68" i="3"/>
  <c r="K68" i="3" s="1"/>
  <c r="H67" i="3"/>
  <c r="K67" i="3" s="1"/>
  <c r="H66" i="3"/>
  <c r="K66" i="3"/>
  <c r="H65" i="3"/>
  <c r="K65" i="3" s="1"/>
  <c r="H64" i="3"/>
  <c r="K64" i="3" s="1"/>
  <c r="H63" i="3"/>
  <c r="K63" i="3" s="1"/>
  <c r="H62" i="3"/>
  <c r="K62" i="3"/>
  <c r="H61" i="3"/>
  <c r="K61" i="3" s="1"/>
  <c r="H60" i="3"/>
  <c r="K60" i="3" s="1"/>
  <c r="H59" i="3"/>
  <c r="K59" i="3" s="1"/>
  <c r="H58" i="3"/>
  <c r="K58" i="3"/>
  <c r="H57" i="3"/>
  <c r="K57" i="3" s="1"/>
  <c r="H56" i="3"/>
  <c r="K56" i="3" s="1"/>
  <c r="H55" i="3"/>
  <c r="K55" i="3" s="1"/>
  <c r="H54" i="3"/>
  <c r="K54" i="3"/>
  <c r="H53" i="3"/>
  <c r="K53" i="3" s="1"/>
  <c r="H52" i="3"/>
  <c r="K52" i="3" s="1"/>
  <c r="H51" i="3"/>
  <c r="K51" i="3" s="1"/>
  <c r="H50" i="3"/>
  <c r="K50" i="3"/>
  <c r="H49" i="3"/>
  <c r="K49" i="3" s="1"/>
  <c r="H48" i="3"/>
  <c r="K48" i="3" s="1"/>
  <c r="H47" i="3"/>
  <c r="K47" i="3" s="1"/>
  <c r="H46" i="3"/>
  <c r="K46" i="3"/>
  <c r="H45" i="3"/>
  <c r="K45" i="3" s="1"/>
  <c r="H44" i="3"/>
  <c r="K44" i="3" s="1"/>
  <c r="H43" i="3"/>
  <c r="K43" i="3" s="1"/>
  <c r="H42" i="3"/>
  <c r="K42" i="3"/>
  <c r="H41" i="3"/>
  <c r="K41" i="3" s="1"/>
  <c r="H40" i="3"/>
  <c r="K40" i="3" s="1"/>
  <c r="H39" i="3"/>
  <c r="K39" i="3" s="1"/>
  <c r="H38" i="3"/>
  <c r="K38" i="3"/>
  <c r="H37" i="3"/>
  <c r="K37" i="3" s="1"/>
  <c r="H36" i="3"/>
  <c r="K36" i="3" s="1"/>
  <c r="H35" i="3"/>
  <c r="K35" i="3" s="1"/>
  <c r="H34" i="3"/>
  <c r="K34" i="3"/>
  <c r="H33" i="3"/>
  <c r="K33" i="3" s="1"/>
  <c r="H32" i="3"/>
  <c r="K32" i="3" s="1"/>
  <c r="H31" i="3"/>
  <c r="K31" i="3" s="1"/>
  <c r="H30" i="3"/>
  <c r="K30" i="3"/>
  <c r="H29" i="3"/>
  <c r="K29" i="3" s="1"/>
  <c r="H28" i="3"/>
  <c r="K28" i="3" s="1"/>
  <c r="H27" i="3"/>
  <c r="K27" i="3" s="1"/>
  <c r="H26" i="3"/>
  <c r="K26" i="3"/>
  <c r="H25" i="3"/>
  <c r="K25" i="3" s="1"/>
  <c r="H24" i="3"/>
  <c r="K24" i="3" s="1"/>
  <c r="H23" i="3"/>
  <c r="K23" i="3" s="1"/>
  <c r="H22" i="3"/>
  <c r="K22" i="3"/>
  <c r="H21" i="3"/>
  <c r="K21" i="3" s="1"/>
  <c r="H20" i="3"/>
  <c r="K20" i="3" s="1"/>
  <c r="H19" i="3"/>
  <c r="K19" i="3" s="1"/>
  <c r="H18" i="3"/>
  <c r="K18" i="3"/>
  <c r="H17" i="3"/>
  <c r="K17" i="3" s="1"/>
  <c r="H16" i="3"/>
  <c r="K16" i="3" s="1"/>
  <c r="H15" i="3"/>
  <c r="K15" i="3" s="1"/>
  <c r="H14" i="3"/>
  <c r="K14" i="3"/>
  <c r="H13" i="3"/>
  <c r="K13" i="3" s="1"/>
  <c r="H12" i="3"/>
  <c r="K12" i="3" s="1"/>
  <c r="H11" i="3"/>
  <c r="K11" i="3" s="1"/>
  <c r="H10" i="3"/>
  <c r="K10" i="3"/>
  <c r="H9" i="3"/>
  <c r="K9" i="3" s="1"/>
  <c r="H8" i="3"/>
  <c r="K8" i="3" s="1"/>
  <c r="H7" i="3"/>
  <c r="K1113" i="2"/>
  <c r="K1111" i="2"/>
  <c r="K1109" i="2"/>
  <c r="K1108" i="2"/>
  <c r="K1107"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3" i="2"/>
  <c r="K1052" i="2"/>
  <c r="K1051" i="2"/>
  <c r="K1050" i="2"/>
  <c r="K1049" i="2"/>
  <c r="K1048" i="2"/>
  <c r="K1047" i="2"/>
  <c r="K1046" i="2"/>
  <c r="K1045" i="2"/>
  <c r="K1044" i="2"/>
  <c r="K1043" i="2"/>
  <c r="K1042" i="2"/>
  <c r="K1041" i="2"/>
  <c r="K1040" i="2"/>
  <c r="K1039" i="2"/>
  <c r="K1038"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Y1024" i="2"/>
  <c r="Z1024" i="2"/>
  <c r="N1029" i="2"/>
  <c r="L1029" i="2" s="1"/>
  <c r="AB1029" i="2" s="1"/>
  <c r="S1024" i="2"/>
  <c r="T1024" i="2"/>
  <c r="N1024" i="2"/>
  <c r="P1024" i="2" s="1"/>
  <c r="N1028" i="2"/>
  <c r="L1028" i="2" s="1"/>
  <c r="AB1028" i="2" s="1"/>
  <c r="N1027" i="2"/>
  <c r="L1027" i="2" s="1"/>
  <c r="AB1027" i="2" s="1"/>
  <c r="N1026" i="2"/>
  <c r="N1025" i="2"/>
  <c r="L1025" i="2" s="1"/>
  <c r="AB1025" i="2" s="1"/>
  <c r="N1020" i="2"/>
  <c r="N1023" i="2"/>
  <c r="L1023" i="2" s="1"/>
  <c r="AB1023" i="2" s="1"/>
  <c r="N1022" i="2"/>
  <c r="L1022" i="2" s="1"/>
  <c r="AB1022" i="2" s="1"/>
  <c r="N1021" i="2"/>
  <c r="L1021" i="2" s="1"/>
  <c r="AB1021" i="2" s="1"/>
  <c r="N1019" i="2"/>
  <c r="L1019" i="2" s="1"/>
  <c r="AB1019" i="2" s="1"/>
  <c r="N1018" i="2"/>
  <c r="L1018" i="2" s="1"/>
  <c r="AB1018" i="2" s="1"/>
  <c r="N1017" i="2"/>
  <c r="L1017" i="2" s="1"/>
  <c r="AB1017" i="2" s="1"/>
  <c r="S1020" i="2"/>
  <c r="S1019" i="2"/>
  <c r="S1021" i="2"/>
  <c r="S1022" i="2"/>
  <c r="S1023" i="2"/>
  <c r="S1113" i="2"/>
  <c r="S1109" i="2"/>
  <c r="S1108" i="2"/>
  <c r="S1107"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3" i="2"/>
  <c r="S1052" i="2"/>
  <c r="S1051" i="2"/>
  <c r="S1050" i="2"/>
  <c r="S1049" i="2"/>
  <c r="S1048" i="2"/>
  <c r="S1047" i="2"/>
  <c r="S1046" i="2"/>
  <c r="S1045" i="2"/>
  <c r="S1035" i="2"/>
  <c r="S1034" i="2"/>
  <c r="S1033" i="2"/>
  <c r="S1032" i="2"/>
  <c r="S1031" i="2"/>
  <c r="S1030" i="2"/>
  <c r="S1029" i="2"/>
  <c r="S1028" i="2"/>
  <c r="S1027" i="2"/>
  <c r="S1026" i="2"/>
  <c r="S1025"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8" i="2"/>
  <c r="S299"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T1017" i="2"/>
  <c r="T1018" i="2"/>
  <c r="T1113" i="2"/>
  <c r="T1109" i="2"/>
  <c r="T1108" i="2"/>
  <c r="T1107" i="2"/>
  <c r="T1099" i="2"/>
  <c r="T1098" i="2"/>
  <c r="T1097" i="2"/>
  <c r="T1096" i="2"/>
  <c r="T1095" i="2"/>
  <c r="T1094" i="2"/>
  <c r="T1093" i="2"/>
  <c r="T1092" i="2"/>
  <c r="T1091" i="2"/>
  <c r="T1090" i="2"/>
  <c r="T1089" i="2"/>
  <c r="T1088" i="2"/>
  <c r="T1087" i="2"/>
  <c r="T1086" i="2"/>
  <c r="T1085" i="2"/>
  <c r="T1084" i="2"/>
  <c r="T1083" i="2"/>
  <c r="T1082" i="2"/>
  <c r="T1081" i="2"/>
  <c r="T1080" i="2"/>
  <c r="T1079" i="2"/>
  <c r="T1078" i="2"/>
  <c r="T1077" i="2"/>
  <c r="T1076" i="2"/>
  <c r="T1075" i="2"/>
  <c r="T1074" i="2"/>
  <c r="T1073" i="2"/>
  <c r="T1072" i="2"/>
  <c r="T1071" i="2"/>
  <c r="T1070" i="2"/>
  <c r="T1069" i="2"/>
  <c r="T1068" i="2"/>
  <c r="T1067" i="2"/>
  <c r="T1066" i="2"/>
  <c r="T1065" i="2"/>
  <c r="T1064" i="2"/>
  <c r="T1063" i="2"/>
  <c r="T1062" i="2"/>
  <c r="T1061" i="2"/>
  <c r="T1060" i="2"/>
  <c r="T1059" i="2"/>
  <c r="T1058" i="2"/>
  <c r="T1057" i="2"/>
  <c r="T1056" i="2"/>
  <c r="T1055" i="2"/>
  <c r="T1053" i="2"/>
  <c r="T1052" i="2"/>
  <c r="T1051" i="2"/>
  <c r="T1050" i="2"/>
  <c r="T1049" i="2"/>
  <c r="T1048" i="2"/>
  <c r="T1047" i="2"/>
  <c r="T1046" i="2"/>
  <c r="T1045" i="2"/>
  <c r="T1035" i="2"/>
  <c r="T1034" i="2"/>
  <c r="T1033" i="2"/>
  <c r="T1032" i="2"/>
  <c r="T1031" i="2"/>
  <c r="T1030" i="2"/>
  <c r="T1029" i="2"/>
  <c r="T1028" i="2"/>
  <c r="T1027" i="2"/>
  <c r="T1026" i="2"/>
  <c r="T1025" i="2"/>
  <c r="T1023" i="2"/>
  <c r="T1022" i="2"/>
  <c r="T1021" i="2"/>
  <c r="T1020" i="2"/>
  <c r="T1019" i="2"/>
  <c r="T1016" i="2"/>
  <c r="T1015" i="2"/>
  <c r="T1014" i="2"/>
  <c r="T1013" i="2"/>
  <c r="T1012" i="2"/>
  <c r="T1011" i="2"/>
  <c r="T1010" i="2"/>
  <c r="T1009" i="2"/>
  <c r="T1008" i="2"/>
  <c r="T1007" i="2"/>
  <c r="T1006" i="2"/>
  <c r="T1005" i="2"/>
  <c r="T1004" i="2"/>
  <c r="T1003" i="2"/>
  <c r="T1002" i="2"/>
  <c r="T1001" i="2"/>
  <c r="T1000" i="2"/>
  <c r="T999" i="2"/>
  <c r="T998" i="2"/>
  <c r="T997" i="2"/>
  <c r="T996" i="2"/>
  <c r="T995" i="2"/>
  <c r="T994" i="2"/>
  <c r="T993" i="2"/>
  <c r="T992" i="2"/>
  <c r="T991" i="2"/>
  <c r="T990" i="2"/>
  <c r="T989" i="2"/>
  <c r="T988" i="2"/>
  <c r="T987" i="2"/>
  <c r="T986" i="2"/>
  <c r="T985" i="2"/>
  <c r="T984" i="2"/>
  <c r="T983" i="2"/>
  <c r="T982" i="2"/>
  <c r="T981" i="2"/>
  <c r="T980" i="2"/>
  <c r="T979" i="2"/>
  <c r="T978" i="2"/>
  <c r="T977" i="2"/>
  <c r="T976" i="2"/>
  <c r="T975" i="2"/>
  <c r="T974" i="2"/>
  <c r="T973" i="2"/>
  <c r="T972" i="2"/>
  <c r="T971" i="2"/>
  <c r="T970" i="2"/>
  <c r="T969" i="2"/>
  <c r="T968" i="2"/>
  <c r="T967" i="2"/>
  <c r="T966" i="2"/>
  <c r="T965" i="2"/>
  <c r="T964" i="2"/>
  <c r="T963" i="2"/>
  <c r="T962" i="2"/>
  <c r="T961" i="2"/>
  <c r="T960" i="2"/>
  <c r="T959" i="2"/>
  <c r="T958" i="2"/>
  <c r="T957" i="2"/>
  <c r="T956" i="2"/>
  <c r="T955" i="2"/>
  <c r="T954" i="2"/>
  <c r="T953" i="2"/>
  <c r="T952" i="2"/>
  <c r="T951" i="2"/>
  <c r="T950" i="2"/>
  <c r="T949" i="2"/>
  <c r="T948" i="2"/>
  <c r="T947" i="2"/>
  <c r="T946" i="2"/>
  <c r="T945" i="2"/>
  <c r="T944" i="2"/>
  <c r="T943" i="2"/>
  <c r="T942" i="2"/>
  <c r="T941" i="2"/>
  <c r="T940" i="2"/>
  <c r="T939" i="2"/>
  <c r="T938" i="2"/>
  <c r="T937" i="2"/>
  <c r="T936" i="2"/>
  <c r="T935" i="2"/>
  <c r="T934" i="2"/>
  <c r="T933" i="2"/>
  <c r="T932" i="2"/>
  <c r="T931" i="2"/>
  <c r="T930" i="2"/>
  <c r="T929" i="2"/>
  <c r="T928" i="2"/>
  <c r="T927" i="2"/>
  <c r="T926" i="2"/>
  <c r="T925" i="2"/>
  <c r="T924" i="2"/>
  <c r="T923" i="2"/>
  <c r="T922" i="2"/>
  <c r="T921" i="2"/>
  <c r="T920" i="2"/>
  <c r="T919" i="2"/>
  <c r="T918" i="2"/>
  <c r="T917" i="2"/>
  <c r="T916" i="2"/>
  <c r="T915" i="2"/>
  <c r="T914" i="2"/>
  <c r="T913" i="2"/>
  <c r="T912" i="2"/>
  <c r="T911" i="2"/>
  <c r="T910" i="2"/>
  <c r="T909" i="2"/>
  <c r="T908" i="2"/>
  <c r="T907" i="2"/>
  <c r="T906" i="2"/>
  <c r="T905" i="2"/>
  <c r="T904" i="2"/>
  <c r="T903" i="2"/>
  <c r="T902" i="2"/>
  <c r="T901" i="2"/>
  <c r="T900" i="2"/>
  <c r="T899" i="2"/>
  <c r="T898" i="2"/>
  <c r="T897" i="2"/>
  <c r="T896" i="2"/>
  <c r="T895" i="2"/>
  <c r="T894" i="2"/>
  <c r="T893" i="2"/>
  <c r="T892" i="2"/>
  <c r="T891" i="2"/>
  <c r="T890" i="2"/>
  <c r="T889" i="2"/>
  <c r="T888" i="2"/>
  <c r="T887" i="2"/>
  <c r="T886" i="2"/>
  <c r="T885" i="2"/>
  <c r="T884" i="2"/>
  <c r="T883" i="2"/>
  <c r="T882" i="2"/>
  <c r="T881" i="2"/>
  <c r="T880" i="2"/>
  <c r="T879" i="2"/>
  <c r="T878" i="2"/>
  <c r="T877" i="2"/>
  <c r="T876" i="2"/>
  <c r="T875" i="2"/>
  <c r="T874" i="2"/>
  <c r="T873" i="2"/>
  <c r="T872" i="2"/>
  <c r="T871" i="2"/>
  <c r="T870" i="2"/>
  <c r="T869" i="2"/>
  <c r="T868" i="2"/>
  <c r="T867" i="2"/>
  <c r="T866" i="2"/>
  <c r="T865" i="2"/>
  <c r="T864" i="2"/>
  <c r="T863" i="2"/>
  <c r="T862" i="2"/>
  <c r="T861" i="2"/>
  <c r="T860" i="2"/>
  <c r="T859" i="2"/>
  <c r="T858" i="2"/>
  <c r="T857" i="2"/>
  <c r="T856" i="2"/>
  <c r="T855" i="2"/>
  <c r="T854" i="2"/>
  <c r="T853" i="2"/>
  <c r="T852" i="2"/>
  <c r="T851" i="2"/>
  <c r="T850" i="2"/>
  <c r="T849" i="2"/>
  <c r="T848" i="2"/>
  <c r="T847" i="2"/>
  <c r="T846" i="2"/>
  <c r="T845" i="2"/>
  <c r="T844" i="2"/>
  <c r="T843" i="2"/>
  <c r="T842" i="2"/>
  <c r="T841" i="2"/>
  <c r="T840" i="2"/>
  <c r="T839" i="2"/>
  <c r="T838" i="2"/>
  <c r="T837" i="2"/>
  <c r="T836" i="2"/>
  <c r="T835" i="2"/>
  <c r="T834" i="2"/>
  <c r="T833" i="2"/>
  <c r="T832" i="2"/>
  <c r="T831" i="2"/>
  <c r="T830" i="2"/>
  <c r="T829" i="2"/>
  <c r="T828" i="2"/>
  <c r="T827" i="2"/>
  <c r="T826" i="2"/>
  <c r="T825" i="2"/>
  <c r="T824" i="2"/>
  <c r="T823" i="2"/>
  <c r="T822" i="2"/>
  <c r="T821" i="2"/>
  <c r="T820" i="2"/>
  <c r="T819" i="2"/>
  <c r="T818" i="2"/>
  <c r="T817" i="2"/>
  <c r="T816" i="2"/>
  <c r="T815" i="2"/>
  <c r="T814" i="2"/>
  <c r="T813" i="2"/>
  <c r="T812" i="2"/>
  <c r="T811" i="2"/>
  <c r="T810" i="2"/>
  <c r="T809" i="2"/>
  <c r="T808" i="2"/>
  <c r="T807" i="2"/>
  <c r="T806" i="2"/>
  <c r="T805" i="2"/>
  <c r="T804" i="2"/>
  <c r="T803" i="2"/>
  <c r="T802" i="2"/>
  <c r="T801" i="2"/>
  <c r="T800" i="2"/>
  <c r="T799" i="2"/>
  <c r="T798" i="2"/>
  <c r="T797" i="2"/>
  <c r="T796" i="2"/>
  <c r="T795" i="2"/>
  <c r="T794" i="2"/>
  <c r="T793" i="2"/>
  <c r="T792" i="2"/>
  <c r="T791" i="2"/>
  <c r="T790" i="2"/>
  <c r="T789" i="2"/>
  <c r="T788" i="2"/>
  <c r="T787" i="2"/>
  <c r="T786" i="2"/>
  <c r="T785" i="2"/>
  <c r="T784" i="2"/>
  <c r="T783" i="2"/>
  <c r="T782" i="2"/>
  <c r="T781" i="2"/>
  <c r="T780" i="2"/>
  <c r="T779" i="2"/>
  <c r="T778" i="2"/>
  <c r="T777" i="2"/>
  <c r="T776" i="2"/>
  <c r="T775" i="2"/>
  <c r="T774" i="2"/>
  <c r="T773" i="2"/>
  <c r="T772" i="2"/>
  <c r="T771" i="2"/>
  <c r="T770" i="2"/>
  <c r="T769" i="2"/>
  <c r="T768" i="2"/>
  <c r="T767" i="2"/>
  <c r="T766" i="2"/>
  <c r="T765" i="2"/>
  <c r="T764" i="2"/>
  <c r="T763" i="2"/>
  <c r="T762" i="2"/>
  <c r="T761" i="2"/>
  <c r="T760" i="2"/>
  <c r="T759" i="2"/>
  <c r="T758" i="2"/>
  <c r="T757" i="2"/>
  <c r="T756" i="2"/>
  <c r="T755" i="2"/>
  <c r="T754" i="2"/>
  <c r="T753" i="2"/>
  <c r="T752" i="2"/>
  <c r="T751" i="2"/>
  <c r="T750" i="2"/>
  <c r="T749" i="2"/>
  <c r="T748" i="2"/>
  <c r="T747" i="2"/>
  <c r="T746" i="2"/>
  <c r="T745" i="2"/>
  <c r="T744" i="2"/>
  <c r="T743" i="2"/>
  <c r="T742" i="2"/>
  <c r="T741" i="2"/>
  <c r="T740" i="2"/>
  <c r="T739" i="2"/>
  <c r="T738" i="2"/>
  <c r="T737" i="2"/>
  <c r="T736" i="2"/>
  <c r="T735" i="2"/>
  <c r="T734" i="2"/>
  <c r="T733" i="2"/>
  <c r="T732" i="2"/>
  <c r="T731" i="2"/>
  <c r="T730" i="2"/>
  <c r="T729" i="2"/>
  <c r="T728" i="2"/>
  <c r="T727" i="2"/>
  <c r="T726" i="2"/>
  <c r="T725" i="2"/>
  <c r="T724" i="2"/>
  <c r="T723" i="2"/>
  <c r="T722" i="2"/>
  <c r="T721" i="2"/>
  <c r="T720" i="2"/>
  <c r="T719" i="2"/>
  <c r="T718" i="2"/>
  <c r="T717" i="2"/>
  <c r="T716" i="2"/>
  <c r="T715" i="2"/>
  <c r="T714" i="2"/>
  <c r="T713" i="2"/>
  <c r="T712" i="2"/>
  <c r="T711" i="2"/>
  <c r="T710" i="2"/>
  <c r="T709" i="2"/>
  <c r="T708" i="2"/>
  <c r="T707" i="2"/>
  <c r="T706" i="2"/>
  <c r="T705" i="2"/>
  <c r="T704" i="2"/>
  <c r="T703" i="2"/>
  <c r="T702" i="2"/>
  <c r="T701" i="2"/>
  <c r="T700" i="2"/>
  <c r="T699" i="2"/>
  <c r="T698" i="2"/>
  <c r="T697" i="2"/>
  <c r="T696" i="2"/>
  <c r="T695" i="2"/>
  <c r="T694" i="2"/>
  <c r="T693" i="2"/>
  <c r="T692" i="2"/>
  <c r="T691" i="2"/>
  <c r="T690" i="2"/>
  <c r="T689" i="2"/>
  <c r="T688" i="2"/>
  <c r="T687" i="2"/>
  <c r="T686" i="2"/>
  <c r="T685" i="2"/>
  <c r="T684" i="2"/>
  <c r="T683" i="2"/>
  <c r="T682" i="2"/>
  <c r="T681" i="2"/>
  <c r="T680" i="2"/>
  <c r="T679" i="2"/>
  <c r="T678" i="2"/>
  <c r="T677" i="2"/>
  <c r="T676" i="2"/>
  <c r="T675" i="2"/>
  <c r="T674" i="2"/>
  <c r="T673" i="2"/>
  <c r="T672" i="2"/>
  <c r="T671" i="2"/>
  <c r="T670" i="2"/>
  <c r="T669" i="2"/>
  <c r="T668" i="2"/>
  <c r="T667" i="2"/>
  <c r="T666" i="2"/>
  <c r="T665" i="2"/>
  <c r="T664" i="2"/>
  <c r="T663" i="2"/>
  <c r="T662" i="2"/>
  <c r="T661" i="2"/>
  <c r="T660" i="2"/>
  <c r="T659" i="2"/>
  <c r="T658" i="2"/>
  <c r="T657" i="2"/>
  <c r="T656" i="2"/>
  <c r="T655" i="2"/>
  <c r="T654" i="2"/>
  <c r="T653" i="2"/>
  <c r="T652" i="2"/>
  <c r="T651" i="2"/>
  <c r="T650" i="2"/>
  <c r="T649" i="2"/>
  <c r="T648" i="2"/>
  <c r="T647" i="2"/>
  <c r="T646" i="2"/>
  <c r="T645" i="2"/>
  <c r="T644" i="2"/>
  <c r="T643" i="2"/>
  <c r="T642" i="2"/>
  <c r="T641" i="2"/>
  <c r="T640" i="2"/>
  <c r="T639" i="2"/>
  <c r="T638" i="2"/>
  <c r="T637" i="2"/>
  <c r="T636" i="2"/>
  <c r="T635" i="2"/>
  <c r="T634" i="2"/>
  <c r="T633" i="2"/>
  <c r="T632" i="2"/>
  <c r="T631" i="2"/>
  <c r="T630" i="2"/>
  <c r="T629" i="2"/>
  <c r="T628" i="2"/>
  <c r="T627" i="2"/>
  <c r="T626" i="2"/>
  <c r="T625" i="2"/>
  <c r="T624" i="2"/>
  <c r="T623" i="2"/>
  <c r="T622" i="2"/>
  <c r="T621" i="2"/>
  <c r="T620" i="2"/>
  <c r="T619" i="2"/>
  <c r="T618" i="2"/>
  <c r="T617" i="2"/>
  <c r="T616" i="2"/>
  <c r="T615" i="2"/>
  <c r="T614" i="2"/>
  <c r="T613" i="2"/>
  <c r="T612" i="2"/>
  <c r="T611" i="2"/>
  <c r="T610" i="2"/>
  <c r="T609" i="2"/>
  <c r="T608" i="2"/>
  <c r="T607" i="2"/>
  <c r="T606" i="2"/>
  <c r="T605" i="2"/>
  <c r="T604" i="2"/>
  <c r="T603" i="2"/>
  <c r="T602" i="2"/>
  <c r="T601" i="2"/>
  <c r="T600" i="2"/>
  <c r="T599" i="2"/>
  <c r="T598" i="2"/>
  <c r="T597" i="2"/>
  <c r="T596" i="2"/>
  <c r="T595" i="2"/>
  <c r="T594" i="2"/>
  <c r="T593" i="2"/>
  <c r="T592" i="2"/>
  <c r="T591" i="2"/>
  <c r="T590" i="2"/>
  <c r="T589" i="2"/>
  <c r="T588" i="2"/>
  <c r="T587" i="2"/>
  <c r="T586" i="2"/>
  <c r="T585" i="2"/>
  <c r="T584" i="2"/>
  <c r="T583" i="2"/>
  <c r="T582" i="2"/>
  <c r="T581" i="2"/>
  <c r="T580" i="2"/>
  <c r="T579" i="2"/>
  <c r="T578" i="2"/>
  <c r="T577" i="2"/>
  <c r="T576" i="2"/>
  <c r="T575" i="2"/>
  <c r="T574" i="2"/>
  <c r="T573" i="2"/>
  <c r="T572" i="2"/>
  <c r="T571" i="2"/>
  <c r="T570" i="2"/>
  <c r="T569" i="2"/>
  <c r="T568" i="2"/>
  <c r="T567" i="2"/>
  <c r="T566" i="2"/>
  <c r="T565" i="2"/>
  <c r="T564" i="2"/>
  <c r="T563" i="2"/>
  <c r="T562" i="2"/>
  <c r="T561" i="2"/>
  <c r="T560" i="2"/>
  <c r="T559" i="2"/>
  <c r="T558" i="2"/>
  <c r="T557" i="2"/>
  <c r="T556" i="2"/>
  <c r="T555" i="2"/>
  <c r="T554" i="2"/>
  <c r="T553" i="2"/>
  <c r="T552" i="2"/>
  <c r="T551" i="2"/>
  <c r="T550" i="2"/>
  <c r="T549" i="2"/>
  <c r="T548" i="2"/>
  <c r="T547" i="2"/>
  <c r="T546" i="2"/>
  <c r="T545" i="2"/>
  <c r="T544" i="2"/>
  <c r="T543" i="2"/>
  <c r="T542" i="2"/>
  <c r="T541" i="2"/>
  <c r="T540" i="2"/>
  <c r="T539" i="2"/>
  <c r="T538" i="2"/>
  <c r="T537" i="2"/>
  <c r="T536" i="2"/>
  <c r="T535" i="2"/>
  <c r="T534" i="2"/>
  <c r="T533" i="2"/>
  <c r="T532" i="2"/>
  <c r="T531" i="2"/>
  <c r="T530" i="2"/>
  <c r="T529" i="2"/>
  <c r="T528" i="2"/>
  <c r="T527" i="2"/>
  <c r="T526" i="2"/>
  <c r="T525" i="2"/>
  <c r="T524" i="2"/>
  <c r="T523" i="2"/>
  <c r="T522" i="2"/>
  <c r="T521" i="2"/>
  <c r="T520" i="2"/>
  <c r="T519" i="2"/>
  <c r="T518" i="2"/>
  <c r="T517" i="2"/>
  <c r="T516" i="2"/>
  <c r="T515" i="2"/>
  <c r="T514" i="2"/>
  <c r="T513" i="2"/>
  <c r="T512" i="2"/>
  <c r="T511" i="2"/>
  <c r="T510" i="2"/>
  <c r="T509" i="2"/>
  <c r="T508" i="2"/>
  <c r="T507" i="2"/>
  <c r="T506" i="2"/>
  <c r="T505" i="2"/>
  <c r="T504" i="2"/>
  <c r="T503" i="2"/>
  <c r="T502" i="2"/>
  <c r="T501" i="2"/>
  <c r="T500" i="2"/>
  <c r="T499" i="2"/>
  <c r="T498" i="2"/>
  <c r="T497" i="2"/>
  <c r="T496" i="2"/>
  <c r="T495" i="2"/>
  <c r="T494" i="2"/>
  <c r="T493" i="2"/>
  <c r="T492" i="2"/>
  <c r="T491" i="2"/>
  <c r="T490" i="2"/>
  <c r="T489" i="2"/>
  <c r="T488" i="2"/>
  <c r="T487" i="2"/>
  <c r="T486" i="2"/>
  <c r="T485" i="2"/>
  <c r="T484" i="2"/>
  <c r="T483" i="2"/>
  <c r="T482" i="2"/>
  <c r="T481" i="2"/>
  <c r="T480" i="2"/>
  <c r="T479" i="2"/>
  <c r="T478" i="2"/>
  <c r="T477" i="2"/>
  <c r="T476" i="2"/>
  <c r="T475" i="2"/>
  <c r="T474" i="2"/>
  <c r="T473" i="2"/>
  <c r="T472" i="2"/>
  <c r="T471" i="2"/>
  <c r="T470" i="2"/>
  <c r="T469" i="2"/>
  <c r="T468" i="2"/>
  <c r="T467" i="2"/>
  <c r="T466" i="2"/>
  <c r="T465" i="2"/>
  <c r="T464" i="2"/>
  <c r="T463" i="2"/>
  <c r="T462" i="2"/>
  <c r="T461" i="2"/>
  <c r="T460" i="2"/>
  <c r="T459" i="2"/>
  <c r="T458" i="2"/>
  <c r="T457" i="2"/>
  <c r="T456" i="2"/>
  <c r="T455" i="2"/>
  <c r="T454" i="2"/>
  <c r="T453" i="2"/>
  <c r="T452" i="2"/>
  <c r="T451" i="2"/>
  <c r="T450" i="2"/>
  <c r="T449" i="2"/>
  <c r="T448" i="2"/>
  <c r="T447" i="2"/>
  <c r="T446" i="2"/>
  <c r="T445" i="2"/>
  <c r="T444" i="2"/>
  <c r="T443" i="2"/>
  <c r="T442" i="2"/>
  <c r="T441" i="2"/>
  <c r="T440" i="2"/>
  <c r="T439" i="2"/>
  <c r="T438" i="2"/>
  <c r="T437" i="2"/>
  <c r="T436" i="2"/>
  <c r="T435" i="2"/>
  <c r="T434" i="2"/>
  <c r="T433" i="2"/>
  <c r="T432" i="2"/>
  <c r="T431" i="2"/>
  <c r="T430" i="2"/>
  <c r="T429" i="2"/>
  <c r="T428" i="2"/>
  <c r="T427" i="2"/>
  <c r="T426" i="2"/>
  <c r="T425" i="2"/>
  <c r="T424" i="2"/>
  <c r="T423" i="2"/>
  <c r="T422" i="2"/>
  <c r="T421" i="2"/>
  <c r="T420" i="2"/>
  <c r="T419" i="2"/>
  <c r="T418" i="2"/>
  <c r="T417" i="2"/>
  <c r="T416" i="2"/>
  <c r="T415" i="2"/>
  <c r="T414" i="2"/>
  <c r="T413" i="2"/>
  <c r="T412" i="2"/>
  <c r="T411" i="2"/>
  <c r="T410" i="2"/>
  <c r="T409" i="2"/>
  <c r="T408" i="2"/>
  <c r="T407" i="2"/>
  <c r="T406" i="2"/>
  <c r="T405" i="2"/>
  <c r="T404" i="2"/>
  <c r="T403" i="2"/>
  <c r="T402" i="2"/>
  <c r="T401" i="2"/>
  <c r="T400" i="2"/>
  <c r="T399" i="2"/>
  <c r="T398" i="2"/>
  <c r="T397" i="2"/>
  <c r="T396" i="2"/>
  <c r="T395" i="2"/>
  <c r="T394" i="2"/>
  <c r="T393" i="2"/>
  <c r="T392" i="2"/>
  <c r="T391" i="2"/>
  <c r="T390" i="2"/>
  <c r="T389" i="2"/>
  <c r="T388" i="2"/>
  <c r="T387" i="2"/>
  <c r="T386" i="2"/>
  <c r="T385" i="2"/>
  <c r="T384" i="2"/>
  <c r="T383" i="2"/>
  <c r="T382" i="2"/>
  <c r="T381" i="2"/>
  <c r="T380" i="2"/>
  <c r="T379" i="2"/>
  <c r="T378" i="2"/>
  <c r="T377" i="2"/>
  <c r="T376" i="2"/>
  <c r="T375" i="2"/>
  <c r="T374" i="2"/>
  <c r="T373" i="2"/>
  <c r="T372" i="2"/>
  <c r="T371" i="2"/>
  <c r="T370" i="2"/>
  <c r="T369" i="2"/>
  <c r="T368" i="2"/>
  <c r="T367" i="2"/>
  <c r="T366" i="2"/>
  <c r="T365" i="2"/>
  <c r="T364" i="2"/>
  <c r="T363" i="2"/>
  <c r="T362" i="2"/>
  <c r="T361" i="2"/>
  <c r="T360" i="2"/>
  <c r="T359" i="2"/>
  <c r="T358" i="2"/>
  <c r="T357" i="2"/>
  <c r="T356" i="2"/>
  <c r="T355" i="2"/>
  <c r="T354" i="2"/>
  <c r="T353" i="2"/>
  <c r="T352" i="2"/>
  <c r="T351" i="2"/>
  <c r="T350" i="2"/>
  <c r="T349" i="2"/>
  <c r="T348" i="2"/>
  <c r="T347" i="2"/>
  <c r="T346" i="2"/>
  <c r="T345" i="2"/>
  <c r="T344" i="2"/>
  <c r="T343" i="2"/>
  <c r="T342" i="2"/>
  <c r="T341" i="2"/>
  <c r="T340" i="2"/>
  <c r="T339" i="2"/>
  <c r="T338" i="2"/>
  <c r="T337" i="2"/>
  <c r="T336" i="2"/>
  <c r="T335" i="2"/>
  <c r="T334" i="2"/>
  <c r="T333" i="2"/>
  <c r="T332" i="2"/>
  <c r="T331" i="2"/>
  <c r="T330" i="2"/>
  <c r="T329" i="2"/>
  <c r="T328" i="2"/>
  <c r="T327" i="2"/>
  <c r="T326" i="2"/>
  <c r="T325" i="2"/>
  <c r="T324" i="2"/>
  <c r="T323" i="2"/>
  <c r="T322" i="2"/>
  <c r="T321" i="2"/>
  <c r="T320" i="2"/>
  <c r="T319" i="2"/>
  <c r="T318" i="2"/>
  <c r="T317" i="2"/>
  <c r="T316" i="2"/>
  <c r="T315" i="2"/>
  <c r="T314" i="2"/>
  <c r="T313" i="2"/>
  <c r="T312" i="2"/>
  <c r="T311" i="2"/>
  <c r="T310" i="2"/>
  <c r="T309" i="2"/>
  <c r="T308" i="2"/>
  <c r="T307" i="2"/>
  <c r="T306" i="2"/>
  <c r="T305" i="2"/>
  <c r="T304" i="2"/>
  <c r="T303" i="2"/>
  <c r="T302" i="2"/>
  <c r="T301" i="2"/>
  <c r="T300" i="2"/>
  <c r="T298" i="2"/>
  <c r="T299" i="2"/>
  <c r="T297" i="2"/>
  <c r="T296" i="2"/>
  <c r="T295" i="2"/>
  <c r="T294" i="2"/>
  <c r="T293" i="2"/>
  <c r="T292" i="2"/>
  <c r="T291" i="2"/>
  <c r="T290" i="2"/>
  <c r="T289" i="2"/>
  <c r="T288" i="2"/>
  <c r="T287" i="2"/>
  <c r="T286" i="2"/>
  <c r="T285" i="2"/>
  <c r="T284" i="2"/>
  <c r="T283" i="2"/>
  <c r="T282" i="2"/>
  <c r="T281" i="2"/>
  <c r="T280" i="2"/>
  <c r="T279" i="2"/>
  <c r="T278" i="2"/>
  <c r="T277" i="2"/>
  <c r="T276" i="2"/>
  <c r="T275" i="2"/>
  <c r="T274" i="2"/>
  <c r="T273" i="2"/>
  <c r="T272" i="2"/>
  <c r="T271" i="2"/>
  <c r="T270" i="2"/>
  <c r="T269" i="2"/>
  <c r="T268" i="2"/>
  <c r="T267" i="2"/>
  <c r="T266" i="2"/>
  <c r="T265" i="2"/>
  <c r="T264" i="2"/>
  <c r="T263" i="2"/>
  <c r="T262" i="2"/>
  <c r="T261" i="2"/>
  <c r="T260" i="2"/>
  <c r="T259" i="2"/>
  <c r="T258" i="2"/>
  <c r="T257" i="2"/>
  <c r="T256" i="2"/>
  <c r="T255" i="2"/>
  <c r="T254" i="2"/>
  <c r="T253" i="2"/>
  <c r="T252" i="2"/>
  <c r="T251" i="2"/>
  <c r="T250" i="2"/>
  <c r="T249" i="2"/>
  <c r="T248" i="2"/>
  <c r="T247" i="2"/>
  <c r="T246" i="2"/>
  <c r="T245" i="2"/>
  <c r="T244" i="2"/>
  <c r="T243" i="2"/>
  <c r="T242" i="2"/>
  <c r="T241" i="2"/>
  <c r="T240" i="2"/>
  <c r="T239" i="2"/>
  <c r="T238" i="2"/>
  <c r="T237" i="2"/>
  <c r="T236" i="2"/>
  <c r="T235" i="2"/>
  <c r="T234" i="2"/>
  <c r="T233" i="2"/>
  <c r="T232" i="2"/>
  <c r="T231" i="2"/>
  <c r="T230" i="2"/>
  <c r="T229" i="2"/>
  <c r="T228" i="2"/>
  <c r="T227" i="2"/>
  <c r="T226" i="2"/>
  <c r="T225" i="2"/>
  <c r="T224" i="2"/>
  <c r="T223" i="2"/>
  <c r="T222" i="2"/>
  <c r="T221" i="2"/>
  <c r="T220" i="2"/>
  <c r="T219" i="2"/>
  <c r="T218" i="2"/>
  <c r="T217" i="2"/>
  <c r="T216" i="2"/>
  <c r="T215" i="2"/>
  <c r="T214" i="2"/>
  <c r="T213" i="2"/>
  <c r="T212" i="2"/>
  <c r="T211" i="2"/>
  <c r="T210" i="2"/>
  <c r="T209" i="2"/>
  <c r="T208" i="2"/>
  <c r="T207" i="2"/>
  <c r="T206" i="2"/>
  <c r="T205" i="2"/>
  <c r="T204" i="2"/>
  <c r="T203" i="2"/>
  <c r="T202"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81" i="2"/>
  <c r="T80" i="2"/>
  <c r="T79" i="2"/>
  <c r="T78" i="2"/>
  <c r="T77" i="2"/>
  <c r="T76" i="2"/>
  <c r="T75" i="2"/>
  <c r="T74" i="2"/>
  <c r="T73" i="2"/>
  <c r="T72" i="2"/>
  <c r="T71" i="2"/>
  <c r="T70" i="2"/>
  <c r="T69" i="2"/>
  <c r="T68" i="2"/>
  <c r="T67" i="2"/>
  <c r="T66" i="2"/>
  <c r="T65" i="2"/>
  <c r="T64" i="2"/>
  <c r="T63" i="2"/>
  <c r="T62" i="2"/>
  <c r="T61" i="2"/>
  <c r="T60" i="2"/>
  <c r="T59" i="2"/>
  <c r="T58" i="2"/>
  <c r="T57" i="2"/>
  <c r="T56" i="2"/>
  <c r="T55" i="2"/>
  <c r="T54" i="2"/>
  <c r="T53" i="2"/>
  <c r="T52" i="2"/>
  <c r="T51" i="2"/>
  <c r="T50" i="2"/>
  <c r="T49" i="2"/>
  <c r="T48" i="2"/>
  <c r="T47" i="2"/>
  <c r="T46" i="2"/>
  <c r="T45" i="2"/>
  <c r="T44" i="2"/>
  <c r="T43" i="2"/>
  <c r="T42" i="2"/>
  <c r="T41" i="2"/>
  <c r="T40" i="2"/>
  <c r="T39" i="2"/>
  <c r="T38" i="2"/>
  <c r="T37" i="2"/>
  <c r="T36" i="2"/>
  <c r="T35" i="2"/>
  <c r="T34" i="2"/>
  <c r="T33" i="2"/>
  <c r="T32" i="2"/>
  <c r="T31" i="2"/>
  <c r="T30" i="2"/>
  <c r="T29" i="2"/>
  <c r="T28" i="2"/>
  <c r="T27" i="2"/>
  <c r="T26" i="2"/>
  <c r="T25" i="2"/>
  <c r="T24" i="2"/>
  <c r="T23" i="2"/>
  <c r="T22" i="2"/>
  <c r="T21" i="2"/>
  <c r="T20" i="2"/>
  <c r="T19" i="2"/>
  <c r="T18" i="2"/>
  <c r="T17" i="2"/>
  <c r="T16" i="2"/>
  <c r="T15" i="2"/>
  <c r="T14" i="2"/>
  <c r="T13" i="2"/>
  <c r="T12" i="2"/>
  <c r="T11" i="2"/>
  <c r="T10" i="2"/>
  <c r="T9" i="2"/>
  <c r="T8" i="2"/>
  <c r="F6" i="12"/>
  <c r="F5" i="12" s="1"/>
  <c r="F7" i="12"/>
  <c r="D72" i="12"/>
  <c r="Y1113" i="2"/>
  <c r="Y1109" i="2"/>
  <c r="Y1108" i="2"/>
  <c r="Y1107"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3" i="2"/>
  <c r="Y1052" i="2"/>
  <c r="Y1051" i="2"/>
  <c r="Y1050" i="2"/>
  <c r="Y1049" i="2"/>
  <c r="Y1048" i="2"/>
  <c r="Y1047" i="2"/>
  <c r="Y1046" i="2"/>
  <c r="Y1045" i="2"/>
  <c r="Y1044" i="2"/>
  <c r="Y1043" i="2"/>
  <c r="Y1042" i="2"/>
  <c r="Y1041" i="2"/>
  <c r="Y1040" i="2"/>
  <c r="Y1038" i="2"/>
  <c r="Y1036" i="2"/>
  <c r="Y1035" i="2"/>
  <c r="Y1034" i="2"/>
  <c r="Y1033" i="2"/>
  <c r="Y1032" i="2"/>
  <c r="Y1031" i="2"/>
  <c r="Y1030" i="2"/>
  <c r="Y1029" i="2"/>
  <c r="Y1028" i="2"/>
  <c r="Y1027" i="2"/>
  <c r="Y1026" i="2"/>
  <c r="Y1025"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8" i="2"/>
  <c r="Y299"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 r="Y10" i="2"/>
  <c r="Y9" i="2"/>
  <c r="Y8" i="2"/>
  <c r="Z1113" i="2"/>
  <c r="Z1109" i="2"/>
  <c r="Z1108" i="2"/>
  <c r="Z1107"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3" i="2"/>
  <c r="Z1052" i="2"/>
  <c r="Z1051" i="2"/>
  <c r="Z1050" i="2"/>
  <c r="Z1049" i="2"/>
  <c r="Z1048" i="2"/>
  <c r="Z1047" i="2"/>
  <c r="Z1046" i="2"/>
  <c r="Z1045" i="2"/>
  <c r="Z1044" i="2"/>
  <c r="Z1043" i="2"/>
  <c r="Z1042" i="2"/>
  <c r="Z1041" i="2"/>
  <c r="Z1040" i="2"/>
  <c r="Z1038" i="2"/>
  <c r="Z1036" i="2"/>
  <c r="Z1035" i="2"/>
  <c r="Z1034" i="2"/>
  <c r="Z1033" i="2"/>
  <c r="Z1032" i="2"/>
  <c r="Z1031" i="2"/>
  <c r="Z1030" i="2"/>
  <c r="Z1029" i="2"/>
  <c r="Z1028" i="2"/>
  <c r="Z1027" i="2"/>
  <c r="Z1026" i="2"/>
  <c r="Z1025"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8" i="2"/>
  <c r="Z299"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Z10" i="2"/>
  <c r="Z9" i="2"/>
  <c r="Z8" i="2"/>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N8" i="2"/>
  <c r="N9" i="2"/>
  <c r="N10" i="2"/>
  <c r="N11" i="2"/>
  <c r="L11" i="2" s="1"/>
  <c r="AB11" i="2" s="1"/>
  <c r="N12" i="2"/>
  <c r="L12" i="2" s="1"/>
  <c r="AB12" i="2" s="1"/>
  <c r="N13" i="2"/>
  <c r="N14" i="2"/>
  <c r="L14" i="2" s="1"/>
  <c r="AB14" i="2" s="1"/>
  <c r="N15" i="2"/>
  <c r="L15" i="2" s="1"/>
  <c r="AB15" i="2" s="1"/>
  <c r="N16" i="2"/>
  <c r="L16" i="2" s="1"/>
  <c r="AB16" i="2" s="1"/>
  <c r="N17" i="2"/>
  <c r="N18" i="2"/>
  <c r="L18" i="2" s="1"/>
  <c r="AB18" i="2" s="1"/>
  <c r="N19" i="2"/>
  <c r="N20" i="2"/>
  <c r="L20" i="2" s="1"/>
  <c r="AB20" i="2" s="1"/>
  <c r="N21" i="2"/>
  <c r="N22" i="2"/>
  <c r="L22" i="2" s="1"/>
  <c r="AB22" i="2" s="1"/>
  <c r="N23" i="2"/>
  <c r="N24" i="2"/>
  <c r="N25" i="2"/>
  <c r="P25" i="2" s="1"/>
  <c r="N26" i="2"/>
  <c r="L26" i="2" s="1"/>
  <c r="AB26" i="2" s="1"/>
  <c r="N27" i="2"/>
  <c r="L27" i="2" s="1"/>
  <c r="AB27" i="2" s="1"/>
  <c r="N28" i="2"/>
  <c r="L28" i="2" s="1"/>
  <c r="AB28" i="2" s="1"/>
  <c r="N29" i="2"/>
  <c r="N30" i="2"/>
  <c r="L30" i="2" s="1"/>
  <c r="AB30" i="2" s="1"/>
  <c r="N31" i="2"/>
  <c r="N32" i="2"/>
  <c r="L32" i="2" s="1"/>
  <c r="AB32" i="2" s="1"/>
  <c r="N33" i="2"/>
  <c r="P33" i="2" s="1"/>
  <c r="N34" i="2"/>
  <c r="N35" i="2"/>
  <c r="N36" i="2"/>
  <c r="L36" i="2" s="1"/>
  <c r="AB36" i="2" s="1"/>
  <c r="N37" i="2"/>
  <c r="L37" i="2" s="1"/>
  <c r="AB37" i="2" s="1"/>
  <c r="N38" i="2"/>
  <c r="N39" i="2"/>
  <c r="L39" i="2" s="1"/>
  <c r="AB39" i="2" s="1"/>
  <c r="N40" i="2"/>
  <c r="L40" i="2" s="1"/>
  <c r="AB40" i="2" s="1"/>
  <c r="N41" i="2"/>
  <c r="L41" i="2" s="1"/>
  <c r="AB41" i="2" s="1"/>
  <c r="N42" i="2"/>
  <c r="P42" i="2" s="1"/>
  <c r="N43" i="2"/>
  <c r="L43" i="2" s="1"/>
  <c r="AB43" i="2" s="1"/>
  <c r="N44" i="2"/>
  <c r="L44" i="2" s="1"/>
  <c r="AB44" i="2" s="1"/>
  <c r="N45" i="2"/>
  <c r="N46" i="2"/>
  <c r="L46" i="2" s="1"/>
  <c r="AB46" i="2" s="1"/>
  <c r="N47" i="2"/>
  <c r="L47" i="2" s="1"/>
  <c r="AB47" i="2" s="1"/>
  <c r="N48" i="2"/>
  <c r="P48" i="2" s="1"/>
  <c r="N49" i="2"/>
  <c r="L49" i="2" s="1"/>
  <c r="AB49" i="2" s="1"/>
  <c r="N50" i="2"/>
  <c r="P50" i="2" s="1"/>
  <c r="N51" i="2"/>
  <c r="N52" i="2"/>
  <c r="P52" i="2" s="1"/>
  <c r="N53" i="2"/>
  <c r="L53" i="2" s="1"/>
  <c r="AB53" i="2" s="1"/>
  <c r="N54" i="2"/>
  <c r="N55" i="2"/>
  <c r="N56" i="2"/>
  <c r="L56" i="2" s="1"/>
  <c r="AB56" i="2" s="1"/>
  <c r="N57" i="2"/>
  <c r="L57" i="2" s="1"/>
  <c r="AB57" i="2" s="1"/>
  <c r="N58" i="2"/>
  <c r="L58" i="2" s="1"/>
  <c r="AB58" i="2" s="1"/>
  <c r="N59" i="2"/>
  <c r="P59" i="2" s="1"/>
  <c r="N60" i="2"/>
  <c r="L60" i="2" s="1"/>
  <c r="AB60" i="2" s="1"/>
  <c r="N61" i="2"/>
  <c r="N62" i="2"/>
  <c r="L62" i="2" s="1"/>
  <c r="AB62" i="2" s="1"/>
  <c r="N63" i="2"/>
  <c r="L63" i="2" s="1"/>
  <c r="AB63" i="2" s="1"/>
  <c r="N64" i="2"/>
  <c r="P64" i="2" s="1"/>
  <c r="N65" i="2"/>
  <c r="P65" i="2" s="1"/>
  <c r="N66" i="2"/>
  <c r="N67" i="2"/>
  <c r="L67" i="2" s="1"/>
  <c r="AB67" i="2" s="1"/>
  <c r="N68" i="2"/>
  <c r="L68" i="2" s="1"/>
  <c r="AB68" i="2" s="1"/>
  <c r="N69" i="2"/>
  <c r="L69" i="2" s="1"/>
  <c r="AB69" i="2" s="1"/>
  <c r="N70" i="2"/>
  <c r="N71" i="2"/>
  <c r="P71" i="2" s="1"/>
  <c r="N72" i="2"/>
  <c r="L72" i="2" s="1"/>
  <c r="AB72" i="2" s="1"/>
  <c r="N73" i="2"/>
  <c r="N74" i="2"/>
  <c r="N75" i="2"/>
  <c r="L75" i="2" s="1"/>
  <c r="AB75" i="2" s="1"/>
  <c r="N76" i="2"/>
  <c r="L76" i="2" s="1"/>
  <c r="AB76" i="2" s="1"/>
  <c r="N77" i="2"/>
  <c r="P77" i="2" s="1"/>
  <c r="N78" i="2"/>
  <c r="L78" i="2" s="1"/>
  <c r="AB78" i="2" s="1"/>
  <c r="N79" i="2"/>
  <c r="L79" i="2" s="1"/>
  <c r="AB79" i="2" s="1"/>
  <c r="N80" i="2"/>
  <c r="N81" i="2"/>
  <c r="N82" i="2"/>
  <c r="P82" i="2" s="1"/>
  <c r="N83" i="2"/>
  <c r="N84" i="2"/>
  <c r="N85" i="2"/>
  <c r="P85" i="2" s="1"/>
  <c r="N86" i="2"/>
  <c r="P86" i="2" s="1"/>
  <c r="N87" i="2"/>
  <c r="N88" i="2"/>
  <c r="L88" i="2" s="1"/>
  <c r="AB88" i="2" s="1"/>
  <c r="N89" i="2"/>
  <c r="N90" i="2"/>
  <c r="L90" i="2" s="1"/>
  <c r="AB90" i="2" s="1"/>
  <c r="N91" i="2"/>
  <c r="L91" i="2" s="1"/>
  <c r="AB91" i="2" s="1"/>
  <c r="N92" i="2"/>
  <c r="L92" i="2" s="1"/>
  <c r="AB92" i="2" s="1"/>
  <c r="N93" i="2"/>
  <c r="P93" i="2" s="1"/>
  <c r="N94" i="2"/>
  <c r="N95" i="2"/>
  <c r="L95" i="2" s="1"/>
  <c r="AB95" i="2" s="1"/>
  <c r="N96" i="2"/>
  <c r="P96" i="2" s="1"/>
  <c r="N97" i="2"/>
  <c r="P97" i="2" s="1"/>
  <c r="N98" i="2"/>
  <c r="N99" i="2"/>
  <c r="L99" i="2" s="1"/>
  <c r="AB99" i="2" s="1"/>
  <c r="N100" i="2"/>
  <c r="L100" i="2" s="1"/>
  <c r="AB100" i="2" s="1"/>
  <c r="N101" i="2"/>
  <c r="P101" i="2" s="1"/>
  <c r="N102" i="2"/>
  <c r="P102" i="2" s="1"/>
  <c r="N103" i="2"/>
  <c r="L103" i="2" s="1"/>
  <c r="AB103" i="2" s="1"/>
  <c r="N104" i="2"/>
  <c r="L104" i="2" s="1"/>
  <c r="AB104" i="2" s="1"/>
  <c r="N105" i="2"/>
  <c r="L105" i="2" s="1"/>
  <c r="AB105" i="2" s="1"/>
  <c r="N106" i="2"/>
  <c r="P106" i="2" s="1"/>
  <c r="N107" i="2"/>
  <c r="L107" i="2" s="1"/>
  <c r="AB107" i="2" s="1"/>
  <c r="N108" i="2"/>
  <c r="L108" i="2" s="1"/>
  <c r="AB108" i="2" s="1"/>
  <c r="N109" i="2"/>
  <c r="P109" i="2" s="1"/>
  <c r="N110" i="2"/>
  <c r="L110" i="2" s="1"/>
  <c r="AB110" i="2" s="1"/>
  <c r="N111" i="2"/>
  <c r="L111" i="2" s="1"/>
  <c r="AB111" i="2" s="1"/>
  <c r="N112" i="2"/>
  <c r="N113" i="2"/>
  <c r="L113" i="2" s="1"/>
  <c r="AB113" i="2" s="1"/>
  <c r="N114" i="2"/>
  <c r="N115" i="2"/>
  <c r="L115" i="2" s="1"/>
  <c r="AB115" i="2" s="1"/>
  <c r="N116" i="2"/>
  <c r="N117" i="2"/>
  <c r="P117" i="2" s="1"/>
  <c r="N118" i="2"/>
  <c r="N119" i="2"/>
  <c r="L119" i="2" s="1"/>
  <c r="AB119" i="2" s="1"/>
  <c r="N120" i="2"/>
  <c r="N121" i="2"/>
  <c r="P121" i="2" s="1"/>
  <c r="N122" i="2"/>
  <c r="P122" i="2" s="1"/>
  <c r="N123" i="2"/>
  <c r="P123" i="2" s="1"/>
  <c r="N124" i="2"/>
  <c r="N125" i="2"/>
  <c r="P125" i="2" s="1"/>
  <c r="N126" i="2"/>
  <c r="N127" i="2"/>
  <c r="L127" i="2" s="1"/>
  <c r="AB127" i="2" s="1"/>
  <c r="N128" i="2"/>
  <c r="L128" i="2" s="1"/>
  <c r="AB128" i="2" s="1"/>
  <c r="N129" i="2"/>
  <c r="P129" i="2" s="1"/>
  <c r="N130" i="2"/>
  <c r="L130" i="2" s="1"/>
  <c r="AB130" i="2" s="1"/>
  <c r="N131" i="2"/>
  <c r="N132" i="2"/>
  <c r="N133" i="2"/>
  <c r="L133" i="2" s="1"/>
  <c r="AB133" i="2" s="1"/>
  <c r="N134" i="2"/>
  <c r="L134" i="2" s="1"/>
  <c r="AB134" i="2" s="1"/>
  <c r="N135" i="2"/>
  <c r="L135" i="2" s="1"/>
  <c r="AB135" i="2" s="1"/>
  <c r="N136" i="2"/>
  <c r="L136" i="2" s="1"/>
  <c r="AB136" i="2" s="1"/>
  <c r="N137" i="2"/>
  <c r="L137" i="2" s="1"/>
  <c r="AB137" i="2" s="1"/>
  <c r="N138" i="2"/>
  <c r="L138" i="2" s="1"/>
  <c r="AB138" i="2" s="1"/>
  <c r="N139" i="2"/>
  <c r="L139" i="2" s="1"/>
  <c r="AB139" i="2" s="1"/>
  <c r="N140" i="2"/>
  <c r="N141" i="2"/>
  <c r="L141" i="2" s="1"/>
  <c r="AB141" i="2" s="1"/>
  <c r="N142" i="2"/>
  <c r="P142" i="2" s="1"/>
  <c r="N143" i="2"/>
  <c r="P143" i="2" s="1"/>
  <c r="N144" i="2"/>
  <c r="L144" i="2" s="1"/>
  <c r="AB144" i="2" s="1"/>
  <c r="N145" i="2"/>
  <c r="L145" i="2" s="1"/>
  <c r="AB145" i="2" s="1"/>
  <c r="N146" i="2"/>
  <c r="L146" i="2" s="1"/>
  <c r="AB146" i="2" s="1"/>
  <c r="N147" i="2"/>
  <c r="L147" i="2" s="1"/>
  <c r="AB147" i="2" s="1"/>
  <c r="N148" i="2"/>
  <c r="L148" i="2" s="1"/>
  <c r="AB148" i="2" s="1"/>
  <c r="N149" i="2"/>
  <c r="N150" i="2"/>
  <c r="N151" i="2"/>
  <c r="P151" i="2" s="1"/>
  <c r="N152" i="2"/>
  <c r="L152" i="2" s="1"/>
  <c r="AB152" i="2" s="1"/>
  <c r="N153" i="2"/>
  <c r="N154" i="2"/>
  <c r="N155" i="2"/>
  <c r="N156" i="2"/>
  <c r="L156" i="2" s="1"/>
  <c r="AB156" i="2" s="1"/>
  <c r="N157" i="2"/>
  <c r="N158" i="2"/>
  <c r="L158" i="2" s="1"/>
  <c r="AB158" i="2" s="1"/>
  <c r="N159" i="2"/>
  <c r="P159" i="2" s="1"/>
  <c r="N160" i="2"/>
  <c r="N161" i="2"/>
  <c r="N162" i="2"/>
  <c r="L162" i="2" s="1"/>
  <c r="AB162" i="2" s="1"/>
  <c r="N163" i="2"/>
  <c r="L163" i="2" s="1"/>
  <c r="AB163" i="2" s="1"/>
  <c r="N164" i="2"/>
  <c r="N165" i="2"/>
  <c r="N166" i="2"/>
  <c r="L166" i="2" s="1"/>
  <c r="AB166" i="2" s="1"/>
  <c r="N167" i="2"/>
  <c r="P167" i="2" s="1"/>
  <c r="N168" i="2"/>
  <c r="N169" i="2"/>
  <c r="L169" i="2" s="1"/>
  <c r="AB169" i="2" s="1"/>
  <c r="N170" i="2"/>
  <c r="P170" i="2" s="1"/>
  <c r="N171" i="2"/>
  <c r="L171" i="2" s="1"/>
  <c r="AB171" i="2" s="1"/>
  <c r="N172" i="2"/>
  <c r="L172" i="2" s="1"/>
  <c r="AB172" i="2" s="1"/>
  <c r="N173" i="2"/>
  <c r="L173" i="2" s="1"/>
  <c r="AB173" i="2" s="1"/>
  <c r="N174" i="2"/>
  <c r="P174" i="2" s="1"/>
  <c r="N175" i="2"/>
  <c r="P175" i="2" s="1"/>
  <c r="N176" i="2"/>
  <c r="P176" i="2" s="1"/>
  <c r="N177" i="2"/>
  <c r="N178" i="2"/>
  <c r="P178" i="2" s="1"/>
  <c r="N179" i="2"/>
  <c r="L179" i="2" s="1"/>
  <c r="AB179" i="2" s="1"/>
  <c r="N180" i="2"/>
  <c r="L180" i="2" s="1"/>
  <c r="AB180" i="2" s="1"/>
  <c r="N181" i="2"/>
  <c r="N182" i="2"/>
  <c r="L182" i="2" s="1"/>
  <c r="AB182" i="2" s="1"/>
  <c r="N183" i="2"/>
  <c r="P183" i="2" s="1"/>
  <c r="N184" i="2"/>
  <c r="P184" i="2" s="1"/>
  <c r="N185" i="2"/>
  <c r="L185" i="2" s="1"/>
  <c r="AB185" i="2" s="1"/>
  <c r="N186" i="2"/>
  <c r="P186" i="2" s="1"/>
  <c r="N187" i="2"/>
  <c r="P187" i="2" s="1"/>
  <c r="N188" i="2"/>
  <c r="N189" i="2"/>
  <c r="L189" i="2" s="1"/>
  <c r="AB189" i="2" s="1"/>
  <c r="N190" i="2"/>
  <c r="L190" i="2" s="1"/>
  <c r="AB190" i="2" s="1"/>
  <c r="N191" i="2"/>
  <c r="P191" i="2" s="1"/>
  <c r="N192" i="2"/>
  <c r="P192" i="2" s="1"/>
  <c r="N193" i="2"/>
  <c r="L193" i="2" s="1"/>
  <c r="AB193" i="2" s="1"/>
  <c r="N194" i="2"/>
  <c r="L194" i="2" s="1"/>
  <c r="AB194" i="2" s="1"/>
  <c r="N195" i="2"/>
  <c r="L195" i="2" s="1"/>
  <c r="AB195" i="2" s="1"/>
  <c r="N196" i="2"/>
  <c r="N197" i="2"/>
  <c r="N198" i="2"/>
  <c r="L198" i="2" s="1"/>
  <c r="AB198" i="2" s="1"/>
  <c r="N199" i="2"/>
  <c r="L199" i="2" s="1"/>
  <c r="AB199" i="2" s="1"/>
  <c r="N200" i="2"/>
  <c r="N201" i="2"/>
  <c r="N202" i="2"/>
  <c r="L202" i="2" s="1"/>
  <c r="AB202" i="2" s="1"/>
  <c r="N203" i="2"/>
  <c r="N204" i="2"/>
  <c r="L204" i="2" s="1"/>
  <c r="AB204" i="2" s="1"/>
  <c r="N205" i="2"/>
  <c r="L205" i="2" s="1"/>
  <c r="AB205" i="2" s="1"/>
  <c r="N206" i="2"/>
  <c r="P206" i="2" s="1"/>
  <c r="N207" i="2"/>
  <c r="P207" i="2" s="1"/>
  <c r="N208" i="2"/>
  <c r="P208" i="2" s="1"/>
  <c r="N209" i="2"/>
  <c r="N210" i="2"/>
  <c r="L210" i="2" s="1"/>
  <c r="AB210" i="2" s="1"/>
  <c r="N211" i="2"/>
  <c r="L211" i="2" s="1"/>
  <c r="AB211" i="2" s="1"/>
  <c r="N212" i="2"/>
  <c r="N213" i="2"/>
  <c r="P213" i="2" s="1"/>
  <c r="N214" i="2"/>
  <c r="P214" i="2" s="1"/>
  <c r="N215" i="2"/>
  <c r="L215" i="2" s="1"/>
  <c r="AB215" i="2" s="1"/>
  <c r="N216" i="2"/>
  <c r="N217" i="2"/>
  <c r="P217" i="2" s="1"/>
  <c r="N218" i="2"/>
  <c r="L218" i="2" s="1"/>
  <c r="AB218" i="2" s="1"/>
  <c r="N219" i="2"/>
  <c r="L219" i="2" s="1"/>
  <c r="AB219" i="2" s="1"/>
  <c r="N220" i="2"/>
  <c r="N221" i="2"/>
  <c r="P221" i="2" s="1"/>
  <c r="N222" i="2"/>
  <c r="L222" i="2" s="1"/>
  <c r="AB222" i="2" s="1"/>
  <c r="N223" i="2"/>
  <c r="P223" i="2" s="1"/>
  <c r="N224" i="2"/>
  <c r="P224" i="2" s="1"/>
  <c r="N225" i="2"/>
  <c r="L225" i="2" s="1"/>
  <c r="AB225" i="2" s="1"/>
  <c r="N226" i="2"/>
  <c r="L226" i="2" s="1"/>
  <c r="AB226" i="2" s="1"/>
  <c r="N227" i="2"/>
  <c r="N228" i="2"/>
  <c r="P228" i="2" s="1"/>
  <c r="N229" i="2"/>
  <c r="L229" i="2" s="1"/>
  <c r="AB229" i="2" s="1"/>
  <c r="N230" i="2"/>
  <c r="N231" i="2"/>
  <c r="L231" i="2" s="1"/>
  <c r="AB231" i="2" s="1"/>
  <c r="N232" i="2"/>
  <c r="P232" i="2" s="1"/>
  <c r="N233" i="2"/>
  <c r="P233" i="2" s="1"/>
  <c r="N234" i="2"/>
  <c r="L234" i="2" s="1"/>
  <c r="AB234" i="2" s="1"/>
  <c r="N235" i="2"/>
  <c r="L235" i="2" s="1"/>
  <c r="AB235" i="2" s="1"/>
  <c r="N236" i="2"/>
  <c r="P236" i="2" s="1"/>
  <c r="N237" i="2"/>
  <c r="N238" i="2"/>
  <c r="L238" i="2" s="1"/>
  <c r="AB238" i="2" s="1"/>
  <c r="N239" i="2"/>
  <c r="N240" i="2"/>
  <c r="P240" i="2" s="1"/>
  <c r="N241" i="2"/>
  <c r="L241" i="2" s="1"/>
  <c r="AB241" i="2" s="1"/>
  <c r="N242" i="2"/>
  <c r="N243" i="2"/>
  <c r="L243" i="2" s="1"/>
  <c r="AB243" i="2" s="1"/>
  <c r="N244" i="2"/>
  <c r="P244" i="2" s="1"/>
  <c r="N245" i="2"/>
  <c r="L245" i="2" s="1"/>
  <c r="AB245" i="2" s="1"/>
  <c r="N246" i="2"/>
  <c r="P246" i="2" s="1"/>
  <c r="N247" i="2"/>
  <c r="P247" i="2" s="1"/>
  <c r="N248" i="2"/>
  <c r="L248" i="2" s="1"/>
  <c r="AB248" i="2" s="1"/>
  <c r="N249" i="2"/>
  <c r="N250" i="2"/>
  <c r="L250" i="2" s="1"/>
  <c r="AB250" i="2" s="1"/>
  <c r="N251" i="2"/>
  <c r="L251" i="2" s="1"/>
  <c r="AB251" i="2" s="1"/>
  <c r="N252" i="2"/>
  <c r="P252" i="2" s="1"/>
  <c r="N253" i="2"/>
  <c r="P253" i="2" s="1"/>
  <c r="N254" i="2"/>
  <c r="L254" i="2" s="1"/>
  <c r="AB254" i="2" s="1"/>
  <c r="N255" i="2"/>
  <c r="L255" i="2" s="1"/>
  <c r="AB255" i="2" s="1"/>
  <c r="N256" i="2"/>
  <c r="L256" i="2" s="1"/>
  <c r="AB256" i="2" s="1"/>
  <c r="N257" i="2"/>
  <c r="L257" i="2" s="1"/>
  <c r="AB257" i="2" s="1"/>
  <c r="N258" i="2"/>
  <c r="P258" i="2" s="1"/>
  <c r="N259" i="2"/>
  <c r="N260" i="2"/>
  <c r="L260" i="2" s="1"/>
  <c r="AB260" i="2" s="1"/>
  <c r="N261" i="2"/>
  <c r="L261" i="2" s="1"/>
  <c r="AB261" i="2" s="1"/>
  <c r="N262" i="2"/>
  <c r="L262" i="2" s="1"/>
  <c r="AB262" i="2" s="1"/>
  <c r="N263" i="2"/>
  <c r="L263" i="2" s="1"/>
  <c r="AB263" i="2" s="1"/>
  <c r="N264" i="2"/>
  <c r="L264" i="2" s="1"/>
  <c r="AB264" i="2" s="1"/>
  <c r="N265" i="2"/>
  <c r="L265" i="2" s="1"/>
  <c r="AB265" i="2" s="1"/>
  <c r="N266" i="2"/>
  <c r="L266" i="2" s="1"/>
  <c r="AB266" i="2" s="1"/>
  <c r="N267" i="2"/>
  <c r="N268" i="2"/>
  <c r="L268" i="2" s="1"/>
  <c r="AB268" i="2" s="1"/>
  <c r="N269" i="2"/>
  <c r="L269" i="2" s="1"/>
  <c r="AB269" i="2" s="1"/>
  <c r="N270" i="2"/>
  <c r="L270" i="2" s="1"/>
  <c r="AB270" i="2" s="1"/>
  <c r="N271" i="2"/>
  <c r="N272" i="2"/>
  <c r="L272" i="2" s="1"/>
  <c r="AB272" i="2" s="1"/>
  <c r="N273" i="2"/>
  <c r="P273" i="2" s="1"/>
  <c r="N274" i="2"/>
  <c r="P274" i="2" s="1"/>
  <c r="N275" i="2"/>
  <c r="P275" i="2" s="1"/>
  <c r="N276" i="2"/>
  <c r="L276" i="2" s="1"/>
  <c r="AB276" i="2" s="1"/>
  <c r="N277" i="2"/>
  <c r="L277" i="2" s="1"/>
  <c r="AB277" i="2" s="1"/>
  <c r="N278" i="2"/>
  <c r="N279" i="2"/>
  <c r="N280" i="2"/>
  <c r="L280" i="2" s="1"/>
  <c r="AB280" i="2" s="1"/>
  <c r="N281" i="2"/>
  <c r="L281" i="2" s="1"/>
  <c r="AB281" i="2" s="1"/>
  <c r="N282" i="2"/>
  <c r="L282" i="2" s="1"/>
  <c r="AB282" i="2" s="1"/>
  <c r="N283" i="2"/>
  <c r="N284" i="2"/>
  <c r="L284" i="2" s="1"/>
  <c r="AB284" i="2" s="1"/>
  <c r="N285" i="2"/>
  <c r="L285" i="2" s="1"/>
  <c r="AB285" i="2" s="1"/>
  <c r="N286" i="2"/>
  <c r="L286" i="2" s="1"/>
  <c r="AB286" i="2" s="1"/>
  <c r="N287" i="2"/>
  <c r="N288" i="2"/>
  <c r="N289" i="2"/>
  <c r="N290" i="2"/>
  <c r="P290" i="2" s="1"/>
  <c r="N291" i="2"/>
  <c r="N292" i="2"/>
  <c r="N293" i="2"/>
  <c r="L293" i="2" s="1"/>
  <c r="AB293" i="2" s="1"/>
  <c r="N294" i="2"/>
  <c r="L294" i="2" s="1"/>
  <c r="AB294" i="2" s="1"/>
  <c r="N295" i="2"/>
  <c r="N296" i="2"/>
  <c r="N297" i="2"/>
  <c r="L297" i="2" s="1"/>
  <c r="AB297" i="2" s="1"/>
  <c r="N299" i="2"/>
  <c r="N298" i="2"/>
  <c r="N300" i="2"/>
  <c r="N301" i="2"/>
  <c r="L301" i="2" s="1"/>
  <c r="AB301" i="2" s="1"/>
  <c r="N302" i="2"/>
  <c r="L302" i="2" s="1"/>
  <c r="AB302" i="2" s="1"/>
  <c r="N303" i="2"/>
  <c r="L303" i="2" s="1"/>
  <c r="AB303" i="2" s="1"/>
  <c r="N304" i="2"/>
  <c r="L304" i="2" s="1"/>
  <c r="AB304" i="2" s="1"/>
  <c r="N305" i="2"/>
  <c r="P305" i="2" s="1"/>
  <c r="N306" i="2"/>
  <c r="P306" i="2" s="1"/>
  <c r="N307" i="2"/>
  <c r="N308" i="2"/>
  <c r="L308" i="2" s="1"/>
  <c r="AB308" i="2" s="1"/>
  <c r="N309" i="2"/>
  <c r="P309" i="2" s="1"/>
  <c r="N310" i="2"/>
  <c r="N311" i="2"/>
  <c r="P311" i="2" s="1"/>
  <c r="N312" i="2"/>
  <c r="L312" i="2" s="1"/>
  <c r="AB312" i="2" s="1"/>
  <c r="N313" i="2"/>
  <c r="L313" i="2" s="1"/>
  <c r="AB313" i="2" s="1"/>
  <c r="N314" i="2"/>
  <c r="L314" i="2" s="1"/>
  <c r="AB314" i="2" s="1"/>
  <c r="N315" i="2"/>
  <c r="N316" i="2"/>
  <c r="L316" i="2" s="1"/>
  <c r="AB316" i="2" s="1"/>
  <c r="N317" i="2"/>
  <c r="N318" i="2"/>
  <c r="L318" i="2" s="1"/>
  <c r="AB318" i="2" s="1"/>
  <c r="N319" i="2"/>
  <c r="P319" i="2" s="1"/>
  <c r="N320" i="2"/>
  <c r="P320" i="2" s="1"/>
  <c r="N321" i="2"/>
  <c r="N322" i="2"/>
  <c r="L322" i="2" s="1"/>
  <c r="AB322" i="2" s="1"/>
  <c r="N323" i="2"/>
  <c r="L323" i="2" s="1"/>
  <c r="AB323" i="2" s="1"/>
  <c r="N324" i="2"/>
  <c r="L324" i="2" s="1"/>
  <c r="AB324" i="2" s="1"/>
  <c r="N325" i="2"/>
  <c r="P325" i="2" s="1"/>
  <c r="N326" i="2"/>
  <c r="P326" i="2" s="1"/>
  <c r="N327" i="2"/>
  <c r="L327" i="2" s="1"/>
  <c r="AB327" i="2" s="1"/>
  <c r="N328" i="2"/>
  <c r="P328" i="2" s="1"/>
  <c r="N329" i="2"/>
  <c r="L329" i="2" s="1"/>
  <c r="AB329" i="2" s="1"/>
  <c r="N330" i="2"/>
  <c r="L330" i="2" s="1"/>
  <c r="AB330" i="2" s="1"/>
  <c r="N331" i="2"/>
  <c r="P331" i="2" s="1"/>
  <c r="N332" i="2"/>
  <c r="N333" i="2"/>
  <c r="L333" i="2" s="1"/>
  <c r="AB333" i="2" s="1"/>
  <c r="N334" i="2"/>
  <c r="L334" i="2" s="1"/>
  <c r="AB334" i="2" s="1"/>
  <c r="N335" i="2"/>
  <c r="N336" i="2"/>
  <c r="L336" i="2" s="1"/>
  <c r="AB336" i="2" s="1"/>
  <c r="N337" i="2"/>
  <c r="P337" i="2" s="1"/>
  <c r="N338" i="2"/>
  <c r="L338" i="2" s="1"/>
  <c r="AB338" i="2" s="1"/>
  <c r="N339" i="2"/>
  <c r="N340" i="2"/>
  <c r="N341" i="2"/>
  <c r="L341" i="2" s="1"/>
  <c r="AB341" i="2" s="1"/>
  <c r="N342" i="2"/>
  <c r="N343" i="2"/>
  <c r="P343" i="2" s="1"/>
  <c r="N344" i="2"/>
  <c r="L344" i="2" s="1"/>
  <c r="AB344" i="2" s="1"/>
  <c r="N345" i="2"/>
  <c r="N346" i="2"/>
  <c r="L346" i="2" s="1"/>
  <c r="AB346" i="2" s="1"/>
  <c r="N347" i="2"/>
  <c r="P347" i="2" s="1"/>
  <c r="N348" i="2"/>
  <c r="P348" i="2" s="1"/>
  <c r="N349" i="2"/>
  <c r="L349" i="2" s="1"/>
  <c r="AB349" i="2" s="1"/>
  <c r="N350" i="2"/>
  <c r="L350" i="2" s="1"/>
  <c r="AB350" i="2" s="1"/>
  <c r="N351" i="2"/>
  <c r="L351" i="2" s="1"/>
  <c r="AB351" i="2" s="1"/>
  <c r="N352" i="2"/>
  <c r="N353" i="2"/>
  <c r="P353" i="2" s="1"/>
  <c r="N354" i="2"/>
  <c r="L354" i="2" s="1"/>
  <c r="AB354" i="2" s="1"/>
  <c r="N355" i="2"/>
  <c r="L355" i="2" s="1"/>
  <c r="AB355" i="2" s="1"/>
  <c r="N356" i="2"/>
  <c r="N357" i="2"/>
  <c r="P357" i="2" s="1"/>
  <c r="N358" i="2"/>
  <c r="N359" i="2"/>
  <c r="P359" i="2" s="1"/>
  <c r="N360" i="2"/>
  <c r="N361" i="2"/>
  <c r="P361" i="2" s="1"/>
  <c r="N362" i="2"/>
  <c r="L362" i="2" s="1"/>
  <c r="AB362" i="2" s="1"/>
  <c r="N363" i="2"/>
  <c r="N364" i="2"/>
  <c r="N365" i="2"/>
  <c r="L365" i="2" s="1"/>
  <c r="AB365" i="2" s="1"/>
  <c r="N366" i="2"/>
  <c r="N367" i="2"/>
  <c r="L367" i="2" s="1"/>
  <c r="AB367" i="2" s="1"/>
  <c r="N368" i="2"/>
  <c r="P368" i="2" s="1"/>
  <c r="N369" i="2"/>
  <c r="P369" i="2" s="1"/>
  <c r="N370" i="2"/>
  <c r="N371" i="2"/>
  <c r="P371" i="2" s="1"/>
  <c r="N372" i="2"/>
  <c r="N373" i="2"/>
  <c r="P373" i="2" s="1"/>
  <c r="N374" i="2"/>
  <c r="N375" i="2"/>
  <c r="L375" i="2" s="1"/>
  <c r="AB375" i="2" s="1"/>
  <c r="N376" i="2"/>
  <c r="P376" i="2" s="1"/>
  <c r="N377" i="2"/>
  <c r="N378" i="2"/>
  <c r="P378" i="2" s="1"/>
  <c r="N379" i="2"/>
  <c r="P379" i="2" s="1"/>
  <c r="N380" i="2"/>
  <c r="N381" i="2"/>
  <c r="P381" i="2" s="1"/>
  <c r="N382" i="2"/>
  <c r="L382" i="2" s="1"/>
  <c r="AB382" i="2" s="1"/>
  <c r="N383" i="2"/>
  <c r="N384" i="2"/>
  <c r="N385" i="2"/>
  <c r="N386" i="2"/>
  <c r="L386" i="2" s="1"/>
  <c r="AB386" i="2" s="1"/>
  <c r="N387" i="2"/>
  <c r="P387" i="2" s="1"/>
  <c r="N388" i="2"/>
  <c r="L388" i="2" s="1"/>
  <c r="AB388" i="2" s="1"/>
  <c r="N389" i="2"/>
  <c r="P389" i="2" s="1"/>
  <c r="N390" i="2"/>
  <c r="N391" i="2"/>
  <c r="P391" i="2" s="1"/>
  <c r="N392" i="2"/>
  <c r="P392" i="2" s="1"/>
  <c r="N393" i="2"/>
  <c r="P393" i="2" s="1"/>
  <c r="N394" i="2"/>
  <c r="L394" i="2" s="1"/>
  <c r="AB394" i="2" s="1"/>
  <c r="N395" i="2"/>
  <c r="L395" i="2" s="1"/>
  <c r="AB395" i="2" s="1"/>
  <c r="N396" i="2"/>
  <c r="N397" i="2"/>
  <c r="P397" i="2" s="1"/>
  <c r="N398" i="2"/>
  <c r="L398" i="2" s="1"/>
  <c r="AB398" i="2" s="1"/>
  <c r="N399" i="2"/>
  <c r="L399" i="2" s="1"/>
  <c r="AB399" i="2" s="1"/>
  <c r="N400" i="2"/>
  <c r="P400" i="2" s="1"/>
  <c r="N401" i="2"/>
  <c r="N402" i="2"/>
  <c r="N403" i="2"/>
  <c r="L403" i="2" s="1"/>
  <c r="AB403" i="2" s="1"/>
  <c r="N404" i="2"/>
  <c r="N405" i="2"/>
  <c r="P405" i="2" s="1"/>
  <c r="N406" i="2"/>
  <c r="L406" i="2" s="1"/>
  <c r="AB406" i="2" s="1"/>
  <c r="N407" i="2"/>
  <c r="L407" i="2" s="1"/>
  <c r="AB407" i="2" s="1"/>
  <c r="N408" i="2"/>
  <c r="N409" i="2"/>
  <c r="P409" i="2" s="1"/>
  <c r="N410" i="2"/>
  <c r="N411" i="2"/>
  <c r="N412" i="2"/>
  <c r="L412" i="2" s="1"/>
  <c r="AB412" i="2" s="1"/>
  <c r="N413" i="2"/>
  <c r="L413" i="2" s="1"/>
  <c r="AB413" i="2" s="1"/>
  <c r="N414" i="2"/>
  <c r="N415" i="2"/>
  <c r="L415" i="2" s="1"/>
  <c r="AB415" i="2" s="1"/>
  <c r="N416" i="2"/>
  <c r="L416" i="2" s="1"/>
  <c r="AB416" i="2" s="1"/>
  <c r="N417" i="2"/>
  <c r="P417" i="2" s="1"/>
  <c r="N418" i="2"/>
  <c r="N419" i="2"/>
  <c r="L419" i="2" s="1"/>
  <c r="AB419" i="2" s="1"/>
  <c r="N420" i="2"/>
  <c r="N421" i="2"/>
  <c r="L421" i="2" s="1"/>
  <c r="AB421" i="2" s="1"/>
  <c r="N422" i="2"/>
  <c r="L422" i="2" s="1"/>
  <c r="AB422" i="2" s="1"/>
  <c r="N423" i="2"/>
  <c r="N424" i="2"/>
  <c r="N425" i="2"/>
  <c r="P425" i="2" s="1"/>
  <c r="N426" i="2"/>
  <c r="N427" i="2"/>
  <c r="N428" i="2"/>
  <c r="L428" i="2" s="1"/>
  <c r="AB428" i="2" s="1"/>
  <c r="N429" i="2"/>
  <c r="L429" i="2" s="1"/>
  <c r="AB429" i="2" s="1"/>
  <c r="N430" i="2"/>
  <c r="N431" i="2"/>
  <c r="L431" i="2" s="1"/>
  <c r="AB431" i="2" s="1"/>
  <c r="N432" i="2"/>
  <c r="L432" i="2" s="1"/>
  <c r="AB432" i="2" s="1"/>
  <c r="N433" i="2"/>
  <c r="L433" i="2" s="1"/>
  <c r="AB433" i="2" s="1"/>
  <c r="N434" i="2"/>
  <c r="P434" i="2" s="1"/>
  <c r="N435" i="2"/>
  <c r="P435" i="2" s="1"/>
  <c r="N436" i="2"/>
  <c r="L436" i="2" s="1"/>
  <c r="AB436" i="2" s="1"/>
  <c r="N437" i="2"/>
  <c r="P437" i="2" s="1"/>
  <c r="N438" i="2"/>
  <c r="L438" i="2" s="1"/>
  <c r="AB438" i="2" s="1"/>
  <c r="N439" i="2"/>
  <c r="L439" i="2" s="1"/>
  <c r="AB439" i="2" s="1"/>
  <c r="N440" i="2"/>
  <c r="L440" i="2" s="1"/>
  <c r="AB440" i="2" s="1"/>
  <c r="N441" i="2"/>
  <c r="L441" i="2" s="1"/>
  <c r="AB441" i="2" s="1"/>
  <c r="N442" i="2"/>
  <c r="L442" i="2" s="1"/>
  <c r="AB442" i="2" s="1"/>
  <c r="N443" i="2"/>
  <c r="L443" i="2" s="1"/>
  <c r="AB443" i="2" s="1"/>
  <c r="N444" i="2"/>
  <c r="L444" i="2" s="1"/>
  <c r="AB444" i="2" s="1"/>
  <c r="N445" i="2"/>
  <c r="L445" i="2" s="1"/>
  <c r="AB445" i="2" s="1"/>
  <c r="N446" i="2"/>
  <c r="L446" i="2" s="1"/>
  <c r="AB446" i="2" s="1"/>
  <c r="N447" i="2"/>
  <c r="L447" i="2" s="1"/>
  <c r="AB447" i="2" s="1"/>
  <c r="N448" i="2"/>
  <c r="L448" i="2" s="1"/>
  <c r="AB448" i="2" s="1"/>
  <c r="N449" i="2"/>
  <c r="L449" i="2" s="1"/>
  <c r="AB449" i="2" s="1"/>
  <c r="N450" i="2"/>
  <c r="L450" i="2" s="1"/>
  <c r="AB450" i="2" s="1"/>
  <c r="N451" i="2"/>
  <c r="P451" i="2" s="1"/>
  <c r="N452" i="2"/>
  <c r="P452" i="2" s="1"/>
  <c r="N453" i="2"/>
  <c r="L453" i="2" s="1"/>
  <c r="AB453" i="2" s="1"/>
  <c r="N454" i="2"/>
  <c r="L454" i="2" s="1"/>
  <c r="AB454" i="2" s="1"/>
  <c r="N455" i="2"/>
  <c r="L455" i="2" s="1"/>
  <c r="AB455" i="2" s="1"/>
  <c r="N456" i="2"/>
  <c r="L456" i="2" s="1"/>
  <c r="AB456" i="2" s="1"/>
  <c r="N457" i="2"/>
  <c r="L457" i="2" s="1"/>
  <c r="AB457" i="2" s="1"/>
  <c r="N458" i="2"/>
  <c r="L458" i="2" s="1"/>
  <c r="AB458" i="2" s="1"/>
  <c r="N459" i="2"/>
  <c r="L459" i="2" s="1"/>
  <c r="AB459" i="2" s="1"/>
  <c r="N460" i="2"/>
  <c r="P460" i="2" s="1"/>
  <c r="N461" i="2"/>
  <c r="L461" i="2" s="1"/>
  <c r="AB461" i="2" s="1"/>
  <c r="N462" i="2"/>
  <c r="N463" i="2"/>
  <c r="N464" i="2"/>
  <c r="L464" i="2" s="1"/>
  <c r="AB464" i="2" s="1"/>
  <c r="N465" i="2"/>
  <c r="L465" i="2" s="1"/>
  <c r="AB465" i="2" s="1"/>
  <c r="N466" i="2"/>
  <c r="L466" i="2" s="1"/>
  <c r="AB466" i="2" s="1"/>
  <c r="N467" i="2"/>
  <c r="N468" i="2"/>
  <c r="P468" i="2" s="1"/>
  <c r="N469" i="2"/>
  <c r="P469" i="2" s="1"/>
  <c r="N470" i="2"/>
  <c r="L470" i="2" s="1"/>
  <c r="AB470" i="2" s="1"/>
  <c r="N471" i="2"/>
  <c r="N472" i="2"/>
  <c r="L472" i="2" s="1"/>
  <c r="AB472" i="2" s="1"/>
  <c r="N473" i="2"/>
  <c r="L473" i="2" s="1"/>
  <c r="AB473" i="2" s="1"/>
  <c r="N474" i="2"/>
  <c r="N475" i="2"/>
  <c r="N476" i="2"/>
  <c r="N477" i="2"/>
  <c r="L477" i="2" s="1"/>
  <c r="AB477" i="2" s="1"/>
  <c r="N478" i="2"/>
  <c r="N479" i="2"/>
  <c r="P479" i="2" s="1"/>
  <c r="N480" i="2"/>
  <c r="L480" i="2" s="1"/>
  <c r="AB480" i="2" s="1"/>
  <c r="N481" i="2"/>
  <c r="L481" i="2" s="1"/>
  <c r="AB481" i="2" s="1"/>
  <c r="N482" i="2"/>
  <c r="L482" i="2" s="1"/>
  <c r="AB482" i="2" s="1"/>
  <c r="N483" i="2"/>
  <c r="N484" i="2"/>
  <c r="P484" i="2" s="1"/>
  <c r="N485" i="2"/>
  <c r="N486" i="2"/>
  <c r="L486" i="2" s="1"/>
  <c r="AB486" i="2" s="1"/>
  <c r="N487" i="2"/>
  <c r="N488" i="2"/>
  <c r="L488" i="2" s="1"/>
  <c r="AB488" i="2" s="1"/>
  <c r="N489" i="2"/>
  <c r="L489" i="2" s="1"/>
  <c r="AB489" i="2" s="1"/>
  <c r="N490" i="2"/>
  <c r="L490" i="2" s="1"/>
  <c r="AB490" i="2" s="1"/>
  <c r="N491" i="2"/>
  <c r="N492" i="2"/>
  <c r="N493" i="2"/>
  <c r="L493" i="2" s="1"/>
  <c r="AB493" i="2" s="1"/>
  <c r="N494" i="2"/>
  <c r="L494" i="2" s="1"/>
  <c r="AB494" i="2" s="1"/>
  <c r="N495" i="2"/>
  <c r="N496" i="2"/>
  <c r="N497" i="2"/>
  <c r="L497" i="2" s="1"/>
  <c r="AB497" i="2" s="1"/>
  <c r="N498" i="2"/>
  <c r="L498" i="2" s="1"/>
  <c r="AB498" i="2" s="1"/>
  <c r="N499" i="2"/>
  <c r="N500" i="2"/>
  <c r="P500" i="2" s="1"/>
  <c r="N501" i="2"/>
  <c r="L501" i="2" s="1"/>
  <c r="AB501" i="2" s="1"/>
  <c r="N502" i="2"/>
  <c r="L502" i="2" s="1"/>
  <c r="AB502" i="2" s="1"/>
  <c r="N503" i="2"/>
  <c r="L503" i="2" s="1"/>
  <c r="AB503" i="2" s="1"/>
  <c r="N504" i="2"/>
  <c r="L504" i="2" s="1"/>
  <c r="AB504" i="2" s="1"/>
  <c r="N505" i="2"/>
  <c r="L505" i="2" s="1"/>
  <c r="AB505" i="2" s="1"/>
  <c r="N506" i="2"/>
  <c r="N507" i="2"/>
  <c r="P507" i="2" s="1"/>
  <c r="N508" i="2"/>
  <c r="P508" i="2" s="1"/>
  <c r="N509" i="2"/>
  <c r="N510" i="2"/>
  <c r="N511" i="2"/>
  <c r="N512" i="2"/>
  <c r="N513" i="2"/>
  <c r="P513" i="2" s="1"/>
  <c r="N514" i="2"/>
  <c r="N515" i="2"/>
  <c r="N516" i="2"/>
  <c r="N517" i="2"/>
  <c r="L517" i="2" s="1"/>
  <c r="AB517" i="2" s="1"/>
  <c r="N518" i="2"/>
  <c r="P518" i="2" s="1"/>
  <c r="N519" i="2"/>
  <c r="N520" i="2"/>
  <c r="L520" i="2" s="1"/>
  <c r="AB520" i="2" s="1"/>
  <c r="N521" i="2"/>
  <c r="L521" i="2" s="1"/>
  <c r="AB521" i="2" s="1"/>
  <c r="N522" i="2"/>
  <c r="L522" i="2" s="1"/>
  <c r="AB522" i="2" s="1"/>
  <c r="N523" i="2"/>
  <c r="P523" i="2" s="1"/>
  <c r="N524" i="2"/>
  <c r="N525" i="2"/>
  <c r="L525" i="2" s="1"/>
  <c r="AB525" i="2" s="1"/>
  <c r="N526" i="2"/>
  <c r="P526" i="2" s="1"/>
  <c r="N527" i="2"/>
  <c r="N528" i="2"/>
  <c r="N529" i="2"/>
  <c r="P529" i="2" s="1"/>
  <c r="N530" i="2"/>
  <c r="L530" i="2" s="1"/>
  <c r="AB530" i="2" s="1"/>
  <c r="N531" i="2"/>
  <c r="P531" i="2" s="1"/>
  <c r="N532" i="2"/>
  <c r="L532" i="2" s="1"/>
  <c r="AB532" i="2" s="1"/>
  <c r="N533" i="2"/>
  <c r="P533" i="2" s="1"/>
  <c r="N534" i="2"/>
  <c r="N535" i="2"/>
  <c r="L535" i="2" s="1"/>
  <c r="AB535" i="2" s="1"/>
  <c r="N536" i="2"/>
  <c r="L536" i="2" s="1"/>
  <c r="AB536" i="2" s="1"/>
  <c r="N537" i="2"/>
  <c r="L537" i="2" s="1"/>
  <c r="AB537" i="2" s="1"/>
  <c r="N538" i="2"/>
  <c r="N539" i="2"/>
  <c r="N540" i="2"/>
  <c r="N541" i="2"/>
  <c r="N542" i="2"/>
  <c r="L542" i="2" s="1"/>
  <c r="AB542" i="2" s="1"/>
  <c r="N543" i="2"/>
  <c r="L543" i="2" s="1"/>
  <c r="AB543" i="2" s="1"/>
  <c r="N544" i="2"/>
  <c r="L544" i="2" s="1"/>
  <c r="AB544" i="2" s="1"/>
  <c r="N545" i="2"/>
  <c r="L545" i="2" s="1"/>
  <c r="AB545" i="2" s="1"/>
  <c r="N546" i="2"/>
  <c r="N547" i="2"/>
  <c r="N548" i="2"/>
  <c r="P548" i="2" s="1"/>
  <c r="N549" i="2"/>
  <c r="L549" i="2" s="1"/>
  <c r="AB549" i="2" s="1"/>
  <c r="N550" i="2"/>
  <c r="L550" i="2" s="1"/>
  <c r="AB550" i="2" s="1"/>
  <c r="N551" i="2"/>
  <c r="L551" i="2" s="1"/>
  <c r="AB551" i="2" s="1"/>
  <c r="N552" i="2"/>
  <c r="L552" i="2" s="1"/>
  <c r="AB552" i="2" s="1"/>
  <c r="N553" i="2"/>
  <c r="L553" i="2" s="1"/>
  <c r="AB553" i="2" s="1"/>
  <c r="N554" i="2"/>
  <c r="N555" i="2"/>
  <c r="N556" i="2"/>
  <c r="L556" i="2" s="1"/>
  <c r="AB556" i="2" s="1"/>
  <c r="N557" i="2"/>
  <c r="L557" i="2" s="1"/>
  <c r="AB557" i="2" s="1"/>
  <c r="N558" i="2"/>
  <c r="N559" i="2"/>
  <c r="N560" i="2"/>
  <c r="P560" i="2" s="1"/>
  <c r="N561" i="2"/>
  <c r="L561" i="2" s="1"/>
  <c r="AB561" i="2" s="1"/>
  <c r="N562" i="2"/>
  <c r="P562" i="2" s="1"/>
  <c r="N563" i="2"/>
  <c r="P563" i="2" s="1"/>
  <c r="N564" i="2"/>
  <c r="L564" i="2" s="1"/>
  <c r="AB564" i="2" s="1"/>
  <c r="N565" i="2"/>
  <c r="P565" i="2" s="1"/>
  <c r="N566" i="2"/>
  <c r="N567" i="2"/>
  <c r="L567" i="2" s="1"/>
  <c r="AB567" i="2" s="1"/>
  <c r="N568" i="2"/>
  <c r="L568" i="2" s="1"/>
  <c r="AB568" i="2" s="1"/>
  <c r="N569" i="2"/>
  <c r="N570" i="2"/>
  <c r="N571" i="2"/>
  <c r="L571" i="2" s="1"/>
  <c r="AB571" i="2" s="1"/>
  <c r="N572" i="2"/>
  <c r="N573" i="2"/>
  <c r="L573" i="2" s="1"/>
  <c r="AB573" i="2" s="1"/>
  <c r="N574" i="2"/>
  <c r="L574" i="2" s="1"/>
  <c r="AB574" i="2" s="1"/>
  <c r="N575" i="2"/>
  <c r="N576" i="2"/>
  <c r="P576" i="2" s="1"/>
  <c r="N577" i="2"/>
  <c r="L577" i="2" s="1"/>
  <c r="AB577" i="2" s="1"/>
  <c r="N578" i="2"/>
  <c r="L578" i="2" s="1"/>
  <c r="AB578" i="2" s="1"/>
  <c r="N579" i="2"/>
  <c r="N580" i="2"/>
  <c r="L580" i="2" s="1"/>
  <c r="AB580" i="2" s="1"/>
  <c r="N581" i="2"/>
  <c r="N582" i="2"/>
  <c r="P582" i="2" s="1"/>
  <c r="N583" i="2"/>
  <c r="L583" i="2" s="1"/>
  <c r="AB583" i="2" s="1"/>
  <c r="N584" i="2"/>
  <c r="P584" i="2" s="1"/>
  <c r="N585" i="2"/>
  <c r="L585" i="2" s="1"/>
  <c r="AB585" i="2" s="1"/>
  <c r="N586" i="2"/>
  <c r="L586" i="2" s="1"/>
  <c r="AB586" i="2" s="1"/>
  <c r="N587" i="2"/>
  <c r="L587" i="2" s="1"/>
  <c r="AB587" i="2" s="1"/>
  <c r="N588" i="2"/>
  <c r="L588" i="2" s="1"/>
  <c r="AB588" i="2" s="1"/>
  <c r="N589" i="2"/>
  <c r="L589" i="2" s="1"/>
  <c r="AB589" i="2" s="1"/>
  <c r="N590" i="2"/>
  <c r="L590" i="2" s="1"/>
  <c r="AB590" i="2" s="1"/>
  <c r="N591" i="2"/>
  <c r="L591" i="2" s="1"/>
  <c r="AB591" i="2" s="1"/>
  <c r="N592" i="2"/>
  <c r="L592" i="2" s="1"/>
  <c r="AB592" i="2" s="1"/>
  <c r="N593" i="2"/>
  <c r="P593" i="2" s="1"/>
  <c r="N594" i="2"/>
  <c r="P594" i="2" s="1"/>
  <c r="N595" i="2"/>
  <c r="P595" i="2" s="1"/>
  <c r="N596" i="2"/>
  <c r="L596" i="2" s="1"/>
  <c r="AB596" i="2" s="1"/>
  <c r="N597" i="2"/>
  <c r="L597" i="2" s="1"/>
  <c r="AB597" i="2" s="1"/>
  <c r="N598" i="2"/>
  <c r="L598" i="2" s="1"/>
  <c r="AB598" i="2" s="1"/>
  <c r="N599" i="2"/>
  <c r="L599" i="2" s="1"/>
  <c r="AB599" i="2" s="1"/>
  <c r="N600" i="2"/>
  <c r="N601" i="2"/>
  <c r="N602" i="2"/>
  <c r="P602" i="2" s="1"/>
  <c r="N603" i="2"/>
  <c r="L603" i="2" s="1"/>
  <c r="AB603" i="2" s="1"/>
  <c r="N604" i="2"/>
  <c r="N605" i="2"/>
  <c r="N606" i="2"/>
  <c r="L606" i="2" s="1"/>
  <c r="AB606" i="2" s="1"/>
  <c r="N607" i="2"/>
  <c r="P607" i="2" s="1"/>
  <c r="N608" i="2"/>
  <c r="L608" i="2" s="1"/>
  <c r="AB608" i="2" s="1"/>
  <c r="N609" i="2"/>
  <c r="N610" i="2"/>
  <c r="N611" i="2"/>
  <c r="P611" i="2" s="1"/>
  <c r="N612" i="2"/>
  <c r="N613" i="2"/>
  <c r="L613" i="2" s="1"/>
  <c r="AB613" i="2" s="1"/>
  <c r="N614" i="2"/>
  <c r="N615" i="2"/>
  <c r="L615" i="2" s="1"/>
  <c r="AB615" i="2" s="1"/>
  <c r="N616" i="2"/>
  <c r="N617" i="2"/>
  <c r="L617" i="2" s="1"/>
  <c r="AB617" i="2" s="1"/>
  <c r="N618" i="2"/>
  <c r="L618" i="2" s="1"/>
  <c r="AB618" i="2" s="1"/>
  <c r="N619" i="2"/>
  <c r="L619" i="2" s="1"/>
  <c r="AB619" i="2" s="1"/>
  <c r="N620" i="2"/>
  <c r="L620" i="2" s="1"/>
  <c r="AB620" i="2" s="1"/>
  <c r="N621" i="2"/>
  <c r="L621" i="2" s="1"/>
  <c r="AB621" i="2" s="1"/>
  <c r="N622" i="2"/>
  <c r="L622" i="2" s="1"/>
  <c r="AB622" i="2" s="1"/>
  <c r="N623" i="2"/>
  <c r="N624" i="2"/>
  <c r="N625" i="2"/>
  <c r="N626" i="2"/>
  <c r="L626" i="2" s="1"/>
  <c r="AB626" i="2" s="1"/>
  <c r="N627" i="2"/>
  <c r="N628" i="2"/>
  <c r="N629" i="2"/>
  <c r="N630" i="2"/>
  <c r="L630" i="2" s="1"/>
  <c r="AB630" i="2" s="1"/>
  <c r="N631" i="2"/>
  <c r="P631" i="2" s="1"/>
  <c r="N632" i="2"/>
  <c r="N633" i="2"/>
  <c r="L633" i="2" s="1"/>
  <c r="AB633" i="2" s="1"/>
  <c r="N634" i="2"/>
  <c r="N635" i="2"/>
  <c r="L635" i="2" s="1"/>
  <c r="AB635" i="2" s="1"/>
  <c r="N636" i="2"/>
  <c r="P636" i="2" s="1"/>
  <c r="N637" i="2"/>
  <c r="L637" i="2" s="1"/>
  <c r="AB637" i="2" s="1"/>
  <c r="N638" i="2"/>
  <c r="L638" i="2" s="1"/>
  <c r="AB638" i="2" s="1"/>
  <c r="N639" i="2"/>
  <c r="L639" i="2" s="1"/>
  <c r="AB639" i="2" s="1"/>
  <c r="N640" i="2"/>
  <c r="L640" i="2" s="1"/>
  <c r="AB640" i="2" s="1"/>
  <c r="N641" i="2"/>
  <c r="L641" i="2" s="1"/>
  <c r="AB641" i="2" s="1"/>
  <c r="N642" i="2"/>
  <c r="L642" i="2" s="1"/>
  <c r="AB642" i="2" s="1"/>
  <c r="N643" i="2"/>
  <c r="N644" i="2"/>
  <c r="L644" i="2" s="1"/>
  <c r="AB644" i="2" s="1"/>
  <c r="N645" i="2"/>
  <c r="L645" i="2" s="1"/>
  <c r="AB645" i="2" s="1"/>
  <c r="N646" i="2"/>
  <c r="P646" i="2" s="1"/>
  <c r="N647" i="2"/>
  <c r="L647" i="2" s="1"/>
  <c r="AB647" i="2" s="1"/>
  <c r="N648" i="2"/>
  <c r="N649" i="2"/>
  <c r="P649" i="2" s="1"/>
  <c r="N650" i="2"/>
  <c r="L650" i="2" s="1"/>
  <c r="AB650" i="2" s="1"/>
  <c r="N651" i="2"/>
  <c r="L651" i="2" s="1"/>
  <c r="AB651" i="2" s="1"/>
  <c r="N652" i="2"/>
  <c r="L652" i="2" s="1"/>
  <c r="AB652" i="2" s="1"/>
  <c r="N653" i="2"/>
  <c r="N654" i="2"/>
  <c r="L654" i="2" s="1"/>
  <c r="AB654" i="2" s="1"/>
  <c r="N655" i="2"/>
  <c r="N656" i="2"/>
  <c r="L656" i="2" s="1"/>
  <c r="AB656" i="2" s="1"/>
  <c r="N657" i="2"/>
  <c r="L657" i="2" s="1"/>
  <c r="AB657" i="2" s="1"/>
  <c r="N658" i="2"/>
  <c r="P658" i="2" s="1"/>
  <c r="N659" i="2"/>
  <c r="N660" i="2"/>
  <c r="L660" i="2" s="1"/>
  <c r="AB660" i="2" s="1"/>
  <c r="N661" i="2"/>
  <c r="N662" i="2"/>
  <c r="L662" i="2" s="1"/>
  <c r="AB662" i="2" s="1"/>
  <c r="N663" i="2"/>
  <c r="N664" i="2"/>
  <c r="N665" i="2"/>
  <c r="P665" i="2" s="1"/>
  <c r="N666" i="2"/>
  <c r="L666" i="2" s="1"/>
  <c r="AB666" i="2" s="1"/>
  <c r="N667" i="2"/>
  <c r="L667" i="2" s="1"/>
  <c r="AB667" i="2" s="1"/>
  <c r="N668" i="2"/>
  <c r="N669" i="2"/>
  <c r="L669" i="2" s="1"/>
  <c r="AB669" i="2" s="1"/>
  <c r="N670" i="2"/>
  <c r="N671" i="2"/>
  <c r="L671" i="2" s="1"/>
  <c r="AB671" i="2" s="1"/>
  <c r="N672" i="2"/>
  <c r="N673" i="2"/>
  <c r="P673" i="2" s="1"/>
  <c r="N674" i="2"/>
  <c r="P674" i="2" s="1"/>
  <c r="N675" i="2"/>
  <c r="L675" i="2" s="1"/>
  <c r="AB675" i="2" s="1"/>
  <c r="N676" i="2"/>
  <c r="P676" i="2" s="1"/>
  <c r="N677" i="2"/>
  <c r="L677" i="2" s="1"/>
  <c r="AB677" i="2" s="1"/>
  <c r="N678" i="2"/>
  <c r="L678" i="2" s="1"/>
  <c r="AB678" i="2" s="1"/>
  <c r="N679" i="2"/>
  <c r="P679" i="2" s="1"/>
  <c r="N680" i="2"/>
  <c r="N681" i="2"/>
  <c r="N682" i="2"/>
  <c r="P682" i="2" s="1"/>
  <c r="N683" i="2"/>
  <c r="N684" i="2"/>
  <c r="N685" i="2"/>
  <c r="N686" i="2"/>
  <c r="N687" i="2"/>
  <c r="N688" i="2"/>
  <c r="N689" i="2"/>
  <c r="P689" i="2" s="1"/>
  <c r="N690" i="2"/>
  <c r="P690" i="2" s="1"/>
  <c r="N691" i="2"/>
  <c r="P691" i="2" s="1"/>
  <c r="N692" i="2"/>
  <c r="P692" i="2" s="1"/>
  <c r="N693" i="2"/>
  <c r="L693" i="2" s="1"/>
  <c r="AB693" i="2" s="1"/>
  <c r="N694" i="2"/>
  <c r="L694" i="2" s="1"/>
  <c r="AB694" i="2" s="1"/>
  <c r="N695" i="2"/>
  <c r="L695" i="2" s="1"/>
  <c r="AB695" i="2" s="1"/>
  <c r="N696" i="2"/>
  <c r="P696" i="2" s="1"/>
  <c r="N697" i="2"/>
  <c r="P697" i="2" s="1"/>
  <c r="N698" i="2"/>
  <c r="N699" i="2"/>
  <c r="L699" i="2" s="1"/>
  <c r="AB699" i="2" s="1"/>
  <c r="N700" i="2"/>
  <c r="P700" i="2" s="1"/>
  <c r="N701" i="2"/>
  <c r="L701" i="2" s="1"/>
  <c r="AB701" i="2" s="1"/>
  <c r="N702" i="2"/>
  <c r="L702" i="2" s="1"/>
  <c r="AB702" i="2" s="1"/>
  <c r="N703" i="2"/>
  <c r="L703" i="2" s="1"/>
  <c r="AB703" i="2" s="1"/>
  <c r="N704" i="2"/>
  <c r="N705" i="2"/>
  <c r="L705" i="2" s="1"/>
  <c r="AB705" i="2" s="1"/>
  <c r="N706" i="2"/>
  <c r="L706" i="2" s="1"/>
  <c r="AB706" i="2" s="1"/>
  <c r="N707" i="2"/>
  <c r="L707" i="2" s="1"/>
  <c r="AB707" i="2" s="1"/>
  <c r="N708" i="2"/>
  <c r="P708" i="2" s="1"/>
  <c r="N709" i="2"/>
  <c r="L709" i="2" s="1"/>
  <c r="AB709" i="2" s="1"/>
  <c r="N710" i="2"/>
  <c r="L710" i="2" s="1"/>
  <c r="AB710" i="2" s="1"/>
  <c r="N711" i="2"/>
  <c r="L711" i="2" s="1"/>
  <c r="AB711" i="2" s="1"/>
  <c r="N712" i="2"/>
  <c r="P712" i="2" s="1"/>
  <c r="N713" i="2"/>
  <c r="L713" i="2" s="1"/>
  <c r="AB713" i="2" s="1"/>
  <c r="N714" i="2"/>
  <c r="P714" i="2" s="1"/>
  <c r="N715" i="2"/>
  <c r="L715" i="2" s="1"/>
  <c r="AB715" i="2" s="1"/>
  <c r="N716" i="2"/>
  <c r="N717" i="2"/>
  <c r="L717" i="2" s="1"/>
  <c r="AB717" i="2" s="1"/>
  <c r="N718" i="2"/>
  <c r="N719" i="2"/>
  <c r="L719" i="2" s="1"/>
  <c r="AB719" i="2" s="1"/>
  <c r="N720" i="2"/>
  <c r="N721" i="2"/>
  <c r="N722" i="2"/>
  <c r="P722" i="2" s="1"/>
  <c r="N723" i="2"/>
  <c r="P723" i="2" s="1"/>
  <c r="N724" i="2"/>
  <c r="L724" i="2" s="1"/>
  <c r="AB724" i="2" s="1"/>
  <c r="N725" i="2"/>
  <c r="N726" i="2"/>
  <c r="L726" i="2" s="1"/>
  <c r="AB726" i="2" s="1"/>
  <c r="N727" i="2"/>
  <c r="L727" i="2" s="1"/>
  <c r="AB727" i="2" s="1"/>
  <c r="N728" i="2"/>
  <c r="L728" i="2" s="1"/>
  <c r="AB728" i="2" s="1"/>
  <c r="N729" i="2"/>
  <c r="N730" i="2"/>
  <c r="L730" i="2" s="1"/>
  <c r="AB730" i="2" s="1"/>
  <c r="N731" i="2"/>
  <c r="L731" i="2" s="1"/>
  <c r="AB731" i="2" s="1"/>
  <c r="N732" i="2"/>
  <c r="P732" i="2" s="1"/>
  <c r="N733" i="2"/>
  <c r="L733" i="2" s="1"/>
  <c r="AB733" i="2" s="1"/>
  <c r="N734" i="2"/>
  <c r="L734" i="2" s="1"/>
  <c r="AB734" i="2" s="1"/>
  <c r="N735" i="2"/>
  <c r="L735" i="2" s="1"/>
  <c r="AB735" i="2" s="1"/>
  <c r="N736" i="2"/>
  <c r="P736" i="2" s="1"/>
  <c r="N737" i="2"/>
  <c r="L737" i="2" s="1"/>
  <c r="AB737" i="2" s="1"/>
  <c r="N738" i="2"/>
  <c r="L738" i="2" s="1"/>
  <c r="AB738" i="2" s="1"/>
  <c r="N739" i="2"/>
  <c r="L739" i="2" s="1"/>
  <c r="AB739" i="2" s="1"/>
  <c r="N740" i="2"/>
  <c r="L740" i="2" s="1"/>
  <c r="AB740" i="2" s="1"/>
  <c r="N741" i="2"/>
  <c r="L741" i="2" s="1"/>
  <c r="AB741" i="2" s="1"/>
  <c r="N742" i="2"/>
  <c r="L742" i="2" s="1"/>
  <c r="AB742" i="2" s="1"/>
  <c r="N743" i="2"/>
  <c r="N744" i="2"/>
  <c r="N745" i="2"/>
  <c r="L745" i="2" s="1"/>
  <c r="AB745" i="2" s="1"/>
  <c r="N746" i="2"/>
  <c r="L746" i="2" s="1"/>
  <c r="AB746" i="2" s="1"/>
  <c r="N747" i="2"/>
  <c r="N748" i="2"/>
  <c r="N749" i="2"/>
  <c r="N750" i="2"/>
  <c r="L750" i="2" s="1"/>
  <c r="AB750" i="2" s="1"/>
  <c r="N751" i="2"/>
  <c r="N752" i="2"/>
  <c r="N753" i="2"/>
  <c r="L753" i="2" s="1"/>
  <c r="AB753" i="2" s="1"/>
  <c r="N754" i="2"/>
  <c r="L754" i="2" s="1"/>
  <c r="AB754" i="2" s="1"/>
  <c r="N755" i="2"/>
  <c r="N756" i="2"/>
  <c r="L756" i="2" s="1"/>
  <c r="AB756" i="2" s="1"/>
  <c r="N757" i="2"/>
  <c r="L757" i="2" s="1"/>
  <c r="AB757" i="2" s="1"/>
  <c r="N758" i="2"/>
  <c r="L758" i="2" s="1"/>
  <c r="AB758" i="2" s="1"/>
  <c r="N759" i="2"/>
  <c r="N760" i="2"/>
  <c r="N761" i="2"/>
  <c r="N762" i="2"/>
  <c r="L762" i="2" s="1"/>
  <c r="AB762" i="2" s="1"/>
  <c r="N763" i="2"/>
  <c r="L763" i="2" s="1"/>
  <c r="AB763" i="2" s="1"/>
  <c r="N764" i="2"/>
  <c r="L764" i="2" s="1"/>
  <c r="AB764" i="2" s="1"/>
  <c r="N765" i="2"/>
  <c r="L765" i="2" s="1"/>
  <c r="AB765" i="2" s="1"/>
  <c r="N766" i="2"/>
  <c r="P766" i="2" s="1"/>
  <c r="N767" i="2"/>
  <c r="L767" i="2" s="1"/>
  <c r="AB767" i="2" s="1"/>
  <c r="N768" i="2"/>
  <c r="N769" i="2"/>
  <c r="L769" i="2" s="1"/>
  <c r="AB769" i="2" s="1"/>
  <c r="N770" i="2"/>
  <c r="N771" i="2"/>
  <c r="L771" i="2" s="1"/>
  <c r="AB771" i="2" s="1"/>
  <c r="N772" i="2"/>
  <c r="P772" i="2" s="1"/>
  <c r="N773" i="2"/>
  <c r="N774" i="2"/>
  <c r="L774" i="2" s="1"/>
  <c r="AB774" i="2" s="1"/>
  <c r="N775" i="2"/>
  <c r="P775" i="2" s="1"/>
  <c r="N776" i="2"/>
  <c r="L776" i="2" s="1"/>
  <c r="AB776" i="2" s="1"/>
  <c r="N777" i="2"/>
  <c r="L777" i="2" s="1"/>
  <c r="AB777" i="2" s="1"/>
  <c r="N778" i="2"/>
  <c r="L778" i="2" s="1"/>
  <c r="AB778" i="2" s="1"/>
  <c r="N779" i="2"/>
  <c r="P779" i="2" s="1"/>
  <c r="N780" i="2"/>
  <c r="N781" i="2"/>
  <c r="L781" i="2" s="1"/>
  <c r="AB781" i="2" s="1"/>
  <c r="N782" i="2"/>
  <c r="L782" i="2" s="1"/>
  <c r="AB782" i="2" s="1"/>
  <c r="N783" i="2"/>
  <c r="N784" i="2"/>
  <c r="N785" i="2"/>
  <c r="L785" i="2" s="1"/>
  <c r="AB785" i="2" s="1"/>
  <c r="N786" i="2"/>
  <c r="N787" i="2"/>
  <c r="P787" i="2" s="1"/>
  <c r="N788" i="2"/>
  <c r="L788" i="2" s="1"/>
  <c r="AB788" i="2" s="1"/>
  <c r="N789" i="2"/>
  <c r="P789" i="2" s="1"/>
  <c r="N790" i="2"/>
  <c r="L790" i="2" s="1"/>
  <c r="AB790" i="2" s="1"/>
  <c r="N791" i="2"/>
  <c r="L791" i="2" s="1"/>
  <c r="AB791" i="2" s="1"/>
  <c r="N792" i="2"/>
  <c r="N793" i="2"/>
  <c r="L793" i="2" s="1"/>
  <c r="AB793" i="2" s="1"/>
  <c r="N794" i="2"/>
  <c r="P794" i="2" s="1"/>
  <c r="N795" i="2"/>
  <c r="L795" i="2" s="1"/>
  <c r="AB795" i="2" s="1"/>
  <c r="N796" i="2"/>
  <c r="P796" i="2" s="1"/>
  <c r="N797" i="2"/>
  <c r="L797" i="2" s="1"/>
  <c r="AB797" i="2" s="1"/>
  <c r="N798" i="2"/>
  <c r="N799" i="2"/>
  <c r="L799" i="2" s="1"/>
  <c r="AB799" i="2" s="1"/>
  <c r="N800" i="2"/>
  <c r="P800" i="2" s="1"/>
  <c r="N801" i="2"/>
  <c r="L801" i="2" s="1"/>
  <c r="AB801" i="2" s="1"/>
  <c r="N802" i="2"/>
  <c r="N803" i="2"/>
  <c r="L803" i="2" s="1"/>
  <c r="AB803" i="2" s="1"/>
  <c r="N804" i="2"/>
  <c r="P804" i="2" s="1"/>
  <c r="N805" i="2"/>
  <c r="L805" i="2" s="1"/>
  <c r="AB805" i="2" s="1"/>
  <c r="N806" i="2"/>
  <c r="L806" i="2" s="1"/>
  <c r="AB806" i="2" s="1"/>
  <c r="N807" i="2"/>
  <c r="L807" i="2" s="1"/>
  <c r="AB807" i="2" s="1"/>
  <c r="N808" i="2"/>
  <c r="L808" i="2" s="1"/>
  <c r="AB808" i="2" s="1"/>
  <c r="N809" i="2"/>
  <c r="L809" i="2" s="1"/>
  <c r="AB809" i="2" s="1"/>
  <c r="N810" i="2"/>
  <c r="L810" i="2" s="1"/>
  <c r="AB810" i="2" s="1"/>
  <c r="N811" i="2"/>
  <c r="P811" i="2" s="1"/>
  <c r="N812" i="2"/>
  <c r="L812" i="2" s="1"/>
  <c r="AB812" i="2" s="1"/>
  <c r="N813" i="2"/>
  <c r="L813" i="2" s="1"/>
  <c r="AB813" i="2" s="1"/>
  <c r="N814" i="2"/>
  <c r="P814" i="2" s="1"/>
  <c r="N815" i="2"/>
  <c r="L815" i="2" s="1"/>
  <c r="AB815" i="2" s="1"/>
  <c r="N816" i="2"/>
  <c r="P816" i="2" s="1"/>
  <c r="N817" i="2"/>
  <c r="L817" i="2" s="1"/>
  <c r="AB817" i="2" s="1"/>
  <c r="N818" i="2"/>
  <c r="N819" i="2"/>
  <c r="L819" i="2" s="1"/>
  <c r="AB819" i="2" s="1"/>
  <c r="N820" i="2"/>
  <c r="P820" i="2" s="1"/>
  <c r="N821" i="2"/>
  <c r="P821" i="2" s="1"/>
  <c r="N822" i="2"/>
  <c r="P822" i="2" s="1"/>
  <c r="N823" i="2"/>
  <c r="N824" i="2"/>
  <c r="P824" i="2" s="1"/>
  <c r="N825" i="2"/>
  <c r="L825" i="2" s="1"/>
  <c r="AB825" i="2" s="1"/>
  <c r="N826" i="2"/>
  <c r="N827" i="2"/>
  <c r="N828" i="2"/>
  <c r="P828" i="2" s="1"/>
  <c r="N829" i="2"/>
  <c r="N830" i="2"/>
  <c r="L830" i="2" s="1"/>
  <c r="AB830" i="2" s="1"/>
  <c r="N831" i="2"/>
  <c r="L831" i="2" s="1"/>
  <c r="AB831" i="2" s="1"/>
  <c r="N832" i="2"/>
  <c r="N833" i="2"/>
  <c r="L833" i="2" s="1"/>
  <c r="AB833" i="2" s="1"/>
  <c r="N834" i="2"/>
  <c r="N835" i="2"/>
  <c r="L835" i="2" s="1"/>
  <c r="AB835" i="2" s="1"/>
  <c r="N836" i="2"/>
  <c r="P836" i="2" s="1"/>
  <c r="N837" i="2"/>
  <c r="L837" i="2" s="1"/>
  <c r="AB837" i="2" s="1"/>
  <c r="N838" i="2"/>
  <c r="N839" i="2"/>
  <c r="N840" i="2"/>
  <c r="L840" i="2" s="1"/>
  <c r="AB840" i="2" s="1"/>
  <c r="N841" i="2"/>
  <c r="P841" i="2" s="1"/>
  <c r="N842" i="2"/>
  <c r="P842" i="2" s="1"/>
  <c r="N843" i="2"/>
  <c r="N844" i="2"/>
  <c r="L844" i="2" s="1"/>
  <c r="AB844" i="2" s="1"/>
  <c r="N845" i="2"/>
  <c r="L845" i="2" s="1"/>
  <c r="AB845" i="2" s="1"/>
  <c r="N846" i="2"/>
  <c r="P846" i="2" s="1"/>
  <c r="N847" i="2"/>
  <c r="L847" i="2" s="1"/>
  <c r="AB847" i="2" s="1"/>
  <c r="N848" i="2"/>
  <c r="L848" i="2" s="1"/>
  <c r="AB848" i="2" s="1"/>
  <c r="N849" i="2"/>
  <c r="P849" i="2" s="1"/>
  <c r="N850" i="2"/>
  <c r="P850" i="2" s="1"/>
  <c r="N851" i="2"/>
  <c r="N852" i="2"/>
  <c r="L852" i="2" s="1"/>
  <c r="AB852" i="2" s="1"/>
  <c r="N853" i="2"/>
  <c r="P853" i="2" s="1"/>
  <c r="N854" i="2"/>
  <c r="L854" i="2" s="1"/>
  <c r="AB854" i="2" s="1"/>
  <c r="N855" i="2"/>
  <c r="L855" i="2" s="1"/>
  <c r="AB855" i="2" s="1"/>
  <c r="N856" i="2"/>
  <c r="L856" i="2" s="1"/>
  <c r="AB856" i="2" s="1"/>
  <c r="N857" i="2"/>
  <c r="P857" i="2" s="1"/>
  <c r="N858" i="2"/>
  <c r="L858" i="2" s="1"/>
  <c r="AB858" i="2" s="1"/>
  <c r="N859" i="2"/>
  <c r="N860" i="2"/>
  <c r="L860" i="2" s="1"/>
  <c r="AB860" i="2" s="1"/>
  <c r="N861" i="2"/>
  <c r="L861" i="2" s="1"/>
  <c r="AB861" i="2" s="1"/>
  <c r="N862" i="2"/>
  <c r="N863" i="2"/>
  <c r="L863" i="2" s="1"/>
  <c r="AB863" i="2" s="1"/>
  <c r="N864" i="2"/>
  <c r="L864" i="2" s="1"/>
  <c r="AB864" i="2" s="1"/>
  <c r="N865" i="2"/>
  <c r="P865" i="2" s="1"/>
  <c r="N866" i="2"/>
  <c r="N867" i="2"/>
  <c r="N868" i="2"/>
  <c r="P868" i="2" s="1"/>
  <c r="N869" i="2"/>
  <c r="L869" i="2" s="1"/>
  <c r="AB869" i="2" s="1"/>
  <c r="N870" i="2"/>
  <c r="P870" i="2" s="1"/>
  <c r="N871" i="2"/>
  <c r="N872" i="2"/>
  <c r="P872" i="2" s="1"/>
  <c r="N873" i="2"/>
  <c r="L873" i="2" s="1"/>
  <c r="AB873" i="2" s="1"/>
  <c r="N874" i="2"/>
  <c r="L874" i="2" s="1"/>
  <c r="AB874" i="2" s="1"/>
  <c r="N875" i="2"/>
  <c r="N876" i="2"/>
  <c r="L876" i="2" s="1"/>
  <c r="AB876" i="2" s="1"/>
  <c r="N877" i="2"/>
  <c r="N878" i="2"/>
  <c r="L878" i="2" s="1"/>
  <c r="AB878" i="2" s="1"/>
  <c r="N879" i="2"/>
  <c r="P879" i="2" s="1"/>
  <c r="N880" i="2"/>
  <c r="N881" i="2"/>
  <c r="P881" i="2" s="1"/>
  <c r="N882" i="2"/>
  <c r="L882" i="2" s="1"/>
  <c r="AB882" i="2" s="1"/>
  <c r="N883" i="2"/>
  <c r="N884" i="2"/>
  <c r="L884" i="2" s="1"/>
  <c r="AB884" i="2" s="1"/>
  <c r="N885" i="2"/>
  <c r="L885" i="2" s="1"/>
  <c r="AB885" i="2" s="1"/>
  <c r="N886" i="2"/>
  <c r="L886" i="2" s="1"/>
  <c r="AB886" i="2" s="1"/>
  <c r="N887" i="2"/>
  <c r="N888" i="2"/>
  <c r="L888" i="2" s="1"/>
  <c r="AB888" i="2" s="1"/>
  <c r="N889" i="2"/>
  <c r="P889" i="2" s="1"/>
  <c r="N890" i="2"/>
  <c r="N891" i="2"/>
  <c r="P891" i="2" s="1"/>
  <c r="N892" i="2"/>
  <c r="L892" i="2" s="1"/>
  <c r="AB892" i="2" s="1"/>
  <c r="N893" i="2"/>
  <c r="L893" i="2" s="1"/>
  <c r="AB893" i="2" s="1"/>
  <c r="N894" i="2"/>
  <c r="N895" i="2"/>
  <c r="L895" i="2" s="1"/>
  <c r="AB895" i="2" s="1"/>
  <c r="N896" i="2"/>
  <c r="L896" i="2" s="1"/>
  <c r="AB896" i="2" s="1"/>
  <c r="N897" i="2"/>
  <c r="N898" i="2"/>
  <c r="L898" i="2" s="1"/>
  <c r="AB898" i="2" s="1"/>
  <c r="N899" i="2"/>
  <c r="L899" i="2" s="1"/>
  <c r="AB899" i="2" s="1"/>
  <c r="N900" i="2"/>
  <c r="L900" i="2" s="1"/>
  <c r="AB900" i="2" s="1"/>
  <c r="N901" i="2"/>
  <c r="P901" i="2" s="1"/>
  <c r="N902" i="2"/>
  <c r="L902" i="2" s="1"/>
  <c r="AB902" i="2" s="1"/>
  <c r="N903" i="2"/>
  <c r="L903" i="2" s="1"/>
  <c r="AB903" i="2" s="1"/>
  <c r="N904" i="2"/>
  <c r="P904" i="2" s="1"/>
  <c r="N905" i="2"/>
  <c r="P905" i="2" s="1"/>
  <c r="N906" i="2"/>
  <c r="L906" i="2" s="1"/>
  <c r="AB906" i="2" s="1"/>
  <c r="N907" i="2"/>
  <c r="N908" i="2"/>
  <c r="L908" i="2" s="1"/>
  <c r="AB908" i="2" s="1"/>
  <c r="N909" i="2"/>
  <c r="N910" i="2"/>
  <c r="P910" i="2" s="1"/>
  <c r="N911" i="2"/>
  <c r="L911" i="2" s="1"/>
  <c r="AB911" i="2" s="1"/>
  <c r="N912" i="2"/>
  <c r="L912" i="2" s="1"/>
  <c r="AB912" i="2" s="1"/>
  <c r="N913" i="2"/>
  <c r="P913" i="2" s="1"/>
  <c r="N914" i="2"/>
  <c r="N915" i="2"/>
  <c r="N916" i="2"/>
  <c r="P916" i="2" s="1"/>
  <c r="N917" i="2"/>
  <c r="L917" i="2" s="1"/>
  <c r="AB917" i="2" s="1"/>
  <c r="N918" i="2"/>
  <c r="L918" i="2" s="1"/>
  <c r="AB918" i="2" s="1"/>
  <c r="N919" i="2"/>
  <c r="L919" i="2" s="1"/>
  <c r="AB919" i="2" s="1"/>
  <c r="N920" i="2"/>
  <c r="N921" i="2"/>
  <c r="P921" i="2" s="1"/>
  <c r="N922" i="2"/>
  <c r="N923" i="2"/>
  <c r="L923" i="2" s="1"/>
  <c r="AB923" i="2" s="1"/>
  <c r="N924" i="2"/>
  <c r="L924" i="2" s="1"/>
  <c r="AB924" i="2" s="1"/>
  <c r="N925" i="2"/>
  <c r="L925" i="2" s="1"/>
  <c r="AB925" i="2" s="1"/>
  <c r="N926" i="2"/>
  <c r="L926" i="2" s="1"/>
  <c r="AB926" i="2" s="1"/>
  <c r="N927" i="2"/>
  <c r="N928" i="2"/>
  <c r="N929" i="2"/>
  <c r="P929" i="2" s="1"/>
  <c r="N930" i="2"/>
  <c r="L930" i="2" s="1"/>
  <c r="AB930" i="2" s="1"/>
  <c r="N931" i="2"/>
  <c r="P931" i="2" s="1"/>
  <c r="N932" i="2"/>
  <c r="L932" i="2" s="1"/>
  <c r="AB932" i="2" s="1"/>
  <c r="N933" i="2"/>
  <c r="L933" i="2" s="1"/>
  <c r="AB933" i="2" s="1"/>
  <c r="N934" i="2"/>
  <c r="L934" i="2" s="1"/>
  <c r="AB934" i="2" s="1"/>
  <c r="N935" i="2"/>
  <c r="L935" i="2" s="1"/>
  <c r="AB935" i="2" s="1"/>
  <c r="N936" i="2"/>
  <c r="L936" i="2" s="1"/>
  <c r="AB936" i="2" s="1"/>
  <c r="N937" i="2"/>
  <c r="N938" i="2"/>
  <c r="L938" i="2" s="1"/>
  <c r="AB938" i="2" s="1"/>
  <c r="N939" i="2"/>
  <c r="P939" i="2" s="1"/>
  <c r="N940" i="2"/>
  <c r="L940" i="2" s="1"/>
  <c r="AB940" i="2" s="1"/>
  <c r="N941" i="2"/>
  <c r="L941" i="2" s="1"/>
  <c r="AB941" i="2" s="1"/>
  <c r="N942" i="2"/>
  <c r="N943" i="2"/>
  <c r="L943" i="2" s="1"/>
  <c r="AB943" i="2" s="1"/>
  <c r="N944" i="2"/>
  <c r="L944" i="2" s="1"/>
  <c r="AB944" i="2" s="1"/>
  <c r="N945" i="2"/>
  <c r="P945" i="2" s="1"/>
  <c r="N946" i="2"/>
  <c r="N947" i="2"/>
  <c r="L947" i="2" s="1"/>
  <c r="AB947" i="2" s="1"/>
  <c r="N948" i="2"/>
  <c r="N949" i="2"/>
  <c r="P949" i="2" s="1"/>
  <c r="N950" i="2"/>
  <c r="L950" i="2" s="1"/>
  <c r="AB950" i="2" s="1"/>
  <c r="N951" i="2"/>
  <c r="L951" i="2" s="1"/>
  <c r="AB951" i="2" s="1"/>
  <c r="N952" i="2"/>
  <c r="N953" i="2"/>
  <c r="L953" i="2" s="1"/>
  <c r="AB953" i="2" s="1"/>
  <c r="N954" i="2"/>
  <c r="L954" i="2" s="1"/>
  <c r="AB954" i="2" s="1"/>
  <c r="N955" i="2"/>
  <c r="L955" i="2" s="1"/>
  <c r="AB955" i="2" s="1"/>
  <c r="N956" i="2"/>
  <c r="N957" i="2"/>
  <c r="L957" i="2" s="1"/>
  <c r="AB957" i="2" s="1"/>
  <c r="N958" i="2"/>
  <c r="L958" i="2" s="1"/>
  <c r="AB958" i="2" s="1"/>
  <c r="N959" i="2"/>
  <c r="N960" i="2"/>
  <c r="P960" i="2" s="1"/>
  <c r="N961" i="2"/>
  <c r="L961" i="2" s="1"/>
  <c r="AB961" i="2" s="1"/>
  <c r="N962" i="2"/>
  <c r="L962" i="2" s="1"/>
  <c r="AB962" i="2" s="1"/>
  <c r="N963" i="2"/>
  <c r="L963" i="2" s="1"/>
  <c r="AB963" i="2" s="1"/>
  <c r="N964" i="2"/>
  <c r="P964" i="2" s="1"/>
  <c r="N965" i="2"/>
  <c r="N966" i="2"/>
  <c r="L966" i="2" s="1"/>
  <c r="AB966" i="2" s="1"/>
  <c r="N967" i="2"/>
  <c r="P967" i="2" s="1"/>
  <c r="N968" i="2"/>
  <c r="L968" i="2" s="1"/>
  <c r="AB968" i="2" s="1"/>
  <c r="N969" i="2"/>
  <c r="L969" i="2" s="1"/>
  <c r="AB969" i="2" s="1"/>
  <c r="N970" i="2"/>
  <c r="L970" i="2" s="1"/>
  <c r="AB970" i="2" s="1"/>
  <c r="N971" i="2"/>
  <c r="L971" i="2" s="1"/>
  <c r="AB971" i="2" s="1"/>
  <c r="N972" i="2"/>
  <c r="L972" i="2" s="1"/>
  <c r="AB972" i="2" s="1"/>
  <c r="N973" i="2"/>
  <c r="P973" i="2" s="1"/>
  <c r="N974" i="2"/>
  <c r="N975" i="2"/>
  <c r="N976" i="2"/>
  <c r="N977" i="2"/>
  <c r="N978" i="2"/>
  <c r="L978" i="2" s="1"/>
  <c r="AB978" i="2" s="1"/>
  <c r="N979" i="2"/>
  <c r="L979" i="2" s="1"/>
  <c r="AB979" i="2" s="1"/>
  <c r="N980" i="2"/>
  <c r="L980" i="2" s="1"/>
  <c r="AB980" i="2" s="1"/>
  <c r="N981" i="2"/>
  <c r="L981" i="2" s="1"/>
  <c r="AB981" i="2" s="1"/>
  <c r="N982" i="2"/>
  <c r="L982" i="2" s="1"/>
  <c r="AB982" i="2" s="1"/>
  <c r="N983" i="2"/>
  <c r="L983" i="2" s="1"/>
  <c r="AB983" i="2" s="1"/>
  <c r="N984" i="2"/>
  <c r="L984" i="2" s="1"/>
  <c r="AB984" i="2" s="1"/>
  <c r="N985" i="2"/>
  <c r="L985" i="2" s="1"/>
  <c r="AB985" i="2" s="1"/>
  <c r="N986" i="2"/>
  <c r="L986" i="2" s="1"/>
  <c r="AB986" i="2" s="1"/>
  <c r="N987" i="2"/>
  <c r="L987" i="2" s="1"/>
  <c r="AB987" i="2" s="1"/>
  <c r="N988" i="2"/>
  <c r="L988" i="2" s="1"/>
  <c r="AB988" i="2" s="1"/>
  <c r="N989" i="2"/>
  <c r="L989" i="2" s="1"/>
  <c r="AB989" i="2" s="1"/>
  <c r="N990" i="2"/>
  <c r="N991" i="2"/>
  <c r="N992" i="2"/>
  <c r="L992" i="2" s="1"/>
  <c r="AB992" i="2" s="1"/>
  <c r="N993" i="2"/>
  <c r="L993" i="2" s="1"/>
  <c r="AB993" i="2" s="1"/>
  <c r="N994" i="2"/>
  <c r="N995" i="2"/>
  <c r="L995" i="2" s="1"/>
  <c r="AB995" i="2" s="1"/>
  <c r="N996" i="2"/>
  <c r="N997" i="2"/>
  <c r="N998" i="2"/>
  <c r="N999" i="2"/>
  <c r="L999" i="2" s="1"/>
  <c r="AB999" i="2" s="1"/>
  <c r="N1000" i="2"/>
  <c r="P1000" i="2" s="1"/>
  <c r="N1001" i="2"/>
  <c r="N1002" i="2"/>
  <c r="P1002" i="2" s="1"/>
  <c r="N1003" i="2"/>
  <c r="N1004" i="2"/>
  <c r="L1004" i="2" s="1"/>
  <c r="AB1004" i="2" s="1"/>
  <c r="N1005" i="2"/>
  <c r="L1005" i="2" s="1"/>
  <c r="AB1005" i="2" s="1"/>
  <c r="N1006" i="2"/>
  <c r="L1006" i="2" s="1"/>
  <c r="AB1006" i="2" s="1"/>
  <c r="N1007" i="2"/>
  <c r="L1007" i="2" s="1"/>
  <c r="AB1007" i="2" s="1"/>
  <c r="N1008" i="2"/>
  <c r="L1008" i="2" s="1"/>
  <c r="AB1008" i="2" s="1"/>
  <c r="N1009" i="2"/>
  <c r="N1010" i="2"/>
  <c r="L1010" i="2" s="1"/>
  <c r="AB1010" i="2" s="1"/>
  <c r="N1011" i="2"/>
  <c r="L1011" i="2" s="1"/>
  <c r="AB1011" i="2" s="1"/>
  <c r="N1012" i="2"/>
  <c r="P1012" i="2" s="1"/>
  <c r="N1013" i="2"/>
  <c r="P1013" i="2" s="1"/>
  <c r="N1014" i="2"/>
  <c r="L1014" i="2" s="1"/>
  <c r="AB1014" i="2" s="1"/>
  <c r="N1015" i="2"/>
  <c r="L1015" i="2" s="1"/>
  <c r="AB1015" i="2" s="1"/>
  <c r="N1016" i="2"/>
  <c r="L1016" i="2" s="1"/>
  <c r="AB1016" i="2" s="1"/>
  <c r="P1018" i="2"/>
  <c r="P1019" i="2"/>
  <c r="P1021" i="2"/>
  <c r="P1023" i="2"/>
  <c r="P1025" i="2"/>
  <c r="P1027" i="2"/>
  <c r="P1028" i="2"/>
  <c r="P1029" i="2"/>
  <c r="P1030" i="2"/>
  <c r="P1031" i="2"/>
  <c r="P1032" i="2"/>
  <c r="P1033" i="2"/>
  <c r="P1034" i="2"/>
  <c r="P1035" i="2"/>
  <c r="P1038" i="2"/>
  <c r="P1039" i="2"/>
  <c r="P1040" i="2"/>
  <c r="P1041" i="2"/>
  <c r="P1043" i="2"/>
  <c r="P1044" i="2"/>
  <c r="P1045" i="2"/>
  <c r="P1047" i="2"/>
  <c r="P1048" i="2"/>
  <c r="P1051" i="2"/>
  <c r="P1052" i="2"/>
  <c r="P1056" i="2"/>
  <c r="P1057" i="2"/>
  <c r="P1058" i="2"/>
  <c r="P1060" i="2"/>
  <c r="P1062" i="2"/>
  <c r="P1064" i="2"/>
  <c r="P1066" i="2"/>
  <c r="P1068" i="2"/>
  <c r="P1069" i="2"/>
  <c r="P1070" i="2"/>
  <c r="P1071" i="2"/>
  <c r="P1072" i="2"/>
  <c r="P1074" i="2"/>
  <c r="P1075" i="2"/>
  <c r="P1076" i="2"/>
  <c r="P1078" i="2"/>
  <c r="P1079" i="2"/>
  <c r="P1080" i="2"/>
  <c r="P1081" i="2"/>
  <c r="P1082" i="2"/>
  <c r="P1083" i="2"/>
  <c r="P1084" i="2"/>
  <c r="P1085" i="2"/>
  <c r="P1086" i="2"/>
  <c r="P1088" i="2"/>
  <c r="P1089" i="2"/>
  <c r="P1090" i="2"/>
  <c r="P1091" i="2"/>
  <c r="P1092" i="2"/>
  <c r="P1093" i="2"/>
  <c r="P1094" i="2"/>
  <c r="P1095" i="2"/>
  <c r="P1096" i="2"/>
  <c r="P1097" i="2"/>
  <c r="P1107" i="2"/>
  <c r="P1108" i="2"/>
  <c r="P1109" i="2"/>
  <c r="P1111" i="2"/>
  <c r="A8" i="6"/>
  <c r="A9" i="6" s="1"/>
  <c r="A10" i="6" s="1"/>
  <c r="A11" i="6" s="1"/>
  <c r="A12" i="6" s="1"/>
  <c r="A13" i="6" s="1"/>
  <c r="A14" i="6" s="1"/>
  <c r="A15" i="6" s="1"/>
  <c r="A16" i="6" s="1"/>
  <c r="A17" i="6" s="1"/>
  <c r="A18" i="6" s="1"/>
  <c r="A19" i="6" s="1"/>
  <c r="A20" i="6" s="1"/>
  <c r="A21" i="6" s="1"/>
  <c r="A22" i="6" s="1"/>
  <c r="A23" i="6" s="1"/>
  <c r="A24" i="6" s="1"/>
  <c r="A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B13" i="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L247" i="2"/>
  <c r="AB247" i="2" s="1"/>
  <c r="P324" i="2"/>
  <c r="L71" i="2"/>
  <c r="AB71" i="2" s="1"/>
  <c r="P448" i="2"/>
  <c r="P432" i="2"/>
  <c r="L175" i="2"/>
  <c r="AB175" i="2" s="1"/>
  <c r="P127" i="2"/>
  <c r="P79" i="2"/>
  <c r="P15" i="2"/>
  <c r="L1024" i="2"/>
  <c r="AB1024" i="2" s="1"/>
  <c r="P349" i="2"/>
  <c r="P92" i="2"/>
  <c r="P136" i="2"/>
  <c r="P104" i="2"/>
  <c r="P56" i="2"/>
  <c r="L192" i="2"/>
  <c r="AB192" i="2" s="1"/>
  <c r="L96" i="2"/>
  <c r="AB96" i="2" s="1"/>
  <c r="L48" i="2"/>
  <c r="AB48" i="2" s="1"/>
  <c r="P148" i="2"/>
  <c r="P75" i="2"/>
  <c r="P11" i="2"/>
  <c r="P68" i="2"/>
  <c r="P27" i="2"/>
  <c r="L868" i="2"/>
  <c r="AB868" i="2" s="1"/>
  <c r="L187" i="2"/>
  <c r="AB187" i="2" s="1"/>
  <c r="L59" i="2"/>
  <c r="AB59" i="2" s="1"/>
  <c r="C21" i="20"/>
  <c r="C5" i="20"/>
  <c r="C7" i="20"/>
  <c r="C14" i="20"/>
  <c r="H8" i="20"/>
  <c r="H12" i="20"/>
  <c r="K7" i="8"/>
  <c r="H25" i="20" s="1"/>
  <c r="L7" i="2"/>
  <c r="AB7" i="2" s="1"/>
  <c r="E49" i="9"/>
  <c r="F49" i="9" s="1"/>
  <c r="G17" i="20"/>
  <c r="G15" i="20"/>
  <c r="G19" i="20"/>
  <c r="E48" i="9"/>
  <c r="G8" i="20"/>
  <c r="G11" i="20"/>
  <c r="K7" i="7"/>
  <c r="G9" i="20"/>
  <c r="G10" i="20"/>
  <c r="G18" i="20"/>
  <c r="K221" i="21"/>
  <c r="Q221" i="21" s="1"/>
  <c r="K223" i="21"/>
  <c r="Q223" i="21" s="1"/>
  <c r="K225" i="21"/>
  <c r="Q225" i="21" s="1"/>
  <c r="K316" i="21"/>
  <c r="Q316" i="21" s="1"/>
  <c r="K318" i="21"/>
  <c r="Q318" i="21" s="1"/>
  <c r="K320" i="21"/>
  <c r="Q320" i="21" s="1"/>
  <c r="K322" i="21"/>
  <c r="Q322" i="21" s="1"/>
  <c r="K326" i="21"/>
  <c r="Q326" i="21" s="1"/>
  <c r="K328" i="21"/>
  <c r="Q328" i="21" s="1"/>
  <c r="K330" i="21"/>
  <c r="Q330" i="21" s="1"/>
  <c r="K332" i="21"/>
  <c r="Q332" i="21" s="1"/>
  <c r="K334" i="21"/>
  <c r="Q334" i="21" s="1"/>
  <c r="K338" i="21"/>
  <c r="Q338" i="21"/>
  <c r="K340" i="21"/>
  <c r="Q340" i="21" s="1"/>
  <c r="K343" i="21"/>
  <c r="Q343" i="21" s="1"/>
  <c r="K347" i="21"/>
  <c r="Q347" i="21" s="1"/>
  <c r="Q349" i="21"/>
  <c r="K351" i="21"/>
  <c r="Q351" i="21" s="1"/>
  <c r="K355" i="21"/>
  <c r="Q355" i="21" s="1"/>
  <c r="K357" i="21"/>
  <c r="Q357" i="21" s="1"/>
  <c r="K359" i="21"/>
  <c r="Q359" i="21" s="1"/>
  <c r="K363" i="21"/>
  <c r="Q363" i="21" s="1"/>
  <c r="K365" i="21"/>
  <c r="Q365" i="21" s="1"/>
  <c r="K367" i="21"/>
  <c r="Q367" i="21" s="1"/>
  <c r="K373" i="21"/>
  <c r="Q373" i="21" s="1"/>
  <c r="K375" i="21"/>
  <c r="Q375" i="21" s="1"/>
  <c r="Q381" i="21"/>
  <c r="K383" i="21"/>
  <c r="Q383" i="21" s="1"/>
  <c r="K387" i="21"/>
  <c r="Q387" i="21" s="1"/>
  <c r="K389" i="21"/>
  <c r="Q389" i="21" s="1"/>
  <c r="K393" i="21"/>
  <c r="Q393" i="21" s="1"/>
  <c r="K395" i="21"/>
  <c r="Q395" i="21" s="1"/>
  <c r="Q397" i="21"/>
  <c r="K399" i="21"/>
  <c r="Q399" i="21" s="1"/>
  <c r="K403" i="21"/>
  <c r="Q403" i="21" s="1"/>
  <c r="K405" i="21"/>
  <c r="Q405" i="21" s="1"/>
  <c r="K407" i="21"/>
  <c r="Q407" i="21" s="1"/>
  <c r="K412" i="21"/>
  <c r="Q412" i="21" s="1"/>
  <c r="K414" i="21"/>
  <c r="Q414" i="21" s="1"/>
  <c r="K417" i="21"/>
  <c r="Q417" i="21" s="1"/>
  <c r="K419" i="21"/>
  <c r="Q419" i="21" s="1"/>
  <c r="K423" i="21"/>
  <c r="Q423" i="21" s="1"/>
  <c r="K425" i="21"/>
  <c r="Q425" i="21" s="1"/>
  <c r="K306" i="21"/>
  <c r="Q306" i="21" s="1"/>
  <c r="K308" i="21"/>
  <c r="Q308" i="21" s="1"/>
  <c r="K310" i="21"/>
  <c r="Q310" i="21" s="1"/>
  <c r="Q312" i="21"/>
  <c r="K314" i="21"/>
  <c r="Q314" i="21" s="1"/>
  <c r="K427" i="21"/>
  <c r="Q427" i="21" s="1"/>
  <c r="K435" i="21"/>
  <c r="Q435" i="21" s="1"/>
  <c r="K437" i="21"/>
  <c r="Q437" i="21" s="1"/>
  <c r="K443" i="21"/>
  <c r="Q443" i="21" s="1"/>
  <c r="K445" i="21"/>
  <c r="Q445" i="21" s="1"/>
  <c r="K451" i="21"/>
  <c r="Q451" i="21" s="1"/>
  <c r="K457" i="21"/>
  <c r="Q457" i="21" s="1"/>
  <c r="K461" i="21"/>
  <c r="Q461" i="21" s="1"/>
  <c r="Q467" i="21"/>
  <c r="K469" i="21"/>
  <c r="Q469" i="21" s="1"/>
  <c r="K475" i="21"/>
  <c r="Q475" i="21" s="1"/>
  <c r="K477" i="21"/>
  <c r="Q477" i="21" s="1"/>
  <c r="K483" i="21"/>
  <c r="Q483" i="21" s="1"/>
  <c r="K485" i="21"/>
  <c r="Q485" i="21" s="1"/>
  <c r="K491" i="21"/>
  <c r="Q491" i="21" s="1"/>
  <c r="K493" i="21"/>
  <c r="Q493" i="21" s="1"/>
  <c r="K498" i="21"/>
  <c r="Q498" i="21"/>
  <c r="K500" i="21"/>
  <c r="Q500" i="21" s="1"/>
  <c r="K502" i="21"/>
  <c r="Q502" i="21" s="1"/>
  <c r="K504" i="21"/>
  <c r="Q504" i="21" s="1"/>
  <c r="K506" i="21"/>
  <c r="Q506" i="21" s="1"/>
  <c r="K510" i="21"/>
  <c r="Q510" i="21" s="1"/>
  <c r="K512" i="21"/>
  <c r="Q512" i="21" s="1"/>
  <c r="Q515" i="21"/>
  <c r="K519" i="21"/>
  <c r="Q519" i="21" s="1"/>
  <c r="K521" i="21"/>
  <c r="Q521" i="21" s="1"/>
  <c r="K523" i="21"/>
  <c r="Q523" i="21" s="1"/>
  <c r="K531" i="21"/>
  <c r="Q531" i="21" s="1"/>
  <c r="K537" i="21"/>
  <c r="Q537" i="21" s="1"/>
  <c r="K541" i="21"/>
  <c r="Q541" i="21" s="1"/>
  <c r="K547" i="21"/>
  <c r="Q547" i="21" s="1"/>
  <c r="Q551" i="21"/>
  <c r="K553" i="21"/>
  <c r="Q553" i="21" s="1"/>
  <c r="K555" i="21"/>
  <c r="Q555" i="21" s="1"/>
  <c r="K563" i="21"/>
  <c r="Q563" i="21" s="1"/>
  <c r="K966" i="21"/>
  <c r="Q966" i="21" s="1"/>
  <c r="K968" i="21"/>
  <c r="Q968" i="21" s="1"/>
  <c r="K972" i="21"/>
  <c r="Q972" i="21" s="1"/>
  <c r="K975" i="21"/>
  <c r="Q975" i="21" s="1"/>
  <c r="K979" i="21"/>
  <c r="Q979" i="21" s="1"/>
  <c r="K981" i="21"/>
  <c r="Q981" i="21" s="1"/>
  <c r="K987" i="21"/>
  <c r="Q987" i="21" s="1"/>
  <c r="K991" i="21"/>
  <c r="Q991" i="21" s="1"/>
  <c r="K993" i="21"/>
  <c r="Q993" i="21" s="1"/>
  <c r="K5" i="21"/>
  <c r="Q5" i="21" s="1"/>
  <c r="K9" i="21"/>
  <c r="Q9" i="21" s="1"/>
  <c r="K11" i="21"/>
  <c r="Q11" i="21" s="1"/>
  <c r="K13" i="21"/>
  <c r="Q13" i="21" s="1"/>
  <c r="K17" i="21"/>
  <c r="Q17" i="21" s="1"/>
  <c r="K19" i="21"/>
  <c r="Q19" i="21" s="1"/>
  <c r="K21" i="21"/>
  <c r="Q21" i="21" s="1"/>
  <c r="K25" i="21"/>
  <c r="Q25" i="21" s="1"/>
  <c r="K27" i="21"/>
  <c r="Q27" i="21" s="1"/>
  <c r="K28" i="21"/>
  <c r="Q28" i="21" s="1"/>
  <c r="K32" i="21"/>
  <c r="Q32" i="21" s="1"/>
  <c r="K36" i="21"/>
  <c r="Q36" i="21" s="1"/>
  <c r="K40" i="21"/>
  <c r="Q40" i="21" s="1"/>
  <c r="K42" i="21"/>
  <c r="Q42" i="21" s="1"/>
  <c r="K48" i="21"/>
  <c r="Q48" i="21" s="1"/>
  <c r="K50" i="21"/>
  <c r="Q50" i="21" s="1"/>
  <c r="K52" i="21"/>
  <c r="Q52" i="21" s="1"/>
  <c r="K60" i="21"/>
  <c r="Q60" i="21" s="1"/>
  <c r="K62" i="21"/>
  <c r="Q62" i="21" s="1"/>
  <c r="K68" i="21"/>
  <c r="Q68" i="21" s="1"/>
  <c r="K70" i="21"/>
  <c r="Q70" i="21" s="1"/>
  <c r="K76" i="21"/>
  <c r="Q76" i="21" s="1"/>
  <c r="K78" i="21"/>
  <c r="Q78" i="21" s="1"/>
  <c r="K84" i="21"/>
  <c r="Q84" i="21" s="1"/>
  <c r="K86" i="21"/>
  <c r="Q86" i="21" s="1"/>
  <c r="K92" i="21"/>
  <c r="Q92" i="21" s="1"/>
  <c r="K94" i="21"/>
  <c r="Q94" i="21" s="1"/>
  <c r="K100" i="21"/>
  <c r="Q100" i="21" s="1"/>
  <c r="K102" i="21"/>
  <c r="Q102" i="21" s="1"/>
  <c r="K108" i="21"/>
  <c r="Q108" i="21" s="1"/>
  <c r="K110" i="21"/>
  <c r="Q110" i="21" s="1"/>
  <c r="K116" i="21"/>
  <c r="Q116" i="21" s="1"/>
  <c r="K118" i="21"/>
  <c r="Q118" i="21" s="1"/>
  <c r="K124" i="21"/>
  <c r="Q124" i="21" s="1"/>
  <c r="K126" i="21"/>
  <c r="Q126" i="21" s="1"/>
  <c r="K132" i="21"/>
  <c r="Q132" i="21" s="1"/>
  <c r="K134" i="21"/>
  <c r="Q134" i="21" s="1"/>
  <c r="K140" i="21"/>
  <c r="Q140" i="21" s="1"/>
  <c r="K142" i="21"/>
  <c r="Q142" i="21" s="1"/>
  <c r="K148" i="21"/>
  <c r="Q148" i="21" s="1"/>
  <c r="K150" i="21"/>
  <c r="Q150" i="21" s="1"/>
  <c r="K156" i="21"/>
  <c r="Q156" i="21" s="1"/>
  <c r="K158" i="21"/>
  <c r="Q158" i="21" s="1"/>
  <c r="K164" i="21"/>
  <c r="Q164" i="21" s="1"/>
  <c r="K166" i="21"/>
  <c r="Q166" i="21" s="1"/>
  <c r="K172" i="21"/>
  <c r="Q172" i="21" s="1"/>
  <c r="K174" i="21"/>
  <c r="Q174" i="21" s="1"/>
  <c r="K180" i="21"/>
  <c r="Q180" i="21" s="1"/>
  <c r="K182" i="21"/>
  <c r="Q182" i="21" s="1"/>
  <c r="K188" i="21"/>
  <c r="Q188" i="21" s="1"/>
  <c r="K190" i="21"/>
  <c r="Q190" i="21" s="1"/>
  <c r="K196" i="21"/>
  <c r="Q196" i="21" s="1"/>
  <c r="K198" i="21"/>
  <c r="Q198" i="21" s="1"/>
  <c r="K204" i="21"/>
  <c r="Q204" i="21" s="1"/>
  <c r="K206" i="21"/>
  <c r="Q206" i="21" s="1"/>
  <c r="K212" i="21"/>
  <c r="Q212" i="21" s="1"/>
  <c r="K214" i="21"/>
  <c r="Q214" i="21" s="1"/>
  <c r="K8" i="21"/>
  <c r="Q8" i="21" s="1"/>
  <c r="K12" i="21"/>
  <c r="Q12" i="21" s="1"/>
  <c r="K16" i="21"/>
  <c r="Q16" i="21" s="1"/>
  <c r="K24" i="21"/>
  <c r="Q24" i="21" s="1"/>
  <c r="K31" i="21"/>
  <c r="Q31" i="21" s="1"/>
  <c r="K35" i="21"/>
  <c r="Q35" i="21" s="1"/>
  <c r="K43" i="21"/>
  <c r="Q43" i="21" s="1"/>
  <c r="K47" i="21"/>
  <c r="Q47" i="21" s="1"/>
  <c r="K51" i="21"/>
  <c r="Q51" i="21" s="1"/>
  <c r="K59" i="21"/>
  <c r="Q59" i="21" s="1"/>
  <c r="K63" i="21"/>
  <c r="Q63" i="21" s="1"/>
  <c r="K67" i="21"/>
  <c r="Q67" i="21" s="1"/>
  <c r="K75" i="21"/>
  <c r="Q75" i="21" s="1"/>
  <c r="K79" i="21"/>
  <c r="Q79" i="21" s="1"/>
  <c r="K83" i="21"/>
  <c r="Q83" i="21" s="1"/>
  <c r="K91" i="21"/>
  <c r="Q91" i="21" s="1"/>
  <c r="K95" i="21"/>
  <c r="Q95" i="21" s="1"/>
  <c r="K6" i="21"/>
  <c r="Q6" i="21" s="1"/>
  <c r="K18" i="21"/>
  <c r="Q18" i="21" s="1"/>
  <c r="K22" i="21"/>
  <c r="Q22" i="21" s="1"/>
  <c r="K29" i="21"/>
  <c r="Q29" i="21" s="1"/>
  <c r="K33" i="21"/>
  <c r="Q33" i="21" s="1"/>
  <c r="K37" i="21"/>
  <c r="Q37" i="21" s="1"/>
  <c r="K41" i="21"/>
  <c r="Q41" i="21" s="1"/>
  <c r="K45" i="21"/>
  <c r="Q45" i="21" s="1"/>
  <c r="K49" i="21"/>
  <c r="Q49" i="21" s="1"/>
  <c r="K53" i="21"/>
  <c r="Q53" i="21" s="1"/>
  <c r="K57" i="21"/>
  <c r="Q57" i="21" s="1"/>
  <c r="K61" i="21"/>
  <c r="Q61" i="21" s="1"/>
  <c r="K65" i="21"/>
  <c r="Q65" i="21" s="1"/>
  <c r="K69" i="21"/>
  <c r="Q69" i="21" s="1"/>
  <c r="K73" i="21"/>
  <c r="Q73" i="21" s="1"/>
  <c r="K77" i="21"/>
  <c r="Q77" i="21" s="1"/>
  <c r="K81" i="21"/>
  <c r="Q81" i="21" s="1"/>
  <c r="K85" i="21"/>
  <c r="Q85" i="21" s="1"/>
  <c r="K89" i="21"/>
  <c r="Q89" i="21" s="1"/>
  <c r="K93" i="21"/>
  <c r="Q93" i="21" s="1"/>
  <c r="K97" i="21"/>
  <c r="Q97" i="21" s="1"/>
  <c r="K567" i="21"/>
  <c r="Q567" i="21" s="1"/>
  <c r="K571" i="21"/>
  <c r="Q571" i="21" s="1"/>
  <c r="K575" i="21"/>
  <c r="Q575" i="21" s="1"/>
  <c r="K579" i="21"/>
  <c r="Q579" i="21" s="1"/>
  <c r="K583" i="21"/>
  <c r="Q583" i="21" s="1"/>
  <c r="K591" i="21"/>
  <c r="Q591" i="21" s="1"/>
  <c r="K595" i="21"/>
  <c r="Q595" i="21" s="1"/>
  <c r="K599" i="21"/>
  <c r="Q599" i="21" s="1"/>
  <c r="K606" i="21"/>
  <c r="Q606" i="21" s="1"/>
  <c r="K610" i="21"/>
  <c r="Q610" i="21" s="1"/>
  <c r="K614" i="21"/>
  <c r="Q614" i="21" s="1"/>
  <c r="K622" i="21"/>
  <c r="Q622" i="21" s="1"/>
  <c r="K626" i="21"/>
  <c r="Q626" i="21" s="1"/>
  <c r="K630" i="21"/>
  <c r="Q630" i="21" s="1"/>
  <c r="K569" i="21"/>
  <c r="Q569" i="21" s="1"/>
  <c r="K573" i="21"/>
  <c r="Q573" i="21" s="1"/>
  <c r="K577" i="21"/>
  <c r="Q577" i="21" s="1"/>
  <c r="K581" i="21"/>
  <c r="Q581" i="21" s="1"/>
  <c r="K585" i="21"/>
  <c r="Q585" i="21" s="1"/>
  <c r="K589" i="21"/>
  <c r="Q589" i="21" s="1"/>
  <c r="K593" i="21"/>
  <c r="Q593" i="21" s="1"/>
  <c r="K604" i="21"/>
  <c r="Q604" i="21" s="1"/>
  <c r="K608" i="21"/>
  <c r="Q608" i="21" s="1"/>
  <c r="K612" i="21"/>
  <c r="Q612" i="21" s="1"/>
  <c r="K624" i="21"/>
  <c r="Q624" i="21" s="1"/>
  <c r="K628" i="21"/>
  <c r="Q628" i="21" s="1"/>
  <c r="K101" i="21"/>
  <c r="Q101" i="21" s="1"/>
  <c r="K103" i="21"/>
  <c r="Q103" i="21" s="1"/>
  <c r="K105" i="21"/>
  <c r="Q105" i="21" s="1"/>
  <c r="K109" i="21"/>
  <c r="Q109" i="21" s="1"/>
  <c r="K111" i="21"/>
  <c r="Q111" i="21" s="1"/>
  <c r="K113" i="21"/>
  <c r="Q113" i="21" s="1"/>
  <c r="K117" i="21"/>
  <c r="Q117" i="21" s="1"/>
  <c r="K119" i="21"/>
  <c r="Q119" i="21" s="1"/>
  <c r="K121" i="21"/>
  <c r="Q121" i="21" s="1"/>
  <c r="K125" i="21"/>
  <c r="Q125" i="21" s="1"/>
  <c r="K127" i="21"/>
  <c r="Q127" i="21" s="1"/>
  <c r="K129" i="21"/>
  <c r="Q129" i="21" s="1"/>
  <c r="K133" i="21"/>
  <c r="Q133" i="21" s="1"/>
  <c r="K135" i="21"/>
  <c r="Q135" i="21" s="1"/>
  <c r="K137" i="21"/>
  <c r="Q137" i="21" s="1"/>
  <c r="K141" i="21"/>
  <c r="Q141" i="21" s="1"/>
  <c r="K143" i="21"/>
  <c r="Q143" i="21" s="1"/>
  <c r="K145" i="21"/>
  <c r="Q145" i="21" s="1"/>
  <c r="K149" i="21"/>
  <c r="Q149" i="21" s="1"/>
  <c r="K151" i="21"/>
  <c r="Q151" i="21" s="1"/>
  <c r="K153" i="21"/>
  <c r="Q153" i="21" s="1"/>
  <c r="K157" i="21"/>
  <c r="Q157" i="21" s="1"/>
  <c r="K159" i="21"/>
  <c r="Q159" i="21" s="1"/>
  <c r="K161" i="21"/>
  <c r="Q161" i="21" s="1"/>
  <c r="K165" i="21"/>
  <c r="Q165" i="21" s="1"/>
  <c r="K167" i="21"/>
  <c r="Q167" i="21" s="1"/>
  <c r="K169" i="21"/>
  <c r="Q169" i="21" s="1"/>
  <c r="K173" i="21"/>
  <c r="Q173" i="21" s="1"/>
  <c r="K175" i="21"/>
  <c r="Q175" i="21" s="1"/>
  <c r="K177" i="21"/>
  <c r="Q177" i="21" s="1"/>
  <c r="K181" i="21"/>
  <c r="Q181" i="21" s="1"/>
  <c r="K183" i="21"/>
  <c r="Q183" i="21" s="1"/>
  <c r="K185" i="21"/>
  <c r="Q185" i="21" s="1"/>
  <c r="K189" i="21"/>
  <c r="Q189" i="21" s="1"/>
  <c r="K191" i="21"/>
  <c r="Q191" i="21" s="1"/>
  <c r="K193" i="21"/>
  <c r="Q193" i="21" s="1"/>
  <c r="K197" i="21"/>
  <c r="Q197" i="21" s="1"/>
  <c r="K199" i="21"/>
  <c r="Q199" i="21" s="1"/>
  <c r="K201" i="21"/>
  <c r="Q201" i="21" s="1"/>
  <c r="K205" i="21"/>
  <c r="Q205" i="21" s="1"/>
  <c r="K207" i="21"/>
  <c r="Q207" i="21" s="1"/>
  <c r="K209" i="21"/>
  <c r="Q209" i="21" s="1"/>
  <c r="K213" i="21"/>
  <c r="Q213" i="21" s="1"/>
  <c r="K215" i="21"/>
  <c r="Q215" i="21" s="1"/>
  <c r="K218" i="21"/>
  <c r="Q218" i="21" s="1"/>
  <c r="K224" i="21"/>
  <c r="Q224" i="21" s="1"/>
  <c r="K228" i="21"/>
  <c r="Q228" i="21" s="1"/>
  <c r="K232" i="21"/>
  <c r="Q232" i="21" s="1"/>
  <c r="K234" i="21"/>
  <c r="Q234" i="21" s="1"/>
  <c r="K236" i="21"/>
  <c r="Q236" i="21" s="1"/>
  <c r="K242" i="21"/>
  <c r="Q242" i="21" s="1"/>
  <c r="K246" i="21"/>
  <c r="Q246" i="21" s="1"/>
  <c r="K250" i="21"/>
  <c r="Q250" i="21" s="1"/>
  <c r="K252" i="21"/>
  <c r="Q252" i="21" s="1"/>
  <c r="K254" i="21"/>
  <c r="Q254" i="21" s="1"/>
  <c r="K258" i="21"/>
  <c r="Q258" i="21" s="1"/>
  <c r="K260" i="21"/>
  <c r="Q260" i="21" s="1"/>
  <c r="K264" i="21"/>
  <c r="Q264" i="21" s="1"/>
  <c r="K268" i="21"/>
  <c r="Q268" i="21" s="1"/>
  <c r="K270" i="21"/>
  <c r="Q270" i="21" s="1"/>
  <c r="K272" i="21"/>
  <c r="Q272" i="21" s="1"/>
  <c r="K274" i="21"/>
  <c r="Q274" i="21" s="1"/>
  <c r="K278" i="21"/>
  <c r="Q278" i="21" s="1"/>
  <c r="K280" i="21"/>
  <c r="Q280" i="21" s="1"/>
  <c r="K282" i="21"/>
  <c r="Q282" i="21" s="1"/>
  <c r="K286" i="21"/>
  <c r="Q286" i="21" s="1"/>
  <c r="K291" i="21"/>
  <c r="Q291" i="21" s="1"/>
  <c r="K293" i="21"/>
  <c r="Q293" i="21" s="1"/>
  <c r="K295" i="21"/>
  <c r="Q295" i="21" s="1"/>
  <c r="K299" i="21"/>
  <c r="Q299" i="21" s="1"/>
  <c r="K301" i="21"/>
  <c r="Q301" i="21" s="1"/>
  <c r="K303" i="21"/>
  <c r="Q303" i="21" s="1"/>
  <c r="K307" i="21"/>
  <c r="Q307" i="21" s="1"/>
  <c r="K309" i="21"/>
  <c r="Q309" i="21" s="1"/>
  <c r="K311" i="21"/>
  <c r="Q311" i="21" s="1"/>
  <c r="K315" i="21"/>
  <c r="Q315" i="21" s="1"/>
  <c r="K317" i="21"/>
  <c r="Q317" i="21" s="1"/>
  <c r="K319" i="21"/>
  <c r="Q319" i="21" s="1"/>
  <c r="K323" i="21"/>
  <c r="Q323" i="21" s="1"/>
  <c r="K325" i="21"/>
  <c r="Q325" i="21" s="1"/>
  <c r="K327" i="21"/>
  <c r="Q327" i="21" s="1"/>
  <c r="K331" i="21"/>
  <c r="Q331" i="21" s="1"/>
  <c r="K333" i="21"/>
  <c r="Q333" i="21" s="1"/>
  <c r="K335" i="21"/>
  <c r="Q335" i="21" s="1"/>
  <c r="K339" i="21"/>
  <c r="Q339" i="21" s="1"/>
  <c r="K342" i="21"/>
  <c r="Q342" i="21" s="1"/>
  <c r="K344" i="21"/>
  <c r="Q344" i="21" s="1"/>
  <c r="K346" i="21"/>
  <c r="Q346" i="21" s="1"/>
  <c r="K348" i="21"/>
  <c r="Q348" i="21" s="1"/>
  <c r="K350" i="21"/>
  <c r="Q350" i="21" s="1"/>
  <c r="K352" i="21"/>
  <c r="Q352" i="21" s="1"/>
  <c r="K354" i="21"/>
  <c r="Q354" i="21" s="1"/>
  <c r="K356" i="21"/>
  <c r="Q356" i="21" s="1"/>
  <c r="K358" i="21"/>
  <c r="Q358" i="21" s="1"/>
  <c r="K360" i="21"/>
  <c r="Q360" i="21" s="1"/>
  <c r="K362" i="21"/>
  <c r="Q362" i="21" s="1"/>
  <c r="K364" i="21"/>
  <c r="Q364" i="21" s="1"/>
  <c r="K366" i="21"/>
  <c r="Q366" i="21" s="1"/>
  <c r="K368" i="21"/>
  <c r="Q368" i="21" s="1"/>
  <c r="K370" i="21"/>
  <c r="Q370" i="21" s="1"/>
  <c r="K372" i="21"/>
  <c r="Q372" i="21" s="1"/>
  <c r="K374" i="21"/>
  <c r="Q374" i="21" s="1"/>
  <c r="K376" i="21"/>
  <c r="Q376" i="21" s="1"/>
  <c r="K378" i="21"/>
  <c r="Q378" i="21" s="1"/>
  <c r="K380" i="21"/>
  <c r="Q380" i="21" s="1"/>
  <c r="K382" i="21"/>
  <c r="Q382" i="21" s="1"/>
  <c r="K384" i="21"/>
  <c r="Q384" i="21" s="1"/>
  <c r="K386" i="21"/>
  <c r="Q386" i="21" s="1"/>
  <c r="K388" i="21"/>
  <c r="Q388" i="21" s="1"/>
  <c r="K390" i="21"/>
  <c r="Q390" i="21" s="1"/>
  <c r="K392" i="21"/>
  <c r="Q392" i="21" s="1"/>
  <c r="K394" i="21"/>
  <c r="Q394" i="21" s="1"/>
  <c r="K396" i="21"/>
  <c r="Q396" i="21" s="1"/>
  <c r="K398" i="21"/>
  <c r="Q398" i="21" s="1"/>
  <c r="K400" i="21"/>
  <c r="Q400" i="21" s="1"/>
  <c r="K402" i="21"/>
  <c r="Q402" i="21" s="1"/>
  <c r="K404" i="21"/>
  <c r="Q404" i="21" s="1"/>
  <c r="K406" i="21"/>
  <c r="Q406" i="21" s="1"/>
  <c r="K408" i="21"/>
  <c r="Q408" i="21" s="1"/>
  <c r="K410" i="21"/>
  <c r="Q410" i="21" s="1"/>
  <c r="K411" i="21"/>
  <c r="Q411" i="21" s="1"/>
  <c r="K413" i="21"/>
  <c r="Q413" i="21" s="1"/>
  <c r="K416" i="21"/>
  <c r="Q416" i="21" s="1"/>
  <c r="K418" i="21"/>
  <c r="Q418" i="21" s="1"/>
  <c r="K420" i="21"/>
  <c r="Q420" i="21" s="1"/>
  <c r="K422" i="21"/>
  <c r="Q422" i="21" s="1"/>
  <c r="K424" i="21"/>
  <c r="Q424" i="21" s="1"/>
  <c r="K426" i="21"/>
  <c r="Q426" i="21" s="1"/>
  <c r="K428" i="21"/>
  <c r="Q428" i="21" s="1"/>
  <c r="K430" i="21"/>
  <c r="Q430" i="21" s="1"/>
  <c r="K432" i="21"/>
  <c r="Q432" i="21" s="1"/>
  <c r="K434" i="21"/>
  <c r="Q434" i="21" s="1"/>
  <c r="K436" i="21"/>
  <c r="Q436" i="21" s="1"/>
  <c r="K438" i="21"/>
  <c r="Q438" i="21" s="1"/>
  <c r="K440" i="21"/>
  <c r="Q440" i="21" s="1"/>
  <c r="K442" i="21"/>
  <c r="Q442" i="21" s="1"/>
  <c r="K444" i="21"/>
  <c r="Q444" i="21" s="1"/>
  <c r="K446" i="21"/>
  <c r="Q446" i="21" s="1"/>
  <c r="K448" i="21"/>
  <c r="Q448" i="21" s="1"/>
  <c r="K450" i="21"/>
  <c r="Q450" i="21" s="1"/>
  <c r="K452" i="21"/>
  <c r="Q452" i="21" s="1"/>
  <c r="K454" i="21"/>
  <c r="Q454" i="21" s="1"/>
  <c r="K456" i="21"/>
  <c r="Q456" i="21" s="1"/>
  <c r="K458" i="21"/>
  <c r="Q458" i="21" s="1"/>
  <c r="K460" i="21"/>
  <c r="Q460" i="21" s="1"/>
  <c r="K462" i="21"/>
  <c r="Q462" i="21" s="1"/>
  <c r="K464" i="21"/>
  <c r="Q464" i="21" s="1"/>
  <c r="K466" i="21"/>
  <c r="Q466" i="21" s="1"/>
  <c r="K468" i="21"/>
  <c r="Q468" i="21" s="1"/>
  <c r="K470" i="21"/>
  <c r="Q470" i="21" s="1"/>
  <c r="K472" i="21"/>
  <c r="Q472" i="21" s="1"/>
  <c r="K474" i="21"/>
  <c r="Q474" i="21" s="1"/>
  <c r="K476" i="21"/>
  <c r="Q476" i="21" s="1"/>
  <c r="K478" i="21"/>
  <c r="Q478" i="21" s="1"/>
  <c r="K480" i="21"/>
  <c r="Q480" i="21" s="1"/>
  <c r="K482" i="21"/>
  <c r="Q482" i="21" s="1"/>
  <c r="K484" i="21"/>
  <c r="Q484" i="21" s="1"/>
  <c r="K486" i="21"/>
  <c r="Q486" i="21" s="1"/>
  <c r="K488" i="21"/>
  <c r="Q488" i="21" s="1"/>
  <c r="K490" i="21"/>
  <c r="Q490" i="21" s="1"/>
  <c r="K492" i="21"/>
  <c r="Q492" i="21" s="1"/>
  <c r="K494" i="21"/>
  <c r="Q494" i="21" s="1"/>
  <c r="K497" i="21"/>
  <c r="Q497" i="21" s="1"/>
  <c r="K501" i="21"/>
  <c r="Q501" i="21" s="1"/>
  <c r="K503" i="21"/>
  <c r="Q503" i="21" s="1"/>
  <c r="K505" i="21"/>
  <c r="Q505" i="21" s="1"/>
  <c r="K509" i="21"/>
  <c r="Q509" i="21" s="1"/>
  <c r="K511" i="21"/>
  <c r="Q511" i="21" s="1"/>
  <c r="K513" i="21"/>
  <c r="Q513" i="21" s="1"/>
  <c r="K514" i="21"/>
  <c r="Q514" i="21" s="1"/>
  <c r="K516" i="21"/>
  <c r="Q516" i="21" s="1"/>
  <c r="K518" i="21"/>
  <c r="Q518" i="21" s="1"/>
  <c r="K520" i="21"/>
  <c r="Q520" i="21" s="1"/>
  <c r="K522" i="21"/>
  <c r="Q522" i="21" s="1"/>
  <c r="K524" i="21"/>
  <c r="Q524" i="21" s="1"/>
  <c r="K526" i="21"/>
  <c r="Q526" i="21" s="1"/>
  <c r="K528" i="21"/>
  <c r="Q528" i="21" s="1"/>
  <c r="K530" i="21"/>
  <c r="Q530" i="21" s="1"/>
  <c r="K532" i="21"/>
  <c r="Q532" i="21" s="1"/>
  <c r="K534" i="21"/>
  <c r="Q534" i="21" s="1"/>
  <c r="K536" i="21"/>
  <c r="Q536" i="21" s="1"/>
  <c r="K538" i="21"/>
  <c r="Q538" i="21" s="1"/>
  <c r="K540" i="21"/>
  <c r="Q540" i="21" s="1"/>
  <c r="K542" i="21"/>
  <c r="Q542" i="21" s="1"/>
  <c r="K544" i="21"/>
  <c r="Q544" i="21" s="1"/>
  <c r="K546" i="21"/>
  <c r="Q546" i="21" s="1"/>
  <c r="K548" i="21"/>
  <c r="Q548" i="21" s="1"/>
  <c r="K550" i="21"/>
  <c r="Q550" i="21" s="1"/>
  <c r="K552" i="21"/>
  <c r="Q552" i="21" s="1"/>
  <c r="K554" i="21"/>
  <c r="Q554" i="21" s="1"/>
  <c r="K556" i="21"/>
  <c r="Q556" i="21" s="1"/>
  <c r="K558" i="21"/>
  <c r="Q558" i="21" s="1"/>
  <c r="K560" i="21"/>
  <c r="Q560" i="21" s="1"/>
  <c r="K562" i="21"/>
  <c r="Q562" i="21" s="1"/>
  <c r="K564" i="21"/>
  <c r="Q564" i="21" s="1"/>
  <c r="K890" i="21"/>
  <c r="Q890" i="21" s="1"/>
  <c r="K894" i="21"/>
  <c r="Q894" i="21" s="1"/>
  <c r="K898" i="21"/>
  <c r="Q898" i="21" s="1"/>
  <c r="K902" i="21"/>
  <c r="Q902" i="21" s="1"/>
  <c r="K910" i="21"/>
  <c r="Q910" i="21" s="1"/>
  <c r="K914" i="21"/>
  <c r="Q914" i="21" s="1"/>
  <c r="K892" i="21"/>
  <c r="Q892" i="21" s="1"/>
  <c r="K896" i="21"/>
  <c r="Q896" i="21" s="1"/>
  <c r="K900" i="21"/>
  <c r="Q900" i="21" s="1"/>
  <c r="K908" i="21"/>
  <c r="Q908" i="21" s="1"/>
  <c r="K912" i="21"/>
  <c r="Q912" i="21" s="1"/>
  <c r="K916" i="21"/>
  <c r="Q916" i="21" s="1"/>
  <c r="K632" i="21"/>
  <c r="Q632" i="21" s="1"/>
  <c r="K633" i="21"/>
  <c r="Q633" i="21" s="1"/>
  <c r="K639" i="21"/>
  <c r="Q639" i="21" s="1"/>
  <c r="K641" i="21"/>
  <c r="Q641" i="21" s="1"/>
  <c r="K643" i="21"/>
  <c r="Q643" i="21" s="1"/>
  <c r="K645" i="21"/>
  <c r="Q645" i="21" s="1"/>
  <c r="K647" i="21"/>
  <c r="Q647" i="21" s="1"/>
  <c r="K649" i="21"/>
  <c r="Q649" i="21" s="1"/>
  <c r="K651" i="21"/>
  <c r="Q651" i="21" s="1"/>
  <c r="K655" i="21"/>
  <c r="Q655" i="21" s="1"/>
  <c r="K657" i="21"/>
  <c r="Q657" i="21" s="1"/>
  <c r="K661" i="21"/>
  <c r="Q661" i="21" s="1"/>
  <c r="K667" i="21"/>
  <c r="Q667" i="21" s="1"/>
  <c r="K671" i="21"/>
  <c r="Q671" i="21" s="1"/>
  <c r="K673" i="21"/>
  <c r="Q673" i="21" s="1"/>
  <c r="K675" i="21"/>
  <c r="Q675" i="21" s="1"/>
  <c r="K677" i="21"/>
  <c r="Q677" i="21" s="1"/>
  <c r="K681" i="21"/>
  <c r="Q681" i="21" s="1"/>
  <c r="K683" i="21"/>
  <c r="Q683" i="21" s="1"/>
  <c r="K688" i="21"/>
  <c r="Q688" i="21" s="1"/>
  <c r="K691" i="21"/>
  <c r="Q691" i="21" s="1"/>
  <c r="K692" i="21"/>
  <c r="Q692" i="21" s="1"/>
  <c r="K694" i="21"/>
  <c r="Q694" i="21" s="1"/>
  <c r="K698" i="21"/>
  <c r="Q698" i="21" s="1"/>
  <c r="K700" i="21"/>
  <c r="Q700" i="21" s="1"/>
  <c r="K702" i="21"/>
  <c r="Q702" i="21" s="1"/>
  <c r="K704" i="21"/>
  <c r="Q704" i="21" s="1"/>
  <c r="K706" i="21"/>
  <c r="Q706" i="21" s="1"/>
  <c r="K708" i="21"/>
  <c r="Q708" i="21" s="1"/>
  <c r="K710" i="21"/>
  <c r="Q710" i="21" s="1"/>
  <c r="K714" i="21"/>
  <c r="Q714" i="21" s="1"/>
  <c r="K716" i="21"/>
  <c r="Q716" i="21" s="1"/>
  <c r="K722" i="21"/>
  <c r="Q722" i="21" s="1"/>
  <c r="K724" i="21"/>
  <c r="Q724" i="21" s="1"/>
  <c r="K726" i="21"/>
  <c r="Q726" i="21" s="1"/>
  <c r="K730" i="21"/>
  <c r="Q730" i="21" s="1"/>
  <c r="K732" i="21"/>
  <c r="Q732" i="21" s="1"/>
  <c r="K734" i="21"/>
  <c r="Q734" i="21" s="1"/>
  <c r="K738" i="21"/>
  <c r="Q738" i="21" s="1"/>
  <c r="K740" i="21"/>
  <c r="Q740" i="21" s="1"/>
  <c r="K742" i="21"/>
  <c r="Q742" i="21" s="1"/>
  <c r="K744" i="21"/>
  <c r="Q744" i="21" s="1"/>
  <c r="K746" i="21"/>
  <c r="Q746" i="21" s="1"/>
  <c r="K748" i="21"/>
  <c r="Q748" i="21" s="1"/>
  <c r="K750" i="21"/>
  <c r="Q750" i="21" s="1"/>
  <c r="K754" i="21"/>
  <c r="Q754" i="21" s="1"/>
  <c r="K756" i="21"/>
  <c r="Q756" i="21" s="1"/>
  <c r="K758" i="21"/>
  <c r="Q758" i="21" s="1"/>
  <c r="K762" i="21"/>
  <c r="Q762" i="21" s="1"/>
  <c r="K764" i="21"/>
  <c r="Q764" i="21" s="1"/>
  <c r="K766" i="21"/>
  <c r="Q766" i="21" s="1"/>
  <c r="K768" i="21"/>
  <c r="Q768" i="21" s="1"/>
  <c r="K770" i="21"/>
  <c r="Q770" i="21" s="1"/>
  <c r="K772" i="21"/>
  <c r="Q772" i="21" s="1"/>
  <c r="K774" i="21"/>
  <c r="Q774" i="21" s="1"/>
  <c r="K778" i="21"/>
  <c r="Q778" i="21" s="1"/>
  <c r="K780" i="21"/>
  <c r="Q780" i="21" s="1"/>
  <c r="K782" i="21"/>
  <c r="Q782" i="21" s="1"/>
  <c r="K786" i="21"/>
  <c r="Q786" i="21" s="1"/>
  <c r="K788" i="21"/>
  <c r="Q788" i="21" s="1"/>
  <c r="K790" i="21"/>
  <c r="Q790" i="21" s="1"/>
  <c r="K794" i="21"/>
  <c r="Q794" i="21" s="1"/>
  <c r="K797" i="21"/>
  <c r="Q797" i="21" s="1"/>
  <c r="K800" i="21"/>
  <c r="Q800" i="21" s="1"/>
  <c r="K804" i="21"/>
  <c r="Q804" i="21" s="1"/>
  <c r="K806" i="21"/>
  <c r="Q806" i="21" s="1"/>
  <c r="K808" i="21"/>
  <c r="Q808" i="21" s="1"/>
  <c r="K812" i="21"/>
  <c r="Q812" i="21" s="1"/>
  <c r="K814" i="21"/>
  <c r="Q814" i="21" s="1"/>
  <c r="K815" i="21"/>
  <c r="Q815" i="21" s="1"/>
  <c r="K817" i="21"/>
  <c r="Q817" i="21" s="1"/>
  <c r="K819" i="21"/>
  <c r="Q819" i="21" s="1"/>
  <c r="K821" i="21"/>
  <c r="Q821" i="21" s="1"/>
  <c r="K823" i="21"/>
  <c r="Q823" i="21" s="1"/>
  <c r="K828" i="21"/>
  <c r="Q828" i="21" s="1"/>
  <c r="K830" i="21"/>
  <c r="Q830" i="21" s="1"/>
  <c r="K832" i="21"/>
  <c r="Q832" i="21" s="1"/>
  <c r="K834" i="21"/>
  <c r="Q834" i="21" s="1"/>
  <c r="K836" i="21"/>
  <c r="Q836" i="21" s="1"/>
  <c r="K840" i="21"/>
  <c r="Q840" i="21" s="1"/>
  <c r="K844" i="21"/>
  <c r="Q844" i="21" s="1"/>
  <c r="K846" i="21"/>
  <c r="Q846" i="21" s="1"/>
  <c r="K848" i="21"/>
  <c r="Q848" i="21" s="1"/>
  <c r="K850" i="21"/>
  <c r="Q850" i="21" s="1"/>
  <c r="K852" i="21"/>
  <c r="Q852" i="21" s="1"/>
  <c r="K854" i="21"/>
  <c r="Q854" i="21" s="1"/>
  <c r="K856" i="21"/>
  <c r="Q856" i="21" s="1"/>
  <c r="K860" i="21"/>
  <c r="Q860" i="21" s="1"/>
  <c r="K862" i="21"/>
  <c r="Q862" i="21" s="1"/>
  <c r="K864" i="21"/>
  <c r="Q864" i="21" s="1"/>
  <c r="K866" i="21"/>
  <c r="Q866" i="21" s="1"/>
  <c r="K868" i="21"/>
  <c r="Q868" i="21" s="1"/>
  <c r="K870" i="21"/>
  <c r="Q870" i="21" s="1"/>
  <c r="K872" i="21"/>
  <c r="Q872" i="21" s="1"/>
  <c r="K876" i="21"/>
  <c r="Q876" i="21" s="1"/>
  <c r="K878" i="21"/>
  <c r="Q878" i="21" s="1"/>
  <c r="K880" i="21"/>
  <c r="Q880" i="21" s="1"/>
  <c r="K882" i="21"/>
  <c r="Q882" i="21" s="1"/>
  <c r="K884" i="21"/>
  <c r="Q884" i="21" s="1"/>
  <c r="K886" i="21"/>
  <c r="Q886" i="21" s="1"/>
  <c r="K921" i="21"/>
  <c r="Q921" i="21" s="1"/>
  <c r="K922" i="21"/>
  <c r="Q922" i="21" s="1"/>
  <c r="K924" i="21"/>
  <c r="Q924" i="21" s="1"/>
  <c r="K926" i="21"/>
  <c r="Q926" i="21" s="1"/>
  <c r="K928" i="21"/>
  <c r="Q928" i="21" s="1"/>
  <c r="K930" i="21"/>
  <c r="Q930" i="21" s="1"/>
  <c r="K934" i="21"/>
  <c r="Q934" i="21" s="1"/>
  <c r="K936" i="21"/>
  <c r="Q936" i="21" s="1"/>
  <c r="K937" i="21"/>
  <c r="Q937" i="21" s="1"/>
  <c r="K939" i="21"/>
  <c r="Q939" i="21" s="1"/>
  <c r="K941" i="21"/>
  <c r="Q941" i="21" s="1"/>
  <c r="K944" i="21"/>
  <c r="Q944" i="21" s="1"/>
  <c r="K947" i="21"/>
  <c r="Q947" i="21" s="1"/>
  <c r="K949" i="21"/>
  <c r="Q949" i="21" s="1"/>
  <c r="K951" i="21"/>
  <c r="Q951" i="21" s="1"/>
  <c r="K955" i="21"/>
  <c r="Q955" i="21" s="1"/>
  <c r="K957" i="21"/>
  <c r="Q957" i="21" s="1"/>
  <c r="K959" i="21"/>
  <c r="Q959" i="21" s="1"/>
  <c r="K961" i="21"/>
  <c r="Q961" i="21" s="1"/>
  <c r="K963" i="21"/>
  <c r="Q963" i="21" s="1"/>
  <c r="K965" i="21"/>
  <c r="Q965" i="21" s="1"/>
  <c r="K967" i="21"/>
  <c r="Q967" i="21" s="1"/>
  <c r="K971" i="21"/>
  <c r="Q971" i="21" s="1"/>
  <c r="K973" i="21"/>
  <c r="Q973" i="21" s="1"/>
  <c r="K974" i="21"/>
  <c r="Q974" i="21" s="1"/>
  <c r="K976" i="21"/>
  <c r="Q976" i="21" s="1"/>
  <c r="K978" i="21"/>
  <c r="Q978" i="21" s="1"/>
  <c r="K980" i="21"/>
  <c r="Q980" i="21" s="1"/>
  <c r="K982" i="21"/>
  <c r="Q982" i="21" s="1"/>
  <c r="K984" i="21"/>
  <c r="Q984" i="21" s="1"/>
  <c r="K986" i="21"/>
  <c r="Q986" i="21" s="1"/>
  <c r="K988" i="21"/>
  <c r="Q988" i="21" s="1"/>
  <c r="K990" i="21"/>
  <c r="Q990" i="21" s="1"/>
  <c r="K992" i="21"/>
  <c r="Q992" i="21" s="1"/>
  <c r="K994" i="21"/>
  <c r="Q994" i="21" s="1"/>
  <c r="B133" i="1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D7" i="16"/>
  <c r="D8" i="16"/>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D62" i="16" s="1"/>
  <c r="D63" i="16" s="1"/>
  <c r="D64" i="16" s="1"/>
  <c r="D65" i="16" s="1"/>
  <c r="E26" i="22"/>
  <c r="E74" i="22"/>
  <c r="L1036" i="2"/>
  <c r="L1054" i="2"/>
  <c r="AB1054" i="2" s="1"/>
  <c r="L836" i="2"/>
  <c r="AB836" i="2" s="1"/>
  <c r="L708" i="2"/>
  <c r="AB708" i="2" s="1"/>
  <c r="P588" i="2"/>
  <c r="L576" i="2"/>
  <c r="AB576" i="2" s="1"/>
  <c r="L132" i="2"/>
  <c r="AB132" i="2" s="1"/>
  <c r="P132" i="2"/>
  <c r="P112" i="2"/>
  <c r="L112" i="2"/>
  <c r="AB112" i="2" s="1"/>
  <c r="P76" i="2"/>
  <c r="L52" i="2"/>
  <c r="AB52" i="2" s="1"/>
  <c r="P44" i="2"/>
  <c r="P20" i="2"/>
  <c r="P535" i="2"/>
  <c r="L425" i="2"/>
  <c r="AB425" i="2" s="1"/>
  <c r="L379" i="2"/>
  <c r="AB379" i="2" s="1"/>
  <c r="L311" i="2"/>
  <c r="AB311" i="2" s="1"/>
  <c r="P265" i="2"/>
  <c r="L253" i="2"/>
  <c r="AB253" i="2" s="1"/>
  <c r="P245" i="2"/>
  <c r="L239" i="2"/>
  <c r="AB239" i="2" s="1"/>
  <c r="P239" i="2"/>
  <c r="L217" i="2"/>
  <c r="AB217" i="2" s="1"/>
  <c r="P215" i="2"/>
  <c r="L207" i="2"/>
  <c r="AB207" i="2" s="1"/>
  <c r="L203" i="2"/>
  <c r="AB203" i="2" s="1"/>
  <c r="P203" i="2"/>
  <c r="L359" i="2"/>
  <c r="AB359" i="2" s="1"/>
  <c r="L129" i="2"/>
  <c r="AB129" i="2" s="1"/>
  <c r="P147" i="2"/>
  <c r="P211" i="2"/>
  <c r="P100" i="2"/>
  <c r="P656" i="2"/>
  <c r="P43" i="2"/>
  <c r="P67" i="2"/>
  <c r="P12" i="2"/>
  <c r="P108" i="2"/>
  <c r="P199" i="2"/>
  <c r="L85" i="2"/>
  <c r="AB85" i="2" s="1"/>
  <c r="P49" i="2"/>
  <c r="L236" i="2"/>
  <c r="AB236" i="2" s="1"/>
  <c r="L252" i="2"/>
  <c r="AB252" i="2" s="1"/>
  <c r="L223" i="2"/>
  <c r="AB223" i="2" s="1"/>
  <c r="L779" i="2"/>
  <c r="AB779" i="2" s="1"/>
  <c r="P243" i="2"/>
  <c r="P431" i="2"/>
  <c r="P651" i="2"/>
  <c r="Q943" i="21"/>
  <c r="AB1038" i="2"/>
  <c r="L1037" i="2"/>
  <c r="AB1039" i="2"/>
  <c r="L607" i="2"/>
  <c r="AB607" i="2" s="1"/>
  <c r="L964" i="2"/>
  <c r="AB964" i="2" s="1"/>
  <c r="P219" i="2"/>
  <c r="P848" i="2"/>
  <c r="P195" i="2"/>
  <c r="L273" i="2"/>
  <c r="AB273" i="2" s="1"/>
  <c r="P111" i="2"/>
  <c r="L143" i="2"/>
  <c r="AB143" i="2" s="1"/>
  <c r="L191" i="2"/>
  <c r="AB191" i="2" s="1"/>
  <c r="P103" i="2"/>
  <c r="P135" i="2"/>
  <c r="L183" i="2"/>
  <c r="AB183" i="2" s="1"/>
  <c r="P69" i="2"/>
  <c r="L125" i="2"/>
  <c r="AB125" i="2" s="1"/>
  <c r="L361" i="2"/>
  <c r="AB361" i="2" s="1"/>
  <c r="P57" i="2"/>
  <c r="L121" i="2"/>
  <c r="AB121" i="2" s="1"/>
  <c r="L369" i="2"/>
  <c r="AB369" i="2" s="1"/>
  <c r="L387" i="2"/>
  <c r="AB387" i="2" s="1"/>
  <c r="P231" i="2"/>
  <c r="L391" i="2"/>
  <c r="AB391" i="2" s="1"/>
  <c r="P568" i="2"/>
  <c r="P532" i="2"/>
  <c r="P99" i="2"/>
  <c r="P139" i="2"/>
  <c r="P163" i="2"/>
  <c r="P171" i="2"/>
  <c r="P107" i="2"/>
  <c r="P172" i="2"/>
  <c r="P204" i="2"/>
  <c r="P63" i="2"/>
  <c r="P95" i="2"/>
  <c r="L159" i="2"/>
  <c r="AB159" i="2" s="1"/>
  <c r="L368" i="2"/>
  <c r="AB368" i="2" s="1"/>
  <c r="L392" i="2"/>
  <c r="AB392" i="2" s="1"/>
  <c r="P472" i="2"/>
  <c r="P925" i="2"/>
  <c r="P39" i="2"/>
  <c r="L151" i="2"/>
  <c r="AB151" i="2" s="1"/>
  <c r="L348" i="2"/>
  <c r="AB348" i="2" s="1"/>
  <c r="P412" i="2"/>
  <c r="P53" i="2"/>
  <c r="L77" i="2"/>
  <c r="AB77" i="2" s="1"/>
  <c r="L117" i="2"/>
  <c r="AB117" i="2" s="1"/>
  <c r="P133" i="2"/>
  <c r="L65" i="2"/>
  <c r="AB65" i="2" s="1"/>
  <c r="L97" i="2"/>
  <c r="AB97" i="2" s="1"/>
  <c r="F22" i="13"/>
  <c r="F26" i="13" s="1"/>
  <c r="F24" i="13"/>
  <c r="F13" i="13"/>
  <c r="F11" i="13"/>
  <c r="F15" i="13" s="1"/>
  <c r="H24" i="20"/>
  <c r="H26" i="20"/>
  <c r="P764" i="2"/>
  <c r="P596" i="2"/>
  <c r="P941" i="2"/>
  <c r="L2" i="4"/>
  <c r="D19" i="9" s="1"/>
  <c r="L2" i="8"/>
  <c r="D23" i="9" s="1"/>
  <c r="H17" i="20"/>
  <c r="H15" i="20"/>
  <c r="H18" i="20"/>
  <c r="H19" i="20"/>
  <c r="Q1036" i="21"/>
  <c r="C89" i="12"/>
  <c r="C88" i="12" s="1"/>
  <c r="F48" i="9"/>
  <c r="F47" i="9" s="1"/>
  <c r="E46" i="9" l="1"/>
  <c r="E45" i="9"/>
  <c r="P439" i="2"/>
  <c r="L595" i="2"/>
  <c r="AB595" i="2" s="1"/>
  <c r="L691" i="2"/>
  <c r="AB691" i="2" s="1"/>
  <c r="L611" i="2"/>
  <c r="AB611" i="2" s="1"/>
  <c r="G35" i="11"/>
  <c r="G34" i="11" s="1"/>
  <c r="G33" i="11" s="1"/>
  <c r="G32" i="11" s="1"/>
  <c r="G31" i="11" s="1"/>
  <c r="G30" i="11" s="1"/>
  <c r="G29" i="11" s="1"/>
  <c r="G28" i="11" s="1"/>
  <c r="G27" i="11" s="1"/>
  <c r="G26" i="11" s="1"/>
  <c r="C35" i="11"/>
  <c r="C34" i="11" s="1"/>
  <c r="C33" i="11" s="1"/>
  <c r="C32" i="11" s="1"/>
  <c r="C31" i="11" s="1"/>
  <c r="C30" i="11" s="1"/>
  <c r="C29" i="11" s="1"/>
  <c r="C28" i="11" s="1"/>
  <c r="C27" i="11" s="1"/>
  <c r="C26" i="11" s="1"/>
  <c r="F35" i="11"/>
  <c r="F34" i="11" s="1"/>
  <c r="F33" i="11" s="1"/>
  <c r="F32" i="11" s="1"/>
  <c r="F31" i="11" s="1"/>
  <c r="F30" i="11" s="1"/>
  <c r="F29" i="11" s="1"/>
  <c r="F28" i="11" s="1"/>
  <c r="F27" i="11" s="1"/>
  <c r="F26" i="11" s="1"/>
  <c r="E35" i="11"/>
  <c r="E34" i="11" s="1"/>
  <c r="E33" i="11" s="1"/>
  <c r="E32" i="11" s="1"/>
  <c r="E31" i="11" s="1"/>
  <c r="E30" i="11" s="1"/>
  <c r="E29" i="11" s="1"/>
  <c r="E28" i="11" s="1"/>
  <c r="E27" i="11" s="1"/>
  <c r="E26" i="11" s="1"/>
  <c r="H35" i="11"/>
  <c r="H34" i="11" s="1"/>
  <c r="H33" i="11" s="1"/>
  <c r="H32" i="11" s="1"/>
  <c r="H31" i="11" s="1"/>
  <c r="H30" i="11" s="1"/>
  <c r="H29" i="11" s="1"/>
  <c r="H28" i="11" s="1"/>
  <c r="H27" i="11" s="1"/>
  <c r="H26" i="11" s="1"/>
  <c r="D35" i="11"/>
  <c r="D34" i="11" s="1"/>
  <c r="D33" i="11" s="1"/>
  <c r="D32" i="11" s="1"/>
  <c r="D31" i="11" s="1"/>
  <c r="D30" i="11" s="1"/>
  <c r="D29" i="11" s="1"/>
  <c r="D28" i="11" s="1"/>
  <c r="D27" i="11" s="1"/>
  <c r="D26" i="11" s="1"/>
  <c r="G72" i="11"/>
  <c r="G71" i="11" s="1"/>
  <c r="G70" i="11" s="1"/>
  <c r="G69" i="11" s="1"/>
  <c r="G68" i="11" s="1"/>
  <c r="G67" i="11" s="1"/>
  <c r="G66" i="11" s="1"/>
  <c r="G65" i="11" s="1"/>
  <c r="G64" i="11" s="1"/>
  <c r="G63" i="11" s="1"/>
  <c r="C72" i="11"/>
  <c r="C71" i="11" s="1"/>
  <c r="C70" i="11" s="1"/>
  <c r="C69" i="11" s="1"/>
  <c r="C68" i="11" s="1"/>
  <c r="C67" i="11" s="1"/>
  <c r="C66" i="11" s="1"/>
  <c r="C65" i="11" s="1"/>
  <c r="C64" i="11" s="1"/>
  <c r="C63" i="11" s="1"/>
  <c r="G53" i="11"/>
  <c r="C53" i="11"/>
  <c r="E52" i="11"/>
  <c r="G51" i="11"/>
  <c r="C51" i="11"/>
  <c r="E50" i="11"/>
  <c r="G49" i="11"/>
  <c r="C49" i="11"/>
  <c r="E48" i="11"/>
  <c r="G47" i="11"/>
  <c r="C47" i="11"/>
  <c r="E46" i="11"/>
  <c r="G45" i="11"/>
  <c r="C45" i="11"/>
  <c r="E44" i="11"/>
  <c r="F72" i="11"/>
  <c r="F53" i="11"/>
  <c r="H52" i="11"/>
  <c r="D52" i="11"/>
  <c r="F51" i="11"/>
  <c r="H50" i="11"/>
  <c r="D50" i="11"/>
  <c r="F49" i="11"/>
  <c r="H48" i="11"/>
  <c r="D48" i="11"/>
  <c r="F47" i="11"/>
  <c r="H46" i="11"/>
  <c r="D46" i="11"/>
  <c r="F45" i="11"/>
  <c r="H44" i="11"/>
  <c r="D44" i="11"/>
  <c r="E72" i="11"/>
  <c r="F71" i="11"/>
  <c r="F70" i="11" s="1"/>
  <c r="F69" i="11" s="1"/>
  <c r="F68" i="11" s="1"/>
  <c r="F67" i="11" s="1"/>
  <c r="F66" i="11" s="1"/>
  <c r="F65" i="11" s="1"/>
  <c r="F64" i="11" s="1"/>
  <c r="F63" i="11" s="1"/>
  <c r="E53" i="11"/>
  <c r="G52" i="11"/>
  <c r="C52" i="11"/>
  <c r="E51" i="11"/>
  <c r="G50" i="11"/>
  <c r="C50" i="11"/>
  <c r="E49" i="11"/>
  <c r="G48" i="11"/>
  <c r="C48" i="11"/>
  <c r="E47" i="11"/>
  <c r="G46" i="11"/>
  <c r="C46" i="11"/>
  <c r="E45" i="11"/>
  <c r="G44" i="11"/>
  <c r="C44" i="11"/>
  <c r="H72" i="11"/>
  <c r="H71" i="11" s="1"/>
  <c r="H70" i="11" s="1"/>
  <c r="H69" i="11" s="1"/>
  <c r="H68" i="11" s="1"/>
  <c r="H67" i="11" s="1"/>
  <c r="H66" i="11" s="1"/>
  <c r="H65" i="11" s="1"/>
  <c r="H64" i="11" s="1"/>
  <c r="H63" i="11" s="1"/>
  <c r="D72" i="11"/>
  <c r="D71" i="11" s="1"/>
  <c r="D70" i="11" s="1"/>
  <c r="D69" i="11" s="1"/>
  <c r="D68" i="11" s="1"/>
  <c r="D67" i="11" s="1"/>
  <c r="D66" i="11" s="1"/>
  <c r="D65" i="11" s="1"/>
  <c r="D64" i="11" s="1"/>
  <c r="D63" i="11" s="1"/>
  <c r="E71" i="11"/>
  <c r="E70" i="11" s="1"/>
  <c r="E69" i="11" s="1"/>
  <c r="E68" i="11" s="1"/>
  <c r="E67" i="11" s="1"/>
  <c r="E66" i="11" s="1"/>
  <c r="E65" i="11" s="1"/>
  <c r="E64" i="11" s="1"/>
  <c r="E63" i="11" s="1"/>
  <c r="H53" i="11"/>
  <c r="D53" i="11"/>
  <c r="F52" i="11"/>
  <c r="H51" i="11"/>
  <c r="D51" i="11"/>
  <c r="F50" i="11"/>
  <c r="H49" i="11"/>
  <c r="D49" i="11"/>
  <c r="F48" i="11"/>
  <c r="H47" i="11"/>
  <c r="D47" i="11"/>
  <c r="F46" i="11"/>
  <c r="H45" i="11"/>
  <c r="D45" i="11"/>
  <c r="F44" i="11"/>
  <c r="P763" i="2"/>
  <c r="H121" i="11"/>
  <c r="H120" i="11" s="1"/>
  <c r="H119" i="11" s="1"/>
  <c r="H118" i="11" s="1"/>
  <c r="H117" i="11" s="1"/>
  <c r="H116" i="11" s="1"/>
  <c r="H115" i="11" s="1"/>
  <c r="H114" i="11" s="1"/>
  <c r="H113" i="11" s="1"/>
  <c r="H112" i="11" s="1"/>
  <c r="H111" i="11" s="1"/>
  <c r="H110" i="11" s="1"/>
  <c r="H109" i="11" s="1"/>
  <c r="H108" i="11" s="1"/>
  <c r="H107" i="11" s="1"/>
  <c r="H106" i="11" s="1"/>
  <c r="D121" i="11"/>
  <c r="G96" i="11"/>
  <c r="C96" i="11"/>
  <c r="E95" i="11"/>
  <c r="G94" i="11"/>
  <c r="C94" i="11"/>
  <c r="E93" i="11"/>
  <c r="G92" i="11"/>
  <c r="C92" i="11"/>
  <c r="E91" i="11"/>
  <c r="G90" i="11"/>
  <c r="C90" i="11"/>
  <c r="E89" i="11"/>
  <c r="G88" i="11"/>
  <c r="C88" i="11"/>
  <c r="E87" i="11"/>
  <c r="G86" i="11"/>
  <c r="C86" i="11"/>
  <c r="E85" i="11"/>
  <c r="G84" i="11"/>
  <c r="C84" i="11"/>
  <c r="E83" i="11"/>
  <c r="G82" i="11"/>
  <c r="C82" i="11"/>
  <c r="E81" i="11"/>
  <c r="G121" i="11"/>
  <c r="G120" i="11" s="1"/>
  <c r="G119" i="11" s="1"/>
  <c r="G118" i="11" s="1"/>
  <c r="G117" i="11" s="1"/>
  <c r="G116" i="11" s="1"/>
  <c r="G115" i="11" s="1"/>
  <c r="G114" i="11" s="1"/>
  <c r="G113" i="11" s="1"/>
  <c r="G112" i="11" s="1"/>
  <c r="G111" i="11" s="1"/>
  <c r="G110" i="11" s="1"/>
  <c r="G109" i="11" s="1"/>
  <c r="G108" i="11" s="1"/>
  <c r="G107" i="11" s="1"/>
  <c r="G106" i="11" s="1"/>
  <c r="C121" i="11"/>
  <c r="F96" i="11"/>
  <c r="H95" i="11"/>
  <c r="D95" i="11"/>
  <c r="F94" i="11"/>
  <c r="H93" i="11"/>
  <c r="D93" i="11"/>
  <c r="F92" i="11"/>
  <c r="H91" i="11"/>
  <c r="D91" i="11"/>
  <c r="F90" i="11"/>
  <c r="H89" i="11"/>
  <c r="D89" i="11"/>
  <c r="F88" i="11"/>
  <c r="H87" i="11"/>
  <c r="D87" i="11"/>
  <c r="F86" i="11"/>
  <c r="H85" i="11"/>
  <c r="D85" i="11"/>
  <c r="F84" i="11"/>
  <c r="H83" i="11"/>
  <c r="D83" i="11"/>
  <c r="F82" i="11"/>
  <c r="H81" i="11"/>
  <c r="D81" i="11"/>
  <c r="F121" i="11"/>
  <c r="F120" i="11" s="1"/>
  <c r="F119" i="11" s="1"/>
  <c r="F118" i="11" s="1"/>
  <c r="F117" i="11" s="1"/>
  <c r="F116" i="11" s="1"/>
  <c r="F115" i="11" s="1"/>
  <c r="F114" i="11" s="1"/>
  <c r="F113" i="11" s="1"/>
  <c r="F112" i="11" s="1"/>
  <c r="F111" i="11" s="1"/>
  <c r="F110" i="11" s="1"/>
  <c r="F109" i="11" s="1"/>
  <c r="F108" i="11" s="1"/>
  <c r="F107" i="11" s="1"/>
  <c r="F106" i="11" s="1"/>
  <c r="D120" i="11"/>
  <c r="D119" i="11" s="1"/>
  <c r="D118" i="11" s="1"/>
  <c r="D117" i="11" s="1"/>
  <c r="D116" i="11" s="1"/>
  <c r="D115" i="11" s="1"/>
  <c r="D114" i="11" s="1"/>
  <c r="D113" i="11" s="1"/>
  <c r="D112" i="11" s="1"/>
  <c r="D111" i="11" s="1"/>
  <c r="D110" i="11" s="1"/>
  <c r="D109" i="11" s="1"/>
  <c r="D108" i="11" s="1"/>
  <c r="D107" i="11" s="1"/>
  <c r="D106" i="11" s="1"/>
  <c r="E96" i="11"/>
  <c r="G95" i="11"/>
  <c r="C95" i="11"/>
  <c r="E94" i="11"/>
  <c r="G93" i="11"/>
  <c r="C93" i="11"/>
  <c r="E92" i="11"/>
  <c r="G91" i="11"/>
  <c r="C91" i="11"/>
  <c r="E90" i="11"/>
  <c r="G89" i="11"/>
  <c r="C89" i="11"/>
  <c r="E88" i="11"/>
  <c r="G87" i="11"/>
  <c r="C87" i="11"/>
  <c r="E86" i="11"/>
  <c r="G85" i="11"/>
  <c r="C85" i="11"/>
  <c r="E84" i="11"/>
  <c r="G83" i="11"/>
  <c r="C83" i="11"/>
  <c r="E82" i="11"/>
  <c r="G81" i="11"/>
  <c r="C81" i="11"/>
  <c r="E121" i="11"/>
  <c r="E120" i="11" s="1"/>
  <c r="E119" i="11" s="1"/>
  <c r="E118" i="11" s="1"/>
  <c r="E117" i="11" s="1"/>
  <c r="E116" i="11" s="1"/>
  <c r="E115" i="11" s="1"/>
  <c r="E114" i="11" s="1"/>
  <c r="E113" i="11" s="1"/>
  <c r="E112" i="11" s="1"/>
  <c r="E111" i="11" s="1"/>
  <c r="E110" i="11" s="1"/>
  <c r="E109" i="11" s="1"/>
  <c r="E108" i="11" s="1"/>
  <c r="E107" i="11" s="1"/>
  <c r="E106" i="11" s="1"/>
  <c r="C120" i="11"/>
  <c r="C119" i="11" s="1"/>
  <c r="C118" i="11" s="1"/>
  <c r="C117" i="11" s="1"/>
  <c r="C116" i="11" s="1"/>
  <c r="C115" i="11" s="1"/>
  <c r="C114" i="11" s="1"/>
  <c r="C113" i="11" s="1"/>
  <c r="C112" i="11" s="1"/>
  <c r="C111" i="11" s="1"/>
  <c r="C110" i="11" s="1"/>
  <c r="C109" i="11" s="1"/>
  <c r="C108" i="11" s="1"/>
  <c r="C107" i="11" s="1"/>
  <c r="C106" i="11" s="1"/>
  <c r="H96" i="11"/>
  <c r="D96" i="11"/>
  <c r="F95" i="11"/>
  <c r="H94" i="11"/>
  <c r="D94" i="11"/>
  <c r="F93" i="11"/>
  <c r="H92" i="11"/>
  <c r="D92" i="11"/>
  <c r="F91" i="11"/>
  <c r="H90" i="11"/>
  <c r="D90" i="11"/>
  <c r="F89" i="11"/>
  <c r="H88" i="11"/>
  <c r="D88" i="11"/>
  <c r="F87" i="11"/>
  <c r="H86" i="11"/>
  <c r="D86" i="11"/>
  <c r="F85" i="11"/>
  <c r="H84" i="11"/>
  <c r="D84" i="11"/>
  <c r="F83" i="11"/>
  <c r="H82" i="11"/>
  <c r="D82" i="11"/>
  <c r="F81" i="11"/>
  <c r="P727" i="2"/>
  <c r="P847" i="2"/>
  <c r="H14" i="11"/>
  <c r="H10" i="11"/>
  <c r="G16" i="11"/>
  <c r="G12" i="11"/>
  <c r="G8" i="11"/>
  <c r="F14" i="11"/>
  <c r="F10" i="11"/>
  <c r="E16" i="11"/>
  <c r="E12" i="11"/>
  <c r="E8" i="11"/>
  <c r="D14" i="11"/>
  <c r="D10" i="11"/>
  <c r="C16" i="11"/>
  <c r="C12" i="11"/>
  <c r="C7" i="11"/>
  <c r="H13" i="11"/>
  <c r="H9" i="11"/>
  <c r="G15" i="11"/>
  <c r="G11" i="11"/>
  <c r="G7" i="11"/>
  <c r="F13" i="11"/>
  <c r="F9" i="11"/>
  <c r="E15" i="11"/>
  <c r="E11" i="11"/>
  <c r="E7" i="11"/>
  <c r="D13" i="11"/>
  <c r="D9" i="11"/>
  <c r="C15" i="11"/>
  <c r="C11" i="11"/>
  <c r="C8" i="11"/>
  <c r="H16" i="11"/>
  <c r="H12" i="11"/>
  <c r="H8" i="11"/>
  <c r="G14" i="11"/>
  <c r="G10" i="11"/>
  <c r="F16" i="11"/>
  <c r="F12" i="11"/>
  <c r="F8" i="11"/>
  <c r="E14" i="11"/>
  <c r="E10" i="11"/>
  <c r="D16" i="11"/>
  <c r="D12" i="11"/>
  <c r="D8" i="11"/>
  <c r="C14" i="11"/>
  <c r="C10" i="11"/>
  <c r="H15" i="11"/>
  <c r="H11" i="11"/>
  <c r="H7" i="11"/>
  <c r="G13" i="11"/>
  <c r="G9" i="11"/>
  <c r="F15" i="11"/>
  <c r="F11" i="11"/>
  <c r="F7" i="11"/>
  <c r="E13" i="11"/>
  <c r="E9" i="11"/>
  <c r="D15" i="11"/>
  <c r="D11" i="11"/>
  <c r="D7" i="11"/>
  <c r="C13" i="11"/>
  <c r="C9" i="11"/>
  <c r="L849" i="2"/>
  <c r="AB849" i="2" s="1"/>
  <c r="P105" i="2"/>
  <c r="L101" i="2"/>
  <c r="AB101" i="2" s="1"/>
  <c r="P497" i="2"/>
  <c r="P505" i="2"/>
  <c r="L309" i="2"/>
  <c r="AB309" i="2" s="1"/>
  <c r="L409" i="2"/>
  <c r="AB409" i="2" s="1"/>
  <c r="L905" i="2"/>
  <c r="AB905" i="2" s="1"/>
  <c r="L513" i="2"/>
  <c r="AB513" i="2" s="1"/>
  <c r="P557" i="2"/>
  <c r="P453" i="2"/>
  <c r="P701" i="2"/>
  <c r="P421" i="2"/>
  <c r="L929" i="2"/>
  <c r="AB929" i="2" s="1"/>
  <c r="P654" i="2"/>
  <c r="P162" i="2"/>
  <c r="G199" i="15"/>
  <c r="L682" i="2"/>
  <c r="AB682" i="2" s="1"/>
  <c r="P350" i="2"/>
  <c r="AB1112" i="2"/>
  <c r="AB1111" i="2"/>
  <c r="D43" i="22"/>
  <c r="B348" i="15"/>
  <c r="C340" i="15" s="1"/>
  <c r="P702" i="2"/>
  <c r="P962" i="2"/>
  <c r="P950" i="2"/>
  <c r="P958" i="2"/>
  <c r="P586" i="2"/>
  <c r="P710" i="2"/>
  <c r="P970" i="2"/>
  <c r="P294" i="2"/>
  <c r="P338" i="2"/>
  <c r="P734" i="2"/>
  <c r="P650" i="2"/>
  <c r="L142" i="2"/>
  <c r="AB142" i="2" s="1"/>
  <c r="P46" i="2"/>
  <c r="P706" i="2"/>
  <c r="P194" i="2"/>
  <c r="P254" i="2"/>
  <c r="P270" i="2"/>
  <c r="P738" i="2"/>
  <c r="P898" i="2"/>
  <c r="P726" i="2"/>
  <c r="P394" i="2"/>
  <c r="P458" i="2"/>
  <c r="P642" i="2"/>
  <c r="P878" i="2"/>
  <c r="P30" i="2"/>
  <c r="L646" i="2"/>
  <c r="AB646" i="2" s="1"/>
  <c r="L658" i="2"/>
  <c r="AB658" i="2" s="1"/>
  <c r="P158" i="2"/>
  <c r="L526" i="2"/>
  <c r="AB526" i="2" s="1"/>
  <c r="L722" i="2"/>
  <c r="AB722" i="2" s="1"/>
  <c r="P302" i="2"/>
  <c r="L435" i="2"/>
  <c r="AB435" i="2" s="1"/>
  <c r="P635" i="2"/>
  <c r="L347" i="2"/>
  <c r="AB347" i="2" s="1"/>
  <c r="P591" i="2"/>
  <c r="P587" i="2"/>
  <c r="P735" i="2"/>
  <c r="P815" i="2"/>
  <c r="P707" i="2"/>
  <c r="P603" i="2"/>
  <c r="P22" i="2"/>
  <c r="P257" i="2"/>
  <c r="P18" i="2"/>
  <c r="P367" i="2"/>
  <c r="P313" i="2"/>
  <c r="P261" i="2"/>
  <c r="P285" i="2"/>
  <c r="P407" i="2"/>
  <c r="L174" i="2"/>
  <c r="AB174" i="2" s="1"/>
  <c r="L246" i="2"/>
  <c r="AB246" i="2" s="1"/>
  <c r="P281" i="2"/>
  <c r="P571" i="2"/>
  <c r="P415" i="2"/>
  <c r="P667" i="2"/>
  <c r="L479" i="2"/>
  <c r="AB479" i="2" s="1"/>
  <c r="L563" i="2"/>
  <c r="AB563" i="2" s="1"/>
  <c r="P615" i="2"/>
  <c r="P599" i="2"/>
  <c r="P459" i="2"/>
  <c r="P218" i="2"/>
  <c r="L320" i="2"/>
  <c r="AB320" i="2" s="1"/>
  <c r="P234" i="2"/>
  <c r="P316" i="2"/>
  <c r="P134" i="2"/>
  <c r="P250" i="2"/>
  <c r="P719" i="2"/>
  <c r="P399" i="2"/>
  <c r="P14" i="2"/>
  <c r="P190" i="2"/>
  <c r="L775" i="2"/>
  <c r="AB775" i="2" s="1"/>
  <c r="P447" i="2"/>
  <c r="P647" i="2"/>
  <c r="P301" i="2"/>
  <c r="L178" i="2"/>
  <c r="AB178" i="2" s="1"/>
  <c r="L106" i="2"/>
  <c r="AB106" i="2" s="1"/>
  <c r="P327" i="2"/>
  <c r="P943" i="2"/>
  <c r="L343" i="2"/>
  <c r="AB343" i="2" s="1"/>
  <c r="L451" i="2"/>
  <c r="AB451" i="2" s="1"/>
  <c r="L122" i="2"/>
  <c r="AB122" i="2" s="1"/>
  <c r="P785" i="2"/>
  <c r="P774" i="2"/>
  <c r="P675" i="2"/>
  <c r="P699" i="2"/>
  <c r="P238" i="2"/>
  <c r="P455" i="2"/>
  <c r="L523" i="2"/>
  <c r="AB523" i="2" s="1"/>
  <c r="L870" i="2"/>
  <c r="AB870" i="2" s="1"/>
  <c r="P810" i="2"/>
  <c r="L305" i="2"/>
  <c r="AB305" i="2" s="1"/>
  <c r="P694" i="2"/>
  <c r="L531" i="2"/>
  <c r="AB531" i="2" s="1"/>
  <c r="P819" i="2"/>
  <c r="L631" i="2"/>
  <c r="AB631" i="2" s="1"/>
  <c r="P619" i="2"/>
  <c r="P146" i="2"/>
  <c r="P110" i="2"/>
  <c r="P489" i="2"/>
  <c r="P961" i="2"/>
  <c r="P741" i="2"/>
  <c r="P419" i="2"/>
  <c r="P517" i="2"/>
  <c r="P78" i="2"/>
  <c r="P583" i="2"/>
  <c r="P351" i="2"/>
  <c r="P355" i="2"/>
  <c r="P138" i="2"/>
  <c r="P277" i="2"/>
  <c r="P144" i="2"/>
  <c r="P638" i="2"/>
  <c r="P314" i="2"/>
  <c r="P705" i="2"/>
  <c r="P198" i="2"/>
  <c r="P781" i="2"/>
  <c r="P709" i="2"/>
  <c r="P465" i="2"/>
  <c r="L337" i="2"/>
  <c r="AB337" i="2" s="1"/>
  <c r="P329" i="2"/>
  <c r="P525" i="2"/>
  <c r="P844" i="2"/>
  <c r="P852" i="2"/>
  <c r="P477" i="2"/>
  <c r="P521" i="2"/>
  <c r="P805" i="2"/>
  <c r="P473" i="2"/>
  <c r="P745" i="2"/>
  <c r="P333" i="2"/>
  <c r="L381" i="2"/>
  <c r="AB381" i="2" s="1"/>
  <c r="P322" i="2"/>
  <c r="P809" i="2"/>
  <c r="P608" i="2"/>
  <c r="P817" i="2"/>
  <c r="L240" i="2"/>
  <c r="AB240" i="2" s="1"/>
  <c r="P797" i="2"/>
  <c r="P456" i="2"/>
  <c r="P336" i="2"/>
  <c r="P580" i="2"/>
  <c r="P788" i="2"/>
  <c r="P640" i="2"/>
  <c r="P545" i="2"/>
  <c r="P433" i="2"/>
  <c r="P441" i="2"/>
  <c r="L405" i="2"/>
  <c r="AB405" i="2" s="1"/>
  <c r="P831" i="2"/>
  <c r="P255" i="2"/>
  <c r="L460" i="2"/>
  <c r="AB460" i="2" s="1"/>
  <c r="P652" i="2"/>
  <c r="P556" i="2"/>
  <c r="P840" i="2"/>
  <c r="P856" i="2"/>
  <c r="P564" i="2"/>
  <c r="L389" i="2"/>
  <c r="AB389" i="2" s="1"/>
  <c r="L417" i="2"/>
  <c r="AB417" i="2" s="1"/>
  <c r="P445" i="2"/>
  <c r="P461" i="2"/>
  <c r="P544" i="2"/>
  <c r="L732" i="2"/>
  <c r="AB732" i="2" s="1"/>
  <c r="L916" i="2"/>
  <c r="AB916" i="2" s="1"/>
  <c r="L696" i="2"/>
  <c r="AB696" i="2" s="1"/>
  <c r="P318" i="2"/>
  <c r="L373" i="2"/>
  <c r="AB373" i="2" s="1"/>
  <c r="L468" i="2"/>
  <c r="AB468" i="2" s="1"/>
  <c r="P413" i="2"/>
  <c r="L469" i="2"/>
  <c r="AB469" i="2" s="1"/>
  <c r="L357" i="2"/>
  <c r="AB357" i="2" s="1"/>
  <c r="P900" i="2"/>
  <c r="L820" i="2"/>
  <c r="AB820" i="2" s="1"/>
  <c r="P493" i="2"/>
  <c r="P884" i="2"/>
  <c r="P585" i="2"/>
  <c r="P757" i="2"/>
  <c r="P980" i="2"/>
  <c r="L676" i="2"/>
  <c r="AB676" i="2" s="1"/>
  <c r="L244" i="2"/>
  <c r="AB244" i="2" s="1"/>
  <c r="L452" i="2"/>
  <c r="AB452" i="2" s="1"/>
  <c r="P765" i="2"/>
  <c r="P440" i="2"/>
  <c r="P983" i="2"/>
  <c r="P592" i="2"/>
  <c r="L393" i="2"/>
  <c r="AB393" i="2" s="1"/>
  <c r="P263" i="2"/>
  <c r="P436" i="2"/>
  <c r="P552" i="2"/>
  <c r="P936" i="2"/>
  <c r="P724" i="2"/>
  <c r="P501" i="2"/>
  <c r="P776" i="2"/>
  <c r="L872" i="2"/>
  <c r="AB872" i="2" s="1"/>
  <c r="L824" i="2"/>
  <c r="AB824" i="2" s="1"/>
  <c r="L500" i="2"/>
  <c r="AB500" i="2" s="1"/>
  <c r="P481" i="2"/>
  <c r="L889" i="2"/>
  <c r="AB889" i="2" s="1"/>
  <c r="P917" i="2"/>
  <c r="P885" i="2"/>
  <c r="L714" i="2"/>
  <c r="AB714" i="2" s="1"/>
  <c r="L1013" i="2"/>
  <c r="AB1013" i="2" s="1"/>
  <c r="P695" i="2"/>
  <c r="P873" i="2"/>
  <c r="P957" i="2"/>
  <c r="L967" i="2"/>
  <c r="AB967" i="2" s="1"/>
  <c r="P899" i="2"/>
  <c r="P893" i="2"/>
  <c r="P750" i="2"/>
  <c r="P671" i="2"/>
  <c r="L975" i="2"/>
  <c r="AB975" i="2" s="1"/>
  <c r="P975" i="2"/>
  <c r="L887" i="2"/>
  <c r="AB887" i="2" s="1"/>
  <c r="P887" i="2"/>
  <c r="P851" i="2"/>
  <c r="L851" i="2"/>
  <c r="AB851" i="2" s="1"/>
  <c r="P720" i="2"/>
  <c r="L720" i="2"/>
  <c r="AB720" i="2" s="1"/>
  <c r="P614" i="2"/>
  <c r="L614" i="2"/>
  <c r="AB614" i="2" s="1"/>
  <c r="P546" i="2"/>
  <c r="L546" i="2"/>
  <c r="AB546" i="2" s="1"/>
  <c r="L462" i="2"/>
  <c r="AB462" i="2" s="1"/>
  <c r="P462" i="2"/>
  <c r="L414" i="2"/>
  <c r="AB414" i="2" s="1"/>
  <c r="P414" i="2"/>
  <c r="L410" i="2"/>
  <c r="AB410" i="2" s="1"/>
  <c r="P410" i="2"/>
  <c r="L402" i="2"/>
  <c r="AB402" i="2" s="1"/>
  <c r="P402" i="2"/>
  <c r="L366" i="2"/>
  <c r="AB366" i="2" s="1"/>
  <c r="P366" i="2"/>
  <c r="L296" i="2"/>
  <c r="AB296" i="2" s="1"/>
  <c r="P296" i="2"/>
  <c r="L292" i="2"/>
  <c r="AB292" i="2" s="1"/>
  <c r="P292" i="2"/>
  <c r="L288" i="2"/>
  <c r="AB288" i="2" s="1"/>
  <c r="P288" i="2"/>
  <c r="P209" i="2"/>
  <c r="L209" i="2"/>
  <c r="AB209" i="2" s="1"/>
  <c r="L689" i="2"/>
  <c r="AB689" i="2" s="1"/>
  <c r="P550" i="2"/>
  <c r="P677" i="2"/>
  <c r="P808" i="2"/>
  <c r="P919" i="2"/>
  <c r="L939" i="2"/>
  <c r="AB939" i="2" s="1"/>
  <c r="L213" i="2"/>
  <c r="AB213" i="2" s="1"/>
  <c r="P323" i="2"/>
  <c r="P618" i="2"/>
  <c r="L712" i="2"/>
  <c r="AB712" i="2" s="1"/>
  <c r="L736" i="2"/>
  <c r="AB736" i="2" s="1"/>
  <c r="L796" i="2"/>
  <c r="AB796" i="2" s="1"/>
  <c r="L931" i="2"/>
  <c r="AB931" i="2" s="1"/>
  <c r="P362" i="2"/>
  <c r="L594" i="2"/>
  <c r="AB594" i="2" s="1"/>
  <c r="P890" i="2"/>
  <c r="L890" i="2"/>
  <c r="AB890" i="2" s="1"/>
  <c r="L866" i="2"/>
  <c r="AB866" i="2" s="1"/>
  <c r="P866" i="2"/>
  <c r="L838" i="2"/>
  <c r="AB838" i="2" s="1"/>
  <c r="P838" i="2"/>
  <c r="P834" i="2"/>
  <c r="L834" i="2"/>
  <c r="AB834" i="2" s="1"/>
  <c r="L665" i="2"/>
  <c r="AB665" i="2" s="1"/>
  <c r="L672" i="2"/>
  <c r="AB672" i="2" s="1"/>
  <c r="P672" i="2"/>
  <c r="L668" i="2"/>
  <c r="AB668" i="2" s="1"/>
  <c r="P668" i="2"/>
  <c r="L602" i="2"/>
  <c r="AB602" i="2" s="1"/>
  <c r="P308" i="2"/>
  <c r="P486" i="2"/>
  <c r="P466" i="2"/>
  <c r="L233" i="2"/>
  <c r="AB233" i="2" s="1"/>
  <c r="P895" i="2"/>
  <c r="P450" i="2"/>
  <c r="P660" i="2"/>
  <c r="P225" i="2"/>
  <c r="P1022" i="2"/>
  <c r="L965" i="2"/>
  <c r="AB965" i="2" s="1"/>
  <c r="P965" i="2"/>
  <c r="L798" i="2"/>
  <c r="AB798" i="2" s="1"/>
  <c r="P798" i="2"/>
  <c r="L687" i="2"/>
  <c r="AB687" i="2" s="1"/>
  <c r="P687" i="2"/>
  <c r="P663" i="2"/>
  <c r="L663" i="2"/>
  <c r="AB663" i="2" s="1"/>
  <c r="P655" i="2"/>
  <c r="L655" i="2"/>
  <c r="AB655" i="2" s="1"/>
  <c r="P628" i="2"/>
  <c r="L628" i="2"/>
  <c r="AB628" i="2" s="1"/>
  <c r="L624" i="2"/>
  <c r="AB624" i="2" s="1"/>
  <c r="P624" i="2"/>
  <c r="L616" i="2"/>
  <c r="AB616" i="2" s="1"/>
  <c r="P616" i="2"/>
  <c r="L604" i="2"/>
  <c r="AB604" i="2" s="1"/>
  <c r="P604" i="2"/>
  <c r="P600" i="2"/>
  <c r="L600" i="2"/>
  <c r="AB600" i="2" s="1"/>
  <c r="L516" i="2"/>
  <c r="AB516" i="2" s="1"/>
  <c r="P516" i="2"/>
  <c r="L512" i="2"/>
  <c r="AB512" i="2" s="1"/>
  <c r="P512" i="2"/>
  <c r="P476" i="2"/>
  <c r="L476" i="2"/>
  <c r="AB476" i="2" s="1"/>
  <c r="P408" i="2"/>
  <c r="L408" i="2"/>
  <c r="AB408" i="2" s="1"/>
  <c r="P380" i="2"/>
  <c r="L380" i="2"/>
  <c r="AB380" i="2" s="1"/>
  <c r="L131" i="2"/>
  <c r="AB131" i="2" s="1"/>
  <c r="P131" i="2"/>
  <c r="P87" i="2"/>
  <c r="L87" i="2"/>
  <c r="AB87" i="2" s="1"/>
  <c r="L83" i="2"/>
  <c r="AB83" i="2" s="1"/>
  <c r="P83" i="2"/>
  <c r="L51" i="2"/>
  <c r="AB51" i="2" s="1"/>
  <c r="P51" i="2"/>
  <c r="L991" i="2"/>
  <c r="AB991" i="2" s="1"/>
  <c r="P991" i="2"/>
  <c r="L927" i="2"/>
  <c r="AB927" i="2" s="1"/>
  <c r="P927" i="2"/>
  <c r="L907" i="2"/>
  <c r="AB907" i="2" s="1"/>
  <c r="P907" i="2"/>
  <c r="P827" i="2"/>
  <c r="L827" i="2"/>
  <c r="AB827" i="2" s="1"/>
  <c r="L768" i="2"/>
  <c r="AB768" i="2" s="1"/>
  <c r="P768" i="2"/>
  <c r="P748" i="2"/>
  <c r="L748" i="2"/>
  <c r="AB748" i="2" s="1"/>
  <c r="L653" i="2"/>
  <c r="AB653" i="2" s="1"/>
  <c r="P653" i="2"/>
  <c r="P610" i="2"/>
  <c r="L610" i="2"/>
  <c r="AB610" i="2" s="1"/>
  <c r="P554" i="2"/>
  <c r="L554" i="2"/>
  <c r="AB554" i="2" s="1"/>
  <c r="L538" i="2"/>
  <c r="AB538" i="2" s="1"/>
  <c r="P538" i="2"/>
  <c r="P534" i="2"/>
  <c r="L534" i="2"/>
  <c r="AB534" i="2" s="1"/>
  <c r="L474" i="2"/>
  <c r="AB474" i="2" s="1"/>
  <c r="P474" i="2"/>
  <c r="L430" i="2"/>
  <c r="AB430" i="2" s="1"/>
  <c r="P430" i="2"/>
  <c r="L390" i="2"/>
  <c r="AB390" i="2" s="1"/>
  <c r="P390" i="2"/>
  <c r="L342" i="2"/>
  <c r="AB342" i="2" s="1"/>
  <c r="P342" i="2"/>
  <c r="P304" i="2"/>
  <c r="P382" i="2"/>
  <c r="P446" i="2"/>
  <c r="P935" i="2"/>
  <c r="P542" i="2"/>
  <c r="L910" i="2"/>
  <c r="AB910" i="2" s="1"/>
  <c r="P923" i="2"/>
  <c r="P330" i="2"/>
  <c r="P613" i="2"/>
  <c r="P703" i="2"/>
  <c r="P739" i="2"/>
  <c r="P454" i="2"/>
  <c r="P398" i="2"/>
  <c r="P272" i="2"/>
  <c r="L800" i="2"/>
  <c r="AB800" i="2" s="1"/>
  <c r="P771" i="2"/>
  <c r="L811" i="2"/>
  <c r="AB811" i="2" s="1"/>
  <c r="P598" i="2"/>
  <c r="P264" i="2"/>
  <c r="L33" i="2"/>
  <c r="AB33" i="2" s="1"/>
  <c r="P577" i="2"/>
  <c r="P1017" i="2"/>
  <c r="L1001" i="2"/>
  <c r="AB1001" i="2" s="1"/>
  <c r="P1001" i="2"/>
  <c r="P897" i="2"/>
  <c r="L897" i="2"/>
  <c r="AB897" i="2" s="1"/>
  <c r="L877" i="2"/>
  <c r="AB877" i="2" s="1"/>
  <c r="P877" i="2"/>
  <c r="P633" i="2"/>
  <c r="P830" i="2"/>
  <c r="L804" i="2"/>
  <c r="AB804" i="2" s="1"/>
  <c r="L816" i="2"/>
  <c r="AB816" i="2" s="1"/>
  <c r="L881" i="2"/>
  <c r="AB881" i="2" s="1"/>
  <c r="P276" i="2"/>
  <c r="L921" i="2"/>
  <c r="AB921" i="2" s="1"/>
  <c r="P845" i="2"/>
  <c r="P778" i="2"/>
  <c r="P574" i="2"/>
  <c r="P979" i="2"/>
  <c r="P334" i="2"/>
  <c r="P406" i="2"/>
  <c r="P494" i="2"/>
  <c r="L434" i="2"/>
  <c r="AB434" i="2" s="1"/>
  <c r="P442" i="2"/>
  <c r="P589" i="2"/>
  <c r="P874" i="2"/>
  <c r="P241" i="2"/>
  <c r="P782" i="2"/>
  <c r="P951" i="2"/>
  <c r="P1006" i="2"/>
  <c r="P966" i="2"/>
  <c r="P711" i="2"/>
  <c r="L879" i="2"/>
  <c r="AB879" i="2" s="1"/>
  <c r="L891" i="2"/>
  <c r="AB891" i="2" s="1"/>
  <c r="P971" i="2"/>
  <c r="P346" i="2"/>
  <c r="P630" i="2"/>
  <c r="P855" i="2"/>
  <c r="P536" i="2"/>
  <c r="L584" i="2"/>
  <c r="AB584" i="2" s="1"/>
  <c r="P626" i="2"/>
  <c r="L700" i="2"/>
  <c r="AB700" i="2" s="1"/>
  <c r="P730" i="2"/>
  <c r="L772" i="2"/>
  <c r="AB772" i="2" s="1"/>
  <c r="P812" i="2"/>
  <c r="P926" i="2"/>
  <c r="P863" i="2"/>
  <c r="P835" i="2"/>
  <c r="L636" i="2"/>
  <c r="AB636" i="2" s="1"/>
  <c r="P693" i="2"/>
  <c r="P480" i="2"/>
  <c r="P268" i="2"/>
  <c r="P641" i="2"/>
  <c r="L150" i="2"/>
  <c r="AB150" i="2" s="1"/>
  <c r="P150" i="2"/>
  <c r="P537" i="2"/>
  <c r="L533" i="2"/>
  <c r="AB533" i="2" s="1"/>
  <c r="P549" i="2"/>
  <c r="L397" i="2"/>
  <c r="AB397" i="2" s="1"/>
  <c r="P429" i="2"/>
  <c r="L214" i="2"/>
  <c r="AB214" i="2" s="1"/>
  <c r="P222" i="2"/>
  <c r="P449" i="2"/>
  <c r="P1206" i="2"/>
  <c r="L862" i="2"/>
  <c r="AB862" i="2" s="1"/>
  <c r="P862" i="2"/>
  <c r="L904" i="2"/>
  <c r="AB904" i="2" s="1"/>
  <c r="L960" i="2"/>
  <c r="AB960" i="2" s="1"/>
  <c r="L942" i="2"/>
  <c r="AB942" i="2" s="1"/>
  <c r="P942" i="2"/>
  <c r="L922" i="2"/>
  <c r="AB922" i="2" s="1"/>
  <c r="P922" i="2"/>
  <c r="L914" i="2"/>
  <c r="AB914" i="2" s="1"/>
  <c r="P914" i="2"/>
  <c r="P753" i="2"/>
  <c r="P908" i="2"/>
  <c r="P662" i="2"/>
  <c r="P737" i="2"/>
  <c r="P882" i="2"/>
  <c r="P938" i="2"/>
  <c r="L850" i="2"/>
  <c r="AB850" i="2" s="1"/>
  <c r="L846" i="2"/>
  <c r="AB846" i="2" s="1"/>
  <c r="L723" i="2"/>
  <c r="AB723" i="2" s="1"/>
  <c r="P807" i="2"/>
  <c r="P1014" i="2"/>
  <c r="P1010" i="2"/>
  <c r="L1002" i="2"/>
  <c r="AB1002" i="2" s="1"/>
  <c r="L787" i="2"/>
  <c r="AB787" i="2" s="1"/>
  <c r="L690" i="2"/>
  <c r="AB690" i="2" s="1"/>
  <c r="P858" i="2"/>
  <c r="P906" i="2"/>
  <c r="P932" i="2"/>
  <c r="L1012" i="2"/>
  <c r="AB1012" i="2" s="1"/>
  <c r="P715" i="2"/>
  <c r="P978" i="2"/>
  <c r="L770" i="2"/>
  <c r="AB770" i="2" s="1"/>
  <c r="P770" i="2"/>
  <c r="P718" i="2"/>
  <c r="L718" i="2"/>
  <c r="AB718" i="2" s="1"/>
  <c r="L358" i="2"/>
  <c r="AB358" i="2" s="1"/>
  <c r="P358" i="2"/>
  <c r="L315" i="2"/>
  <c r="AB315" i="2" s="1"/>
  <c r="P315" i="2"/>
  <c r="L300" i="2"/>
  <c r="AB300" i="2" s="1"/>
  <c r="P300" i="2"/>
  <c r="L74" i="2"/>
  <c r="AB74" i="2" s="1"/>
  <c r="P74" i="2"/>
  <c r="L560" i="2"/>
  <c r="AB560" i="2" s="1"/>
  <c r="L509" i="2"/>
  <c r="AB509" i="2" s="1"/>
  <c r="P509" i="2"/>
  <c r="P385" i="2"/>
  <c r="L385" i="2"/>
  <c r="AB385" i="2" s="1"/>
  <c r="P345" i="2"/>
  <c r="L345" i="2"/>
  <c r="AB345" i="2" s="1"/>
  <c r="P259" i="2"/>
  <c r="L259" i="2"/>
  <c r="AB259" i="2" s="1"/>
  <c r="P248" i="2"/>
  <c r="P168" i="2"/>
  <c r="L168" i="2"/>
  <c r="AB168" i="2" s="1"/>
  <c r="L164" i="2"/>
  <c r="AB164" i="2" s="1"/>
  <c r="P164" i="2"/>
  <c r="P89" i="2"/>
  <c r="L89" i="2"/>
  <c r="AB89" i="2" s="1"/>
  <c r="L61" i="2"/>
  <c r="AB61" i="2" s="1"/>
  <c r="P61" i="2"/>
  <c r="P996" i="2"/>
  <c r="L996" i="2"/>
  <c r="AB996" i="2" s="1"/>
  <c r="L729" i="2"/>
  <c r="AB729" i="2" s="1"/>
  <c r="P729" i="2"/>
  <c r="L686" i="2"/>
  <c r="AB686" i="2" s="1"/>
  <c r="P686" i="2"/>
  <c r="L697" i="2"/>
  <c r="AB697" i="2" s="1"/>
  <c r="L1000" i="2"/>
  <c r="AB1000" i="2" s="1"/>
  <c r="L674" i="2"/>
  <c r="AB674" i="2" s="1"/>
  <c r="P912" i="2"/>
  <c r="P968" i="2"/>
  <c r="P986" i="2"/>
  <c r="P954" i="2"/>
  <c r="P944" i="2"/>
  <c r="P940" i="2"/>
  <c r="P934" i="2"/>
  <c r="L822" i="2"/>
  <c r="AB822" i="2" s="1"/>
  <c r="P896" i="2"/>
  <c r="P924" i="2"/>
  <c r="P982" i="2"/>
  <c r="L883" i="2"/>
  <c r="AB883" i="2" s="1"/>
  <c r="P883" i="2"/>
  <c r="L875" i="2"/>
  <c r="AB875" i="2" s="1"/>
  <c r="P875" i="2"/>
  <c r="L859" i="2"/>
  <c r="AB859" i="2" s="1"/>
  <c r="P859" i="2"/>
  <c r="L843" i="2"/>
  <c r="AB843" i="2" s="1"/>
  <c r="P843" i="2"/>
  <c r="P792" i="2"/>
  <c r="L792" i="2"/>
  <c r="AB792" i="2" s="1"/>
  <c r="P661" i="2"/>
  <c r="L661" i="2"/>
  <c r="AB661" i="2" s="1"/>
  <c r="L634" i="2"/>
  <c r="AB634" i="2" s="1"/>
  <c r="P634" i="2"/>
  <c r="L579" i="2"/>
  <c r="AB579" i="2" s="1"/>
  <c r="P579" i="2"/>
  <c r="L575" i="2"/>
  <c r="AB575" i="2" s="1"/>
  <c r="P575" i="2"/>
  <c r="L540" i="2"/>
  <c r="AB540" i="2" s="1"/>
  <c r="P540" i="2"/>
  <c r="L496" i="2"/>
  <c r="AB496" i="2" s="1"/>
  <c r="P496" i="2"/>
  <c r="P492" i="2"/>
  <c r="L492" i="2"/>
  <c r="AB492" i="2" s="1"/>
  <c r="L404" i="2"/>
  <c r="AB404" i="2" s="1"/>
  <c r="P404" i="2"/>
  <c r="P384" i="2"/>
  <c r="L384" i="2"/>
  <c r="AB384" i="2" s="1"/>
  <c r="L299" i="2"/>
  <c r="AB299" i="2" s="1"/>
  <c r="P299" i="2"/>
  <c r="L230" i="2"/>
  <c r="AB230" i="2" s="1"/>
  <c r="P230" i="2"/>
  <c r="P155" i="2"/>
  <c r="L155" i="2"/>
  <c r="AB155" i="2" s="1"/>
  <c r="P124" i="2"/>
  <c r="L124" i="2"/>
  <c r="AB124" i="2" s="1"/>
  <c r="L84" i="2"/>
  <c r="AB84" i="2" s="1"/>
  <c r="P84" i="2"/>
  <c r="P38" i="2"/>
  <c r="L38" i="2"/>
  <c r="AB38" i="2" s="1"/>
  <c r="L34" i="2"/>
  <c r="AB34" i="2" s="1"/>
  <c r="P34" i="2"/>
  <c r="L10" i="2"/>
  <c r="AB10" i="2" s="1"/>
  <c r="P10" i="2"/>
  <c r="L976" i="2"/>
  <c r="AB976" i="2" s="1"/>
  <c r="P976" i="2"/>
  <c r="L829" i="2"/>
  <c r="AB829" i="2" s="1"/>
  <c r="P829" i="2"/>
  <c r="L783" i="2"/>
  <c r="AB783" i="2" s="1"/>
  <c r="P783" i="2"/>
  <c r="P861" i="2"/>
  <c r="P825" i="2"/>
  <c r="P984" i="2"/>
  <c r="L749" i="2"/>
  <c r="AB749" i="2" s="1"/>
  <c r="P749" i="2"/>
  <c r="L54" i="2"/>
  <c r="AB54" i="2" s="1"/>
  <c r="P54" i="2"/>
  <c r="P24" i="2"/>
  <c r="L24" i="2"/>
  <c r="AB24" i="2" s="1"/>
  <c r="P1016" i="2"/>
  <c r="P992" i="2"/>
  <c r="P791" i="2"/>
  <c r="P799" i="2"/>
  <c r="P903" i="2"/>
  <c r="L814" i="2"/>
  <c r="AB814" i="2" s="1"/>
  <c r="L249" i="2"/>
  <c r="AB249" i="2" s="1"/>
  <c r="P249" i="2"/>
  <c r="L98" i="2"/>
  <c r="AB98" i="2" s="1"/>
  <c r="P98" i="2"/>
  <c r="P8" i="2"/>
  <c r="L8" i="2"/>
  <c r="AB8" i="2" s="1"/>
  <c r="P41" i="2"/>
  <c r="P758" i="2"/>
  <c r="L86" i="2"/>
  <c r="AB86" i="2" s="1"/>
  <c r="P36" i="2"/>
  <c r="P892" i="2"/>
  <c r="P1008" i="2"/>
  <c r="P955" i="2"/>
  <c r="P1007" i="2"/>
  <c r="L102" i="2"/>
  <c r="AB102" i="2" s="1"/>
  <c r="L937" i="2"/>
  <c r="AB937" i="2" s="1"/>
  <c r="P937" i="2"/>
  <c r="L894" i="2"/>
  <c r="AB894" i="2" s="1"/>
  <c r="P894" i="2"/>
  <c r="L839" i="2"/>
  <c r="AB839" i="2" s="1"/>
  <c r="P839" i="2"/>
  <c r="L760" i="2"/>
  <c r="AB760" i="2" s="1"/>
  <c r="P760" i="2"/>
  <c r="L752" i="2"/>
  <c r="AB752" i="2" s="1"/>
  <c r="P752" i="2"/>
  <c r="L744" i="2"/>
  <c r="AB744" i="2" s="1"/>
  <c r="P744" i="2"/>
  <c r="L698" i="2"/>
  <c r="AB698" i="2" s="1"/>
  <c r="P698" i="2"/>
  <c r="L684" i="2"/>
  <c r="AB684" i="2" s="1"/>
  <c r="P684" i="2"/>
  <c r="L680" i="2"/>
  <c r="AB680" i="2" s="1"/>
  <c r="P680" i="2"/>
  <c r="P664" i="2"/>
  <c r="L664" i="2"/>
  <c r="AB664" i="2" s="1"/>
  <c r="L527" i="2"/>
  <c r="AB527" i="2" s="1"/>
  <c r="P527" i="2"/>
  <c r="P427" i="2"/>
  <c r="L427" i="2"/>
  <c r="AB427" i="2" s="1"/>
  <c r="L423" i="2"/>
  <c r="AB423" i="2" s="1"/>
  <c r="P423" i="2"/>
  <c r="L411" i="2"/>
  <c r="AB411" i="2" s="1"/>
  <c r="P411" i="2"/>
  <c r="L396" i="2"/>
  <c r="AB396" i="2" s="1"/>
  <c r="P396" i="2"/>
  <c r="P307" i="2"/>
  <c r="L307" i="2"/>
  <c r="AB307" i="2" s="1"/>
  <c r="L227" i="2"/>
  <c r="AB227" i="2" s="1"/>
  <c r="P227" i="2"/>
  <c r="P200" i="2"/>
  <c r="L200" i="2"/>
  <c r="AB200" i="2" s="1"/>
  <c r="L196" i="2"/>
  <c r="AB196" i="2" s="1"/>
  <c r="P196" i="2"/>
  <c r="L188" i="2"/>
  <c r="AB188" i="2" s="1"/>
  <c r="P188" i="2"/>
  <c r="P160" i="2"/>
  <c r="L160" i="2"/>
  <c r="AB160" i="2" s="1"/>
  <c r="L140" i="2"/>
  <c r="AB140" i="2" s="1"/>
  <c r="P140" i="2"/>
  <c r="P81" i="2"/>
  <c r="L81" i="2"/>
  <c r="AB81" i="2" s="1"/>
  <c r="P73" i="2"/>
  <c r="L73" i="2"/>
  <c r="AB73" i="2" s="1"/>
  <c r="L35" i="2"/>
  <c r="AB35" i="2" s="1"/>
  <c r="P35" i="2"/>
  <c r="L31" i="2"/>
  <c r="AB31" i="2" s="1"/>
  <c r="P31" i="2"/>
  <c r="P23" i="2"/>
  <c r="L23" i="2"/>
  <c r="AB23" i="2" s="1"/>
  <c r="L19" i="2"/>
  <c r="AB19" i="2" s="1"/>
  <c r="P19" i="2"/>
  <c r="L780" i="2"/>
  <c r="AB780" i="2" s="1"/>
  <c r="P780" i="2"/>
  <c r="L773" i="2"/>
  <c r="AB773" i="2" s="1"/>
  <c r="P773" i="2"/>
  <c r="L237" i="2"/>
  <c r="AB237" i="2" s="1"/>
  <c r="P237" i="2"/>
  <c r="L29" i="2"/>
  <c r="AB29" i="2" s="1"/>
  <c r="P29" i="2"/>
  <c r="P876" i="2"/>
  <c r="P1004" i="2"/>
  <c r="P803" i="2"/>
  <c r="P1003" i="2"/>
  <c r="L1003" i="2"/>
  <c r="AB1003" i="2" s="1"/>
  <c r="L94" i="2"/>
  <c r="AB94" i="2" s="1"/>
  <c r="P94" i="2"/>
  <c r="L70" i="2"/>
  <c r="AB70" i="2" s="1"/>
  <c r="P70" i="2"/>
  <c r="L66" i="2"/>
  <c r="AB66" i="2" s="1"/>
  <c r="P66" i="2"/>
  <c r="L865" i="2"/>
  <c r="AB865" i="2" s="1"/>
  <c r="L853" i="2"/>
  <c r="AB853" i="2" s="1"/>
  <c r="P1015" i="2"/>
  <c r="P137" i="2"/>
  <c r="P733" i="2"/>
  <c r="P869" i="2"/>
  <c r="P795" i="2"/>
  <c r="P911" i="2"/>
  <c r="P947" i="2"/>
  <c r="L232" i="2"/>
  <c r="AB232" i="2" s="1"/>
  <c r="P963" i="2"/>
  <c r="P130" i="2"/>
  <c r="P16" i="2"/>
  <c r="L50" i="2"/>
  <c r="AB50" i="2" s="1"/>
  <c r="P988" i="2"/>
  <c r="P58" i="2"/>
  <c r="P90" i="2"/>
  <c r="L25" i="2"/>
  <c r="AB25" i="2" s="1"/>
  <c r="L945" i="2"/>
  <c r="AB945" i="2" s="1"/>
  <c r="L1009" i="2"/>
  <c r="AB1009" i="2" s="1"/>
  <c r="P1009" i="2"/>
  <c r="L997" i="2"/>
  <c r="AB997" i="2" s="1"/>
  <c r="P997" i="2"/>
  <c r="P969" i="2"/>
  <c r="L956" i="2"/>
  <c r="AB956" i="2" s="1"/>
  <c r="P956" i="2"/>
  <c r="L952" i="2"/>
  <c r="AB952" i="2" s="1"/>
  <c r="P952" i="2"/>
  <c r="L948" i="2"/>
  <c r="AB948" i="2" s="1"/>
  <c r="P948" i="2"/>
  <c r="L920" i="2"/>
  <c r="AB920" i="2" s="1"/>
  <c r="P920" i="2"/>
  <c r="P826" i="2"/>
  <c r="L826" i="2"/>
  <c r="AB826" i="2" s="1"/>
  <c r="L784" i="2"/>
  <c r="AB784" i="2" s="1"/>
  <c r="P784" i="2"/>
  <c r="L766" i="2"/>
  <c r="AB766" i="2" s="1"/>
  <c r="L759" i="2"/>
  <c r="AB759" i="2" s="1"/>
  <c r="P759" i="2"/>
  <c r="L755" i="2"/>
  <c r="AB755" i="2" s="1"/>
  <c r="P755" i="2"/>
  <c r="L751" i="2"/>
  <c r="AB751" i="2" s="1"/>
  <c r="P751" i="2"/>
  <c r="P721" i="2"/>
  <c r="L721" i="2"/>
  <c r="AB721" i="2" s="1"/>
  <c r="L683" i="2"/>
  <c r="AB683" i="2" s="1"/>
  <c r="P683" i="2"/>
  <c r="L659" i="2"/>
  <c r="AB659" i="2" s="1"/>
  <c r="P659" i="2"/>
  <c r="L643" i="2"/>
  <c r="AB643" i="2" s="1"/>
  <c r="P643" i="2"/>
  <c r="L632" i="2"/>
  <c r="AB632" i="2" s="1"/>
  <c r="P632" i="2"/>
  <c r="P612" i="2"/>
  <c r="L612" i="2"/>
  <c r="AB612" i="2" s="1"/>
  <c r="L581" i="2"/>
  <c r="AB581" i="2" s="1"/>
  <c r="P581" i="2"/>
  <c r="L569" i="2"/>
  <c r="AB569" i="2" s="1"/>
  <c r="P569" i="2"/>
  <c r="L558" i="2"/>
  <c r="AB558" i="2" s="1"/>
  <c r="P558" i="2"/>
  <c r="L514" i="2"/>
  <c r="AB514" i="2" s="1"/>
  <c r="P514" i="2"/>
  <c r="P510" i="2"/>
  <c r="L510" i="2"/>
  <c r="AB510" i="2" s="1"/>
  <c r="L506" i="2"/>
  <c r="AB506" i="2" s="1"/>
  <c r="P506" i="2"/>
  <c r="L478" i="2"/>
  <c r="AB478" i="2" s="1"/>
  <c r="P478" i="2"/>
  <c r="L383" i="2"/>
  <c r="AB383" i="2" s="1"/>
  <c r="P383" i="2"/>
  <c r="L363" i="2"/>
  <c r="AB363" i="2" s="1"/>
  <c r="P363" i="2"/>
  <c r="L335" i="2"/>
  <c r="AB335" i="2" s="1"/>
  <c r="P335" i="2"/>
  <c r="L310" i="2"/>
  <c r="AB310" i="2" s="1"/>
  <c r="P310" i="2"/>
  <c r="L278" i="2"/>
  <c r="AB278" i="2" s="1"/>
  <c r="P278" i="2"/>
  <c r="P242" i="2"/>
  <c r="L242" i="2"/>
  <c r="AB242" i="2" s="1"/>
  <c r="L880" i="2"/>
  <c r="AB880" i="2" s="1"/>
  <c r="P880" i="2"/>
  <c r="L45" i="2"/>
  <c r="AB45" i="2" s="1"/>
  <c r="P45" i="2"/>
  <c r="P990" i="2"/>
  <c r="L990" i="2"/>
  <c r="AB990" i="2" s="1"/>
  <c r="L974" i="2"/>
  <c r="AB974" i="2" s="1"/>
  <c r="P974" i="2"/>
  <c r="L832" i="2"/>
  <c r="AB832" i="2" s="1"/>
  <c r="P832" i="2"/>
  <c r="L704" i="2"/>
  <c r="AB704" i="2" s="1"/>
  <c r="P704" i="2"/>
  <c r="L670" i="2"/>
  <c r="AB670" i="2" s="1"/>
  <c r="P670" i="2"/>
  <c r="L623" i="2"/>
  <c r="AB623" i="2" s="1"/>
  <c r="P623" i="2"/>
  <c r="L541" i="2"/>
  <c r="AB541" i="2" s="1"/>
  <c r="P541" i="2"/>
  <c r="P485" i="2"/>
  <c r="L485" i="2"/>
  <c r="AB485" i="2" s="1"/>
  <c r="P401" i="2"/>
  <c r="L401" i="2"/>
  <c r="AB401" i="2" s="1"/>
  <c r="P370" i="2"/>
  <c r="L370" i="2"/>
  <c r="AB370" i="2" s="1"/>
  <c r="P120" i="2"/>
  <c r="L120" i="2"/>
  <c r="AB120" i="2" s="1"/>
  <c r="P80" i="2"/>
  <c r="L80" i="2"/>
  <c r="AB80" i="2" s="1"/>
  <c r="C28" i="22"/>
  <c r="C49" i="22"/>
  <c r="C59" i="22"/>
  <c r="C12" i="22"/>
  <c r="M12" i="22" s="1"/>
  <c r="N12" i="22" s="1"/>
  <c r="D30" i="22"/>
  <c r="D57" i="22"/>
  <c r="E68" i="22"/>
  <c r="H35" i="22"/>
  <c r="D65" i="22"/>
  <c r="G39" i="22"/>
  <c r="H77" i="22"/>
  <c r="N363" i="15"/>
  <c r="D364" i="15" s="1"/>
  <c r="C19" i="22"/>
  <c r="D50" i="22"/>
  <c r="G83" i="22"/>
  <c r="P1099" i="2"/>
  <c r="P1098" i="2"/>
  <c r="B183" i="15"/>
  <c r="G189" i="15"/>
  <c r="P1087" i="2"/>
  <c r="E183" i="15"/>
  <c r="C189" i="15"/>
  <c r="F79" i="1"/>
  <c r="P688" i="2"/>
  <c r="L688" i="2"/>
  <c r="AB688" i="2" s="1"/>
  <c r="L648" i="2"/>
  <c r="AB648" i="2" s="1"/>
  <c r="P648" i="2"/>
  <c r="P629" i="2"/>
  <c r="L629" i="2"/>
  <c r="AB629" i="2" s="1"/>
  <c r="L625" i="2"/>
  <c r="AB625" i="2" s="1"/>
  <c r="P625" i="2"/>
  <c r="P609" i="2"/>
  <c r="L609" i="2"/>
  <c r="AB609" i="2" s="1"/>
  <c r="L605" i="2"/>
  <c r="AB605" i="2" s="1"/>
  <c r="P605" i="2"/>
  <c r="L601" i="2"/>
  <c r="AB601" i="2" s="1"/>
  <c r="P601" i="2"/>
  <c r="L570" i="2"/>
  <c r="AB570" i="2" s="1"/>
  <c r="P570" i="2"/>
  <c r="L566" i="2"/>
  <c r="AB566" i="2" s="1"/>
  <c r="P566" i="2"/>
  <c r="P559" i="2"/>
  <c r="L559" i="2"/>
  <c r="AB559" i="2" s="1"/>
  <c r="L555" i="2"/>
  <c r="AB555" i="2" s="1"/>
  <c r="P555" i="2"/>
  <c r="L547" i="2"/>
  <c r="AB547" i="2" s="1"/>
  <c r="P547" i="2"/>
  <c r="L539" i="2"/>
  <c r="AB539" i="2" s="1"/>
  <c r="P539" i="2"/>
  <c r="L519" i="2"/>
  <c r="AB519" i="2" s="1"/>
  <c r="P519" i="2"/>
  <c r="L515" i="2"/>
  <c r="AB515" i="2" s="1"/>
  <c r="P515" i="2"/>
  <c r="L511" i="2"/>
  <c r="AB511" i="2" s="1"/>
  <c r="P511" i="2"/>
  <c r="P499" i="2"/>
  <c r="L499" i="2"/>
  <c r="AB499" i="2" s="1"/>
  <c r="L495" i="2"/>
  <c r="AB495" i="2" s="1"/>
  <c r="P495" i="2"/>
  <c r="L491" i="2"/>
  <c r="AB491" i="2" s="1"/>
  <c r="P491" i="2"/>
  <c r="P487" i="2"/>
  <c r="L487" i="2"/>
  <c r="AB487" i="2" s="1"/>
  <c r="P483" i="2"/>
  <c r="L483" i="2"/>
  <c r="AB483" i="2" s="1"/>
  <c r="L475" i="2"/>
  <c r="AB475" i="2" s="1"/>
  <c r="P475" i="2"/>
  <c r="P471" i="2"/>
  <c r="L471" i="2"/>
  <c r="AB471" i="2" s="1"/>
  <c r="L467" i="2"/>
  <c r="AB467" i="2" s="1"/>
  <c r="P467" i="2"/>
  <c r="L463" i="2"/>
  <c r="AB463" i="2" s="1"/>
  <c r="P463" i="2"/>
  <c r="P372" i="2"/>
  <c r="L372" i="2"/>
  <c r="AB372" i="2" s="1"/>
  <c r="P364" i="2"/>
  <c r="L364" i="2"/>
  <c r="AB364" i="2" s="1"/>
  <c r="P360" i="2"/>
  <c r="L360" i="2"/>
  <c r="AB360" i="2" s="1"/>
  <c r="P356" i="2"/>
  <c r="L356" i="2"/>
  <c r="AB356" i="2" s="1"/>
  <c r="P352" i="2"/>
  <c r="L352" i="2"/>
  <c r="AB352" i="2" s="1"/>
  <c r="P340" i="2"/>
  <c r="L340" i="2"/>
  <c r="AB340" i="2" s="1"/>
  <c r="L332" i="2"/>
  <c r="AB332" i="2" s="1"/>
  <c r="P332" i="2"/>
  <c r="P321" i="2"/>
  <c r="L321" i="2"/>
  <c r="AB321" i="2" s="1"/>
  <c r="L317" i="2"/>
  <c r="AB317" i="2" s="1"/>
  <c r="P317" i="2"/>
  <c r="P298" i="2"/>
  <c r="L298" i="2"/>
  <c r="AB298" i="2" s="1"/>
  <c r="P295" i="2"/>
  <c r="L295" i="2"/>
  <c r="AB295" i="2" s="1"/>
  <c r="P291" i="2"/>
  <c r="L291" i="2"/>
  <c r="AB291" i="2" s="1"/>
  <c r="L287" i="2"/>
  <c r="AB287" i="2" s="1"/>
  <c r="P287" i="2"/>
  <c r="L283" i="2"/>
  <c r="AB283" i="2" s="1"/>
  <c r="P283" i="2"/>
  <c r="L279" i="2"/>
  <c r="AB279" i="2" s="1"/>
  <c r="P279" i="2"/>
  <c r="L271" i="2"/>
  <c r="AB271" i="2" s="1"/>
  <c r="P271" i="2"/>
  <c r="L267" i="2"/>
  <c r="AB267" i="2" s="1"/>
  <c r="P267" i="2"/>
  <c r="L220" i="2"/>
  <c r="AB220" i="2" s="1"/>
  <c r="P220" i="2"/>
  <c r="P216" i="2"/>
  <c r="L216" i="2"/>
  <c r="AB216" i="2" s="1"/>
  <c r="L212" i="2"/>
  <c r="AB212" i="2" s="1"/>
  <c r="P212" i="2"/>
  <c r="P201" i="2"/>
  <c r="L201" i="2"/>
  <c r="AB201" i="2" s="1"/>
  <c r="L197" i="2"/>
  <c r="AB197" i="2" s="1"/>
  <c r="P197" i="2"/>
  <c r="L181" i="2"/>
  <c r="AB181" i="2" s="1"/>
  <c r="P181" i="2"/>
  <c r="L177" i="2"/>
  <c r="AB177" i="2" s="1"/>
  <c r="P177" i="2"/>
  <c r="L165" i="2"/>
  <c r="AB165" i="2" s="1"/>
  <c r="P165" i="2"/>
  <c r="P161" i="2"/>
  <c r="L161" i="2"/>
  <c r="AB161" i="2" s="1"/>
  <c r="P157" i="2"/>
  <c r="L157" i="2"/>
  <c r="AB157" i="2" s="1"/>
  <c r="L153" i="2"/>
  <c r="AB153" i="2" s="1"/>
  <c r="P153" i="2"/>
  <c r="L149" i="2"/>
  <c r="AB149" i="2" s="1"/>
  <c r="P149" i="2"/>
  <c r="L126" i="2"/>
  <c r="AB126" i="2" s="1"/>
  <c r="P126" i="2"/>
  <c r="L118" i="2"/>
  <c r="AB118" i="2" s="1"/>
  <c r="P118" i="2"/>
  <c r="P114" i="2"/>
  <c r="L114" i="2"/>
  <c r="AB114" i="2" s="1"/>
  <c r="L21" i="2"/>
  <c r="AB21" i="2" s="1"/>
  <c r="P21" i="2"/>
  <c r="P17" i="2"/>
  <c r="L17" i="2"/>
  <c r="AB17" i="2" s="1"/>
  <c r="L13" i="2"/>
  <c r="AB13" i="2" s="1"/>
  <c r="P13" i="2"/>
  <c r="P9" i="2"/>
  <c r="L9" i="2"/>
  <c r="AB9" i="2" s="1"/>
  <c r="L1026" i="2"/>
  <c r="AB1026" i="2" s="1"/>
  <c r="P1026" i="2"/>
  <c r="K7" i="3"/>
  <c r="L2" i="3"/>
  <c r="D18" i="9" s="1"/>
  <c r="K145" i="5"/>
  <c r="L2" i="5"/>
  <c r="D20" i="9" s="1"/>
  <c r="K62" i="6"/>
  <c r="L2" i="6"/>
  <c r="D21" i="9" s="1"/>
  <c r="G198" i="15"/>
  <c r="F204" i="15"/>
  <c r="F195" i="15"/>
  <c r="F182" i="15"/>
  <c r="E192" i="15"/>
  <c r="D203" i="15"/>
  <c r="D192" i="15"/>
  <c r="C201" i="15"/>
  <c r="C192" i="15"/>
  <c r="B201" i="15"/>
  <c r="B188" i="15"/>
  <c r="G193" i="15"/>
  <c r="G200" i="15"/>
  <c r="G185" i="15"/>
  <c r="F198" i="15"/>
  <c r="F186" i="15"/>
  <c r="E194" i="15"/>
  <c r="E185" i="15"/>
  <c r="D200" i="15"/>
  <c r="D185" i="15"/>
  <c r="C198" i="15"/>
  <c r="C187" i="15"/>
  <c r="B198" i="15"/>
  <c r="B187" i="15"/>
  <c r="B184" i="15"/>
  <c r="G192" i="15"/>
  <c r="F201" i="15"/>
  <c r="F191" i="15"/>
  <c r="E199" i="15"/>
  <c r="E190" i="15"/>
  <c r="D199" i="15"/>
  <c r="D188" i="15"/>
  <c r="C202" i="15"/>
  <c r="C190" i="15"/>
  <c r="B200" i="15"/>
  <c r="B186" i="15"/>
  <c r="E193" i="15"/>
  <c r="G195" i="15"/>
  <c r="G182" i="15"/>
  <c r="F196" i="15"/>
  <c r="E204" i="15"/>
  <c r="E195" i="15"/>
  <c r="E182" i="15"/>
  <c r="D195" i="15"/>
  <c r="D182" i="15"/>
  <c r="C196" i="15"/>
  <c r="C182" i="15"/>
  <c r="B196" i="15"/>
  <c r="B185" i="15"/>
  <c r="G190" i="15"/>
  <c r="F202" i="15"/>
  <c r="F187" i="15"/>
  <c r="E197" i="15"/>
  <c r="F185" i="15"/>
  <c r="D198" i="15"/>
  <c r="C200" i="15"/>
  <c r="B194" i="15"/>
  <c r="G201" i="15"/>
  <c r="F203" i="15"/>
  <c r="E201" i="15"/>
  <c r="D201" i="15"/>
  <c r="C203" i="15"/>
  <c r="B203" i="15"/>
  <c r="E184" i="15"/>
  <c r="G197" i="15"/>
  <c r="E198" i="15"/>
  <c r="D196" i="15"/>
  <c r="C193" i="15"/>
  <c r="B192" i="15"/>
  <c r="G202" i="15"/>
  <c r="F197" i="15"/>
  <c r="E202" i="15"/>
  <c r="D202" i="15"/>
  <c r="C197" i="15"/>
  <c r="B199" i="15"/>
  <c r="D184" i="15"/>
  <c r="G183" i="15"/>
  <c r="G188" i="15"/>
  <c r="E188" i="15"/>
  <c r="D186" i="15"/>
  <c r="C186" i="15"/>
  <c r="G184" i="15"/>
  <c r="G191" i="15"/>
  <c r="F190" i="15"/>
  <c r="E191" i="15"/>
  <c r="D191" i="15"/>
  <c r="C191" i="15"/>
  <c r="B195" i="15"/>
  <c r="H34" i="1"/>
  <c r="H14" i="1"/>
  <c r="E20" i="1"/>
  <c r="F47" i="1"/>
  <c r="F22" i="1"/>
  <c r="G77" i="1"/>
  <c r="G53" i="1"/>
  <c r="G33" i="1"/>
  <c r="G13" i="1"/>
  <c r="H65" i="1"/>
  <c r="H45" i="1"/>
  <c r="H25" i="1"/>
  <c r="F39" i="1"/>
  <c r="G29" i="1"/>
  <c r="H17" i="1"/>
  <c r="H30" i="1"/>
  <c r="F18" i="1"/>
  <c r="H87" i="1"/>
  <c r="C74" i="1"/>
  <c r="E12" i="1"/>
  <c r="Q12" i="1" s="1"/>
  <c r="R12" i="1" s="1"/>
  <c r="G69" i="1"/>
  <c r="H61" i="1"/>
  <c r="C82" i="1"/>
  <c r="D13" i="22"/>
  <c r="F14" i="22"/>
  <c r="H15" i="22"/>
  <c r="D17" i="22"/>
  <c r="F18" i="22"/>
  <c r="H19" i="22"/>
  <c r="D21" i="22"/>
  <c r="F22" i="22"/>
  <c r="H23" i="22"/>
  <c r="G25" i="22"/>
  <c r="E28" i="22"/>
  <c r="H86" i="22"/>
  <c r="F85" i="22"/>
  <c r="D84" i="22"/>
  <c r="H82" i="22"/>
  <c r="F81" i="22"/>
  <c r="D80" i="22"/>
  <c r="H78" i="22"/>
  <c r="F77" i="22"/>
  <c r="D76" i="22"/>
  <c r="H74" i="22"/>
  <c r="F73" i="22"/>
  <c r="D72" i="22"/>
  <c r="G70" i="22"/>
  <c r="E69" i="22"/>
  <c r="C68" i="22"/>
  <c r="G66" i="22"/>
  <c r="E65" i="22"/>
  <c r="C64" i="22"/>
  <c r="G62" i="22"/>
  <c r="E61" i="22"/>
  <c r="C60" i="22"/>
  <c r="G58" i="22"/>
  <c r="E57" i="22"/>
  <c r="C56" i="22"/>
  <c r="G54" i="22"/>
  <c r="E53" i="22"/>
  <c r="C52" i="22"/>
  <c r="G50" i="22"/>
  <c r="E49" i="22"/>
  <c r="C48" i="22"/>
  <c r="G46" i="22"/>
  <c r="E45" i="22"/>
  <c r="C44" i="22"/>
  <c r="G42" i="22"/>
  <c r="E41" i="22"/>
  <c r="C40" i="22"/>
  <c r="G38" i="22"/>
  <c r="E37" i="22"/>
  <c r="C36" i="22"/>
  <c r="F34" i="22"/>
  <c r="D33" i="22"/>
  <c r="H31" i="22"/>
  <c r="F30" i="22"/>
  <c r="D29" i="22"/>
  <c r="H27" i="22"/>
  <c r="F26" i="22"/>
  <c r="D25" i="22"/>
  <c r="C87" i="22"/>
  <c r="G85" i="22"/>
  <c r="E84" i="22"/>
  <c r="C83" i="22"/>
  <c r="G81" i="22"/>
  <c r="E80" i="22"/>
  <c r="C79" i="22"/>
  <c r="G77" i="22"/>
  <c r="E76" i="22"/>
  <c r="C75" i="22"/>
  <c r="G73" i="22"/>
  <c r="E72" i="22"/>
  <c r="D71" i="22"/>
  <c r="H69" i="22"/>
  <c r="F68" i="22"/>
  <c r="D67" i="22"/>
  <c r="H65" i="22"/>
  <c r="F64" i="22"/>
  <c r="D63" i="22"/>
  <c r="C29" i="22"/>
  <c r="F13" i="22"/>
  <c r="D15" i="22"/>
  <c r="H16" i="22"/>
  <c r="H18" i="22"/>
  <c r="F20" i="22"/>
  <c r="D22" i="22"/>
  <c r="D24" i="22"/>
  <c r="C27" i="22"/>
  <c r="D87" i="22"/>
  <c r="D85" i="22"/>
  <c r="F83" i="22"/>
  <c r="H81" i="22"/>
  <c r="H79" i="22"/>
  <c r="D78" i="22"/>
  <c r="F76" i="22"/>
  <c r="F74" i="22"/>
  <c r="H72" i="22"/>
  <c r="C71" i="22"/>
  <c r="C69" i="22"/>
  <c r="E67" i="22"/>
  <c r="G65" i="22"/>
  <c r="G63" i="22"/>
  <c r="C62" i="22"/>
  <c r="E60" i="22"/>
  <c r="E58" i="22"/>
  <c r="G56" i="22"/>
  <c r="C55" i="22"/>
  <c r="C53" i="22"/>
  <c r="E51" i="22"/>
  <c r="G49" i="22"/>
  <c r="G47" i="22"/>
  <c r="C46" i="22"/>
  <c r="E44" i="22"/>
  <c r="E42" i="22"/>
  <c r="G40" i="22"/>
  <c r="C39" i="22"/>
  <c r="C37" i="22"/>
  <c r="E35" i="22"/>
  <c r="F33" i="22"/>
  <c r="F31" i="22"/>
  <c r="H29" i="22"/>
  <c r="D28" i="22"/>
  <c r="D26" i="22"/>
  <c r="G87" i="22"/>
  <c r="C86" i="22"/>
  <c r="C84" i="22"/>
  <c r="E82" i="22"/>
  <c r="G80" i="22"/>
  <c r="G78" i="22"/>
  <c r="C77" i="22"/>
  <c r="E75" i="22"/>
  <c r="E73" i="22"/>
  <c r="H71" i="22"/>
  <c r="D70" i="22"/>
  <c r="D68" i="22"/>
  <c r="F66" i="22"/>
  <c r="H64" i="22"/>
  <c r="H62" i="22"/>
  <c r="F61" i="22"/>
  <c r="D60" i="22"/>
  <c r="H58" i="22"/>
  <c r="F57" i="22"/>
  <c r="D56" i="22"/>
  <c r="H54" i="22"/>
  <c r="F53" i="22"/>
  <c r="D52" i="22"/>
  <c r="H50" i="22"/>
  <c r="F49" i="22"/>
  <c r="D48" i="22"/>
  <c r="H46" i="22"/>
  <c r="F45" i="22"/>
  <c r="D44" i="22"/>
  <c r="H42" i="22"/>
  <c r="F41" i="22"/>
  <c r="D40" i="22"/>
  <c r="H38" i="22"/>
  <c r="F37" i="22"/>
  <c r="D36" i="22"/>
  <c r="G34" i="22"/>
  <c r="G33" i="22"/>
  <c r="E32" i="22"/>
  <c r="C31" i="22"/>
  <c r="G29" i="22"/>
  <c r="G12" i="22"/>
  <c r="U12" i="22" s="1"/>
  <c r="C14" i="22"/>
  <c r="E15" i="22"/>
  <c r="G16" i="22"/>
  <c r="C18" i="22"/>
  <c r="E19" i="22"/>
  <c r="G20" i="22"/>
  <c r="C22" i="22"/>
  <c r="E23" i="22"/>
  <c r="G24" i="22"/>
  <c r="E27" i="22"/>
  <c r="D12" i="22"/>
  <c r="H13" i="22"/>
  <c r="F15" i="22"/>
  <c r="F17" i="22"/>
  <c r="D19" i="22"/>
  <c r="H20" i="22"/>
  <c r="H22" i="22"/>
  <c r="F24" i="22"/>
  <c r="G27" i="22"/>
  <c r="F86" i="22"/>
  <c r="H84" i="22"/>
  <c r="F12" i="22"/>
  <c r="S12" i="22" s="1"/>
  <c r="T12" i="22" s="1"/>
  <c r="D16" i="22"/>
  <c r="F19" i="22"/>
  <c r="D23" i="22"/>
  <c r="H87" i="22"/>
  <c r="F84" i="22"/>
  <c r="D82" i="22"/>
  <c r="F79" i="22"/>
  <c r="D77" i="22"/>
  <c r="D75" i="22"/>
  <c r="F72" i="22"/>
  <c r="C70" i="22"/>
  <c r="G67" i="22"/>
  <c r="C65" i="22"/>
  <c r="C63" i="22"/>
  <c r="G60" i="22"/>
  <c r="C58" i="22"/>
  <c r="G55" i="22"/>
  <c r="G53" i="22"/>
  <c r="C51" i="22"/>
  <c r="G48" i="22"/>
  <c r="E46" i="22"/>
  <c r="G43" i="22"/>
  <c r="G41" i="22"/>
  <c r="E39" i="22"/>
  <c r="G36" i="22"/>
  <c r="D34" i="22"/>
  <c r="D32" i="22"/>
  <c r="F29" i="22"/>
  <c r="D27" i="22"/>
  <c r="H24" i="22"/>
  <c r="E85" i="22"/>
  <c r="E83" i="22"/>
  <c r="C81" i="22"/>
  <c r="E78" i="22"/>
  <c r="C76" i="22"/>
  <c r="C74" i="22"/>
  <c r="F71" i="22"/>
  <c r="D69" i="22"/>
  <c r="H66" i="22"/>
  <c r="D64" i="22"/>
  <c r="D62" i="22"/>
  <c r="F60" i="22"/>
  <c r="F58" i="22"/>
  <c r="H56" i="22"/>
  <c r="D55" i="22"/>
  <c r="D53" i="22"/>
  <c r="F51" i="22"/>
  <c r="H49" i="22"/>
  <c r="H47" i="22"/>
  <c r="D46" i="22"/>
  <c r="F44" i="22"/>
  <c r="F42" i="22"/>
  <c r="H40" i="22"/>
  <c r="D39" i="22"/>
  <c r="D37" i="22"/>
  <c r="F35" i="22"/>
  <c r="C34" i="22"/>
  <c r="C32" i="22"/>
  <c r="E30" i="22"/>
  <c r="E12" i="22"/>
  <c r="Q12" i="22" s="1"/>
  <c r="R12" i="22" s="1"/>
  <c r="E14" i="22"/>
  <c r="C16" i="22"/>
  <c r="G17" i="22"/>
  <c r="G19" i="22"/>
  <c r="E21" i="22"/>
  <c r="C23" i="22"/>
  <c r="E25" i="22"/>
  <c r="G28" i="22"/>
  <c r="H12" i="22"/>
  <c r="F16" i="22"/>
  <c r="D20" i="22"/>
  <c r="F23" i="22"/>
  <c r="F87" i="22"/>
  <c r="H83" i="22"/>
  <c r="D81" i="22"/>
  <c r="D79" i="22"/>
  <c r="H76" i="22"/>
  <c r="D74" i="22"/>
  <c r="G71" i="22"/>
  <c r="G69" i="22"/>
  <c r="C67" i="22"/>
  <c r="G64" i="22"/>
  <c r="E62" i="22"/>
  <c r="G59" i="22"/>
  <c r="G57" i="22"/>
  <c r="E55" i="22"/>
  <c r="G52" i="22"/>
  <c r="E50" i="22"/>
  <c r="E48" i="22"/>
  <c r="G45" i="22"/>
  <c r="E43" i="22"/>
  <c r="C41" i="22"/>
  <c r="E38" i="22"/>
  <c r="E36" i="22"/>
  <c r="H33" i="22"/>
  <c r="D31" i="22"/>
  <c r="H28" i="22"/>
  <c r="H26" i="22"/>
  <c r="E87" i="22"/>
  <c r="C85" i="22"/>
  <c r="G82" i="22"/>
  <c r="C80" i="22"/>
  <c r="C78" i="22"/>
  <c r="G75" i="22"/>
  <c r="C73" i="22"/>
  <c r="H70" i="22"/>
  <c r="H68" i="22"/>
  <c r="D66" i="22"/>
  <c r="H63" i="22"/>
  <c r="H61" i="22"/>
  <c r="H59" i="22"/>
  <c r="D58" i="22"/>
  <c r="F56" i="22"/>
  <c r="F54" i="22"/>
  <c r="H52" i="22"/>
  <c r="D51" i="22"/>
  <c r="D49" i="22"/>
  <c r="F47" i="22"/>
  <c r="H45" i="22"/>
  <c r="H43" i="22"/>
  <c r="D42" i="22"/>
  <c r="F40" i="22"/>
  <c r="F38" i="22"/>
  <c r="H36" i="22"/>
  <c r="D35" i="22"/>
  <c r="E33" i="22"/>
  <c r="G31" i="22"/>
  <c r="C30" i="22"/>
  <c r="C13" i="22"/>
  <c r="G14" i="22"/>
  <c r="E16" i="22"/>
  <c r="E18" i="22"/>
  <c r="C20" i="22"/>
  <c r="G21" i="22"/>
  <c r="G23" i="22"/>
  <c r="C26" i="22"/>
  <c r="D14" i="22"/>
  <c r="H17" i="22"/>
  <c r="F21" i="22"/>
  <c r="C25" i="22"/>
  <c r="D86" i="22"/>
  <c r="D83" i="22"/>
  <c r="H80" i="22"/>
  <c r="F78" i="22"/>
  <c r="H75" i="22"/>
  <c r="H73" i="22"/>
  <c r="E71" i="22"/>
  <c r="G68" i="22"/>
  <c r="E66" i="22"/>
  <c r="E64" i="22"/>
  <c r="G61" i="22"/>
  <c r="E59" i="22"/>
  <c r="C57" i="22"/>
  <c r="E54" i="22"/>
  <c r="E52" i="22"/>
  <c r="C50" i="22"/>
  <c r="E47" i="22"/>
  <c r="C45" i="22"/>
  <c r="C43" i="22"/>
  <c r="E40" i="22"/>
  <c r="C38" i="22"/>
  <c r="G35" i="22"/>
  <c r="H32" i="22"/>
  <c r="H30" i="22"/>
  <c r="F28" i="22"/>
  <c r="H25" i="22"/>
  <c r="G86" i="22"/>
  <c r="G84" i="22"/>
  <c r="C82" i="22"/>
  <c r="G79" i="22"/>
  <c r="E77" i="22"/>
  <c r="G74" i="22"/>
  <c r="G72" i="22"/>
  <c r="F70" i="22"/>
  <c r="H67" i="22"/>
  <c r="F65" i="22"/>
  <c r="F63" i="22"/>
  <c r="D61" i="22"/>
  <c r="F59" i="22"/>
  <c r="H57" i="22"/>
  <c r="H55" i="22"/>
  <c r="D54" i="22"/>
  <c r="F52" i="22"/>
  <c r="F50" i="22"/>
  <c r="H48" i="22"/>
  <c r="D47" i="22"/>
  <c r="D45" i="22"/>
  <c r="F43" i="22"/>
  <c r="H41" i="22"/>
  <c r="H39" i="22"/>
  <c r="D38" i="22"/>
  <c r="F36" i="22"/>
  <c r="E34" i="22"/>
  <c r="C33" i="22"/>
  <c r="E31" i="22"/>
  <c r="E29" i="22"/>
  <c r="E13" i="22"/>
  <c r="C15" i="22"/>
  <c r="C17" i="22"/>
  <c r="G18" i="22"/>
  <c r="E20" i="22"/>
  <c r="E22" i="22"/>
  <c r="C24" i="22"/>
  <c r="G26" i="22"/>
  <c r="L1049" i="2"/>
  <c r="AB1049" i="2" s="1"/>
  <c r="P1049" i="2"/>
  <c r="L1053" i="2"/>
  <c r="AB1053" i="2" s="1"/>
  <c r="P1053" i="2"/>
  <c r="L1061" i="2"/>
  <c r="AB1061" i="2" s="1"/>
  <c r="P1061" i="2"/>
  <c r="L1065" i="2"/>
  <c r="AB1065" i="2" s="1"/>
  <c r="P1065" i="2"/>
  <c r="L1073" i="2"/>
  <c r="AB1073" i="2" s="1"/>
  <c r="P1073" i="2"/>
  <c r="P173" i="2"/>
  <c r="L949" i="2"/>
  <c r="AB949" i="2" s="1"/>
  <c r="P551" i="2"/>
  <c r="P303" i="2"/>
  <c r="L692" i="2"/>
  <c r="AB692" i="2" s="1"/>
  <c r="B193" i="15"/>
  <c r="F193" i="15"/>
  <c r="P503" i="2"/>
  <c r="C183" i="15"/>
  <c r="E24" i="22"/>
  <c r="E17" i="22"/>
  <c r="G30" i="22"/>
  <c r="H37" i="22"/>
  <c r="H44" i="22"/>
  <c r="H51" i="22"/>
  <c r="D59" i="22"/>
  <c r="F67" i="22"/>
  <c r="G76" i="22"/>
  <c r="E86" i="22"/>
  <c r="F32" i="22"/>
  <c r="C42" i="22"/>
  <c r="G51" i="22"/>
  <c r="C61" i="22"/>
  <c r="E70" i="22"/>
  <c r="F80" i="22"/>
  <c r="H21" i="22"/>
  <c r="D189" i="15"/>
  <c r="C184" i="15"/>
  <c r="F194" i="15"/>
  <c r="P597" i="2"/>
  <c r="P169" i="2"/>
  <c r="P644" i="2"/>
  <c r="G22" i="22"/>
  <c r="G15" i="22"/>
  <c r="G32" i="22"/>
  <c r="F39" i="22"/>
  <c r="F46" i="22"/>
  <c r="H53" i="22"/>
  <c r="I53" i="22" s="1"/>
  <c r="H60" i="22"/>
  <c r="F69" i="22"/>
  <c r="E79" i="22"/>
  <c r="F25" i="22"/>
  <c r="H34" i="22"/>
  <c r="G44" i="22"/>
  <c r="C54" i="22"/>
  <c r="E63" i="22"/>
  <c r="D73" i="22"/>
  <c r="F82" i="22"/>
  <c r="D18" i="22"/>
  <c r="P543" i="2"/>
  <c r="E187" i="15"/>
  <c r="B204" i="15"/>
  <c r="H41" i="1"/>
  <c r="P953" i="2"/>
  <c r="P621" i="2"/>
  <c r="L275" i="2"/>
  <c r="AB275" i="2" s="1"/>
  <c r="L507" i="2"/>
  <c r="AB507" i="2" s="1"/>
  <c r="P145" i="2"/>
  <c r="P185" i="2"/>
  <c r="L562" i="2"/>
  <c r="AB562" i="2" s="1"/>
  <c r="C21" i="22"/>
  <c r="G13" i="22"/>
  <c r="C35" i="22"/>
  <c r="D41" i="22"/>
  <c r="F48" i="22"/>
  <c r="F55" i="22"/>
  <c r="F62" i="22"/>
  <c r="C72" i="22"/>
  <c r="I72" i="22" s="1"/>
  <c r="E81" i="22"/>
  <c r="F27" i="22"/>
  <c r="G37" i="22"/>
  <c r="C47" i="22"/>
  <c r="E56" i="22"/>
  <c r="C66" i="22"/>
  <c r="F75" i="22"/>
  <c r="H85" i="22"/>
  <c r="H14" i="22"/>
  <c r="B189" i="15"/>
  <c r="F188" i="15"/>
  <c r="D183" i="15"/>
  <c r="G49" i="1"/>
  <c r="L1077" i="2"/>
  <c r="AB1077" i="2" s="1"/>
  <c r="P1077" i="2"/>
  <c r="L1113" i="2"/>
  <c r="AB1113" i="2" s="1"/>
  <c r="P1113" i="2"/>
  <c r="L1145" i="2"/>
  <c r="AB1145" i="2" s="1"/>
  <c r="P1145" i="2"/>
  <c r="L1177" i="2"/>
  <c r="AB1177" i="2" s="1"/>
  <c r="P1177" i="2"/>
  <c r="P977" i="2"/>
  <c r="L977" i="2"/>
  <c r="AB977" i="2" s="1"/>
  <c r="L716" i="2"/>
  <c r="AB716" i="2" s="1"/>
  <c r="P716" i="2"/>
  <c r="P946" i="2"/>
  <c r="L946" i="2"/>
  <c r="AB946" i="2" s="1"/>
  <c r="L915" i="2"/>
  <c r="AB915" i="2" s="1"/>
  <c r="P915" i="2"/>
  <c r="L871" i="2"/>
  <c r="AB871" i="2" s="1"/>
  <c r="P871" i="2"/>
  <c r="L823" i="2"/>
  <c r="AB823" i="2" s="1"/>
  <c r="P823" i="2"/>
  <c r="L802" i="2"/>
  <c r="AB802" i="2" s="1"/>
  <c r="P802" i="2"/>
  <c r="P786" i="2"/>
  <c r="L786" i="2"/>
  <c r="AB786" i="2" s="1"/>
  <c r="P761" i="2"/>
  <c r="L761" i="2"/>
  <c r="AB761" i="2" s="1"/>
  <c r="L747" i="2"/>
  <c r="AB747" i="2" s="1"/>
  <c r="P747" i="2"/>
  <c r="L743" i="2"/>
  <c r="AB743" i="2" s="1"/>
  <c r="P743" i="2"/>
  <c r="P725" i="2"/>
  <c r="L725" i="2"/>
  <c r="AB725" i="2" s="1"/>
  <c r="L685" i="2"/>
  <c r="AB685" i="2" s="1"/>
  <c r="P685" i="2"/>
  <c r="P681" i="2"/>
  <c r="L681" i="2"/>
  <c r="AB681" i="2" s="1"/>
  <c r="L998" i="2"/>
  <c r="AB998" i="2" s="1"/>
  <c r="P998" i="2"/>
  <c r="L994" i="2"/>
  <c r="AB994" i="2" s="1"/>
  <c r="P994" i="2"/>
  <c r="L959" i="2"/>
  <c r="AB959" i="2" s="1"/>
  <c r="P959" i="2"/>
  <c r="L818" i="2"/>
  <c r="AB818" i="2" s="1"/>
  <c r="P818" i="2"/>
  <c r="P426" i="2"/>
  <c r="L426" i="2"/>
  <c r="AB426" i="2" s="1"/>
  <c r="P418" i="2"/>
  <c r="L418" i="2"/>
  <c r="AB418" i="2" s="1"/>
  <c r="L339" i="2"/>
  <c r="AB339" i="2" s="1"/>
  <c r="P339" i="2"/>
  <c r="H22" i="1"/>
  <c r="E44" i="1"/>
  <c r="F87" i="1"/>
  <c r="F55" i="1"/>
  <c r="F30" i="1"/>
  <c r="F14" i="1"/>
  <c r="G73" i="1"/>
  <c r="G57" i="1"/>
  <c r="G41" i="1"/>
  <c r="G25" i="1"/>
  <c r="H81" i="1"/>
  <c r="H69" i="1"/>
  <c r="H53" i="1"/>
  <c r="H37" i="1"/>
  <c r="H21" i="1"/>
  <c r="G203" i="15"/>
  <c r="G196" i="15"/>
  <c r="G186" i="15"/>
  <c r="F200" i="15"/>
  <c r="F189" i="15"/>
  <c r="E203" i="15"/>
  <c r="E196" i="15"/>
  <c r="E186" i="15"/>
  <c r="D197" i="15"/>
  <c r="D190" i="15"/>
  <c r="C204" i="15"/>
  <c r="C194" i="15"/>
  <c r="C188" i="15"/>
  <c r="B202" i="15"/>
  <c r="B190" i="15"/>
  <c r="F184" i="15"/>
  <c r="G204" i="15"/>
  <c r="G194" i="15"/>
  <c r="G187" i="15"/>
  <c r="F199" i="15"/>
  <c r="F192" i="15"/>
  <c r="F183" i="15"/>
  <c r="E200" i="15"/>
  <c r="E189" i="15"/>
  <c r="D204" i="15"/>
  <c r="D194" i="15"/>
  <c r="D187" i="15"/>
  <c r="C199" i="15"/>
  <c r="C195" i="15"/>
  <c r="C185" i="15"/>
  <c r="B197" i="15"/>
  <c r="B191" i="15"/>
  <c r="B182" i="15"/>
  <c r="D193" i="15"/>
  <c r="D12" i="1"/>
  <c r="O12" i="1" s="1"/>
  <c r="P12" i="1" s="1"/>
  <c r="H29" i="1"/>
  <c r="H49" i="1"/>
  <c r="H73" i="1"/>
  <c r="G17" i="1"/>
  <c r="G37" i="1"/>
  <c r="G61" i="1"/>
  <c r="G81" i="1"/>
  <c r="F26" i="1"/>
  <c r="F63" i="1"/>
  <c r="E28" i="1"/>
  <c r="H18" i="1"/>
  <c r="P731" i="2"/>
  <c r="P235" i="2"/>
  <c r="P438" i="2"/>
  <c r="P156" i="2"/>
  <c r="P266" i="2"/>
  <c r="L109" i="2"/>
  <c r="AB109" i="2" s="1"/>
  <c r="P793" i="2"/>
  <c r="L371" i="2"/>
  <c r="AB371" i="2" s="1"/>
  <c r="L867" i="2"/>
  <c r="AB867" i="2" s="1"/>
  <c r="P867" i="2"/>
  <c r="L679" i="2"/>
  <c r="AB679" i="2" s="1"/>
  <c r="L649" i="2"/>
  <c r="AB649" i="2" s="1"/>
  <c r="L627" i="2"/>
  <c r="AB627" i="2" s="1"/>
  <c r="P627" i="2"/>
  <c r="P572" i="2"/>
  <c r="L572" i="2"/>
  <c r="AB572" i="2" s="1"/>
  <c r="L374" i="2"/>
  <c r="AB374" i="2" s="1"/>
  <c r="P374" i="2"/>
  <c r="P289" i="2"/>
  <c r="L289" i="2"/>
  <c r="AB289" i="2" s="1"/>
  <c r="L116" i="2"/>
  <c r="AB116" i="2" s="1"/>
  <c r="P116" i="2"/>
  <c r="L1020" i="2"/>
  <c r="AB1020" i="2" s="1"/>
  <c r="P1020" i="2"/>
  <c r="H13" i="1"/>
  <c r="H33" i="1"/>
  <c r="H57" i="1"/>
  <c r="H77" i="1"/>
  <c r="G21" i="1"/>
  <c r="G45" i="1"/>
  <c r="G65" i="1"/>
  <c r="G85" i="1"/>
  <c r="F34" i="1"/>
  <c r="F71" i="1"/>
  <c r="E36" i="1"/>
  <c r="H26" i="1"/>
  <c r="P395" i="2"/>
  <c r="P422" i="2"/>
  <c r="P262" i="2"/>
  <c r="P32" i="2"/>
  <c r="P28" i="2"/>
  <c r="P801" i="2"/>
  <c r="L928" i="2"/>
  <c r="AB928" i="2" s="1"/>
  <c r="P928" i="2"/>
  <c r="L909" i="2"/>
  <c r="AB909" i="2" s="1"/>
  <c r="P909" i="2"/>
  <c r="L528" i="2"/>
  <c r="AB528" i="2" s="1"/>
  <c r="P528" i="2"/>
  <c r="L524" i="2"/>
  <c r="AB524" i="2" s="1"/>
  <c r="P524" i="2"/>
  <c r="L424" i="2"/>
  <c r="AB424" i="2" s="1"/>
  <c r="P424" i="2"/>
  <c r="L420" i="2"/>
  <c r="AB420" i="2" s="1"/>
  <c r="P420" i="2"/>
  <c r="P377" i="2"/>
  <c r="L377" i="2"/>
  <c r="AB377" i="2" s="1"/>
  <c r="L154" i="2"/>
  <c r="AB154" i="2" s="1"/>
  <c r="P154" i="2"/>
  <c r="L55" i="2"/>
  <c r="AB55" i="2" s="1"/>
  <c r="P55" i="2"/>
  <c r="P403" i="2"/>
  <c r="P251" i="2"/>
  <c r="P567" i="2"/>
  <c r="P443" i="2"/>
  <c r="L123" i="2"/>
  <c r="AB123" i="2" s="1"/>
  <c r="P590" i="2"/>
  <c r="P115" i="2"/>
  <c r="P286" i="2"/>
  <c r="L64" i="2"/>
  <c r="AB64" i="2" s="1"/>
  <c r="P88" i="2"/>
  <c r="P60" i="2"/>
  <c r="P47" i="2"/>
  <c r="P344" i="2"/>
  <c r="P282" i="2"/>
  <c r="P205" i="2"/>
  <c r="L228" i="2"/>
  <c r="AB228" i="2" s="1"/>
  <c r="P202" i="2"/>
  <c r="L331" i="2"/>
  <c r="AB331" i="2" s="1"/>
  <c r="P166" i="2"/>
  <c r="C3" i="31"/>
  <c r="G16" i="20"/>
  <c r="E3" i="31"/>
  <c r="L326" i="2"/>
  <c r="AB326" i="2" s="1"/>
  <c r="L378" i="2"/>
  <c r="AB378" i="2" s="1"/>
  <c r="P490" i="2"/>
  <c r="P666" i="2"/>
  <c r="P756" i="2"/>
  <c r="L794" i="2"/>
  <c r="AB794" i="2" s="1"/>
  <c r="P854" i="2"/>
  <c r="P482" i="2"/>
  <c r="L548" i="2"/>
  <c r="AB548" i="2" s="1"/>
  <c r="P520" i="2"/>
  <c r="P622" i="2"/>
  <c r="P179" i="2"/>
  <c r="P502" i="2"/>
  <c r="P762" i="2"/>
  <c r="P837" i="2"/>
  <c r="P180" i="2"/>
  <c r="P386" i="2"/>
  <c r="P620" i="2"/>
  <c r="P470" i="2"/>
  <c r="P754" i="2"/>
  <c r="P365" i="2"/>
  <c r="P902" i="2"/>
  <c r="L176" i="2"/>
  <c r="AB176" i="2" s="1"/>
  <c r="L208" i="2"/>
  <c r="AB208" i="2" s="1"/>
  <c r="L518" i="2"/>
  <c r="AB518" i="2" s="1"/>
  <c r="L582" i="2"/>
  <c r="AB582" i="2" s="1"/>
  <c r="L184" i="2"/>
  <c r="AB184" i="2" s="1"/>
  <c r="P297" i="2"/>
  <c r="L437" i="2"/>
  <c r="AB437" i="2" s="1"/>
  <c r="P578" i="2"/>
  <c r="P1005" i="2"/>
  <c r="P226" i="2"/>
  <c r="L290" i="2"/>
  <c r="AB290" i="2" s="1"/>
  <c r="L328" i="2"/>
  <c r="AB328" i="2" s="1"/>
  <c r="L376" i="2"/>
  <c r="AB376" i="2" s="1"/>
  <c r="L400" i="2"/>
  <c r="AB400" i="2" s="1"/>
  <c r="P464" i="2"/>
  <c r="P488" i="2"/>
  <c r="P504" i="2"/>
  <c r="P637" i="2"/>
  <c r="P119" i="2"/>
  <c r="P428" i="2"/>
  <c r="L484" i="2"/>
  <c r="AB484" i="2" s="1"/>
  <c r="P141" i="2"/>
  <c r="L224" i="2"/>
  <c r="AB224" i="2" s="1"/>
  <c r="P280" i="2"/>
  <c r="P457" i="2"/>
  <c r="P553" i="2"/>
  <c r="P617" i="2"/>
  <c r="P713" i="2"/>
  <c r="P777" i="2"/>
  <c r="P193" i="2"/>
  <c r="P260" i="2"/>
  <c r="P284" i="2"/>
  <c r="L353" i="2"/>
  <c r="AB353" i="2" s="1"/>
  <c r="L529" i="2"/>
  <c r="AB529" i="2" s="1"/>
  <c r="L593" i="2"/>
  <c r="AB593" i="2" s="1"/>
  <c r="L913" i="2"/>
  <c r="AB913" i="2" s="1"/>
  <c r="L82" i="2"/>
  <c r="AB82" i="2" s="1"/>
  <c r="L170" i="2"/>
  <c r="AB170" i="2" s="1"/>
  <c r="P210" i="2"/>
  <c r="P62" i="2"/>
  <c r="P182" i="2"/>
  <c r="L206" i="2"/>
  <c r="AB206" i="2" s="1"/>
  <c r="L319" i="2"/>
  <c r="AB319" i="2" s="1"/>
  <c r="I206" i="15"/>
  <c r="P981" i="2"/>
  <c r="P1011" i="2"/>
  <c r="P999" i="2"/>
  <c r="P972" i="2"/>
  <c r="D5" i="33"/>
  <c r="E3" i="33"/>
  <c r="E6" i="33"/>
  <c r="C3" i="33"/>
  <c r="D3" i="32"/>
  <c r="G23" i="20"/>
  <c r="G24" i="20"/>
  <c r="G22" i="20"/>
  <c r="G25" i="20"/>
  <c r="G26" i="20"/>
  <c r="L2" i="7"/>
  <c r="D22" i="9" s="1"/>
  <c r="A25" i="6"/>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T84" i="34"/>
  <c r="S85" i="34"/>
  <c r="C72" i="1"/>
  <c r="H38" i="1"/>
  <c r="H46" i="1"/>
  <c r="H54" i="1"/>
  <c r="H62" i="1"/>
  <c r="H70" i="1"/>
  <c r="H84" i="1"/>
  <c r="H82" i="1"/>
  <c r="G18" i="1"/>
  <c r="G26" i="1"/>
  <c r="G34" i="1"/>
  <c r="G42" i="1"/>
  <c r="G50" i="1"/>
  <c r="G58" i="1"/>
  <c r="G66" i="1"/>
  <c r="G74" i="1"/>
  <c r="G82" i="1"/>
  <c r="F15" i="1"/>
  <c r="F23" i="1"/>
  <c r="F31" i="1"/>
  <c r="F41" i="1"/>
  <c r="F57" i="1"/>
  <c r="F73" i="1"/>
  <c r="E14" i="1"/>
  <c r="E30" i="1"/>
  <c r="F38" i="1"/>
  <c r="F46" i="1"/>
  <c r="F54" i="1"/>
  <c r="F62" i="1"/>
  <c r="F70" i="1"/>
  <c r="F78" i="1"/>
  <c r="F86" i="1"/>
  <c r="E19" i="1"/>
  <c r="E27" i="1"/>
  <c r="E35" i="1"/>
  <c r="E43" i="1"/>
  <c r="E51" i="1"/>
  <c r="E59" i="1"/>
  <c r="E67" i="1"/>
  <c r="E75" i="1"/>
  <c r="E83" i="1"/>
  <c r="D16" i="1"/>
  <c r="D24" i="1"/>
  <c r="D32" i="1"/>
  <c r="D40" i="1"/>
  <c r="D48" i="1"/>
  <c r="D56" i="1"/>
  <c r="D64" i="1"/>
  <c r="D72" i="1"/>
  <c r="D80" i="1"/>
  <c r="C13" i="1"/>
  <c r="C21" i="1"/>
  <c r="C29" i="1"/>
  <c r="C37" i="1"/>
  <c r="C45" i="1"/>
  <c r="C53" i="1"/>
  <c r="C61" i="1"/>
  <c r="C69" i="1"/>
  <c r="C77" i="1"/>
  <c r="C85" i="1"/>
  <c r="E50" i="1"/>
  <c r="E58" i="1"/>
  <c r="E66" i="1"/>
  <c r="E74" i="1"/>
  <c r="E82" i="1"/>
  <c r="D15" i="1"/>
  <c r="D23" i="1"/>
  <c r="D31" i="1"/>
  <c r="D39" i="1"/>
  <c r="D47" i="1"/>
  <c r="D55" i="1"/>
  <c r="D63" i="1"/>
  <c r="D71" i="1"/>
  <c r="D79" i="1"/>
  <c r="D87" i="1"/>
  <c r="C20" i="1"/>
  <c r="C28" i="1"/>
  <c r="C36" i="1"/>
  <c r="C44" i="1"/>
  <c r="C52" i="1"/>
  <c r="C60" i="1"/>
  <c r="C68" i="1"/>
  <c r="C80" i="1"/>
  <c r="C78" i="1"/>
  <c r="C86" i="1"/>
  <c r="F12" i="1"/>
  <c r="S12" i="1" s="1"/>
  <c r="T12" i="1" s="1"/>
  <c r="H15" i="1"/>
  <c r="H19" i="1"/>
  <c r="H23" i="1"/>
  <c r="H27" i="1"/>
  <c r="H31" i="1"/>
  <c r="H35" i="1"/>
  <c r="H39" i="1"/>
  <c r="H43" i="1"/>
  <c r="H47" i="1"/>
  <c r="H51" i="1"/>
  <c r="H55" i="1"/>
  <c r="H59" i="1"/>
  <c r="H63" i="1"/>
  <c r="H67" i="1"/>
  <c r="H71" i="1"/>
  <c r="H75" i="1"/>
  <c r="H85" i="1"/>
  <c r="H79" i="1"/>
  <c r="H83" i="1"/>
  <c r="G15" i="1"/>
  <c r="G19" i="1"/>
  <c r="G23" i="1"/>
  <c r="G27" i="1"/>
  <c r="G31" i="1"/>
  <c r="G35" i="1"/>
  <c r="G39" i="1"/>
  <c r="G43" i="1"/>
  <c r="G47" i="1"/>
  <c r="G51" i="1"/>
  <c r="G55" i="1"/>
  <c r="G59" i="1"/>
  <c r="G63" i="1"/>
  <c r="G67" i="1"/>
  <c r="G71" i="1"/>
  <c r="G75" i="1"/>
  <c r="G79" i="1"/>
  <c r="G83" i="1"/>
  <c r="G87" i="1"/>
  <c r="F16" i="1"/>
  <c r="F20" i="1"/>
  <c r="F24" i="1"/>
  <c r="F28" i="1"/>
  <c r="F32" i="1"/>
  <c r="F36" i="1"/>
  <c r="F43" i="1"/>
  <c r="F51" i="1"/>
  <c r="F59" i="1"/>
  <c r="F67" i="1"/>
  <c r="F75" i="1"/>
  <c r="F83" i="1"/>
  <c r="E16" i="1"/>
  <c r="E24" i="1"/>
  <c r="E32" i="1"/>
  <c r="E40" i="1"/>
  <c r="C12" i="1"/>
  <c r="M12" i="1" s="1"/>
  <c r="N12" i="1" s="1"/>
  <c r="H12" i="1"/>
  <c r="H16" i="1"/>
  <c r="H20" i="1"/>
  <c r="H24" i="1"/>
  <c r="H28" i="1"/>
  <c r="H32" i="1"/>
  <c r="H36" i="1"/>
  <c r="H42" i="1"/>
  <c r="H50" i="1"/>
  <c r="H58" i="1"/>
  <c r="H66" i="1"/>
  <c r="H74" i="1"/>
  <c r="H78" i="1"/>
  <c r="G14" i="1"/>
  <c r="G22" i="1"/>
  <c r="G30" i="1"/>
  <c r="G38" i="1"/>
  <c r="G46" i="1"/>
  <c r="G54" i="1"/>
  <c r="G62" i="1"/>
  <c r="G70" i="1"/>
  <c r="G78" i="1"/>
  <c r="G86" i="1"/>
  <c r="F19" i="1"/>
  <c r="F27" i="1"/>
  <c r="F35" i="1"/>
  <c r="F49" i="1"/>
  <c r="F65" i="1"/>
  <c r="F81" i="1"/>
  <c r="E22" i="1"/>
  <c r="E38" i="1"/>
  <c r="F42" i="1"/>
  <c r="F50" i="1"/>
  <c r="F58" i="1"/>
  <c r="F66" i="1"/>
  <c r="F74" i="1"/>
  <c r="F82" i="1"/>
  <c r="E15" i="1"/>
  <c r="E23" i="1"/>
  <c r="E31" i="1"/>
  <c r="E39" i="1"/>
  <c r="E47" i="1"/>
  <c r="E55" i="1"/>
  <c r="E63" i="1"/>
  <c r="E71" i="1"/>
  <c r="E79" i="1"/>
  <c r="E87" i="1"/>
  <c r="D20" i="1"/>
  <c r="D28" i="1"/>
  <c r="D36" i="1"/>
  <c r="D44" i="1"/>
  <c r="D52" i="1"/>
  <c r="D60" i="1"/>
  <c r="D68" i="1"/>
  <c r="D76" i="1"/>
  <c r="D84" i="1"/>
  <c r="C17" i="1"/>
  <c r="C25" i="1"/>
  <c r="C33" i="1"/>
  <c r="C41" i="1"/>
  <c r="C49" i="1"/>
  <c r="C57" i="1"/>
  <c r="C65" i="1"/>
  <c r="C73" i="1"/>
  <c r="C81" i="1"/>
  <c r="E46" i="1"/>
  <c r="E54" i="1"/>
  <c r="E62" i="1"/>
  <c r="E70" i="1"/>
  <c r="E78" i="1"/>
  <c r="E86" i="1"/>
  <c r="D19" i="1"/>
  <c r="D27" i="1"/>
  <c r="D35" i="1"/>
  <c r="D43" i="1"/>
  <c r="D51" i="1"/>
  <c r="D59" i="1"/>
  <c r="D67" i="1"/>
  <c r="D75" i="1"/>
  <c r="D83" i="1"/>
  <c r="C16" i="1"/>
  <c r="C24" i="1"/>
  <c r="C32" i="1"/>
  <c r="C40" i="1"/>
  <c r="C48" i="1"/>
  <c r="C56" i="1"/>
  <c r="C64" i="1"/>
  <c r="C84" i="1"/>
  <c r="M364" i="15"/>
  <c r="I364" i="15"/>
  <c r="O365" i="15"/>
  <c r="C364" i="15"/>
  <c r="J364" i="15"/>
  <c r="O369" i="15"/>
  <c r="B364" i="15"/>
  <c r="K364" i="15"/>
  <c r="O368" i="15"/>
  <c r="O370" i="15"/>
  <c r="L364" i="15"/>
  <c r="O367" i="15"/>
  <c r="E364" i="15"/>
  <c r="C339" i="15"/>
  <c r="F28" i="13"/>
  <c r="B529" i="15"/>
  <c r="E21" i="9"/>
  <c r="E23" i="9"/>
  <c r="F23" i="9" s="1"/>
  <c r="E20" i="9"/>
  <c r="F46" i="9"/>
  <c r="H23" i="20"/>
  <c r="H22" i="20"/>
  <c r="L1116" i="2"/>
  <c r="AB1116" i="2" s="1"/>
  <c r="P1116" i="2"/>
  <c r="L1120" i="2"/>
  <c r="AB1120" i="2" s="1"/>
  <c r="P1120" i="2"/>
  <c r="L1124" i="2"/>
  <c r="AB1124" i="2" s="1"/>
  <c r="P1124" i="2"/>
  <c r="L1128" i="2"/>
  <c r="AB1128" i="2" s="1"/>
  <c r="P1128" i="2"/>
  <c r="L1132" i="2"/>
  <c r="AB1132" i="2" s="1"/>
  <c r="P1132" i="2"/>
  <c r="L1136" i="2"/>
  <c r="AB1136" i="2" s="1"/>
  <c r="P1136" i="2"/>
  <c r="L1140" i="2"/>
  <c r="AB1140" i="2" s="1"/>
  <c r="P1140" i="2"/>
  <c r="L1144" i="2"/>
  <c r="AB1144" i="2" s="1"/>
  <c r="P1144" i="2"/>
  <c r="L1148" i="2"/>
  <c r="AB1148" i="2" s="1"/>
  <c r="P1148" i="2"/>
  <c r="L1152" i="2"/>
  <c r="AB1152" i="2" s="1"/>
  <c r="P1152" i="2"/>
  <c r="L1156" i="2"/>
  <c r="AB1156" i="2" s="1"/>
  <c r="P1156" i="2"/>
  <c r="L1160" i="2"/>
  <c r="AB1160" i="2" s="1"/>
  <c r="P1160" i="2"/>
  <c r="L1164" i="2"/>
  <c r="AB1164" i="2" s="1"/>
  <c r="P1164" i="2"/>
  <c r="L1168" i="2"/>
  <c r="AB1168" i="2" s="1"/>
  <c r="P1168" i="2"/>
  <c r="L1172" i="2"/>
  <c r="AB1172" i="2" s="1"/>
  <c r="P1172" i="2"/>
  <c r="L1176" i="2"/>
  <c r="AB1176" i="2" s="1"/>
  <c r="P1176" i="2"/>
  <c r="L1180" i="2"/>
  <c r="AB1180" i="2" s="1"/>
  <c r="P1180" i="2"/>
  <c r="L1184" i="2"/>
  <c r="AB1184" i="2" s="1"/>
  <c r="P1184" i="2"/>
  <c r="L1188" i="2"/>
  <c r="AB1188" i="2" s="1"/>
  <c r="P1188" i="2"/>
  <c r="L1192" i="2"/>
  <c r="AB1192" i="2" s="1"/>
  <c r="P1192" i="2"/>
  <c r="L1196" i="2"/>
  <c r="AB1196" i="2" s="1"/>
  <c r="P1196" i="2"/>
  <c r="H40" i="1"/>
  <c r="H44" i="1"/>
  <c r="H48" i="1"/>
  <c r="H52" i="1"/>
  <c r="H56" i="1"/>
  <c r="H60" i="1"/>
  <c r="H64" i="1"/>
  <c r="H68" i="1"/>
  <c r="H72" i="1"/>
  <c r="H76" i="1"/>
  <c r="H86" i="1"/>
  <c r="H80" i="1"/>
  <c r="G12" i="1"/>
  <c r="G16" i="1"/>
  <c r="G20" i="1"/>
  <c r="G24" i="1"/>
  <c r="G28" i="1"/>
  <c r="G32" i="1"/>
  <c r="G36" i="1"/>
  <c r="G40" i="1"/>
  <c r="G44" i="1"/>
  <c r="G48" i="1"/>
  <c r="G52" i="1"/>
  <c r="G56" i="1"/>
  <c r="G60" i="1"/>
  <c r="G64" i="1"/>
  <c r="G68" i="1"/>
  <c r="G72" i="1"/>
  <c r="G76" i="1"/>
  <c r="G80" i="1"/>
  <c r="G84" i="1"/>
  <c r="F13" i="1"/>
  <c r="F17" i="1"/>
  <c r="F21" i="1"/>
  <c r="F25" i="1"/>
  <c r="F29" i="1"/>
  <c r="F33" i="1"/>
  <c r="F37" i="1"/>
  <c r="F45" i="1"/>
  <c r="F53" i="1"/>
  <c r="F61" i="1"/>
  <c r="F69" i="1"/>
  <c r="F77" i="1"/>
  <c r="F85" i="1"/>
  <c r="E18" i="1"/>
  <c r="E26" i="1"/>
  <c r="E34" i="1"/>
  <c r="E42" i="1"/>
  <c r="F40" i="1"/>
  <c r="F44" i="1"/>
  <c r="F48" i="1"/>
  <c r="F52" i="1"/>
  <c r="F56" i="1"/>
  <c r="F60" i="1"/>
  <c r="F64" i="1"/>
  <c r="F68" i="1"/>
  <c r="F72" i="1"/>
  <c r="F76" i="1"/>
  <c r="F80" i="1"/>
  <c r="F84" i="1"/>
  <c r="E13" i="1"/>
  <c r="E17" i="1"/>
  <c r="E21" i="1"/>
  <c r="E25" i="1"/>
  <c r="E29" i="1"/>
  <c r="E33" i="1"/>
  <c r="E37" i="1"/>
  <c r="E41" i="1"/>
  <c r="E45" i="1"/>
  <c r="E49" i="1"/>
  <c r="E53" i="1"/>
  <c r="E57" i="1"/>
  <c r="E61" i="1"/>
  <c r="E65" i="1"/>
  <c r="E69" i="1"/>
  <c r="E73" i="1"/>
  <c r="E77" i="1"/>
  <c r="E81" i="1"/>
  <c r="E85" i="1"/>
  <c r="D14" i="1"/>
  <c r="D18" i="1"/>
  <c r="D22" i="1"/>
  <c r="D26" i="1"/>
  <c r="D30" i="1"/>
  <c r="D34" i="1"/>
  <c r="D38" i="1"/>
  <c r="D42" i="1"/>
  <c r="D46" i="1"/>
  <c r="D50" i="1"/>
  <c r="D54" i="1"/>
  <c r="D58" i="1"/>
  <c r="D62" i="1"/>
  <c r="D66" i="1"/>
  <c r="D70" i="1"/>
  <c r="D74" i="1"/>
  <c r="D78" i="1"/>
  <c r="D82" i="1"/>
  <c r="D86" i="1"/>
  <c r="C15" i="1"/>
  <c r="C19" i="1"/>
  <c r="C23" i="1"/>
  <c r="C27" i="1"/>
  <c r="C31" i="1"/>
  <c r="C35" i="1"/>
  <c r="C39" i="1"/>
  <c r="C43" i="1"/>
  <c r="C47" i="1"/>
  <c r="C51" i="1"/>
  <c r="C55" i="1"/>
  <c r="C59" i="1"/>
  <c r="C63" i="1"/>
  <c r="C67" i="1"/>
  <c r="C71" i="1"/>
  <c r="C75" i="1"/>
  <c r="C79" i="1"/>
  <c r="C83" i="1"/>
  <c r="C87" i="1"/>
  <c r="E48" i="1"/>
  <c r="E52" i="1"/>
  <c r="E56" i="1"/>
  <c r="E60" i="1"/>
  <c r="E64" i="1"/>
  <c r="E68" i="1"/>
  <c r="E72" i="1"/>
  <c r="E76" i="1"/>
  <c r="E80" i="1"/>
  <c r="E84" i="1"/>
  <c r="D13" i="1"/>
  <c r="D17" i="1"/>
  <c r="D21" i="1"/>
  <c r="D25" i="1"/>
  <c r="D29" i="1"/>
  <c r="D33" i="1"/>
  <c r="D37" i="1"/>
  <c r="D41" i="1"/>
  <c r="D45" i="1"/>
  <c r="D49" i="1"/>
  <c r="D53" i="1"/>
  <c r="D57" i="1"/>
  <c r="D61" i="1"/>
  <c r="D65" i="1"/>
  <c r="D69" i="1"/>
  <c r="D73" i="1"/>
  <c r="D77" i="1"/>
  <c r="D81" i="1"/>
  <c r="D85" i="1"/>
  <c r="C14" i="1"/>
  <c r="C18" i="1"/>
  <c r="C22" i="1"/>
  <c r="C26" i="1"/>
  <c r="C30" i="1"/>
  <c r="C34" i="1"/>
  <c r="C38" i="1"/>
  <c r="C42" i="1"/>
  <c r="C46" i="1"/>
  <c r="C50" i="1"/>
  <c r="C54" i="1"/>
  <c r="C58" i="1"/>
  <c r="C62" i="1"/>
  <c r="C66" i="1"/>
  <c r="C70" i="1"/>
  <c r="C76" i="1"/>
  <c r="P767" i="2"/>
  <c r="P639" i="2"/>
  <c r="P26" i="2"/>
  <c r="H9" i="20"/>
  <c r="H10" i="20"/>
  <c r="P918" i="2"/>
  <c r="P645" i="2"/>
  <c r="P530" i="2"/>
  <c r="P740" i="2"/>
  <c r="L901" i="2"/>
  <c r="AB901" i="2" s="1"/>
  <c r="P91" i="2"/>
  <c r="P354" i="2"/>
  <c r="P498" i="2"/>
  <c r="P790" i="2"/>
  <c r="L828" i="2"/>
  <c r="AB828" i="2" s="1"/>
  <c r="L973" i="2"/>
  <c r="AB973" i="2" s="1"/>
  <c r="P728" i="2"/>
  <c r="P995" i="2"/>
  <c r="P860" i="2"/>
  <c r="P933" i="2"/>
  <c r="P293" i="2"/>
  <c r="P886" i="2"/>
  <c r="P930" i="2"/>
  <c r="P987" i="2"/>
  <c r="P888" i="2"/>
  <c r="P989" i="2"/>
  <c r="P128" i="2"/>
  <c r="L325" i="2"/>
  <c r="AB325" i="2" s="1"/>
  <c r="P746" i="2"/>
  <c r="L789" i="2"/>
  <c r="AB789" i="2" s="1"/>
  <c r="P40" i="2"/>
  <c r="P72" i="2"/>
  <c r="P152" i="2"/>
  <c r="P341" i="2"/>
  <c r="P522" i="2"/>
  <c r="L565" i="2"/>
  <c r="AB565" i="2" s="1"/>
  <c r="P606" i="2"/>
  <c r="P678" i="2"/>
  <c r="P742" i="2"/>
  <c r="P806" i="2"/>
  <c r="L821" i="2"/>
  <c r="AB821" i="2" s="1"/>
  <c r="L842" i="2"/>
  <c r="AB842" i="2" s="1"/>
  <c r="P269" i="2"/>
  <c r="P864" i="2"/>
  <c r="L258" i="2"/>
  <c r="AB258" i="2" s="1"/>
  <c r="L274" i="2"/>
  <c r="AB274" i="2" s="1"/>
  <c r="L306" i="2"/>
  <c r="AB306" i="2" s="1"/>
  <c r="P416" i="2"/>
  <c r="P573" i="2"/>
  <c r="P669" i="2"/>
  <c r="P717" i="2"/>
  <c r="P813" i="2"/>
  <c r="L167" i="2"/>
  <c r="AB167" i="2" s="1"/>
  <c r="P388" i="2"/>
  <c r="P444" i="2"/>
  <c r="L508" i="2"/>
  <c r="AB508" i="2" s="1"/>
  <c r="P37" i="2"/>
  <c r="L93" i="2"/>
  <c r="AB93" i="2" s="1"/>
  <c r="P189" i="2"/>
  <c r="P256" i="2"/>
  <c r="P312" i="2"/>
  <c r="L841" i="2"/>
  <c r="AB841" i="2" s="1"/>
  <c r="L857" i="2"/>
  <c r="AB857" i="2" s="1"/>
  <c r="P985" i="2"/>
  <c r="P113" i="2"/>
  <c r="P561" i="2"/>
  <c r="P657" i="2"/>
  <c r="L673" i="2"/>
  <c r="AB673" i="2" s="1"/>
  <c r="P769" i="2"/>
  <c r="P833" i="2"/>
  <c r="P993" i="2"/>
  <c r="L42" i="2"/>
  <c r="AB42" i="2" s="1"/>
  <c r="L186" i="2"/>
  <c r="AB186" i="2" s="1"/>
  <c r="P375" i="2"/>
  <c r="P1067" i="2"/>
  <c r="P1063" i="2"/>
  <c r="P1059" i="2"/>
  <c r="P1055" i="2"/>
  <c r="P1050" i="2"/>
  <c r="P1046" i="2"/>
  <c r="P1042" i="2"/>
  <c r="F8" i="12"/>
  <c r="L1114" i="2"/>
  <c r="AB1114" i="2" s="1"/>
  <c r="P1114" i="2"/>
  <c r="L1118" i="2"/>
  <c r="AB1118" i="2" s="1"/>
  <c r="P1118" i="2"/>
  <c r="L1122" i="2"/>
  <c r="AB1122" i="2" s="1"/>
  <c r="P1122" i="2"/>
  <c r="L1126" i="2"/>
  <c r="AB1126" i="2" s="1"/>
  <c r="P1126" i="2"/>
  <c r="L1130" i="2"/>
  <c r="AB1130" i="2" s="1"/>
  <c r="P1130" i="2"/>
  <c r="L1134" i="2"/>
  <c r="AB1134" i="2" s="1"/>
  <c r="P1134" i="2"/>
  <c r="L1138" i="2"/>
  <c r="AB1138" i="2" s="1"/>
  <c r="P1138" i="2"/>
  <c r="L1142" i="2"/>
  <c r="AB1142" i="2" s="1"/>
  <c r="P1142" i="2"/>
  <c r="L1146" i="2"/>
  <c r="AB1146" i="2" s="1"/>
  <c r="P1146" i="2"/>
  <c r="L1150" i="2"/>
  <c r="AB1150" i="2" s="1"/>
  <c r="P1150" i="2"/>
  <c r="L1154" i="2"/>
  <c r="AB1154" i="2" s="1"/>
  <c r="P1154" i="2"/>
  <c r="L1158" i="2"/>
  <c r="AB1158" i="2" s="1"/>
  <c r="P1158" i="2"/>
  <c r="L1162" i="2"/>
  <c r="AB1162" i="2" s="1"/>
  <c r="P1162" i="2"/>
  <c r="L1166" i="2"/>
  <c r="AB1166" i="2" s="1"/>
  <c r="P1166" i="2"/>
  <c r="L1170" i="2"/>
  <c r="AB1170" i="2" s="1"/>
  <c r="P1170" i="2"/>
  <c r="L1174" i="2"/>
  <c r="AB1174" i="2" s="1"/>
  <c r="P1174" i="2"/>
  <c r="L1178" i="2"/>
  <c r="AB1178" i="2" s="1"/>
  <c r="P1178" i="2"/>
  <c r="L1182" i="2"/>
  <c r="AB1182" i="2" s="1"/>
  <c r="P1182" i="2"/>
  <c r="L1186" i="2"/>
  <c r="AB1186" i="2" s="1"/>
  <c r="P1186" i="2"/>
  <c r="L1190" i="2"/>
  <c r="AB1190" i="2" s="1"/>
  <c r="P1190" i="2"/>
  <c r="L1194" i="2"/>
  <c r="AB1194" i="2" s="1"/>
  <c r="P1194" i="2"/>
  <c r="L1198" i="2"/>
  <c r="AB1198" i="2" s="1"/>
  <c r="P1198" i="2"/>
  <c r="C9" i="33"/>
  <c r="C4" i="33"/>
  <c r="D3" i="30"/>
  <c r="E3" i="30"/>
  <c r="C3" i="30"/>
  <c r="C5" i="33"/>
  <c r="C7" i="33"/>
  <c r="D3" i="31"/>
  <c r="C3" i="32"/>
  <c r="E3" i="32"/>
  <c r="D3" i="33"/>
  <c r="E5" i="33"/>
  <c r="C6" i="33"/>
  <c r="E7" i="33"/>
  <c r="D3" i="26"/>
  <c r="C3" i="26"/>
  <c r="E19" i="9"/>
  <c r="F17" i="13"/>
  <c r="E22" i="9"/>
  <c r="E3" i="26"/>
  <c r="E44" i="9"/>
  <c r="C336" i="15"/>
  <c r="C335" i="15"/>
  <c r="C342" i="15"/>
  <c r="C346" i="15"/>
  <c r="Q1037" i="21"/>
  <c r="B394" i="15"/>
  <c r="B387" i="15"/>
  <c r="B388" i="15"/>
  <c r="B398" i="15"/>
  <c r="B399" i="15"/>
  <c r="B392" i="15"/>
  <c r="B385" i="15"/>
  <c r="B386" i="15"/>
  <c r="B396" i="15"/>
  <c r="B397" i="15"/>
  <c r="B382" i="15"/>
  <c r="B400" i="15"/>
  <c r="B401" i="15"/>
  <c r="B378" i="15"/>
  <c r="B379" i="15"/>
  <c r="B389" i="15"/>
  <c r="B390" i="15"/>
  <c r="B383" i="15"/>
  <c r="B393" i="15"/>
  <c r="B395" i="15"/>
  <c r="B380" i="15"/>
  <c r="B381" i="15"/>
  <c r="B391" i="15"/>
  <c r="B384" i="15"/>
  <c r="C337" i="15"/>
  <c r="C341" i="15"/>
  <c r="C344" i="15"/>
  <c r="C345" i="15"/>
  <c r="S13" i="22"/>
  <c r="C343" i="15"/>
  <c r="C338" i="15"/>
  <c r="F45" i="9"/>
  <c r="C87" i="12"/>
  <c r="F22" i="9"/>
  <c r="D66" i="16"/>
  <c r="D5" i="1" s="1"/>
  <c r="I40" i="22" l="1"/>
  <c r="I19" i="22"/>
  <c r="I54" i="22"/>
  <c r="E18" i="9"/>
  <c r="I23" i="22"/>
  <c r="I74" i="22"/>
  <c r="I39" i="22"/>
  <c r="I84" i="22"/>
  <c r="I80" i="22"/>
  <c r="I32" i="22"/>
  <c r="H364" i="15"/>
  <c r="G364" i="15"/>
  <c r="F364" i="15"/>
  <c r="N364" i="15" s="1"/>
  <c r="O366" i="15"/>
  <c r="O364" i="15" s="1"/>
  <c r="I66" i="22"/>
  <c r="I17" i="22"/>
  <c r="I31" i="22"/>
  <c r="I45" i="22"/>
  <c r="I77" i="22"/>
  <c r="I43" i="22"/>
  <c r="I68" i="22"/>
  <c r="I78" i="22"/>
  <c r="I33" i="22"/>
  <c r="I60" i="22"/>
  <c r="I18" i="22"/>
  <c r="I79" i="22"/>
  <c r="Q13" i="22"/>
  <c r="Q14" i="22" s="1"/>
  <c r="R14" i="22" s="1"/>
  <c r="I82" i="22"/>
  <c r="I57" i="22"/>
  <c r="I35" i="22"/>
  <c r="I49" i="22"/>
  <c r="I65" i="22"/>
  <c r="I75" i="22"/>
  <c r="I22" i="22"/>
  <c r="I29" i="22"/>
  <c r="I26" i="22"/>
  <c r="I83" i="22"/>
  <c r="G89" i="22"/>
  <c r="C264" i="15" s="1"/>
  <c r="I24" i="22"/>
  <c r="I38" i="22"/>
  <c r="I59" i="22"/>
  <c r="I52" i="22"/>
  <c r="F89" i="22"/>
  <c r="C263" i="15" s="1"/>
  <c r="I30" i="22"/>
  <c r="I76" i="22"/>
  <c r="I70" i="22"/>
  <c r="I50" i="22"/>
  <c r="I56" i="22"/>
  <c r="I28" i="22"/>
  <c r="I21" i="22"/>
  <c r="E89" i="22"/>
  <c r="C262" i="15" s="1"/>
  <c r="E300" i="15" s="1"/>
  <c r="C89" i="22"/>
  <c r="C260" i="15" s="1"/>
  <c r="H89" i="22"/>
  <c r="C265" i="15" s="1"/>
  <c r="I34" i="22"/>
  <c r="I46" i="22"/>
  <c r="I16" i="22"/>
  <c r="I62" i="22"/>
  <c r="I48" i="22"/>
  <c r="M13" i="22"/>
  <c r="I42" i="22"/>
  <c r="I15" i="22"/>
  <c r="I37" i="22"/>
  <c r="I69" i="22"/>
  <c r="I35" i="11"/>
  <c r="I49" i="11"/>
  <c r="I8" i="11"/>
  <c r="I87" i="11"/>
  <c r="I34" i="11"/>
  <c r="I91" i="11"/>
  <c r="I83" i="11"/>
  <c r="I94" i="11"/>
  <c r="I9" i="11"/>
  <c r="I14" i="11"/>
  <c r="I10" i="11"/>
  <c r="I7" i="11"/>
  <c r="I88" i="11"/>
  <c r="I12" i="11"/>
  <c r="I44" i="11"/>
  <c r="I47" i="11"/>
  <c r="I15" i="11"/>
  <c r="Q13" i="1"/>
  <c r="R13" i="1" s="1"/>
  <c r="I46" i="11"/>
  <c r="I45" i="11"/>
  <c r="I85" i="11"/>
  <c r="I96" i="11"/>
  <c r="I92" i="11"/>
  <c r="I93" i="11"/>
  <c r="I51" i="11"/>
  <c r="I13" i="11"/>
  <c r="I90" i="11"/>
  <c r="I82" i="11"/>
  <c r="I16" i="11"/>
  <c r="I52" i="11"/>
  <c r="I89" i="11"/>
  <c r="I86" i="11"/>
  <c r="I81" i="11"/>
  <c r="I84" i="11"/>
  <c r="I95" i="11"/>
  <c r="I56" i="1"/>
  <c r="I121" i="11"/>
  <c r="I71" i="11"/>
  <c r="I72" i="11"/>
  <c r="I11" i="11"/>
  <c r="I27" i="1"/>
  <c r="I50" i="11"/>
  <c r="I120" i="11"/>
  <c r="M13" i="1"/>
  <c r="N13" i="1" s="1"/>
  <c r="I75" i="1"/>
  <c r="I78" i="1"/>
  <c r="H185" i="15"/>
  <c r="F247" i="15" s="1"/>
  <c r="H182" i="15"/>
  <c r="F249" i="15" s="1"/>
  <c r="H192" i="15"/>
  <c r="H249" i="15" s="1"/>
  <c r="H184" i="15"/>
  <c r="E251" i="15" s="1"/>
  <c r="H183" i="15"/>
  <c r="G249" i="15" s="1"/>
  <c r="H193" i="15"/>
  <c r="H247" i="15" s="1"/>
  <c r="H187" i="15"/>
  <c r="G243" i="15" s="1"/>
  <c r="H191" i="15"/>
  <c r="E247" i="15" s="1"/>
  <c r="F206" i="15"/>
  <c r="C206" i="15"/>
  <c r="H197" i="15"/>
  <c r="E245" i="15" s="1"/>
  <c r="D206" i="15"/>
  <c r="H190" i="15"/>
  <c r="G251" i="15" s="1"/>
  <c r="H204" i="15"/>
  <c r="C249" i="15" s="1"/>
  <c r="H196" i="15"/>
  <c r="F251" i="15" s="1"/>
  <c r="H189" i="15"/>
  <c r="G245" i="15" s="1"/>
  <c r="B206" i="15"/>
  <c r="H199" i="15"/>
  <c r="G247" i="15" s="1"/>
  <c r="E206" i="15"/>
  <c r="I66" i="1"/>
  <c r="I50" i="1"/>
  <c r="I18" i="1"/>
  <c r="I61" i="1"/>
  <c r="I29" i="1"/>
  <c r="I13" i="1"/>
  <c r="I67" i="1"/>
  <c r="I35" i="1"/>
  <c r="I19" i="1"/>
  <c r="F89" i="1"/>
  <c r="F91" i="1" s="1"/>
  <c r="I72" i="1"/>
  <c r="I59" i="1"/>
  <c r="I43" i="1"/>
  <c r="I24" i="1"/>
  <c r="S13" i="1"/>
  <c r="S14" i="1" s="1"/>
  <c r="I87" i="1"/>
  <c r="I51" i="1"/>
  <c r="I62" i="1"/>
  <c r="I46" i="1"/>
  <c r="I30" i="1"/>
  <c r="I14" i="1"/>
  <c r="I73" i="1"/>
  <c r="I57" i="1"/>
  <c r="I41" i="1"/>
  <c r="I25" i="1"/>
  <c r="I84" i="1"/>
  <c r="I68" i="1"/>
  <c r="I52" i="1"/>
  <c r="I79" i="1"/>
  <c r="I63" i="1"/>
  <c r="I47" i="1"/>
  <c r="I31" i="1"/>
  <c r="I15" i="1"/>
  <c r="I74" i="1"/>
  <c r="I36" i="1"/>
  <c r="I20" i="1"/>
  <c r="I63" i="22"/>
  <c r="V12" i="22"/>
  <c r="U13" i="22"/>
  <c r="I36" i="22"/>
  <c r="G206" i="15"/>
  <c r="H202" i="15"/>
  <c r="C247" i="15" s="1"/>
  <c r="H201" i="15"/>
  <c r="H245" i="15" s="1"/>
  <c r="I58" i="1"/>
  <c r="I42" i="1"/>
  <c r="I26" i="1"/>
  <c r="I85" i="1"/>
  <c r="I69" i="1"/>
  <c r="I53" i="1"/>
  <c r="I37" i="1"/>
  <c r="I21" i="1"/>
  <c r="I80" i="1"/>
  <c r="I64" i="1"/>
  <c r="I48" i="1"/>
  <c r="I86" i="1"/>
  <c r="H194" i="15"/>
  <c r="C243" i="15" s="1"/>
  <c r="I61" i="22"/>
  <c r="I20" i="22"/>
  <c r="I13" i="22"/>
  <c r="I73" i="22"/>
  <c r="I67" i="22"/>
  <c r="I81" i="22"/>
  <c r="O12" i="22"/>
  <c r="D89" i="22"/>
  <c r="C261" i="15" s="1"/>
  <c r="I12" i="22"/>
  <c r="I55" i="22"/>
  <c r="I64" i="22"/>
  <c r="H195" i="15"/>
  <c r="H251" i="15" s="1"/>
  <c r="H198" i="15"/>
  <c r="C251" i="15" s="1"/>
  <c r="I70" i="1"/>
  <c r="I54" i="1"/>
  <c r="I38" i="1"/>
  <c r="I22" i="1"/>
  <c r="I81" i="1"/>
  <c r="I65" i="1"/>
  <c r="I49" i="1"/>
  <c r="I33" i="1"/>
  <c r="I17" i="1"/>
  <c r="I60" i="1"/>
  <c r="I71" i="1"/>
  <c r="I55" i="1"/>
  <c r="I39" i="1"/>
  <c r="I23" i="1"/>
  <c r="I82" i="1"/>
  <c r="I28" i="1"/>
  <c r="I47" i="22"/>
  <c r="I48" i="11"/>
  <c r="I25" i="22"/>
  <c r="I85" i="22"/>
  <c r="I41" i="22"/>
  <c r="I58" i="22"/>
  <c r="I27" i="22"/>
  <c r="I71" i="22"/>
  <c r="I44" i="22"/>
  <c r="H203" i="15"/>
  <c r="C245" i="15" s="1"/>
  <c r="H186" i="15"/>
  <c r="E243" i="15" s="1"/>
  <c r="I34" i="1"/>
  <c r="I77" i="1"/>
  <c r="I45" i="1"/>
  <c r="I83" i="1"/>
  <c r="I51" i="22"/>
  <c r="I14" i="22"/>
  <c r="I86" i="22"/>
  <c r="I87" i="22"/>
  <c r="H200" i="15"/>
  <c r="E249" i="15" s="1"/>
  <c r="H188" i="15"/>
  <c r="F245" i="15" s="1"/>
  <c r="I53" i="11"/>
  <c r="E9" i="33"/>
  <c r="E4" i="33"/>
  <c r="U84" i="34"/>
  <c r="T85" i="34"/>
  <c r="O13" i="1"/>
  <c r="P13" i="1" s="1"/>
  <c r="E89" i="1"/>
  <c r="E91" i="1" s="1"/>
  <c r="I40" i="1"/>
  <c r="C89" i="1"/>
  <c r="C91" i="1" s="1"/>
  <c r="D89" i="1"/>
  <c r="D91" i="1" s="1"/>
  <c r="I76" i="1"/>
  <c r="I44" i="1"/>
  <c r="I32" i="1"/>
  <c r="I16" i="1"/>
  <c r="R13" i="22"/>
  <c r="C516" i="15"/>
  <c r="C510" i="15"/>
  <c r="C500" i="15"/>
  <c r="C506" i="15"/>
  <c r="C518" i="15"/>
  <c r="C528" i="15"/>
  <c r="C502" i="15"/>
  <c r="C524" i="15"/>
  <c r="C515" i="15"/>
  <c r="C508" i="15"/>
  <c r="C498" i="15"/>
  <c r="C507" i="15"/>
  <c r="C525" i="15"/>
  <c r="C509" i="15"/>
  <c r="C526" i="15"/>
  <c r="C512" i="15"/>
  <c r="C520" i="15"/>
  <c r="C527" i="15"/>
  <c r="C514" i="15"/>
  <c r="C499" i="15"/>
  <c r="C519" i="15"/>
  <c r="C503" i="15"/>
  <c r="C517" i="15"/>
  <c r="C521" i="15"/>
  <c r="C511" i="15"/>
  <c r="C523" i="15"/>
  <c r="C504" i="15"/>
  <c r="C505" i="15"/>
  <c r="C513" i="15"/>
  <c r="C522" i="15"/>
  <c r="C501" i="15"/>
  <c r="D23" i="12"/>
  <c r="D68" i="12"/>
  <c r="D4" i="33"/>
  <c r="D9" i="33"/>
  <c r="U12" i="1"/>
  <c r="I12" i="1"/>
  <c r="G89" i="1"/>
  <c r="G91" i="1" s="1"/>
  <c r="H89" i="1"/>
  <c r="H91" i="1" s="1"/>
  <c r="B403" i="15"/>
  <c r="C378" i="15" s="1"/>
  <c r="B459" i="15"/>
  <c r="B427" i="15"/>
  <c r="B481" i="15"/>
  <c r="B461" i="15"/>
  <c r="B438" i="15"/>
  <c r="B428" i="15"/>
  <c r="B486" i="15"/>
  <c r="B457" i="15"/>
  <c r="B443" i="15"/>
  <c r="B475" i="15"/>
  <c r="B489" i="15"/>
  <c r="B409" i="15"/>
  <c r="B445" i="15"/>
  <c r="B474" i="15"/>
  <c r="B488" i="15"/>
  <c r="B430" i="15"/>
  <c r="B469" i="15"/>
  <c r="B485" i="15"/>
  <c r="B471" i="15"/>
  <c r="B442" i="15"/>
  <c r="B418" i="15"/>
  <c r="B490" i="15"/>
  <c r="B468" i="15"/>
  <c r="B447" i="15"/>
  <c r="B429" i="15"/>
  <c r="B491" i="15"/>
  <c r="B417" i="15"/>
  <c r="B450" i="15"/>
  <c r="B479" i="15"/>
  <c r="B412" i="15"/>
  <c r="B449" i="15"/>
  <c r="B415" i="15"/>
  <c r="B426" i="15"/>
  <c r="B446" i="15"/>
  <c r="B410" i="15"/>
  <c r="B408" i="15"/>
  <c r="B472" i="15"/>
  <c r="B451" i="15"/>
  <c r="B419" i="15"/>
  <c r="B414" i="15"/>
  <c r="B473" i="15"/>
  <c r="B452" i="15"/>
  <c r="B460" i="15"/>
  <c r="B480" i="15"/>
  <c r="B420" i="15"/>
  <c r="B440" i="15"/>
  <c r="B454" i="15"/>
  <c r="B483" i="15"/>
  <c r="B416" i="15"/>
  <c r="B448" i="15"/>
  <c r="B482" i="15"/>
  <c r="B476" i="15"/>
  <c r="B455" i="15"/>
  <c r="B411" i="15"/>
  <c r="B422" i="15"/>
  <c r="B477" i="15"/>
  <c r="B456" i="15"/>
  <c r="B421" i="15"/>
  <c r="B423" i="15"/>
  <c r="B431" i="15"/>
  <c r="B441" i="15"/>
  <c r="B470" i="15"/>
  <c r="B484" i="15"/>
  <c r="B413" i="15"/>
  <c r="B444" i="15"/>
  <c r="B458" i="15"/>
  <c r="B487" i="15"/>
  <c r="B424" i="15"/>
  <c r="B453" i="15"/>
  <c r="B425" i="15"/>
  <c r="B478" i="15"/>
  <c r="B439" i="15"/>
  <c r="C381" i="15"/>
  <c r="C383" i="15"/>
  <c r="C400" i="15"/>
  <c r="C386" i="15"/>
  <c r="C398" i="15"/>
  <c r="C391" i="15"/>
  <c r="C393" i="15"/>
  <c r="C379" i="15"/>
  <c r="C382" i="15"/>
  <c r="C385" i="15"/>
  <c r="C388" i="15"/>
  <c r="J65" i="22"/>
  <c r="J64" i="22"/>
  <c r="S14" i="22"/>
  <c r="T13" i="22"/>
  <c r="C165" i="11"/>
  <c r="J67" i="22"/>
  <c r="J52" i="22"/>
  <c r="J82" i="22"/>
  <c r="J72" i="22"/>
  <c r="J54" i="22"/>
  <c r="C190" i="11"/>
  <c r="C189" i="11"/>
  <c r="J24" i="22"/>
  <c r="C154" i="11"/>
  <c r="J66" i="22"/>
  <c r="J53" i="22"/>
  <c r="J85" i="22"/>
  <c r="I70" i="11"/>
  <c r="I33" i="11"/>
  <c r="F21" i="9"/>
  <c r="C86" i="12"/>
  <c r="F87" i="12" s="1"/>
  <c r="F44" i="9"/>
  <c r="I119" i="11"/>
  <c r="D24" i="12"/>
  <c r="D5" i="22"/>
  <c r="J81" i="22" l="1"/>
  <c r="J69" i="22"/>
  <c r="E299" i="15"/>
  <c r="J40" i="22"/>
  <c r="J57" i="22"/>
  <c r="C145" i="11"/>
  <c r="J73" i="22"/>
  <c r="J44" i="22"/>
  <c r="J49" i="22"/>
  <c r="C162" i="11"/>
  <c r="C143" i="11"/>
  <c r="Q15" i="22"/>
  <c r="J22" i="22"/>
  <c r="J71" i="22"/>
  <c r="J84" i="22"/>
  <c r="J68" i="22"/>
  <c r="J59" i="22"/>
  <c r="J51" i="22"/>
  <c r="J47" i="22"/>
  <c r="J56" i="22"/>
  <c r="J61" i="22"/>
  <c r="J86" i="22"/>
  <c r="C399" i="15"/>
  <c r="C401" i="15"/>
  <c r="C380" i="15"/>
  <c r="C392" i="15"/>
  <c r="C389" i="15"/>
  <c r="C384" i="15"/>
  <c r="C394" i="15"/>
  <c r="C396" i="15"/>
  <c r="C390" i="15"/>
  <c r="C387" i="15"/>
  <c r="C397" i="15"/>
  <c r="C395" i="15"/>
  <c r="J50" i="22"/>
  <c r="J63" i="22"/>
  <c r="C181" i="11"/>
  <c r="C195" i="11"/>
  <c r="J55" i="22"/>
  <c r="J83" i="22"/>
  <c r="J60" i="22"/>
  <c r="C130" i="11"/>
  <c r="J48" i="22"/>
  <c r="J58" i="22"/>
  <c r="J87" i="22"/>
  <c r="J36" i="22"/>
  <c r="J29" i="22"/>
  <c r="J78" i="22"/>
  <c r="J46" i="22"/>
  <c r="M14" i="22"/>
  <c r="N13" i="22"/>
  <c r="C131" i="11"/>
  <c r="C198" i="11"/>
  <c r="C156" i="11"/>
  <c r="J70" i="22"/>
  <c r="J62" i="22"/>
  <c r="C179" i="11"/>
  <c r="J75" i="22"/>
  <c r="J39" i="22"/>
  <c r="E301" i="15"/>
  <c r="J33" i="22"/>
  <c r="J34" i="22"/>
  <c r="J38" i="22"/>
  <c r="J80" i="22"/>
  <c r="C192" i="11"/>
  <c r="J37" i="22"/>
  <c r="C171" i="11"/>
  <c r="C140" i="11"/>
  <c r="C194" i="11"/>
  <c r="C132" i="11"/>
  <c r="C161" i="11"/>
  <c r="C155" i="11"/>
  <c r="I89" i="22"/>
  <c r="C169" i="11"/>
  <c r="C159" i="11"/>
  <c r="C133" i="11"/>
  <c r="J74" i="22"/>
  <c r="J35" i="22"/>
  <c r="J32" i="22"/>
  <c r="C178" i="11"/>
  <c r="C142" i="11"/>
  <c r="J42" i="22"/>
  <c r="C267" i="15"/>
  <c r="B261" i="15" s="1"/>
  <c r="C164" i="11"/>
  <c r="J45" i="22"/>
  <c r="C193" i="11"/>
  <c r="C180" i="11"/>
  <c r="J31" i="22"/>
  <c r="C183" i="11"/>
  <c r="C151" i="11"/>
  <c r="C176" i="11"/>
  <c r="C137" i="11"/>
  <c r="C166" i="11"/>
  <c r="C173" i="11"/>
  <c r="C148" i="11"/>
  <c r="C136" i="11"/>
  <c r="C184" i="11"/>
  <c r="C175" i="11"/>
  <c r="C144" i="11"/>
  <c r="J77" i="22"/>
  <c r="J79" i="22"/>
  <c r="C160" i="11"/>
  <c r="C135" i="11"/>
  <c r="C182" i="11"/>
  <c r="J41" i="22"/>
  <c r="J43" i="22"/>
  <c r="J26" i="22"/>
  <c r="C150" i="11"/>
  <c r="C134" i="11"/>
  <c r="C170" i="11"/>
  <c r="J25" i="22"/>
  <c r="C158" i="11"/>
  <c r="C147" i="11"/>
  <c r="J28" i="22"/>
  <c r="C199" i="11"/>
  <c r="C168" i="11"/>
  <c r="J30" i="22"/>
  <c r="J76" i="22"/>
  <c r="C191" i="11"/>
  <c r="C138" i="11"/>
  <c r="C186" i="11"/>
  <c r="C149" i="11"/>
  <c r="C197" i="11"/>
  <c r="J27" i="22"/>
  <c r="Q14" i="1"/>
  <c r="R14" i="1" s="1"/>
  <c r="I98" i="11"/>
  <c r="M14" i="1"/>
  <c r="M15" i="1" s="1"/>
  <c r="T13" i="1"/>
  <c r="O14" i="1"/>
  <c r="O15" i="1" s="1"/>
  <c r="I18" i="11"/>
  <c r="I55" i="11"/>
  <c r="J54" i="1"/>
  <c r="J43" i="1"/>
  <c r="J62" i="1"/>
  <c r="J75" i="1"/>
  <c r="J87" i="1"/>
  <c r="J71" i="1"/>
  <c r="J24" i="1"/>
  <c r="J66" i="1"/>
  <c r="J61" i="1"/>
  <c r="J42" i="1"/>
  <c r="J73" i="1"/>
  <c r="J58" i="1"/>
  <c r="J46" i="1"/>
  <c r="J30" i="1"/>
  <c r="J28" i="1"/>
  <c r="J59" i="1"/>
  <c r="J38" i="1"/>
  <c r="J67" i="1"/>
  <c r="J69" i="1"/>
  <c r="J48" i="1"/>
  <c r="C210" i="15"/>
  <c r="I210" i="15" s="1"/>
  <c r="J47" i="1"/>
  <c r="J72" i="1"/>
  <c r="J49" i="1"/>
  <c r="J31" i="1"/>
  <c r="J51" i="1"/>
  <c r="J26" i="1"/>
  <c r="J74" i="1"/>
  <c r="J64" i="1"/>
  <c r="J70" i="1"/>
  <c r="J56" i="1"/>
  <c r="J45" i="1"/>
  <c r="J21" i="1"/>
  <c r="J27" i="1"/>
  <c r="J39" i="1"/>
  <c r="J25" i="1"/>
  <c r="J29" i="1"/>
  <c r="J44" i="1"/>
  <c r="J55" i="1"/>
  <c r="J53" i="1"/>
  <c r="J65" i="1"/>
  <c r="J68" i="1"/>
  <c r="J86" i="1"/>
  <c r="J60" i="1"/>
  <c r="J63" i="1"/>
  <c r="J57" i="1"/>
  <c r="J22" i="1"/>
  <c r="J23" i="22"/>
  <c r="J83" i="1"/>
  <c r="J32" i="1"/>
  <c r="C141" i="11"/>
  <c r="C172" i="11"/>
  <c r="C177" i="11"/>
  <c r="C139" i="11"/>
  <c r="C196" i="11"/>
  <c r="J85" i="1"/>
  <c r="H206" i="15"/>
  <c r="J202" i="15" s="1"/>
  <c r="C163" i="11"/>
  <c r="K12" i="22"/>
  <c r="C185" i="11"/>
  <c r="C146" i="11"/>
  <c r="J41" i="1"/>
  <c r="C153" i="11"/>
  <c r="C188" i="11"/>
  <c r="C187" i="11"/>
  <c r="C157" i="11"/>
  <c r="P12" i="22"/>
  <c r="O13" i="22"/>
  <c r="U14" i="22"/>
  <c r="V13" i="22"/>
  <c r="J21" i="22"/>
  <c r="C152" i="11"/>
  <c r="C167" i="11"/>
  <c r="C174" i="11"/>
  <c r="J80" i="1"/>
  <c r="J33" i="1"/>
  <c r="J77" i="1"/>
  <c r="J76" i="1"/>
  <c r="V84" i="34"/>
  <c r="U85" i="34"/>
  <c r="J84" i="1"/>
  <c r="J23" i="1"/>
  <c r="J52" i="1"/>
  <c r="J50" i="1"/>
  <c r="J35" i="1"/>
  <c r="J34" i="1"/>
  <c r="J36" i="1"/>
  <c r="J37" i="1"/>
  <c r="J40" i="1"/>
  <c r="J79" i="1"/>
  <c r="J82" i="1"/>
  <c r="J78" i="1"/>
  <c r="J81" i="1"/>
  <c r="R15" i="22"/>
  <c r="Q16" i="22"/>
  <c r="K12" i="1"/>
  <c r="I89" i="1"/>
  <c r="Q15" i="1"/>
  <c r="V12" i="1"/>
  <c r="U13" i="1"/>
  <c r="B493" i="15"/>
  <c r="C478" i="15" s="1"/>
  <c r="B463" i="15"/>
  <c r="C439" i="15" s="1"/>
  <c r="B433" i="15"/>
  <c r="C425" i="15" s="1"/>
  <c r="T14" i="22"/>
  <c r="S15" i="22"/>
  <c r="I32" i="11"/>
  <c r="I69" i="11"/>
  <c r="T14" i="1"/>
  <c r="S15" i="1"/>
  <c r="F20" i="9"/>
  <c r="I118" i="11"/>
  <c r="G44" i="9"/>
  <c r="G49" i="9"/>
  <c r="G47" i="9"/>
  <c r="G46" i="9"/>
  <c r="G48" i="9"/>
  <c r="F86" i="12"/>
  <c r="F90" i="12"/>
  <c r="F91" i="12"/>
  <c r="F89" i="12"/>
  <c r="F88" i="12"/>
  <c r="G45" i="9"/>
  <c r="D69" i="12"/>
  <c r="D74" i="12" s="1"/>
  <c r="I91" i="1"/>
  <c r="G91" i="22"/>
  <c r="C91" i="22"/>
  <c r="F91" i="22"/>
  <c r="H91" i="22"/>
  <c r="D91" i="22"/>
  <c r="E91" i="22"/>
  <c r="E303" i="15" l="1"/>
  <c r="M15" i="22"/>
  <c r="N14" i="22"/>
  <c r="B264" i="15"/>
  <c r="B262" i="15"/>
  <c r="B263" i="15"/>
  <c r="B265" i="15"/>
  <c r="B260" i="15"/>
  <c r="D299" i="15" s="1"/>
  <c r="C200" i="11"/>
  <c r="N14" i="1"/>
  <c r="P14" i="1"/>
  <c r="J192" i="15"/>
  <c r="J184" i="15"/>
  <c r="J189" i="15"/>
  <c r="J203" i="15"/>
  <c r="J185" i="15"/>
  <c r="J191" i="15"/>
  <c r="J190" i="15"/>
  <c r="J197" i="15"/>
  <c r="J201" i="15"/>
  <c r="J200" i="15"/>
  <c r="J198" i="15"/>
  <c r="J199" i="15"/>
  <c r="C209" i="15"/>
  <c r="C211" i="15" s="1"/>
  <c r="J204" i="15"/>
  <c r="J186" i="15"/>
  <c r="J195" i="15"/>
  <c r="L12" i="22"/>
  <c r="K13" i="22"/>
  <c r="V14" i="22"/>
  <c r="U15" i="22"/>
  <c r="P13" i="22"/>
  <c r="O14" i="22"/>
  <c r="J183" i="15"/>
  <c r="J194" i="15"/>
  <c r="J188" i="15"/>
  <c r="J182" i="15"/>
  <c r="J187" i="15"/>
  <c r="J196" i="15"/>
  <c r="J193" i="15"/>
  <c r="W84" i="34"/>
  <c r="V85" i="34"/>
  <c r="Q17" i="22"/>
  <c r="R16" i="22"/>
  <c r="U14" i="1"/>
  <c r="V13" i="1"/>
  <c r="Q16" i="1"/>
  <c r="R15" i="1"/>
  <c r="K13" i="1"/>
  <c r="L12" i="1"/>
  <c r="C447" i="15"/>
  <c r="C441" i="15"/>
  <c r="C461" i="15"/>
  <c r="C444" i="15"/>
  <c r="C446" i="15"/>
  <c r="C443" i="15"/>
  <c r="C454" i="15"/>
  <c r="C456" i="15"/>
  <c r="C455" i="15"/>
  <c r="C452" i="15"/>
  <c r="C458" i="15"/>
  <c r="C449" i="15"/>
  <c r="C451" i="15"/>
  <c r="C445" i="15"/>
  <c r="C460" i="15"/>
  <c r="C442" i="15"/>
  <c r="C448" i="15"/>
  <c r="C459" i="15"/>
  <c r="C438" i="15"/>
  <c r="C440" i="15"/>
  <c r="C453" i="15"/>
  <c r="C457" i="15"/>
  <c r="C450" i="15"/>
  <c r="C479" i="15"/>
  <c r="C415" i="15"/>
  <c r="C430" i="15"/>
  <c r="C431" i="15"/>
  <c r="C423" i="15"/>
  <c r="C411" i="15"/>
  <c r="C429" i="15"/>
  <c r="C414" i="15"/>
  <c r="C416" i="15"/>
  <c r="C417" i="15"/>
  <c r="C427" i="15"/>
  <c r="C410" i="15"/>
  <c r="C424" i="15"/>
  <c r="C408" i="15"/>
  <c r="C419" i="15"/>
  <c r="C421" i="15"/>
  <c r="C428" i="15"/>
  <c r="C418" i="15"/>
  <c r="C422" i="15"/>
  <c r="C420" i="15"/>
  <c r="C409" i="15"/>
  <c r="C413" i="15"/>
  <c r="C412" i="15"/>
  <c r="C485" i="15"/>
  <c r="C481" i="15"/>
  <c r="C483" i="15"/>
  <c r="C471" i="15"/>
  <c r="C489" i="15"/>
  <c r="C470" i="15"/>
  <c r="C490" i="15"/>
  <c r="C474" i="15"/>
  <c r="C491" i="15"/>
  <c r="C480" i="15"/>
  <c r="C486" i="15"/>
  <c r="C482" i="15"/>
  <c r="C475" i="15"/>
  <c r="C472" i="15"/>
  <c r="C477" i="15"/>
  <c r="C487" i="15"/>
  <c r="C469" i="15"/>
  <c r="C488" i="15"/>
  <c r="C476" i="15"/>
  <c r="C484" i="15"/>
  <c r="C473" i="15"/>
  <c r="C468" i="15"/>
  <c r="C426" i="15"/>
  <c r="S16" i="22"/>
  <c r="T15" i="22"/>
  <c r="I68" i="11"/>
  <c r="I31" i="11"/>
  <c r="S16" i="1"/>
  <c r="T15" i="1"/>
  <c r="P15" i="1"/>
  <c r="O16" i="1"/>
  <c r="M16" i="1"/>
  <c r="N15" i="1"/>
  <c r="I117" i="11"/>
  <c r="F19" i="9"/>
  <c r="I91" i="22"/>
  <c r="C99" i="12"/>
  <c r="C98" i="12"/>
  <c r="C103" i="12"/>
  <c r="C102" i="12"/>
  <c r="C101" i="12"/>
  <c r="C100" i="12"/>
  <c r="N15" i="22" l="1"/>
  <c r="M16" i="22"/>
  <c r="D300" i="15"/>
  <c r="D301" i="15"/>
  <c r="H210" i="15"/>
  <c r="U16" i="22"/>
  <c r="V15" i="22"/>
  <c r="P14" i="22"/>
  <c r="O15" i="22"/>
  <c r="K14" i="22"/>
  <c r="L13" i="22"/>
  <c r="X84" i="34"/>
  <c r="W85" i="34"/>
  <c r="Q18" i="22"/>
  <c r="R17" i="22"/>
  <c r="L13" i="1"/>
  <c r="K14" i="1"/>
  <c r="R16" i="1"/>
  <c r="Q17" i="1"/>
  <c r="V14" i="1"/>
  <c r="U15" i="1"/>
  <c r="T16" i="22"/>
  <c r="S17" i="22"/>
  <c r="I30" i="11"/>
  <c r="I67" i="11"/>
  <c r="O17" i="1"/>
  <c r="P16" i="1"/>
  <c r="T16" i="1"/>
  <c r="S17" i="1"/>
  <c r="M17" i="1"/>
  <c r="N16" i="1"/>
  <c r="I116" i="11"/>
  <c r="F18" i="9"/>
  <c r="G19" i="9" s="1"/>
  <c r="C39" i="12" s="1"/>
  <c r="N16" i="22" l="1"/>
  <c r="M17" i="22"/>
  <c r="O16" i="22"/>
  <c r="P15" i="22"/>
  <c r="K15" i="22"/>
  <c r="L14" i="22"/>
  <c r="V16" i="22"/>
  <c r="U17" i="22"/>
  <c r="Y84" i="34"/>
  <c r="X85" i="34"/>
  <c r="Q19" i="22"/>
  <c r="R18" i="22"/>
  <c r="V15" i="1"/>
  <c r="U16" i="1"/>
  <c r="Q18" i="1"/>
  <c r="R17" i="1"/>
  <c r="K15" i="1"/>
  <c r="L14" i="1"/>
  <c r="S18" i="22"/>
  <c r="T17" i="22"/>
  <c r="I66" i="11"/>
  <c r="I29" i="11"/>
  <c r="S18" i="1"/>
  <c r="T17" i="1"/>
  <c r="P17" i="1"/>
  <c r="O18" i="1"/>
  <c r="N17" i="1"/>
  <c r="M18" i="1"/>
  <c r="I115" i="11"/>
  <c r="D25" i="12"/>
  <c r="D27" i="12" s="1"/>
  <c r="G18" i="9"/>
  <c r="C38" i="12" s="1"/>
  <c r="G23" i="9"/>
  <c r="C43" i="12" s="1"/>
  <c r="G22" i="9"/>
  <c r="C42" i="12" s="1"/>
  <c r="G21" i="9"/>
  <c r="C41" i="12" s="1"/>
  <c r="G20" i="9"/>
  <c r="C40" i="12" s="1"/>
  <c r="M18" i="22" l="1"/>
  <c r="N17" i="22"/>
  <c r="L15" i="22"/>
  <c r="K16" i="22"/>
  <c r="U18" i="22"/>
  <c r="V17" i="22"/>
  <c r="O17" i="22"/>
  <c r="P16" i="22"/>
  <c r="Z84" i="34"/>
  <c r="Y85" i="34"/>
  <c r="R19" i="22"/>
  <c r="Q20" i="22"/>
  <c r="L15" i="1"/>
  <c r="K16" i="1"/>
  <c r="Q19" i="1"/>
  <c r="R18" i="1"/>
  <c r="U17" i="1"/>
  <c r="V16" i="1"/>
  <c r="T18" i="22"/>
  <c r="S19" i="22"/>
  <c r="I28" i="11"/>
  <c r="I65" i="11"/>
  <c r="T18" i="1"/>
  <c r="S19" i="1"/>
  <c r="P18" i="1"/>
  <c r="O19" i="1"/>
  <c r="N18" i="1"/>
  <c r="M19" i="1"/>
  <c r="C49" i="12"/>
  <c r="D112" i="12" s="1"/>
  <c r="C50" i="12"/>
  <c r="D113" i="12" s="1"/>
  <c r="C51" i="12"/>
  <c r="D114" i="12" s="1"/>
  <c r="C53" i="12"/>
  <c r="D116" i="12" s="1"/>
  <c r="C52" i="12"/>
  <c r="D115" i="12" s="1"/>
  <c r="C54" i="12"/>
  <c r="D117" i="12" s="1"/>
  <c r="I114" i="11"/>
  <c r="N18" i="22" l="1"/>
  <c r="M19" i="22"/>
  <c r="O18" i="22"/>
  <c r="P17" i="22"/>
  <c r="U19" i="22"/>
  <c r="V18" i="22"/>
  <c r="L16" i="22"/>
  <c r="K17" i="22"/>
  <c r="AA84" i="34"/>
  <c r="Z85" i="34"/>
  <c r="Q21" i="22"/>
  <c r="R20" i="22"/>
  <c r="U18" i="1"/>
  <c r="V17" i="1"/>
  <c r="Q20" i="1"/>
  <c r="R19" i="1"/>
  <c r="K17" i="1"/>
  <c r="L16" i="1"/>
  <c r="S20" i="22"/>
  <c r="T19" i="22"/>
  <c r="I26" i="11"/>
  <c r="I27" i="11"/>
  <c r="I63" i="11"/>
  <c r="I64" i="11"/>
  <c r="O20" i="1"/>
  <c r="P19" i="1"/>
  <c r="T19" i="1"/>
  <c r="S20" i="1"/>
  <c r="M20" i="1"/>
  <c r="N19" i="1"/>
  <c r="I113" i="11"/>
  <c r="N19" i="22" l="1"/>
  <c r="M20" i="22"/>
  <c r="O19" i="22"/>
  <c r="P18" i="22"/>
  <c r="U20" i="22"/>
  <c r="V19" i="22"/>
  <c r="L17" i="22"/>
  <c r="K18" i="22"/>
  <c r="AB84" i="34"/>
  <c r="AA85" i="34"/>
  <c r="Q22" i="22"/>
  <c r="R21" i="22"/>
  <c r="K18" i="1"/>
  <c r="L17" i="1"/>
  <c r="Q21" i="1"/>
  <c r="R20" i="1"/>
  <c r="U19" i="1"/>
  <c r="V18" i="1"/>
  <c r="T20" i="22"/>
  <c r="S21" i="22"/>
  <c r="O21" i="1"/>
  <c r="P20" i="1"/>
  <c r="T20" i="1"/>
  <c r="S21" i="1"/>
  <c r="M21" i="1"/>
  <c r="N20" i="1"/>
  <c r="I112" i="11"/>
  <c r="M21" i="22" l="1"/>
  <c r="N20" i="22"/>
  <c r="O20" i="22"/>
  <c r="P19" i="22"/>
  <c r="V20" i="22"/>
  <c r="U21" i="22"/>
  <c r="L18" i="22"/>
  <c r="K19" i="22"/>
  <c r="AC84" i="34"/>
  <c r="AB85" i="34"/>
  <c r="R22" i="22"/>
  <c r="Q23" i="22"/>
  <c r="V19" i="1"/>
  <c r="U20" i="1"/>
  <c r="Q22" i="1"/>
  <c r="R21" i="1"/>
  <c r="L18" i="1"/>
  <c r="K19" i="1"/>
  <c r="T21" i="22"/>
  <c r="S22" i="22"/>
  <c r="P21" i="1"/>
  <c r="O22" i="1"/>
  <c r="T21" i="1"/>
  <c r="S22" i="1"/>
  <c r="M22" i="1"/>
  <c r="N21" i="1"/>
  <c r="I111" i="11"/>
  <c r="N21" i="22" l="1"/>
  <c r="M22" i="22"/>
  <c r="P20" i="22"/>
  <c r="O21" i="22"/>
  <c r="U22" i="22"/>
  <c r="V21" i="22"/>
  <c r="K20" i="22"/>
  <c r="L19" i="22"/>
  <c r="AD84" i="34"/>
  <c r="AC85" i="34"/>
  <c r="Q24" i="22"/>
  <c r="R23" i="22"/>
  <c r="Q23" i="1"/>
  <c r="R22" i="1"/>
  <c r="K20" i="1"/>
  <c r="L19" i="1"/>
  <c r="U21" i="1"/>
  <c r="V20" i="1"/>
  <c r="T22" i="22"/>
  <c r="S23" i="22"/>
  <c r="T22" i="1"/>
  <c r="S23" i="1"/>
  <c r="P22" i="1"/>
  <c r="O23" i="1"/>
  <c r="N22" i="1"/>
  <c r="M23" i="1"/>
  <c r="I110" i="11"/>
  <c r="N22" i="22" l="1"/>
  <c r="M23" i="22"/>
  <c r="K21" i="22"/>
  <c r="L20" i="22"/>
  <c r="V22" i="22"/>
  <c r="U23" i="22"/>
  <c r="P21" i="22"/>
  <c r="O22" i="22"/>
  <c r="AE84" i="34"/>
  <c r="AD85" i="34"/>
  <c r="R24" i="22"/>
  <c r="Q25" i="22"/>
  <c r="U22" i="1"/>
  <c r="V21" i="1"/>
  <c r="K21" i="1"/>
  <c r="L20" i="1"/>
  <c r="Q24" i="1"/>
  <c r="R23" i="1"/>
  <c r="S24" i="22"/>
  <c r="T23" i="22"/>
  <c r="P23" i="1"/>
  <c r="O24" i="1"/>
  <c r="T23" i="1"/>
  <c r="S24" i="1"/>
  <c r="M24" i="1"/>
  <c r="N23" i="1"/>
  <c r="I109" i="11"/>
  <c r="N23" i="22" l="1"/>
  <c r="M24" i="22"/>
  <c r="P22" i="22"/>
  <c r="O23" i="22"/>
  <c r="L21" i="22"/>
  <c r="K22" i="22"/>
  <c r="U24" i="22"/>
  <c r="V23" i="22"/>
  <c r="AF84" i="34"/>
  <c r="AE85" i="34"/>
  <c r="R25" i="22"/>
  <c r="Q26" i="22"/>
  <c r="R24" i="1"/>
  <c r="Q25" i="1"/>
  <c r="K22" i="1"/>
  <c r="L21" i="1"/>
  <c r="V22" i="1"/>
  <c r="U23" i="1"/>
  <c r="T24" i="22"/>
  <c r="S25" i="22"/>
  <c r="S25" i="1"/>
  <c r="T24" i="1"/>
  <c r="O25" i="1"/>
  <c r="P24" i="1"/>
  <c r="M25" i="1"/>
  <c r="N24" i="1"/>
  <c r="I108" i="11"/>
  <c r="M25" i="22" l="1"/>
  <c r="N24" i="22"/>
  <c r="V24" i="22"/>
  <c r="U25" i="22"/>
  <c r="K23" i="22"/>
  <c r="L22" i="22"/>
  <c r="P23" i="22"/>
  <c r="O24" i="22"/>
  <c r="AG84" i="34"/>
  <c r="AF85" i="34"/>
  <c r="R26" i="22"/>
  <c r="Q27" i="22"/>
  <c r="L22" i="1"/>
  <c r="K23" i="1"/>
  <c r="U24" i="1"/>
  <c r="V23" i="1"/>
  <c r="Q26" i="1"/>
  <c r="R25" i="1"/>
  <c r="S26" i="22"/>
  <c r="T25" i="22"/>
  <c r="O26" i="1"/>
  <c r="P25" i="1"/>
  <c r="S26" i="1"/>
  <c r="T25" i="1"/>
  <c r="N25" i="1"/>
  <c r="M26" i="1"/>
  <c r="I106" i="11"/>
  <c r="I107" i="11"/>
  <c r="M26" i="22" l="1"/>
  <c r="N25" i="22"/>
  <c r="O25" i="22"/>
  <c r="P24" i="22"/>
  <c r="U26" i="22"/>
  <c r="V25" i="22"/>
  <c r="K24" i="22"/>
  <c r="L23" i="22"/>
  <c r="AH84" i="34"/>
  <c r="AG85" i="34"/>
  <c r="Q28" i="22"/>
  <c r="R27" i="22"/>
  <c r="R26" i="1"/>
  <c r="Q27" i="1"/>
  <c r="V24" i="1"/>
  <c r="U25" i="1"/>
  <c r="L23" i="1"/>
  <c r="K24" i="1"/>
  <c r="T26" i="22"/>
  <c r="S27" i="22"/>
  <c r="S27" i="1"/>
  <c r="T26" i="1"/>
  <c r="P26" i="1"/>
  <c r="O27" i="1"/>
  <c r="N26" i="1"/>
  <c r="M27" i="1"/>
  <c r="N26" i="22" l="1"/>
  <c r="M27" i="22"/>
  <c r="L24" i="22"/>
  <c r="K25" i="22"/>
  <c r="O26" i="22"/>
  <c r="P25" i="22"/>
  <c r="U27" i="22"/>
  <c r="V26" i="22"/>
  <c r="AI84" i="34"/>
  <c r="AH85" i="34"/>
  <c r="Q29" i="22"/>
  <c r="R28" i="22"/>
  <c r="K25" i="1"/>
  <c r="L24" i="1"/>
  <c r="U26" i="1"/>
  <c r="V25" i="1"/>
  <c r="R27" i="1"/>
  <c r="Q28" i="1"/>
  <c r="T27" i="22"/>
  <c r="S28" i="22"/>
  <c r="T27" i="1"/>
  <c r="S28" i="1"/>
  <c r="P27" i="1"/>
  <c r="O28" i="1"/>
  <c r="N27" i="1"/>
  <c r="M28" i="1"/>
  <c r="N27" i="22" l="1"/>
  <c r="M28" i="22"/>
  <c r="L25" i="22"/>
  <c r="K26" i="22"/>
  <c r="V27" i="22"/>
  <c r="U28" i="22"/>
  <c r="O27" i="22"/>
  <c r="P26" i="22"/>
  <c r="AJ84" i="34"/>
  <c r="AI85" i="34"/>
  <c r="Q30" i="22"/>
  <c r="R29" i="22"/>
  <c r="V26" i="1"/>
  <c r="U27" i="1"/>
  <c r="L25" i="1"/>
  <c r="K26" i="1"/>
  <c r="R28" i="1"/>
  <c r="Q29" i="1"/>
  <c r="S29" i="22"/>
  <c r="T28" i="22"/>
  <c r="P28" i="1"/>
  <c r="O29" i="1"/>
  <c r="S29" i="1"/>
  <c r="T28" i="1"/>
  <c r="N28" i="1"/>
  <c r="M29" i="1"/>
  <c r="N28" i="22" l="1"/>
  <c r="M29" i="22"/>
  <c r="K27" i="22"/>
  <c r="L26" i="22"/>
  <c r="V28" i="22"/>
  <c r="U29" i="22"/>
  <c r="P27" i="22"/>
  <c r="O28" i="22"/>
  <c r="AK84" i="34"/>
  <c r="AJ85" i="34"/>
  <c r="Q31" i="22"/>
  <c r="R30" i="22"/>
  <c r="R29" i="1"/>
  <c r="Q30" i="1"/>
  <c r="K27" i="1"/>
  <c r="L26" i="1"/>
  <c r="V27" i="1"/>
  <c r="U28" i="1"/>
  <c r="S30" i="22"/>
  <c r="T29" i="22"/>
  <c r="S30" i="1"/>
  <c r="T29" i="1"/>
  <c r="P29" i="1"/>
  <c r="O30" i="1"/>
  <c r="N29" i="1"/>
  <c r="M30" i="1"/>
  <c r="N29" i="22" l="1"/>
  <c r="M30" i="22"/>
  <c r="V29" i="22"/>
  <c r="U30" i="22"/>
  <c r="P28" i="22"/>
  <c r="O29" i="22"/>
  <c r="L27" i="22"/>
  <c r="K28" i="22"/>
  <c r="AL84" i="34"/>
  <c r="AK85" i="34"/>
  <c r="Q32" i="22"/>
  <c r="R31" i="22"/>
  <c r="K28" i="1"/>
  <c r="L27" i="1"/>
  <c r="U29" i="1"/>
  <c r="V28" i="1"/>
  <c r="Q31" i="1"/>
  <c r="R30" i="1"/>
  <c r="S31" i="22"/>
  <c r="T30" i="22"/>
  <c r="T30" i="1"/>
  <c r="S31" i="1"/>
  <c r="O31" i="1"/>
  <c r="P30" i="1"/>
  <c r="N30" i="1"/>
  <c r="M31" i="1"/>
  <c r="N30" i="22" l="1"/>
  <c r="M31" i="22"/>
  <c r="V30" i="22"/>
  <c r="U31" i="22"/>
  <c r="O30" i="22"/>
  <c r="P29" i="22"/>
  <c r="L28" i="22"/>
  <c r="K29" i="22"/>
  <c r="AM84" i="34"/>
  <c r="AM85" i="34" s="1"/>
  <c r="AL85" i="34"/>
  <c r="Q33" i="22"/>
  <c r="R32" i="22"/>
  <c r="Q32" i="1"/>
  <c r="R31" i="1"/>
  <c r="V29" i="1"/>
  <c r="U30" i="1"/>
  <c r="K29" i="1"/>
  <c r="L28" i="1"/>
  <c r="T31" i="22"/>
  <c r="S32" i="22"/>
  <c r="O32" i="1"/>
  <c r="P31" i="1"/>
  <c r="S32" i="1"/>
  <c r="T31" i="1"/>
  <c r="N31" i="1"/>
  <c r="M32" i="1"/>
  <c r="N31" i="22" l="1"/>
  <c r="M32" i="22"/>
  <c r="V31" i="22"/>
  <c r="U32" i="22"/>
  <c r="L29" i="22"/>
  <c r="K30" i="22"/>
  <c r="O31" i="22"/>
  <c r="P30" i="22"/>
  <c r="Q34" i="22"/>
  <c r="R33" i="22"/>
  <c r="L29" i="1"/>
  <c r="K30" i="1"/>
  <c r="R32" i="1"/>
  <c r="Q33" i="1"/>
  <c r="U31" i="1"/>
  <c r="V30" i="1"/>
  <c r="T32" i="22"/>
  <c r="S33" i="22"/>
  <c r="S33" i="1"/>
  <c r="T32" i="1"/>
  <c r="P32" i="1"/>
  <c r="O33" i="1"/>
  <c r="M33" i="1"/>
  <c r="N32" i="1"/>
  <c r="N32" i="22" l="1"/>
  <c r="M33" i="22"/>
  <c r="P31" i="22"/>
  <c r="O32" i="22"/>
  <c r="L30" i="22"/>
  <c r="K31" i="22"/>
  <c r="V32" i="22"/>
  <c r="U33" i="22"/>
  <c r="R34" i="22"/>
  <c r="Q35" i="22"/>
  <c r="U32" i="1"/>
  <c r="V31" i="1"/>
  <c r="Q34" i="1"/>
  <c r="R33" i="1"/>
  <c r="K31" i="1"/>
  <c r="L30" i="1"/>
  <c r="S34" i="22"/>
  <c r="T33" i="22"/>
  <c r="O34" i="1"/>
  <c r="P33" i="1"/>
  <c r="T33" i="1"/>
  <c r="S34" i="1"/>
  <c r="M34" i="1"/>
  <c r="N33" i="1"/>
  <c r="N33" i="22" l="1"/>
  <c r="M34" i="22"/>
  <c r="O33" i="22"/>
  <c r="P32" i="22"/>
  <c r="L31" i="22"/>
  <c r="K32" i="22"/>
  <c r="U34" i="22"/>
  <c r="V33" i="22"/>
  <c r="Q36" i="22"/>
  <c r="R35" i="22"/>
  <c r="K32" i="1"/>
  <c r="L31" i="1"/>
  <c r="R34" i="1"/>
  <c r="Q35" i="1"/>
  <c r="U33" i="1"/>
  <c r="V32" i="1"/>
  <c r="S35" i="22"/>
  <c r="T34" i="22"/>
  <c r="S35" i="1"/>
  <c r="T34" i="1"/>
  <c r="P34" i="1"/>
  <c r="O35" i="1"/>
  <c r="M35" i="1"/>
  <c r="N34" i="1"/>
  <c r="M35" i="22" l="1"/>
  <c r="N34" i="22"/>
  <c r="V34" i="22"/>
  <c r="U35" i="22"/>
  <c r="L32" i="22"/>
  <c r="K33" i="22"/>
  <c r="O34" i="22"/>
  <c r="P33" i="22"/>
  <c r="R36" i="22"/>
  <c r="Q37" i="22"/>
  <c r="U34" i="1"/>
  <c r="V33" i="1"/>
  <c r="L32" i="1"/>
  <c r="K33" i="1"/>
  <c r="R35" i="1"/>
  <c r="Q36" i="1"/>
  <c r="S36" i="22"/>
  <c r="T35" i="22"/>
  <c r="P35" i="1"/>
  <c r="O36" i="1"/>
  <c r="T35" i="1"/>
  <c r="S36" i="1"/>
  <c r="N35" i="1"/>
  <c r="M36" i="1"/>
  <c r="N35" i="22" l="1"/>
  <c r="M36" i="22"/>
  <c r="L33" i="22"/>
  <c r="K34" i="22"/>
  <c r="V35" i="22"/>
  <c r="U36" i="22"/>
  <c r="P34" i="22"/>
  <c r="O35" i="22"/>
  <c r="R37" i="22"/>
  <c r="Q38" i="22"/>
  <c r="V34" i="1"/>
  <c r="U35" i="1"/>
  <c r="Q37" i="1"/>
  <c r="R36" i="1"/>
  <c r="K34" i="1"/>
  <c r="L33" i="1"/>
  <c r="T36" i="22"/>
  <c r="S37" i="22"/>
  <c r="S37" i="1"/>
  <c r="T36" i="1"/>
  <c r="P36" i="1"/>
  <c r="O37" i="1"/>
  <c r="M37" i="1"/>
  <c r="N36" i="1"/>
  <c r="M37" i="22" l="1"/>
  <c r="N36" i="22"/>
  <c r="K35" i="22"/>
  <c r="L34" i="22"/>
  <c r="U37" i="22"/>
  <c r="V36" i="22"/>
  <c r="O36" i="22"/>
  <c r="P35" i="22"/>
  <c r="Q39" i="22"/>
  <c r="R38" i="22"/>
  <c r="K35" i="1"/>
  <c r="L34" i="1"/>
  <c r="Q38" i="1"/>
  <c r="R37" i="1"/>
  <c r="U36" i="1"/>
  <c r="V35" i="1"/>
  <c r="T37" i="22"/>
  <c r="S38" i="22"/>
  <c r="T37" i="1"/>
  <c r="S38" i="1"/>
  <c r="O38" i="1"/>
  <c r="P37" i="1"/>
  <c r="N37" i="1"/>
  <c r="M38" i="1"/>
  <c r="M38" i="22" l="1"/>
  <c r="N37" i="22"/>
  <c r="P36" i="22"/>
  <c r="O37" i="22"/>
  <c r="L35" i="22"/>
  <c r="K36" i="22"/>
  <c r="V37" i="22"/>
  <c r="U38" i="22"/>
  <c r="Q40" i="22"/>
  <c r="R39" i="22"/>
  <c r="V36" i="1"/>
  <c r="U37" i="1"/>
  <c r="Q39" i="1"/>
  <c r="R38" i="1"/>
  <c r="L35" i="1"/>
  <c r="K36" i="1"/>
  <c r="T38" i="22"/>
  <c r="S39" i="22"/>
  <c r="O39" i="1"/>
  <c r="P38" i="1"/>
  <c r="S39" i="1"/>
  <c r="T38" i="1"/>
  <c r="N38" i="1"/>
  <c r="M39" i="1"/>
  <c r="N38" i="22" l="1"/>
  <c r="M39" i="22"/>
  <c r="U39" i="22"/>
  <c r="V38" i="22"/>
  <c r="L36" i="22"/>
  <c r="K37" i="22"/>
  <c r="P37" i="22"/>
  <c r="O38" i="22"/>
  <c r="Q41" i="22"/>
  <c r="R40" i="22"/>
  <c r="Q40" i="1"/>
  <c r="R39" i="1"/>
  <c r="L36" i="1"/>
  <c r="K37" i="1"/>
  <c r="U38" i="1"/>
  <c r="V37" i="1"/>
  <c r="T39" i="22"/>
  <c r="S40" i="22"/>
  <c r="T39" i="1"/>
  <c r="S40" i="1"/>
  <c r="P39" i="1"/>
  <c r="O40" i="1"/>
  <c r="N39" i="1"/>
  <c r="M40" i="1"/>
  <c r="N39" i="22" l="1"/>
  <c r="M40" i="22"/>
  <c r="P38" i="22"/>
  <c r="O39" i="22"/>
  <c r="U40" i="22"/>
  <c r="V39" i="22"/>
  <c r="L37" i="22"/>
  <c r="K38" i="22"/>
  <c r="Q42" i="22"/>
  <c r="R41" i="22"/>
  <c r="U39" i="1"/>
  <c r="V38" i="1"/>
  <c r="R40" i="1"/>
  <c r="Q41" i="1"/>
  <c r="K38" i="1"/>
  <c r="L37" i="1"/>
  <c r="T40" i="22"/>
  <c r="S41" i="22"/>
  <c r="O41" i="1"/>
  <c r="P40" i="1"/>
  <c r="S41" i="1"/>
  <c r="T40" i="1"/>
  <c r="M41" i="1"/>
  <c r="N40" i="1"/>
  <c r="N40" i="22" l="1"/>
  <c r="M41" i="22"/>
  <c r="L38" i="22"/>
  <c r="K39" i="22"/>
  <c r="P39" i="22"/>
  <c r="O40" i="22"/>
  <c r="V40" i="22"/>
  <c r="U41" i="22"/>
  <c r="R42" i="22"/>
  <c r="Q43" i="22"/>
  <c r="K39" i="1"/>
  <c r="L38" i="1"/>
  <c r="U40" i="1"/>
  <c r="V39" i="1"/>
  <c r="Q42" i="1"/>
  <c r="R41" i="1"/>
  <c r="S42" i="22"/>
  <c r="T41" i="22"/>
  <c r="S42" i="1"/>
  <c r="T41" i="1"/>
  <c r="O42" i="1"/>
  <c r="P41" i="1"/>
  <c r="N41" i="1"/>
  <c r="M42" i="1"/>
  <c r="N41" i="22" l="1"/>
  <c r="M42" i="22"/>
  <c r="K40" i="22"/>
  <c r="L39" i="22"/>
  <c r="P40" i="22"/>
  <c r="O41" i="22"/>
  <c r="U42" i="22"/>
  <c r="V41" i="22"/>
  <c r="R43" i="22"/>
  <c r="Q44" i="22"/>
  <c r="R42" i="1"/>
  <c r="Q43" i="1"/>
  <c r="U41" i="1"/>
  <c r="V40" i="1"/>
  <c r="L39" i="1"/>
  <c r="K40" i="1"/>
  <c r="S43" i="22"/>
  <c r="T42" i="22"/>
  <c r="O43" i="1"/>
  <c r="P42" i="1"/>
  <c r="S43" i="1"/>
  <c r="T42" i="1"/>
  <c r="M43" i="1"/>
  <c r="N42" i="1"/>
  <c r="M43" i="22" l="1"/>
  <c r="N42" i="22"/>
  <c r="U43" i="22"/>
  <c r="V42" i="22"/>
  <c r="O42" i="22"/>
  <c r="P41" i="22"/>
  <c r="L40" i="22"/>
  <c r="K41" i="22"/>
  <c r="R44" i="22"/>
  <c r="Q45" i="22"/>
  <c r="U42" i="1"/>
  <c r="V41" i="1"/>
  <c r="K41" i="1"/>
  <c r="L40" i="1"/>
  <c r="Q44" i="1"/>
  <c r="R43" i="1"/>
  <c r="S44" i="22"/>
  <c r="T43" i="22"/>
  <c r="T43" i="1"/>
  <c r="S44" i="1"/>
  <c r="O44" i="1"/>
  <c r="P43" i="1"/>
  <c r="N43" i="1"/>
  <c r="M44" i="1"/>
  <c r="M44" i="22" l="1"/>
  <c r="N43" i="22"/>
  <c r="L41" i="22"/>
  <c r="K42" i="22"/>
  <c r="V43" i="22"/>
  <c r="U44" i="22"/>
  <c r="O43" i="22"/>
  <c r="P42" i="22"/>
  <c r="R45" i="22"/>
  <c r="Q46" i="22"/>
  <c r="R44" i="1"/>
  <c r="Q45" i="1"/>
  <c r="K42" i="1"/>
  <c r="L41" i="1"/>
  <c r="U43" i="1"/>
  <c r="V42" i="1"/>
  <c r="T44" i="22"/>
  <c r="S45" i="22"/>
  <c r="S45" i="1"/>
  <c r="T44" i="1"/>
  <c r="P44" i="1"/>
  <c r="O45" i="1"/>
  <c r="N44" i="1"/>
  <c r="M45" i="1"/>
  <c r="M45" i="22" l="1"/>
  <c r="N44" i="22"/>
  <c r="U45" i="22"/>
  <c r="V44" i="22"/>
  <c r="L42" i="22"/>
  <c r="K43" i="22"/>
  <c r="P43" i="22"/>
  <c r="O44" i="22"/>
  <c r="Q47" i="22"/>
  <c r="R46" i="22"/>
  <c r="V43" i="1"/>
  <c r="U44" i="1"/>
  <c r="L42" i="1"/>
  <c r="K43" i="1"/>
  <c r="Q46" i="1"/>
  <c r="R45" i="1"/>
  <c r="T45" i="22"/>
  <c r="S46" i="22"/>
  <c r="T45" i="1"/>
  <c r="S46" i="1"/>
  <c r="O46" i="1"/>
  <c r="P45" i="1"/>
  <c r="M46" i="1"/>
  <c r="N45" i="1"/>
  <c r="N45" i="22" l="1"/>
  <c r="M46" i="22"/>
  <c r="O45" i="22"/>
  <c r="P44" i="22"/>
  <c r="V45" i="22"/>
  <c r="U46" i="22"/>
  <c r="K44" i="22"/>
  <c r="L43" i="22"/>
  <c r="R47" i="22"/>
  <c r="Q48" i="22"/>
  <c r="R46" i="1"/>
  <c r="Q47" i="1"/>
  <c r="K44" i="1"/>
  <c r="L43" i="1"/>
  <c r="V44" i="1"/>
  <c r="U45" i="1"/>
  <c r="S47" i="22"/>
  <c r="T46" i="22"/>
  <c r="P46" i="1"/>
  <c r="O47" i="1"/>
  <c r="T46" i="1"/>
  <c r="S47" i="1"/>
  <c r="M47" i="1"/>
  <c r="N46" i="1"/>
  <c r="M47" i="22" l="1"/>
  <c r="N46" i="22"/>
  <c r="P45" i="22"/>
  <c r="O46" i="22"/>
  <c r="V46" i="22"/>
  <c r="U47" i="22"/>
  <c r="L44" i="22"/>
  <c r="K45" i="22"/>
  <c r="Q49" i="22"/>
  <c r="R48" i="22"/>
  <c r="K45" i="1"/>
  <c r="L44" i="1"/>
  <c r="V45" i="1"/>
  <c r="U46" i="1"/>
  <c r="R47" i="1"/>
  <c r="Q48" i="1"/>
  <c r="T47" i="22"/>
  <c r="S48" i="22"/>
  <c r="T47" i="1"/>
  <c r="S48" i="1"/>
  <c r="O48" i="1"/>
  <c r="P47" i="1"/>
  <c r="M48" i="1"/>
  <c r="N47" i="1"/>
  <c r="N47" i="22" l="1"/>
  <c r="M48" i="22"/>
  <c r="K46" i="22"/>
  <c r="L45" i="22"/>
  <c r="V47" i="22"/>
  <c r="U48" i="22"/>
  <c r="O47" i="22"/>
  <c r="P46" i="22"/>
  <c r="R49" i="22"/>
  <c r="Q50" i="22"/>
  <c r="K46" i="1"/>
  <c r="L45" i="1"/>
  <c r="R48" i="1"/>
  <c r="Q49" i="1"/>
  <c r="U47" i="1"/>
  <c r="V46" i="1"/>
  <c r="T48" i="22"/>
  <c r="S49" i="22"/>
  <c r="P48" i="1"/>
  <c r="O49" i="1"/>
  <c r="S49" i="1"/>
  <c r="T48" i="1"/>
  <c r="N48" i="1"/>
  <c r="M49" i="1"/>
  <c r="N48" i="22" l="1"/>
  <c r="M49" i="22"/>
  <c r="P47" i="22"/>
  <c r="O48" i="22"/>
  <c r="U49" i="22"/>
  <c r="V48" i="22"/>
  <c r="L46" i="22"/>
  <c r="K47" i="22"/>
  <c r="R50" i="22"/>
  <c r="Q51" i="22"/>
  <c r="V47" i="1"/>
  <c r="U48" i="1"/>
  <c r="K47" i="1"/>
  <c r="L46" i="1"/>
  <c r="Q50" i="1"/>
  <c r="R49" i="1"/>
  <c r="T49" i="22"/>
  <c r="S50" i="22"/>
  <c r="S50" i="1"/>
  <c r="T49" i="1"/>
  <c r="P49" i="1"/>
  <c r="O50" i="1"/>
  <c r="M50" i="1"/>
  <c r="N49" i="1"/>
  <c r="M50" i="22" l="1"/>
  <c r="N49" i="22"/>
  <c r="L47" i="22"/>
  <c r="K48" i="22"/>
  <c r="P48" i="22"/>
  <c r="O49" i="22"/>
  <c r="V49" i="22"/>
  <c r="U50" i="22"/>
  <c r="Q52" i="22"/>
  <c r="R51" i="22"/>
  <c r="Q51" i="1"/>
  <c r="R50" i="1"/>
  <c r="K48" i="1"/>
  <c r="L47" i="1"/>
  <c r="V48" i="1"/>
  <c r="U49" i="1"/>
  <c r="S51" i="22"/>
  <c r="T50" i="22"/>
  <c r="O51" i="1"/>
  <c r="P50" i="1"/>
  <c r="S51" i="1"/>
  <c r="T50" i="1"/>
  <c r="M51" i="1"/>
  <c r="N50" i="1"/>
  <c r="M51" i="22" l="1"/>
  <c r="N50" i="22"/>
  <c r="V50" i="22"/>
  <c r="U51" i="22"/>
  <c r="P49" i="22"/>
  <c r="O50" i="22"/>
  <c r="K49" i="22"/>
  <c r="L48" i="22"/>
  <c r="R52" i="22"/>
  <c r="Q53" i="22"/>
  <c r="L48" i="1"/>
  <c r="K49" i="1"/>
  <c r="Q52" i="1"/>
  <c r="R51" i="1"/>
  <c r="U50" i="1"/>
  <c r="V49" i="1"/>
  <c r="S52" i="22"/>
  <c r="T51" i="22"/>
  <c r="S52" i="1"/>
  <c r="T51" i="1"/>
  <c r="P51" i="1"/>
  <c r="O52" i="1"/>
  <c r="N51" i="1"/>
  <c r="M52" i="1"/>
  <c r="M52" i="22" l="1"/>
  <c r="N51" i="22"/>
  <c r="O51" i="22"/>
  <c r="P50" i="22"/>
  <c r="V51" i="22"/>
  <c r="U52" i="22"/>
  <c r="L49" i="22"/>
  <c r="K50" i="22"/>
  <c r="R53" i="22"/>
  <c r="Q54" i="22"/>
  <c r="U51" i="1"/>
  <c r="V50" i="1"/>
  <c r="Q53" i="1"/>
  <c r="R52" i="1"/>
  <c r="L49" i="1"/>
  <c r="K50" i="1"/>
  <c r="T52" i="22"/>
  <c r="S53" i="22"/>
  <c r="P52" i="1"/>
  <c r="O53" i="1"/>
  <c r="S53" i="1"/>
  <c r="T52" i="1"/>
  <c r="N52" i="1"/>
  <c r="M53" i="1"/>
  <c r="N52" i="22" l="1"/>
  <c r="M53" i="22"/>
  <c r="L50" i="22"/>
  <c r="K51" i="22"/>
  <c r="V52" i="22"/>
  <c r="U53" i="22"/>
  <c r="O52" i="22"/>
  <c r="P51" i="22"/>
  <c r="R54" i="22"/>
  <c r="Q55" i="22"/>
  <c r="R53" i="1"/>
  <c r="Q54" i="1"/>
  <c r="U52" i="1"/>
  <c r="V51" i="1"/>
  <c r="L50" i="1"/>
  <c r="K51" i="1"/>
  <c r="T53" i="22"/>
  <c r="S54" i="22"/>
  <c r="O54" i="1"/>
  <c r="P53" i="1"/>
  <c r="S54" i="1"/>
  <c r="T53" i="1"/>
  <c r="N53" i="1"/>
  <c r="M54" i="1"/>
  <c r="M54" i="22" l="1"/>
  <c r="N53" i="22"/>
  <c r="U54" i="22"/>
  <c r="V53" i="22"/>
  <c r="K52" i="22"/>
  <c r="L51" i="22"/>
  <c r="P52" i="22"/>
  <c r="O53" i="22"/>
  <c r="Q56" i="22"/>
  <c r="R55" i="22"/>
  <c r="V52" i="1"/>
  <c r="U53" i="1"/>
  <c r="K52" i="1"/>
  <c r="L51" i="1"/>
  <c r="Q55" i="1"/>
  <c r="R54" i="1"/>
  <c r="S55" i="22"/>
  <c r="T54" i="22"/>
  <c r="S55" i="1"/>
  <c r="T54" i="1"/>
  <c r="O55" i="1"/>
  <c r="P54" i="1"/>
  <c r="M55" i="1"/>
  <c r="N54" i="1"/>
  <c r="M55" i="22" l="1"/>
  <c r="N54" i="22"/>
  <c r="U55" i="22"/>
  <c r="V54" i="22"/>
  <c r="P53" i="22"/>
  <c r="O54" i="22"/>
  <c r="L52" i="22"/>
  <c r="K53" i="22"/>
  <c r="R56" i="22"/>
  <c r="Q57" i="22"/>
  <c r="Q56" i="1"/>
  <c r="R55" i="1"/>
  <c r="L52" i="1"/>
  <c r="K53" i="1"/>
  <c r="U54" i="1"/>
  <c r="V53" i="1"/>
  <c r="S56" i="22"/>
  <c r="T55" i="22"/>
  <c r="O56" i="1"/>
  <c r="P55" i="1"/>
  <c r="T55" i="1"/>
  <c r="S56" i="1"/>
  <c r="M56" i="1"/>
  <c r="N55" i="1"/>
  <c r="M56" i="22" l="1"/>
  <c r="N55" i="22"/>
  <c r="O55" i="22"/>
  <c r="P54" i="22"/>
  <c r="K54" i="22"/>
  <c r="L53" i="22"/>
  <c r="U56" i="22"/>
  <c r="V55" i="22"/>
  <c r="R57" i="22"/>
  <c r="Q58" i="22"/>
  <c r="V54" i="1"/>
  <c r="U55" i="1"/>
  <c r="R56" i="1"/>
  <c r="Q57" i="1"/>
  <c r="L53" i="1"/>
  <c r="K54" i="1"/>
  <c r="T56" i="22"/>
  <c r="S57" i="22"/>
  <c r="P56" i="1"/>
  <c r="O57" i="1"/>
  <c r="T56" i="1"/>
  <c r="S57" i="1"/>
  <c r="M57" i="1"/>
  <c r="N56" i="1"/>
  <c r="N56" i="22" l="1"/>
  <c r="M57" i="22"/>
  <c r="O56" i="22"/>
  <c r="P55" i="22"/>
  <c r="U57" i="22"/>
  <c r="V56" i="22"/>
  <c r="L54" i="22"/>
  <c r="K55" i="22"/>
  <c r="Q59" i="22"/>
  <c r="R58" i="22"/>
  <c r="L54" i="1"/>
  <c r="K55" i="1"/>
  <c r="Q58" i="1"/>
  <c r="R57" i="1"/>
  <c r="V55" i="1"/>
  <c r="U56" i="1"/>
  <c r="S58" i="22"/>
  <c r="T57" i="22"/>
  <c r="S58" i="1"/>
  <c r="T57" i="1"/>
  <c r="O58" i="1"/>
  <c r="P57" i="1"/>
  <c r="N57" i="1"/>
  <c r="M58" i="1"/>
  <c r="M58" i="22" l="1"/>
  <c r="N57" i="22"/>
  <c r="K56" i="22"/>
  <c r="L55" i="22"/>
  <c r="O57" i="22"/>
  <c r="P56" i="22"/>
  <c r="V57" i="22"/>
  <c r="U58" i="22"/>
  <c r="Q60" i="22"/>
  <c r="R59" i="22"/>
  <c r="Q59" i="1"/>
  <c r="R58" i="1"/>
  <c r="V56" i="1"/>
  <c r="U57" i="1"/>
  <c r="K56" i="1"/>
  <c r="L55" i="1"/>
  <c r="T58" i="22"/>
  <c r="S59" i="22"/>
  <c r="P58" i="1"/>
  <c r="O59" i="1"/>
  <c r="T58" i="1"/>
  <c r="S59" i="1"/>
  <c r="M59" i="1"/>
  <c r="N58" i="1"/>
  <c r="M59" i="22" l="1"/>
  <c r="N58" i="22"/>
  <c r="U59" i="22"/>
  <c r="V58" i="22"/>
  <c r="L56" i="22"/>
  <c r="K57" i="22"/>
  <c r="O58" i="22"/>
  <c r="P57" i="22"/>
  <c r="Q61" i="22"/>
  <c r="R60" i="22"/>
  <c r="L56" i="1"/>
  <c r="K57" i="1"/>
  <c r="R59" i="1"/>
  <c r="Q60" i="1"/>
  <c r="V57" i="1"/>
  <c r="U58" i="1"/>
  <c r="S60" i="22"/>
  <c r="T59" i="22"/>
  <c r="T59" i="1"/>
  <c r="S60" i="1"/>
  <c r="O60" i="1"/>
  <c r="P59" i="1"/>
  <c r="N59" i="1"/>
  <c r="M60" i="1"/>
  <c r="N59" i="22" l="1"/>
  <c r="M60" i="22"/>
  <c r="P58" i="22"/>
  <c r="O59" i="22"/>
  <c r="L57" i="22"/>
  <c r="K58" i="22"/>
  <c r="U60" i="22"/>
  <c r="V59" i="22"/>
  <c r="R61" i="22"/>
  <c r="Q62" i="22"/>
  <c r="V58" i="1"/>
  <c r="U59" i="1"/>
  <c r="Q61" i="1"/>
  <c r="R60" i="1"/>
  <c r="L57" i="1"/>
  <c r="K58" i="1"/>
  <c r="S61" i="22"/>
  <c r="T60" i="22"/>
  <c r="S61" i="1"/>
  <c r="T60" i="1"/>
  <c r="O61" i="1"/>
  <c r="P60" i="1"/>
  <c r="M61" i="1"/>
  <c r="N60" i="1"/>
  <c r="M61" i="22" l="1"/>
  <c r="N60" i="22"/>
  <c r="P59" i="22"/>
  <c r="O60" i="22"/>
  <c r="L58" i="22"/>
  <c r="K59" i="22"/>
  <c r="V60" i="22"/>
  <c r="U61" i="22"/>
  <c r="R62" i="22"/>
  <c r="Q63" i="22"/>
  <c r="Q62" i="1"/>
  <c r="R61" i="1"/>
  <c r="L58" i="1"/>
  <c r="K59" i="1"/>
  <c r="V59" i="1"/>
  <c r="U60" i="1"/>
  <c r="S62" i="22"/>
  <c r="T61" i="22"/>
  <c r="O62" i="1"/>
  <c r="P61" i="1"/>
  <c r="S62" i="1"/>
  <c r="T61" i="1"/>
  <c r="M62" i="1"/>
  <c r="N61" i="1"/>
  <c r="N61" i="22" l="1"/>
  <c r="M62" i="22"/>
  <c r="U62" i="22"/>
  <c r="V61" i="22"/>
  <c r="L59" i="22"/>
  <c r="K60" i="22"/>
  <c r="O61" i="22"/>
  <c r="P60" i="22"/>
  <c r="R63" i="22"/>
  <c r="Q64" i="22"/>
  <c r="Q63" i="1"/>
  <c r="R62" i="1"/>
  <c r="V60" i="1"/>
  <c r="U61" i="1"/>
  <c r="L59" i="1"/>
  <c r="K60" i="1"/>
  <c r="T62" i="22"/>
  <c r="S63" i="22"/>
  <c r="T62" i="1"/>
  <c r="S63" i="1"/>
  <c r="P62" i="1"/>
  <c r="O63" i="1"/>
  <c r="M63" i="1"/>
  <c r="N62" i="1"/>
  <c r="N62" i="22" l="1"/>
  <c r="M63" i="22"/>
  <c r="O62" i="22"/>
  <c r="P61" i="22"/>
  <c r="L60" i="22"/>
  <c r="K61" i="22"/>
  <c r="V62" i="22"/>
  <c r="U63" i="22"/>
  <c r="R64" i="22"/>
  <c r="Q65" i="22"/>
  <c r="R63" i="1"/>
  <c r="Q64" i="1"/>
  <c r="L60" i="1"/>
  <c r="K61" i="1"/>
  <c r="U62" i="1"/>
  <c r="V61" i="1"/>
  <c r="T63" i="22"/>
  <c r="S64" i="22"/>
  <c r="P63" i="1"/>
  <c r="O64" i="1"/>
  <c r="S64" i="1"/>
  <c r="T63" i="1"/>
  <c r="M64" i="1"/>
  <c r="N63" i="1"/>
  <c r="N63" i="22" l="1"/>
  <c r="M64" i="22"/>
  <c r="V63" i="22"/>
  <c r="U64" i="22"/>
  <c r="L61" i="22"/>
  <c r="K62" i="22"/>
  <c r="O63" i="22"/>
  <c r="P62" i="22"/>
  <c r="R65" i="22"/>
  <c r="Q66" i="22"/>
  <c r="V62" i="1"/>
  <c r="U63" i="1"/>
  <c r="K62" i="1"/>
  <c r="L61" i="1"/>
  <c r="R64" i="1"/>
  <c r="Q65" i="1"/>
  <c r="S65" i="22"/>
  <c r="T64" i="22"/>
  <c r="S65" i="1"/>
  <c r="T64" i="1"/>
  <c r="O65" i="1"/>
  <c r="P64" i="1"/>
  <c r="M65" i="1"/>
  <c r="N64" i="1"/>
  <c r="N64" i="22" l="1"/>
  <c r="M65" i="22"/>
  <c r="L62" i="22"/>
  <c r="K63" i="22"/>
  <c r="V64" i="22"/>
  <c r="U65" i="22"/>
  <c r="P63" i="22"/>
  <c r="O64" i="22"/>
  <c r="Q67" i="22"/>
  <c r="R66" i="22"/>
  <c r="K63" i="1"/>
  <c r="L62" i="1"/>
  <c r="R65" i="1"/>
  <c r="Q66" i="1"/>
  <c r="U64" i="1"/>
  <c r="V63" i="1"/>
  <c r="S66" i="22"/>
  <c r="T65" i="22"/>
  <c r="P65" i="1"/>
  <c r="O66" i="1"/>
  <c r="T65" i="1"/>
  <c r="S66" i="1"/>
  <c r="N65" i="1"/>
  <c r="M66" i="1"/>
  <c r="N65" i="22" l="1"/>
  <c r="M66" i="22"/>
  <c r="L63" i="22"/>
  <c r="K64" i="22"/>
  <c r="U66" i="22"/>
  <c r="V65" i="22"/>
  <c r="O65" i="22"/>
  <c r="P64" i="22"/>
  <c r="Q68" i="22"/>
  <c r="R67" i="22"/>
  <c r="U65" i="1"/>
  <c r="V64" i="1"/>
  <c r="L63" i="1"/>
  <c r="K64" i="1"/>
  <c r="R66" i="1"/>
  <c r="Q67" i="1"/>
  <c r="S67" i="22"/>
  <c r="T66" i="22"/>
  <c r="S67" i="1"/>
  <c r="T66" i="1"/>
  <c r="P66" i="1"/>
  <c r="O67" i="1"/>
  <c r="M67" i="1"/>
  <c r="N66" i="1"/>
  <c r="M67" i="22" l="1"/>
  <c r="N66" i="22"/>
  <c r="O66" i="22"/>
  <c r="P65" i="22"/>
  <c r="L64" i="22"/>
  <c r="K65" i="22"/>
  <c r="V66" i="22"/>
  <c r="U67" i="22"/>
  <c r="Q69" i="22"/>
  <c r="R68" i="22"/>
  <c r="V65" i="1"/>
  <c r="U66" i="1"/>
  <c r="R67" i="1"/>
  <c r="Q68" i="1"/>
  <c r="K65" i="1"/>
  <c r="L64" i="1"/>
  <c r="T67" i="22"/>
  <c r="S68" i="22"/>
  <c r="T67" i="1"/>
  <c r="S68" i="1"/>
  <c r="O68" i="1"/>
  <c r="P67" i="1"/>
  <c r="M68" i="1"/>
  <c r="N67" i="1"/>
  <c r="M68" i="22" l="1"/>
  <c r="N67" i="22"/>
  <c r="P66" i="22"/>
  <c r="O67" i="22"/>
  <c r="K66" i="22"/>
  <c r="L65" i="22"/>
  <c r="V67" i="22"/>
  <c r="U68" i="22"/>
  <c r="R69" i="22"/>
  <c r="Q70" i="22"/>
  <c r="L65" i="1"/>
  <c r="K66" i="1"/>
  <c r="R68" i="1"/>
  <c r="Q69" i="1"/>
  <c r="V66" i="1"/>
  <c r="U67" i="1"/>
  <c r="S69" i="22"/>
  <c r="T68" i="22"/>
  <c r="T68" i="1"/>
  <c r="S69" i="1"/>
  <c r="O69" i="1"/>
  <c r="P68" i="1"/>
  <c r="N68" i="1"/>
  <c r="M69" i="1"/>
  <c r="N68" i="22" l="1"/>
  <c r="M69" i="22"/>
  <c r="V68" i="22"/>
  <c r="U69" i="22"/>
  <c r="O68" i="22"/>
  <c r="P67" i="22"/>
  <c r="K67" i="22"/>
  <c r="L66" i="22"/>
  <c r="R70" i="22"/>
  <c r="Q71" i="22"/>
  <c r="U68" i="1"/>
  <c r="V67" i="1"/>
  <c r="R69" i="1"/>
  <c r="Q70" i="1"/>
  <c r="L66" i="1"/>
  <c r="K67" i="1"/>
  <c r="T69" i="22"/>
  <c r="S70" i="22"/>
  <c r="S70" i="1"/>
  <c r="T69" i="1"/>
  <c r="P69" i="1"/>
  <c r="O70" i="1"/>
  <c r="M70" i="1"/>
  <c r="N69" i="1"/>
  <c r="M70" i="22" l="1"/>
  <c r="N69" i="22"/>
  <c r="U70" i="22"/>
  <c r="V69" i="22"/>
  <c r="L67" i="22"/>
  <c r="K68" i="22"/>
  <c r="P68" i="22"/>
  <c r="O69" i="22"/>
  <c r="Q72" i="22"/>
  <c r="R71" i="22"/>
  <c r="V68" i="1"/>
  <c r="U69" i="1"/>
  <c r="K68" i="1"/>
  <c r="L67" i="1"/>
  <c r="R70" i="1"/>
  <c r="Q71" i="1"/>
  <c r="T70" i="22"/>
  <c r="S71" i="22"/>
  <c r="O71" i="1"/>
  <c r="P70" i="1"/>
  <c r="T70" i="1"/>
  <c r="S71" i="1"/>
  <c r="N70" i="1"/>
  <c r="M71" i="1"/>
  <c r="M71" i="22" l="1"/>
  <c r="N70" i="22"/>
  <c r="O70" i="22"/>
  <c r="P69" i="22"/>
  <c r="V70" i="22"/>
  <c r="U71" i="22"/>
  <c r="L68" i="22"/>
  <c r="K69" i="22"/>
  <c r="R72" i="22"/>
  <c r="Q73" i="22"/>
  <c r="K69" i="1"/>
  <c r="L68" i="1"/>
  <c r="Q72" i="1"/>
  <c r="R71" i="1"/>
  <c r="U70" i="1"/>
  <c r="V69" i="1"/>
  <c r="T71" i="22"/>
  <c r="S72" i="22"/>
  <c r="T71" i="1"/>
  <c r="S72" i="1"/>
  <c r="O72" i="1"/>
  <c r="P71" i="1"/>
  <c r="N71" i="1"/>
  <c r="M72" i="1"/>
  <c r="M72" i="22" l="1"/>
  <c r="N71" i="22"/>
  <c r="P70" i="22"/>
  <c r="O71" i="22"/>
  <c r="U72" i="22"/>
  <c r="V71" i="22"/>
  <c r="L69" i="22"/>
  <c r="K70" i="22"/>
  <c r="Q74" i="22"/>
  <c r="R73" i="22"/>
  <c r="V70" i="1"/>
  <c r="U71" i="1"/>
  <c r="R72" i="1"/>
  <c r="Q73" i="1"/>
  <c r="L69" i="1"/>
  <c r="K70" i="1"/>
  <c r="T72" i="22"/>
  <c r="S73" i="22"/>
  <c r="O73" i="1"/>
  <c r="P72" i="1"/>
  <c r="T72" i="1"/>
  <c r="S73" i="1"/>
  <c r="N72" i="1"/>
  <c r="M73" i="1"/>
  <c r="N72" i="22" l="1"/>
  <c r="M73" i="22"/>
  <c r="L70" i="22"/>
  <c r="K71" i="22"/>
  <c r="O72" i="22"/>
  <c r="P71" i="22"/>
  <c r="V72" i="22"/>
  <c r="U73" i="22"/>
  <c r="R74" i="22"/>
  <c r="Q75" i="22"/>
  <c r="K71" i="1"/>
  <c r="L70" i="1"/>
  <c r="R73" i="1"/>
  <c r="Q74" i="1"/>
  <c r="U72" i="1"/>
  <c r="V71" i="1"/>
  <c r="T73" i="22"/>
  <c r="S74" i="22"/>
  <c r="O74" i="1"/>
  <c r="P73" i="1"/>
  <c r="S74" i="1"/>
  <c r="T73" i="1"/>
  <c r="M74" i="1"/>
  <c r="N73" i="1"/>
  <c r="M74" i="22" l="1"/>
  <c r="N73" i="22"/>
  <c r="K72" i="22"/>
  <c r="L71" i="22"/>
  <c r="U74" i="22"/>
  <c r="V73" i="22"/>
  <c r="P72" i="22"/>
  <c r="O73" i="22"/>
  <c r="Q76" i="22"/>
  <c r="R75" i="22"/>
  <c r="U73" i="1"/>
  <c r="V72" i="1"/>
  <c r="K72" i="1"/>
  <c r="L71" i="1"/>
  <c r="Q75" i="1"/>
  <c r="R74" i="1"/>
  <c r="T74" i="22"/>
  <c r="S75" i="22"/>
  <c r="S75" i="1"/>
  <c r="T74" i="1"/>
  <c r="O75" i="1"/>
  <c r="P74" i="1"/>
  <c r="N74" i="1"/>
  <c r="M75" i="1"/>
  <c r="M75" i="22" l="1"/>
  <c r="N74" i="22"/>
  <c r="O74" i="22"/>
  <c r="P73" i="22"/>
  <c r="K73" i="22"/>
  <c r="L72" i="22"/>
  <c r="U75" i="22"/>
  <c r="V74" i="22"/>
  <c r="R76" i="22"/>
  <c r="Q77" i="22"/>
  <c r="R75" i="1"/>
  <c r="Q76" i="1"/>
  <c r="L72" i="1"/>
  <c r="K73" i="1"/>
  <c r="U74" i="1"/>
  <c r="V73" i="1"/>
  <c r="T75" i="22"/>
  <c r="S76" i="22"/>
  <c r="P75" i="1"/>
  <c r="O76" i="1"/>
  <c r="T75" i="1"/>
  <c r="S76" i="1"/>
  <c r="M76" i="1"/>
  <c r="N75" i="1"/>
  <c r="N75" i="22" l="1"/>
  <c r="M76" i="22"/>
  <c r="U76" i="22"/>
  <c r="V75" i="22"/>
  <c r="O75" i="22"/>
  <c r="P74" i="22"/>
  <c r="L73" i="22"/>
  <c r="K74" i="22"/>
  <c r="R77" i="22"/>
  <c r="Q78" i="22"/>
  <c r="U75" i="1"/>
  <c r="V74" i="1"/>
  <c r="L73" i="1"/>
  <c r="K74" i="1"/>
  <c r="R76" i="1"/>
  <c r="Q77" i="1"/>
  <c r="S77" i="22"/>
  <c r="T76" i="22"/>
  <c r="T76" i="1"/>
  <c r="S77" i="1"/>
  <c r="O77" i="1"/>
  <c r="P76" i="1"/>
  <c r="M77" i="1"/>
  <c r="N76" i="1"/>
  <c r="M77" i="22" l="1"/>
  <c r="N76" i="22"/>
  <c r="K75" i="22"/>
  <c r="L74" i="22"/>
  <c r="V76" i="22"/>
  <c r="U77" i="22"/>
  <c r="O76" i="22"/>
  <c r="P75" i="22"/>
  <c r="R78" i="22"/>
  <c r="Q79" i="22"/>
  <c r="V75" i="1"/>
  <c r="U76" i="1"/>
  <c r="Q78" i="1"/>
  <c r="R77" i="1"/>
  <c r="L74" i="1"/>
  <c r="K75" i="1"/>
  <c r="S78" i="22"/>
  <c r="T77" i="22"/>
  <c r="P77" i="1"/>
  <c r="O78" i="1"/>
  <c r="S78" i="1"/>
  <c r="T77" i="1"/>
  <c r="N77" i="1"/>
  <c r="M78" i="1"/>
  <c r="N77" i="22" l="1"/>
  <c r="M78" i="22"/>
  <c r="L75" i="22"/>
  <c r="K76" i="22"/>
  <c r="U78" i="22"/>
  <c r="V77" i="22"/>
  <c r="O77" i="22"/>
  <c r="P76" i="22"/>
  <c r="R79" i="22"/>
  <c r="Q80" i="22"/>
  <c r="R78" i="1"/>
  <c r="Q79" i="1"/>
  <c r="K76" i="1"/>
  <c r="L75" i="1"/>
  <c r="U77" i="1"/>
  <c r="V76" i="1"/>
  <c r="T78" i="22"/>
  <c r="S79" i="22"/>
  <c r="S79" i="1"/>
  <c r="T78" i="1"/>
  <c r="P78" i="1"/>
  <c r="O79" i="1"/>
  <c r="N78" i="1"/>
  <c r="M79" i="1"/>
  <c r="N78" i="22" l="1"/>
  <c r="M79" i="22"/>
  <c r="K77" i="22"/>
  <c r="L76" i="22"/>
  <c r="P77" i="22"/>
  <c r="O78" i="22"/>
  <c r="V78" i="22"/>
  <c r="U79" i="22"/>
  <c r="R80" i="22"/>
  <c r="Q81" i="22"/>
  <c r="U78" i="1"/>
  <c r="V77" i="1"/>
  <c r="L76" i="1"/>
  <c r="K77" i="1"/>
  <c r="Q80" i="1"/>
  <c r="R79" i="1"/>
  <c r="S80" i="22"/>
  <c r="T79" i="22"/>
  <c r="S80" i="1"/>
  <c r="T79" i="1"/>
  <c r="O80" i="1"/>
  <c r="P79" i="1"/>
  <c r="M80" i="1"/>
  <c r="N79" i="1"/>
  <c r="M80" i="22" l="1"/>
  <c r="N79" i="22"/>
  <c r="V79" i="22"/>
  <c r="U80" i="22"/>
  <c r="P78" i="22"/>
  <c r="O79" i="22"/>
  <c r="K78" i="22"/>
  <c r="L77" i="22"/>
  <c r="R81" i="22"/>
  <c r="Q82" i="22"/>
  <c r="Q81" i="1"/>
  <c r="R80" i="1"/>
  <c r="V78" i="1"/>
  <c r="U79" i="1"/>
  <c r="K78" i="1"/>
  <c r="L77" i="1"/>
  <c r="T80" i="22"/>
  <c r="S81" i="22"/>
  <c r="O81" i="1"/>
  <c r="P80" i="1"/>
  <c r="T80" i="1"/>
  <c r="S81" i="1"/>
  <c r="N80" i="1"/>
  <c r="M81" i="1"/>
  <c r="M81" i="22" l="1"/>
  <c r="N80" i="22"/>
  <c r="O80" i="22"/>
  <c r="P79" i="22"/>
  <c r="V80" i="22"/>
  <c r="U81" i="22"/>
  <c r="K79" i="22"/>
  <c r="L78" i="22"/>
  <c r="R82" i="22"/>
  <c r="Q83" i="22"/>
  <c r="K79" i="1"/>
  <c r="L78" i="1"/>
  <c r="R81" i="1"/>
  <c r="Q82" i="1"/>
  <c r="U80" i="1"/>
  <c r="V79" i="1"/>
  <c r="T81" i="22"/>
  <c r="S82" i="22"/>
  <c r="S82" i="1"/>
  <c r="T81" i="1"/>
  <c r="O82" i="1"/>
  <c r="P81" i="1"/>
  <c r="M82" i="1"/>
  <c r="N81" i="1"/>
  <c r="N81" i="22" l="1"/>
  <c r="M82" i="22"/>
  <c r="O81" i="22"/>
  <c r="P80" i="22"/>
  <c r="V81" i="22"/>
  <c r="U82" i="22"/>
  <c r="K80" i="22"/>
  <c r="L79" i="22"/>
  <c r="Q84" i="22"/>
  <c r="R83" i="22"/>
  <c r="V80" i="1"/>
  <c r="U81" i="1"/>
  <c r="K80" i="1"/>
  <c r="L79" i="1"/>
  <c r="Q83" i="1"/>
  <c r="R82" i="1"/>
  <c r="S83" i="22"/>
  <c r="T82" i="22"/>
  <c r="P82" i="1"/>
  <c r="O83" i="1"/>
  <c r="S83" i="1"/>
  <c r="T82" i="1"/>
  <c r="N82" i="1"/>
  <c r="M83" i="1"/>
  <c r="N82" i="22" l="1"/>
  <c r="M83" i="22"/>
  <c r="K81" i="22"/>
  <c r="L80" i="22"/>
  <c r="V82" i="22"/>
  <c r="U83" i="22"/>
  <c r="P81" i="22"/>
  <c r="O82" i="22"/>
  <c r="R84" i="22"/>
  <c r="Q85" i="22"/>
  <c r="R83" i="1"/>
  <c r="Q84" i="1"/>
  <c r="K81" i="1"/>
  <c r="L80" i="1"/>
  <c r="V81" i="1"/>
  <c r="U82" i="1"/>
  <c r="S84" i="22"/>
  <c r="T83" i="22"/>
  <c r="T83" i="1"/>
  <c r="S84" i="1"/>
  <c r="O84" i="1"/>
  <c r="P83" i="1"/>
  <c r="N83" i="1"/>
  <c r="M84" i="1"/>
  <c r="M84" i="22" l="1"/>
  <c r="N83" i="22"/>
  <c r="U84" i="22"/>
  <c r="V83" i="22"/>
  <c r="O83" i="22"/>
  <c r="P82" i="22"/>
  <c r="K82" i="22"/>
  <c r="L81" i="22"/>
  <c r="Q86" i="22"/>
  <c r="R85" i="22"/>
  <c r="K82" i="1"/>
  <c r="L81" i="1"/>
  <c r="U83" i="1"/>
  <c r="V82" i="1"/>
  <c r="Q85" i="1"/>
  <c r="R84" i="1"/>
  <c r="S85" i="22"/>
  <c r="T84" i="22"/>
  <c r="P84" i="1"/>
  <c r="O85" i="1"/>
  <c r="T84" i="1"/>
  <c r="S85" i="1"/>
  <c r="N84" i="1"/>
  <c r="M85" i="1"/>
  <c r="M85" i="22" l="1"/>
  <c r="N84" i="22"/>
  <c r="L82" i="22"/>
  <c r="K83" i="22"/>
  <c r="U85" i="22"/>
  <c r="V84" i="22"/>
  <c r="O84" i="22"/>
  <c r="P83" i="22"/>
  <c r="R86" i="22"/>
  <c r="Q87" i="22"/>
  <c r="R87" i="22" s="1"/>
  <c r="Q86" i="1"/>
  <c r="R85" i="1"/>
  <c r="U84" i="1"/>
  <c r="V83" i="1"/>
  <c r="K83" i="1"/>
  <c r="L82" i="1"/>
  <c r="T85" i="22"/>
  <c r="S86" i="22"/>
  <c r="S86" i="1"/>
  <c r="T85" i="1"/>
  <c r="O86" i="1"/>
  <c r="P85" i="1"/>
  <c r="N85" i="1"/>
  <c r="M86" i="1"/>
  <c r="M86" i="22" l="1"/>
  <c r="N85" i="22"/>
  <c r="P84" i="22"/>
  <c r="O85" i="22"/>
  <c r="K84" i="22"/>
  <c r="L83" i="22"/>
  <c r="V85" i="22"/>
  <c r="U86" i="22"/>
  <c r="L83" i="1"/>
  <c r="K84" i="1"/>
  <c r="U85" i="1"/>
  <c r="V84" i="1"/>
  <c r="Q87" i="1"/>
  <c r="R87" i="1" s="1"/>
  <c r="R86" i="1"/>
  <c r="S87" i="22"/>
  <c r="T87" i="22" s="1"/>
  <c r="T86" i="22"/>
  <c r="O87" i="1"/>
  <c r="P87" i="1" s="1"/>
  <c r="P86" i="1"/>
  <c r="S87" i="1"/>
  <c r="T87" i="1" s="1"/>
  <c r="T86" i="1"/>
  <c r="N86" i="1"/>
  <c r="M87" i="1"/>
  <c r="N87" i="1" s="1"/>
  <c r="M87" i="22" l="1"/>
  <c r="N87" i="22" s="1"/>
  <c r="N86" i="22"/>
  <c r="K85" i="22"/>
  <c r="L84" i="22"/>
  <c r="U87" i="22"/>
  <c r="V87" i="22" s="1"/>
  <c r="V86" i="22"/>
  <c r="P85" i="22"/>
  <c r="O86" i="22"/>
  <c r="V85" i="1"/>
  <c r="U86" i="1"/>
  <c r="K85" i="1"/>
  <c r="L84" i="1"/>
  <c r="O87" i="22" l="1"/>
  <c r="P87" i="22" s="1"/>
  <c r="P86" i="22"/>
  <c r="L85" i="22"/>
  <c r="K86" i="22"/>
  <c r="K86" i="1"/>
  <c r="L85" i="1"/>
  <c r="V86" i="1"/>
  <c r="U87" i="1"/>
  <c r="V87" i="1" s="1"/>
  <c r="L86" i="22" l="1"/>
  <c r="K87" i="22"/>
  <c r="L87" i="22" s="1"/>
  <c r="L86" i="1"/>
  <c r="K87" i="1"/>
  <c r="L87" i="1" s="1"/>
</calcChain>
</file>

<file path=xl/sharedStrings.xml><?xml version="1.0" encoding="utf-8"?>
<sst xmlns="http://schemas.openxmlformats.org/spreadsheetml/2006/main" count="11459" uniqueCount="1365">
  <si>
    <t xml:space="preserve">  </t>
  </si>
  <si>
    <t>Atmospheric Pressure Change Calculations</t>
  </si>
  <si>
    <t>mph</t>
  </si>
  <si>
    <t>ft</t>
  </si>
  <si>
    <t>lbm/cu ft</t>
  </si>
  <si>
    <t>PC-3</t>
  </si>
  <si>
    <t>PC-4</t>
  </si>
  <si>
    <t>Air Density</t>
  </si>
  <si>
    <t>Maximum radius</t>
  </si>
  <si>
    <t>=</t>
  </si>
  <si>
    <t>Velocity @ maximum radius</t>
  </si>
  <si>
    <t>Translational velocity</t>
  </si>
  <si>
    <t>Atmospheric Pressure Change</t>
  </si>
  <si>
    <t>APC Rate</t>
  </si>
  <si>
    <t>∂p/∂t</t>
  </si>
  <si>
    <t>Δp</t>
  </si>
  <si>
    <t>psf/sec</t>
  </si>
  <si>
    <t>psf</t>
  </si>
  <si>
    <t>Total velocity</t>
  </si>
  <si>
    <t>ERN 2/3 TX Panhandle</t>
  </si>
  <si>
    <t>WRN 1/3 TX Panhandle</t>
  </si>
  <si>
    <t>Oklahoma Panhandle</t>
  </si>
  <si>
    <t>Threshold**</t>
  </si>
  <si>
    <t>**   Assumes that a tornado has occurred.</t>
  </si>
  <si>
    <t>where:</t>
  </si>
  <si>
    <t>N = number of years of record</t>
  </si>
  <si>
    <t>The total probability of a structure being struck by a tornado with winds exceeding some value u is the sum of the point structure and life-line probabilities:</t>
  </si>
  <si>
    <t>Point Structure Probability:</t>
  </si>
  <si>
    <t>"N" =</t>
  </si>
  <si>
    <t>Area
(sq. mi.)</t>
  </si>
  <si>
    <t>Probability</t>
  </si>
  <si>
    <t>Finite Structure Probability:</t>
  </si>
  <si>
    <t>1.     Point Structure Probability:</t>
  </si>
  <si>
    <t>a.     Strike Probability:</t>
  </si>
  <si>
    <t>b.     Conditional Probabililty:</t>
  </si>
  <si>
    <t>2.     Life-Line (Finite Structure) Probability:</t>
  </si>
  <si>
    <t>3.     TOTAL STRIKE PROBABILITY:</t>
  </si>
  <si>
    <t>21 mi. NW of Miami
See note #1.
Large low pressure trough in SRN CO/NRN NM provided SW winds aloft, and provided a lifting source.  Stationary warm front from Vega to Perryton and into SRN KS.  High moisture plume (65 degree dp) moving NNW in the far NERN TX and OK Panhandles.  In addition, a cold front from NERN NM to SWRN KS was moving SE.</t>
  </si>
  <si>
    <t>10 mi. NE of Lutie</t>
  </si>
  <si>
    <t>6 mi. NW of Canadian</t>
  </si>
  <si>
    <t>1 mi. E of Wheeler
See note #1.</t>
  </si>
  <si>
    <t>El Nino to neutral</t>
  </si>
  <si>
    <t>Strong El Nino to El Nino</t>
  </si>
  <si>
    <t>La Nina to weak La Nina</t>
  </si>
  <si>
    <t>Drought year / weak La Nina to neutral</t>
  </si>
  <si>
    <t>5 mi. SSE of Texline</t>
  </si>
  <si>
    <t>4 mi. W of Hooker
Storm Data confirms the NCDC database listed second touchdown at the same time and place.</t>
  </si>
  <si>
    <t>4 mi. E of Claude</t>
  </si>
  <si>
    <t>5 mi. E of Clarendon</t>
  </si>
  <si>
    <t>13 mi. S of Stratford
See note #1.</t>
  </si>
  <si>
    <t>9 mi. SE of Panhandle
See note #1.</t>
  </si>
  <si>
    <t>5 mi. N of Laketon
See note #1.</t>
  </si>
  <si>
    <t>3 mi. S of Romero
See note #1.
Strong upper low in WRN NM moving NE.  Moist upslope flow @ the surface.</t>
  </si>
  <si>
    <t>5 mi. W of Canyon
See note #1.
A cold front was slowly pushing S through the SRN TX Panhandle, while a strong upper low located over the SWRN states was moving E.</t>
  </si>
  <si>
    <t>8 mi. NW of Canyon</t>
  </si>
  <si>
    <t>15 mi. WSW of Miami
See note #1.
Surface low in SERN CO with a warm front extending SE across the NRN sections of the TX Panhandle.  A dryline extended from the low SWRD across ERN NM.</t>
  </si>
  <si>
    <t>5 mi. SW of Perryton</t>
  </si>
  <si>
    <t>5 mi. SW of Wayside
See note #1.</t>
  </si>
  <si>
    <t>16 mi. NE of Canadian</t>
  </si>
  <si>
    <t>8 mi. W of Wheeler</t>
  </si>
  <si>
    <t>In Guymon
Minor damage reported.</t>
  </si>
  <si>
    <t>6 mi. N of Stratford</t>
  </si>
  <si>
    <t>In Optima
Minor damage reported.</t>
  </si>
  <si>
    <t>1 mi. S of Sunray</t>
  </si>
  <si>
    <t>Near Tyrone</t>
  </si>
  <si>
    <t>3 mi. W of Beaver</t>
  </si>
  <si>
    <t>2 mi. N of Stinnett</t>
  </si>
  <si>
    <t>8 mi. NNW of Canyon
See note #1.</t>
  </si>
  <si>
    <t>9 mi. S of Clarendon
See note #1.</t>
  </si>
  <si>
    <t>At Buffalo lake
See note #1.</t>
  </si>
  <si>
    <t>7 mi. NE of Gageby
See note #1.</t>
  </si>
  <si>
    <t>6 mi. SE of Slapout</t>
  </si>
  <si>
    <t>9 mi. W of Dalhart
See note #1.</t>
  </si>
  <si>
    <t>10 mi. WSW of Hereford</t>
  </si>
  <si>
    <t xml:space="preserve">ρ </t>
  </si>
  <si>
    <t>Areas obtained from Wikipedia Encyclopedia.</t>
  </si>
  <si>
    <t>Cimmaron</t>
  </si>
  <si>
    <t>2 mi. NW of Lefors</t>
  </si>
  <si>
    <t>4 mi. ENE of Pampa</t>
  </si>
  <si>
    <t>5 mi. NE of Pampa</t>
  </si>
  <si>
    <t>Tornado originated in Randall Co.</t>
  </si>
  <si>
    <t>Tornado crossed into Oldham Co.</t>
  </si>
  <si>
    <t>14 mi. SW of Amarillo</t>
  </si>
  <si>
    <t>7 mi. W of Canyon</t>
  </si>
  <si>
    <t>Tornado originated in Deaf Smith Co.</t>
  </si>
  <si>
    <t>Tornado crossed into Wheeler Co.</t>
  </si>
  <si>
    <t>Tornado originated in Collingsworth Co.</t>
  </si>
  <si>
    <t>8 mi. N of Optima
Tornado crossed into Kansas.</t>
  </si>
  <si>
    <t>17 mi. SSE of Canyon
The end of the "Happy" tornado, which originated in Swisher Co.</t>
  </si>
  <si>
    <t>14 mi. WSW of Miami</t>
  </si>
  <si>
    <t>Tornado crossed into Oklahoma.</t>
  </si>
  <si>
    <t>Tornado crossed into Ochiltree Co.</t>
  </si>
  <si>
    <t>Tornado originated in Hansford Co.</t>
  </si>
  <si>
    <t>Tornado originated in Moore Co.</t>
  </si>
  <si>
    <t>4 mi. N of McLean
Dryline along the Caprock triggered the storms.  This was an early start to the busiest tornado season to date for the Amarillo NWS CWA.</t>
  </si>
  <si>
    <t>2 mi. WSW of Lela</t>
  </si>
  <si>
    <t>3 mi. S of Kelton</t>
  </si>
  <si>
    <t>3 mi. N of Panhandle
Moved towards White Deer, lifting just west of town.</t>
  </si>
  <si>
    <t>S side of White Deer</t>
  </si>
  <si>
    <t>3 mi. S of Quail</t>
  </si>
  <si>
    <t>Tornado originated in Swisher Co.</t>
  </si>
  <si>
    <t>Tornado touched down in Amarillo.</t>
  </si>
  <si>
    <t>1 mi. SE of Lefors
See note #1.</t>
  </si>
  <si>
    <t>15 mi. SE of Canyon</t>
  </si>
  <si>
    <t>10 mi. E of Claude</t>
  </si>
  <si>
    <t>16 mi. SW of Lipscomb</t>
  </si>
  <si>
    <t>29 mi. E of Perryton Airport</t>
  </si>
  <si>
    <t>16 mi. NE of Stinnett
See note #1.</t>
  </si>
  <si>
    <t>14 mi. NE of Stinnett
See note #1.</t>
  </si>
  <si>
    <t>3 mi. NNE of Keyes
See note #1.</t>
  </si>
  <si>
    <t>5 mi. NNW of Eva
See note #1.</t>
  </si>
  <si>
    <t>5 mi. ENE of Eva
See note #1.</t>
  </si>
  <si>
    <t>If a structure is large, the probability of being struck by a tornado is greater than that based only on tornado dimensions.  The additional probability is determined by a characteristic dimension of the structure and the expected length for tornadoes.  Similarly to "Point Structure Probability," "Life-Line Probability" also has two components, a strike probability independent of intensity and a conditional probability that considers intensity.</t>
  </si>
  <si>
    <t>yrs</t>
  </si>
  <si>
    <t>mi</t>
  </si>
  <si>
    <t>(mi)</t>
  </si>
  <si>
    <t>Path Length</t>
  </si>
  <si>
    <t>6 mi. NW of Bryans Corner
Significant damage on the W side of U.S. Hwy 83.</t>
  </si>
  <si>
    <t>8 mi. SSW of Pampa
Until May of 2003, this date held the record for number of tornadoes in a single day.</t>
  </si>
  <si>
    <t>2 mi. E of Pampa</t>
  </si>
  <si>
    <t>1 mi. NE of Four Way</t>
  </si>
  <si>
    <t>5 mi. SW of McLean</t>
  </si>
  <si>
    <t>3 mi. SW of McLean</t>
  </si>
  <si>
    <t>YEAR</t>
  </si>
  <si>
    <t>TOTALS</t>
  </si>
  <si>
    <t>COUNTY</t>
  </si>
  <si>
    <t>Cimarron</t>
  </si>
  <si>
    <t>Texas</t>
  </si>
  <si>
    <t>Beaver</t>
  </si>
  <si>
    <t>Dallam</t>
  </si>
  <si>
    <t>Sherman</t>
  </si>
  <si>
    <t>Hansford</t>
  </si>
  <si>
    <t>Ochiltree</t>
  </si>
  <si>
    <t>Lipscomb</t>
  </si>
  <si>
    <t>Hartley</t>
  </si>
  <si>
    <t>Moore</t>
  </si>
  <si>
    <t>Hutchinson</t>
  </si>
  <si>
    <t>Roberts</t>
  </si>
  <si>
    <t>Hemphill</t>
  </si>
  <si>
    <t>Oldham</t>
  </si>
  <si>
    <t>Potter</t>
  </si>
  <si>
    <t>Carson</t>
  </si>
  <si>
    <t>Gray</t>
  </si>
  <si>
    <t>Wheeler</t>
  </si>
  <si>
    <t>Deaf Smith</t>
  </si>
  <si>
    <t>Randall</t>
  </si>
  <si>
    <t>Armstrong</t>
  </si>
  <si>
    <t>Donley</t>
  </si>
  <si>
    <t>Collingsworth</t>
  </si>
  <si>
    <t>F0</t>
  </si>
  <si>
    <t>F1</t>
  </si>
  <si>
    <t>F2</t>
  </si>
  <si>
    <t>F3</t>
  </si>
  <si>
    <t>F4</t>
  </si>
  <si>
    <t xml:space="preserve">    Based on current Amarillo NWS CWA (23 counties)</t>
  </si>
  <si>
    <t>Yearly</t>
  </si>
  <si>
    <t>Totals</t>
  </si>
  <si>
    <t>10-Year</t>
  </si>
  <si>
    <t>Average</t>
  </si>
  <si>
    <t>Cumulative</t>
  </si>
  <si>
    <t>Number of years of data:</t>
  </si>
  <si>
    <t>Cum. Avg.</t>
  </si>
  <si>
    <t>TX Panhandle Tornadoes:</t>
  </si>
  <si>
    <t>OK Panhandle Tornadoes:</t>
  </si>
  <si>
    <t>Total area in NWS CWA (square miles)</t>
  </si>
  <si>
    <t>Date</t>
  </si>
  <si>
    <t>Time</t>
  </si>
  <si>
    <t>(CST)</t>
  </si>
  <si>
    <t>County</t>
  </si>
  <si>
    <t>Rating</t>
  </si>
  <si>
    <t>(Yards)</t>
  </si>
  <si>
    <t>(Miles)</t>
  </si>
  <si>
    <t>Year</t>
  </si>
  <si>
    <t>January</t>
  </si>
  <si>
    <t>February</t>
  </si>
  <si>
    <t>March</t>
  </si>
  <si>
    <t>April</t>
  </si>
  <si>
    <t>May</t>
  </si>
  <si>
    <t>June</t>
  </si>
  <si>
    <t>July</t>
  </si>
  <si>
    <t>August</t>
  </si>
  <si>
    <t>September</t>
  </si>
  <si>
    <t>October</t>
  </si>
  <si>
    <t>November</t>
  </si>
  <si>
    <t>December</t>
  </si>
  <si>
    <t>Month</t>
  </si>
  <si>
    <t>Day</t>
  </si>
  <si>
    <t>TX</t>
  </si>
  <si>
    <t>OK</t>
  </si>
  <si>
    <t>EF2</t>
  </si>
  <si>
    <t>EF0</t>
  </si>
  <si>
    <t>EF1</t>
  </si>
  <si>
    <t>EF3</t>
  </si>
  <si>
    <t>(table)</t>
  </si>
  <si>
    <t>(database)</t>
  </si>
  <si>
    <t>F0 / EF0</t>
  </si>
  <si>
    <t>F1 / EF1</t>
  </si>
  <si>
    <t>F2 / EF2</t>
  </si>
  <si>
    <t>F3 / EF3</t>
  </si>
  <si>
    <t>F4 / EF4</t>
  </si>
  <si>
    <t>F5 / EF5</t>
  </si>
  <si>
    <t>Weak (F0 / EF0 &amp; F1 / EF1)</t>
  </si>
  <si>
    <t>Strong (F2 / EF2 &amp; F3 / EF3)</t>
  </si>
  <si>
    <t>Violent (F4 / EF4 &amp; F5 / EF5)</t>
  </si>
  <si>
    <t>per</t>
  </si>
  <si>
    <t>Location</t>
  </si>
  <si>
    <t>7mi. WSW of Pringle</t>
  </si>
  <si>
    <t>4 mi. NNW of Channing</t>
  </si>
  <si>
    <t>1 mi. NNE of Wellington</t>
  </si>
  <si>
    <t>9 mi. NNW of Dodson</t>
  </si>
  <si>
    <t>Cum</t>
  </si>
  <si>
    <t>Num</t>
  </si>
  <si>
    <t>#</t>
  </si>
  <si>
    <t>Width</t>
  </si>
  <si>
    <t>Length</t>
  </si>
  <si>
    <t>(24 hr)</t>
  </si>
  <si>
    <t>(Hr)</t>
  </si>
  <si>
    <t>F5</t>
  </si>
  <si>
    <t>EF4</t>
  </si>
  <si>
    <t>EF5</t>
  </si>
  <si>
    <t>Total</t>
  </si>
  <si>
    <t>(All tornadoes)</t>
  </si>
  <si>
    <t>Notes</t>
  </si>
  <si>
    <t>%</t>
  </si>
  <si>
    <t>Concatenate</t>
  </si>
  <si>
    <t xml:space="preserve"> County and</t>
  </si>
  <si>
    <t>Strength</t>
  </si>
  <si>
    <t>Year and</t>
  </si>
  <si>
    <t># of YEARS</t>
  </si>
  <si>
    <t>OF DATA</t>
  </si>
  <si>
    <t>The "Sherwood Shores" or "Howardwick" tornado</t>
  </si>
  <si>
    <t>NOTE:  County crossing tornadoes are counted in each county they impact.</t>
  </si>
  <si>
    <t>Landspout in SE Claude</t>
  </si>
  <si>
    <t>Multiple brief touchdowns 1.1 mi. E of Balko</t>
  </si>
  <si>
    <t>Starting</t>
  </si>
  <si>
    <t>Near Griggs</t>
  </si>
  <si>
    <t>2 mi. NNE of Sturgis</t>
  </si>
  <si>
    <t>1 mi. E of Felt</t>
  </si>
  <si>
    <t>3 mi. E of Felt</t>
  </si>
  <si>
    <t>15 mi. SW of Boise City</t>
  </si>
  <si>
    <t>1 mi. N of Wheeless</t>
  </si>
  <si>
    <t>9 mi. ENE of Felt</t>
  </si>
  <si>
    <t>6 mi. SW of Hardesty</t>
  </si>
  <si>
    <t>14 mi. ENE of Guymon</t>
  </si>
  <si>
    <t>2 mi. SW of Eva</t>
  </si>
  <si>
    <t>17 mi. NNE of Guymon</t>
  </si>
  <si>
    <t>5 mi. W of Guymon</t>
  </si>
  <si>
    <t>1 mi. S of Guymon</t>
  </si>
  <si>
    <t>4 mi. W of Hooker</t>
  </si>
  <si>
    <t>7 mi. NW of Guymon</t>
  </si>
  <si>
    <t>3 mi. SW of Baker</t>
  </si>
  <si>
    <t>1 mi. W of Baker</t>
  </si>
  <si>
    <t>5 mi. W of Hooker</t>
  </si>
  <si>
    <t>4 mi. N of Eva</t>
  </si>
  <si>
    <t>7 mi. SE of Eva</t>
  </si>
  <si>
    <t>5 mi. N of Goodwell</t>
  </si>
  <si>
    <t>9 mi. N of Texhoma</t>
  </si>
  <si>
    <t>10 mi. N of Texhoma</t>
  </si>
  <si>
    <t>6 mi. W of Goodwell</t>
  </si>
  <si>
    <t>5 mi. SE of Tyrone</t>
  </si>
  <si>
    <t>1 mi. NE of Adams</t>
  </si>
  <si>
    <t>3 mi. SW of Adams</t>
  </si>
  <si>
    <t>13 mi. NW of Guymon</t>
  </si>
  <si>
    <t>11 mi. WSW of Hough</t>
  </si>
  <si>
    <t>5 mi. WNW of Guymon</t>
  </si>
  <si>
    <t>1 mi. NNE of Baker</t>
  </si>
  <si>
    <t>8 mi. WSW of Elmwood</t>
  </si>
  <si>
    <t>3 mi. W of Logan</t>
  </si>
  <si>
    <t>5 mi. N of Turpin</t>
  </si>
  <si>
    <t>8 mi. S of Balko</t>
  </si>
  <si>
    <t>8 mi. SE of Balko</t>
  </si>
  <si>
    <t>6 mi. NNW of Elmwood</t>
  </si>
  <si>
    <t>7 mi. SSW of Beaver</t>
  </si>
  <si>
    <t>7 mi. WSW of Turpin</t>
  </si>
  <si>
    <t>5 mi. NW of Forgan</t>
  </si>
  <si>
    <t>9 mi. SE of Beaver</t>
  </si>
  <si>
    <t>5 mi. NE of Wayside</t>
  </si>
  <si>
    <t>10 mi. S of Claude</t>
  </si>
  <si>
    <t>2 mi. NE of Wayside</t>
  </si>
  <si>
    <t>1 mi. SW of Wayside</t>
  </si>
  <si>
    <t>15 mi. SSE of Goodnight</t>
  </si>
  <si>
    <t>2 mi. ESE of Wayside</t>
  </si>
  <si>
    <t>3 mi. E of  Wayside</t>
  </si>
  <si>
    <t>6 mi. ENE of Wayside</t>
  </si>
  <si>
    <t>2 mi. S of Wayside</t>
  </si>
  <si>
    <t>6 mi. NE of Pantex</t>
  </si>
  <si>
    <t>3 mi. NNW of White Deer</t>
  </si>
  <si>
    <t>8 mi. N of Panhandle</t>
  </si>
  <si>
    <t>2 mi. W of Skellytown</t>
  </si>
  <si>
    <t>4 mi. W of White Deer</t>
  </si>
  <si>
    <t>15 mi. NE of Panhandle</t>
  </si>
  <si>
    <t>15 mi. SW of White Deer</t>
  </si>
  <si>
    <t>1 mi. E of Panhandle</t>
  </si>
  <si>
    <t>3 mi. S of Panhandle</t>
  </si>
  <si>
    <t>6 mi. SE of Panhandle</t>
  </si>
  <si>
    <t>3 mi. NE of Conway</t>
  </si>
  <si>
    <t>18 mi. N of Panhandle</t>
  </si>
  <si>
    <t>3 mi. W of Panhandle</t>
  </si>
  <si>
    <t>7 mi. SW of Pomeroy</t>
  </si>
  <si>
    <t>7 mi. NW of Panhandle</t>
  </si>
  <si>
    <t>1 mi. E of Conway</t>
  </si>
  <si>
    <t>5 mi. WNW of Panhandle</t>
  </si>
  <si>
    <t>3 mi. ESE of Conway</t>
  </si>
  <si>
    <t>2 mi. E of Panhandle</t>
  </si>
  <si>
    <t>10 mi. SW of White Deer</t>
  </si>
  <si>
    <t>1 mi. SW of Wellington</t>
  </si>
  <si>
    <t>5 mi. E of Wellington</t>
  </si>
  <si>
    <t>9 mi. W of Dozier</t>
  </si>
  <si>
    <t>7 mi. N of Quail</t>
  </si>
  <si>
    <t>6 mi. NNE of Wellington</t>
  </si>
  <si>
    <t>5 mi. S of Wellington</t>
  </si>
  <si>
    <t>10 mi. ENE of Perico</t>
  </si>
  <si>
    <t>3 mi. SE of Coldwater</t>
  </si>
  <si>
    <t>1 mi. E of Texline</t>
  </si>
  <si>
    <t>17 mi. N of Dalhart</t>
  </si>
  <si>
    <t>2 mi. SE of Texline</t>
  </si>
  <si>
    <t>6 mi. NW of Conlen</t>
  </si>
  <si>
    <t>22 mi. NW of Hereford</t>
  </si>
  <si>
    <t>20 mi. NW of Hereford</t>
  </si>
  <si>
    <t>1 mi. W of Dawn</t>
  </si>
  <si>
    <t>1 mi. NE of Hereford</t>
  </si>
  <si>
    <t>2 mi. W of Dawn</t>
  </si>
  <si>
    <t>26 mi. NW of Hereford</t>
  </si>
  <si>
    <t>23 mi. W of Hereford</t>
  </si>
  <si>
    <t>18 mi. NW of Hereford</t>
  </si>
  <si>
    <t>11 mi. N of Dawn</t>
  </si>
  <si>
    <t>10 mi. NNW of Hereford</t>
  </si>
  <si>
    <t>6 mi. SW of Clarendon</t>
  </si>
  <si>
    <t>8 mi. NNE of Clarendon</t>
  </si>
  <si>
    <t>18 mi. N of Clarendon</t>
  </si>
  <si>
    <t>7 mi. E of Hedley</t>
  </si>
  <si>
    <t>12 mi. E of Jericho</t>
  </si>
  <si>
    <t>In Ashtola.  Considerable damage reported.</t>
  </si>
  <si>
    <t>In Clarendon.  Minor damage reported.</t>
  </si>
  <si>
    <t>1 mi. NNE of Clarendon</t>
  </si>
  <si>
    <t>6 mi. ENE of Clarendon</t>
  </si>
  <si>
    <t>6 mi. NW of Hedley</t>
  </si>
  <si>
    <t>11 mi. N of Hedley</t>
  </si>
  <si>
    <t>9 mi. ESE of Jericho</t>
  </si>
  <si>
    <t>15 mi. ESE of Jericho</t>
  </si>
  <si>
    <t>6 mi. W of Laketon</t>
  </si>
  <si>
    <t>12 mi. NW of Alanreed</t>
  </si>
  <si>
    <t>10 mi. NE of Groom</t>
  </si>
  <si>
    <t>4 mi. NNE of Pampa</t>
  </si>
  <si>
    <t>2 mi. W of Alanreed</t>
  </si>
  <si>
    <t>1 mi. N of Laketon</t>
  </si>
  <si>
    <t>1 mi. W of Pampa</t>
  </si>
  <si>
    <t>8 mi. SW of Lefors</t>
  </si>
  <si>
    <t>15 mi. S of Pampa</t>
  </si>
  <si>
    <t>8 mi. W of Alanreed</t>
  </si>
  <si>
    <t>2 mi. E of Hoover</t>
  </si>
  <si>
    <t>1 mi. NE of Lefors</t>
  </si>
  <si>
    <t>15 mi. W of Alanreed</t>
  </si>
  <si>
    <t>5 mi. SW of Pampa</t>
  </si>
  <si>
    <t>4 mi. NW of Gruver</t>
  </si>
  <si>
    <t>2 mi. SSE of Spearman</t>
  </si>
  <si>
    <t>12 mi. SE of Spearman</t>
  </si>
  <si>
    <t>5 mi. W of Waka</t>
  </si>
  <si>
    <t>15 mi. NW of Gruver</t>
  </si>
  <si>
    <t>6 mi. S of Spearman</t>
  </si>
  <si>
    <t>8 mi. NW of Gruver</t>
  </si>
  <si>
    <t>12 mi. WSW of Gruver</t>
  </si>
  <si>
    <t>3 mi. NNW of Morse</t>
  </si>
  <si>
    <t>1 mi. E of Morse</t>
  </si>
  <si>
    <t>1 mi. NW of Morse</t>
  </si>
  <si>
    <t>6 mi. W of Spearman</t>
  </si>
  <si>
    <t>5 mi. S of Spearman</t>
  </si>
  <si>
    <t>Landspout 5 mi. W of Spearman</t>
  </si>
  <si>
    <t>Landspout 7 mi. W of Gruver</t>
  </si>
  <si>
    <t>5 mi. SE of Dalhart</t>
  </si>
  <si>
    <t>5 mi. SSW of Hartley</t>
  </si>
  <si>
    <t>10 mi. E of Hartley</t>
  </si>
  <si>
    <t>2 mi. N of Channing</t>
  </si>
  <si>
    <t>5 mi. N of Briscoe</t>
  </si>
  <si>
    <t>9 mi. NE of Miami</t>
  </si>
  <si>
    <t>1 mi. NW of Gageby</t>
  </si>
  <si>
    <t>16 mi. SSW of Canadian</t>
  </si>
  <si>
    <t>8 mi. NE of Stinnett</t>
  </si>
  <si>
    <t>20 mi. NE of Stinnett</t>
  </si>
  <si>
    <t>4 mi. NW of Pringle</t>
  </si>
  <si>
    <t>3 mi. E of Borger</t>
  </si>
  <si>
    <t>4 mi. SE of Borger</t>
  </si>
  <si>
    <t>10 mi. E of Pringle</t>
  </si>
  <si>
    <t>18 mi. E of Borger</t>
  </si>
  <si>
    <t>17 mi. E of Borger</t>
  </si>
  <si>
    <t>3 mi. NW of Borger</t>
  </si>
  <si>
    <t>4 mi. ENE of Borger</t>
  </si>
  <si>
    <t>13 mi. WSW of Lipscomb</t>
  </si>
  <si>
    <t>2 mi. SW of Follett</t>
  </si>
  <si>
    <t>6 mi. SW of Darrouzett</t>
  </si>
  <si>
    <t>19 mi. S of Booker</t>
  </si>
  <si>
    <t>3 mi. SW of Lipscomb</t>
  </si>
  <si>
    <t>8 mi. S of Darrouzett</t>
  </si>
  <si>
    <t>10 mi. E of Dumas</t>
  </si>
  <si>
    <t>10 mi. NE of Four Way</t>
  </si>
  <si>
    <t>6 mi. SW of Dumas</t>
  </si>
  <si>
    <t>4 mi. SW of Dumas</t>
  </si>
  <si>
    <t>1 mi. W of Masterson</t>
  </si>
  <si>
    <t>3 mi. E of Four Way</t>
  </si>
  <si>
    <t>8 mi. E of Dumas</t>
  </si>
  <si>
    <t>2 mi. SW of Sunray</t>
  </si>
  <si>
    <t>4 mi. E of Dumas</t>
  </si>
  <si>
    <t>6 mi. SW of Sunray</t>
  </si>
  <si>
    <t>22 mi. S of Perryton</t>
  </si>
  <si>
    <t>2 mi. S of Farnsworth</t>
  </si>
  <si>
    <t>21 mi. S of Perryton</t>
  </si>
  <si>
    <t>15 mi. WNW of Perryton</t>
  </si>
  <si>
    <t>1 mi. W of Perryton</t>
  </si>
  <si>
    <t>23 mi. SE of Perryton</t>
  </si>
  <si>
    <t>18 mi. SSE of Perryton</t>
  </si>
  <si>
    <t>27 mi. E of Perryton Airport</t>
  </si>
  <si>
    <t>25 mi. ESE of Perryton Airport</t>
  </si>
  <si>
    <t>Weak landspout 1 mi. SW of Perryton</t>
  </si>
  <si>
    <t>6 mi. WNW of Booker, or 5 mi NE of Twichell</t>
  </si>
  <si>
    <t>3 mi. SW of Vega</t>
  </si>
  <si>
    <t>2 mi. W of Vega</t>
  </si>
  <si>
    <t>1 mi. SW of Bushland</t>
  </si>
  <si>
    <t>4 mi. E of Bushland</t>
  </si>
  <si>
    <t>3 mi. W of Bushland</t>
  </si>
  <si>
    <t>10 mi. SW of Amarillo</t>
  </si>
  <si>
    <t>7 mi. N of Canyon</t>
  </si>
  <si>
    <t>8 mi. S of Canyon</t>
  </si>
  <si>
    <t>16 mi. ESE of Canyon</t>
  </si>
  <si>
    <t>Brief landspout 12 mi. SE of Amarillo</t>
  </si>
  <si>
    <t>12 mi. NE of Canyon</t>
  </si>
  <si>
    <t>4 mi. W of Canyon</t>
  </si>
  <si>
    <t>11 mi. WSW of Amarillo</t>
  </si>
  <si>
    <t>7 mi. NNW of Canyon</t>
  </si>
  <si>
    <t>3 mi. N of Canyon</t>
  </si>
  <si>
    <t>18 mi. SE of Canyon</t>
  </si>
  <si>
    <t>4 mi. E of Canyon</t>
  </si>
  <si>
    <t>17 mi. NNE of Pampa</t>
  </si>
  <si>
    <t>10 mi. NW of Miami</t>
  </si>
  <si>
    <t>8 mi. W of Miami</t>
  </si>
  <si>
    <t>18 mi. WNW of Canadian</t>
  </si>
  <si>
    <t>5 mi. N of Miami</t>
  </si>
  <si>
    <t>6 mi. NW of Miami</t>
  </si>
  <si>
    <t>9 mi. NW of Miami</t>
  </si>
  <si>
    <t>7 mi. NW of Miami</t>
  </si>
  <si>
    <t>33 mi. NW of Miami</t>
  </si>
  <si>
    <t>24 mi. SE of Stratford</t>
  </si>
  <si>
    <t>25 mi. SE of Stratford</t>
  </si>
  <si>
    <t>12 mi. SE of Stratford</t>
  </si>
  <si>
    <t>23 mi. SE of Lautz</t>
  </si>
  <si>
    <t>22 mi. SE of Stratford</t>
  </si>
  <si>
    <t>3 mi. W of Allison</t>
  </si>
  <si>
    <t>3 mi. W of Wheeler</t>
  </si>
  <si>
    <t>2 mi. NE of Lela</t>
  </si>
  <si>
    <t>8 mi. E of Shamrock</t>
  </si>
  <si>
    <t>5 mi. W of Mobeetie</t>
  </si>
  <si>
    <t>1 mi. SE of Mobeetie</t>
  </si>
  <si>
    <t>10 mi. SW of Wheeler</t>
  </si>
  <si>
    <t>7 mi. W of Shamrock</t>
  </si>
  <si>
    <t>5 mi. N of Kellerville</t>
  </si>
  <si>
    <t>5 mi. W of Twitty</t>
  </si>
  <si>
    <t>4 mi. SE of Kellerville, &amp; hit Pakan.</t>
  </si>
  <si>
    <t>Anticyclonic tornado touched down 2 mi. N of Twitty.</t>
  </si>
  <si>
    <t>5 mi. S of Wheeler</t>
  </si>
  <si>
    <t>Near Kellerville</t>
  </si>
  <si>
    <t>3 mi. N of Wheeler</t>
  </si>
  <si>
    <t>Small tornado NW of Bishop Hills, near Amarillo.</t>
  </si>
  <si>
    <t>Near Higgins</t>
  </si>
  <si>
    <t>Near Conway</t>
  </si>
  <si>
    <t>Near Umbarger</t>
  </si>
  <si>
    <t>Start location unknown</t>
  </si>
  <si>
    <t>5 mi. SE of Amarillo.  Several touchdowns as the tornado crossed into Potter Co. moving north.</t>
  </si>
  <si>
    <t>4 mi. N of Felt</t>
  </si>
  <si>
    <t>5 mi. W of Ogg</t>
  </si>
  <si>
    <t>1 mi. N of Masterson
This is the start of the Fritch tornado family.</t>
  </si>
  <si>
    <t>1 mi. E of Fritch
This tornado was eventually absorbed into the F4 tornado.</t>
  </si>
  <si>
    <t>13 mi. SSE of -4.5
Just inside the OK state line about 5 mi. W of 207.</t>
  </si>
  <si>
    <t>10 mi. WNW of Gruver
A trough of low pressure extended into the Panhandle from a surface low in SE CO.  Warm front moving N across the Panhandles.  Svr tstms developed in the N central TX Panhandle and then extended into the S central portions of the TX Panhandle.</t>
  </si>
  <si>
    <t>5 mi. ESE of Amarillo
Tornado originated in Randall Co., then moved into Potter Co.  Several touchdowns continued through the ERN portion of Amarillo just W of Lakeside.</t>
  </si>
  <si>
    <t>1 mi. SE of Fritch
Originated in Carson Co.</t>
  </si>
  <si>
    <t>17 mi. SE of Canyon
A brief touchdown of previous tornado after it had lifted.</t>
  </si>
  <si>
    <t>1 mi. W of Boise City
A powerful upper level low tracked right over the Panhandles.  There was plenty of moisture and CAPE.  SPC had us under a "High" risk for svr wx on this day.  26 tornadoes touched down which set a new record for the number of tornadoes in a single day.</t>
  </si>
  <si>
    <t>1 mi. SE of Wayside
2nd touchdown of previous tornado.</t>
  </si>
  <si>
    <t>Landspout 5 mi. N of Gruver
Tstms initiated along a frontal boundary and surface trough of low pressure.</t>
  </si>
  <si>
    <t>5 mi. E of Booker
Tornado crossed into Beaver Co.</t>
  </si>
  <si>
    <t>16 mi. SW of Lefors
Originated in Donley Co.</t>
  </si>
  <si>
    <t>Brief tornado touchdown in south Amarillo</t>
  </si>
  <si>
    <t>4 mi. SE of Amarillo</t>
  </si>
  <si>
    <t xml:space="preserve">2 mi. WNW of Turpin
Two landspouts occurred simultaneously. </t>
  </si>
  <si>
    <t>1 mi. S of McLean</t>
  </si>
  <si>
    <t>2 mi. SE of McLean</t>
  </si>
  <si>
    <t>3 mi. S of McLean</t>
  </si>
  <si>
    <t>7 mi. NNE of McLean</t>
  </si>
  <si>
    <t>12 mi. SW of Clarendon
A strong dryline was oriented along a N-S line near US 385 all day.  Temps in the mid 70s.  Strong upper low in NERN AR.  Shortwave traversing over the TX panhandle.  Lots of CAPE.  Lid broke around 1500 hrs in the SRN panhandle, near Silverton, as 3 supercells developed well E of the dryline.  These storms moved NNE. One more supercell developed in the NERN part of the TX panhandle, and also moved mostly N.  These 4 supercells produced the 16 tornadoes shown.  By 2000 hrs, the dryline activated and a squall line of storms from OK to the NWRN TX south plains began moving E.  No more tornados, but some small hail and heavy rains.</t>
  </si>
  <si>
    <t>1 mi. W of Skellytown
Start time in AMA NWS database (1625 hrs CST) is actually the end time per Storm Data.</t>
  </si>
  <si>
    <t>8 mi. NE of Pampa
Start time in NCDC database (1558 hrs CST) is actually the end time per Storm Data.</t>
  </si>
  <si>
    <t>5 mi. N of Follett
Start time in NCDC database (1424 hrs CST) is actually the end time per Storm Data.</t>
  </si>
  <si>
    <t>4 mi. W of Canyon
Start time in NCDC database (0100 hrs CST) is actually the end time per Storm Data.</t>
  </si>
  <si>
    <t>6 mi. ESE of Elmwood
Start time in NCDC database (1818 hrs CST) is actually the end time per Storm Data.</t>
  </si>
  <si>
    <t>3 mi. SW of Pampa
The "Pampa" tornado.  The NCDC database incorrectly lists a tornado (perhaps this one?) as occuring on 6-1-95 at 1542 hrs CST.  Info obtained from Storm Data.</t>
  </si>
  <si>
    <t>3 mi. NE of Panhandle
Start time as listed in the NCDC database (2025 hrs CST) is actually the end time per Storm Data.</t>
  </si>
  <si>
    <t>5 mi. SE of Washburn
Start time as listed in the NCDC database (1917 hrs CST) is actually the end time per Storm Data.</t>
  </si>
  <si>
    <t>8 mi. S of Claude
Start time as listed in the NCDC database (1958 hrs CST) is actually the end time per Storm Data.</t>
  </si>
  <si>
    <t>3 mi. W of Bushland
A supercell developed NW of Amarillo and moved SE.  This storm dropped very large hail (softball to grapefruit size) on the WRN and SWRN portions of Amarillo and outlying areas, causing extensive damage.  Eight brief tornado touchdowns, from near Bushland to near Canyon, occurred from this storm.</t>
  </si>
  <si>
    <t>25 mi. NW of Amarillo</t>
  </si>
  <si>
    <t>4 mi. N of Turpin.
Not in NCDC database, but listed in Storm Data and NWS database.</t>
  </si>
  <si>
    <t>7 mi. W of Skellytown
Not in NCDC database, but listed in Storm Data and NWS database.</t>
  </si>
  <si>
    <t>Ending</t>
  </si>
  <si>
    <t>(CST-24 hr)</t>
  </si>
  <si>
    <t>Duration</t>
  </si>
  <si>
    <t>(hh:mm)</t>
  </si>
  <si>
    <t>(mph)</t>
  </si>
  <si>
    <t>Rounded</t>
  </si>
  <si>
    <t>Path</t>
  </si>
  <si>
    <t xml:space="preserve">Strength and </t>
  </si>
  <si>
    <t>Tornado Intensity</t>
  </si>
  <si>
    <t>Length (mi)</t>
  </si>
  <si>
    <t>F0/ EF0</t>
  </si>
  <si>
    <t>All</t>
  </si>
  <si>
    <t>Width (yd)</t>
  </si>
  <si>
    <t>TORNADO SEGMENT BREAKDOWN BY YEAR:</t>
  </si>
  <si>
    <t>100 ≤W &lt; 200</t>
  </si>
  <si>
    <t>2 ≤ W &lt; 5</t>
  </si>
  <si>
    <t>5 ≤ W &lt; 10</t>
  </si>
  <si>
    <t>10 ≤ W &lt; 20</t>
  </si>
  <si>
    <t>20 ≤ W &lt; 50</t>
  </si>
  <si>
    <t>50 ≤ W &lt; 100</t>
  </si>
  <si>
    <t>0.0 ≤ L &lt; 0.1</t>
  </si>
  <si>
    <t>0.1 ≤ L &lt; 0.2</t>
  </si>
  <si>
    <t>0.2 ≤ L &lt; 0.5</t>
  </si>
  <si>
    <t>0.5 ≤ L &lt; 1</t>
  </si>
  <si>
    <t>1 ≤ L &lt; 2</t>
  </si>
  <si>
    <t>2 ≤ L &lt; 5</t>
  </si>
  <si>
    <t>5 ≤ L &lt; 10</t>
  </si>
  <si>
    <t>10 ≤ L &lt; 20</t>
  </si>
  <si>
    <t>20 ≤ L &lt; 50</t>
  </si>
  <si>
    <t>50 ≤ L &lt; 100</t>
  </si>
  <si>
    <t>TOTAL:</t>
  </si>
  <si>
    <t>Distribution of Tornado Segment Lengths in the AMA NWS CWA</t>
  </si>
  <si>
    <t>Distribution of Tornado Segment Widths in the AMA NWS CWA</t>
  </si>
  <si>
    <t>Tornado Segment Lengths in the AMA NWS CWA</t>
  </si>
  <si>
    <t>Tornado Segment Widths in the AMA NWS CWA</t>
  </si>
  <si>
    <r>
      <t>≥</t>
    </r>
    <r>
      <rPr>
        <sz val="10.45"/>
        <rFont val="Arial"/>
        <family val="2"/>
      </rPr>
      <t xml:space="preserve"> </t>
    </r>
    <r>
      <rPr>
        <sz val="12"/>
        <rFont val="Arial"/>
        <family val="2"/>
      </rPr>
      <t>50</t>
    </r>
  </si>
  <si>
    <r>
      <t>≥</t>
    </r>
    <r>
      <rPr>
        <sz val="10.45"/>
        <rFont val="Arial"/>
        <family val="2"/>
      </rPr>
      <t xml:space="preserve"> </t>
    </r>
    <r>
      <rPr>
        <sz val="12"/>
        <rFont val="Arial"/>
        <family val="2"/>
      </rPr>
      <t>20</t>
    </r>
  </si>
  <si>
    <r>
      <t>≥</t>
    </r>
    <r>
      <rPr>
        <sz val="10.45"/>
        <rFont val="Arial"/>
        <family val="2"/>
      </rPr>
      <t xml:space="preserve"> </t>
    </r>
    <r>
      <rPr>
        <sz val="12"/>
        <rFont val="Arial"/>
        <family val="2"/>
      </rPr>
      <t>2</t>
    </r>
  </si>
  <si>
    <t>≥ 0.5</t>
  </si>
  <si>
    <r>
      <t>≥</t>
    </r>
    <r>
      <rPr>
        <sz val="10.45"/>
        <rFont val="Arial"/>
        <family val="2"/>
      </rPr>
      <t xml:space="preserve"> </t>
    </r>
    <r>
      <rPr>
        <sz val="12"/>
        <rFont val="Arial"/>
        <family val="2"/>
      </rPr>
      <t>0.2</t>
    </r>
  </si>
  <si>
    <r>
      <t>≥</t>
    </r>
    <r>
      <rPr>
        <sz val="10.45"/>
        <rFont val="Arial"/>
        <family val="2"/>
      </rPr>
      <t xml:space="preserve"> </t>
    </r>
    <r>
      <rPr>
        <sz val="12"/>
        <rFont val="Arial"/>
        <family val="2"/>
      </rPr>
      <t>0.1</t>
    </r>
  </si>
  <si>
    <r>
      <t>≥</t>
    </r>
    <r>
      <rPr>
        <sz val="10.45"/>
        <rFont val="Arial"/>
        <family val="2"/>
      </rPr>
      <t xml:space="preserve"> </t>
    </r>
    <r>
      <rPr>
        <sz val="12"/>
        <rFont val="Arial"/>
        <family val="2"/>
      </rPr>
      <t>0.0</t>
    </r>
  </si>
  <si>
    <r>
      <t>≥</t>
    </r>
    <r>
      <rPr>
        <sz val="10.45"/>
        <rFont val="Arial"/>
        <family val="2"/>
      </rPr>
      <t xml:space="preserve"> </t>
    </r>
    <r>
      <rPr>
        <sz val="12"/>
        <rFont val="Arial"/>
        <family val="2"/>
      </rPr>
      <t>1.0</t>
    </r>
  </si>
  <si>
    <r>
      <t>≥</t>
    </r>
    <r>
      <rPr>
        <sz val="10.45"/>
        <rFont val="Arial"/>
        <family val="2"/>
      </rPr>
      <t xml:space="preserve"> </t>
    </r>
    <r>
      <rPr>
        <sz val="12"/>
        <rFont val="Arial"/>
        <family val="2"/>
      </rPr>
      <t>2.0</t>
    </r>
  </si>
  <si>
    <t>≥ 5.0</t>
  </si>
  <si>
    <t>≥ 10.0</t>
  </si>
  <si>
    <r>
      <t>≥</t>
    </r>
    <r>
      <rPr>
        <sz val="10.45"/>
        <rFont val="Arial"/>
        <family val="2"/>
      </rPr>
      <t xml:space="preserve"> </t>
    </r>
    <r>
      <rPr>
        <sz val="12"/>
        <rFont val="Arial"/>
        <family val="2"/>
      </rPr>
      <t>20.0</t>
    </r>
  </si>
  <si>
    <r>
      <t>≥</t>
    </r>
    <r>
      <rPr>
        <sz val="10.45"/>
        <rFont val="Arial"/>
        <family val="2"/>
      </rPr>
      <t xml:space="preserve"> </t>
    </r>
    <r>
      <rPr>
        <sz val="12"/>
        <rFont val="Arial"/>
        <family val="2"/>
      </rPr>
      <t>50.0</t>
    </r>
  </si>
  <si>
    <r>
      <t>≥</t>
    </r>
    <r>
      <rPr>
        <sz val="10.45"/>
        <rFont val="Arial"/>
        <family val="2"/>
      </rPr>
      <t xml:space="preserve"> </t>
    </r>
    <r>
      <rPr>
        <sz val="12"/>
        <rFont val="Arial"/>
        <family val="2"/>
      </rPr>
      <t>2000</t>
    </r>
  </si>
  <si>
    <r>
      <t>≥</t>
    </r>
    <r>
      <rPr>
        <sz val="10.45"/>
        <rFont val="Arial"/>
        <family val="2"/>
      </rPr>
      <t xml:space="preserve"> </t>
    </r>
    <r>
      <rPr>
        <sz val="12"/>
        <rFont val="Arial"/>
        <family val="2"/>
      </rPr>
      <t>1000</t>
    </r>
  </si>
  <si>
    <r>
      <t>≥</t>
    </r>
    <r>
      <rPr>
        <sz val="10.45"/>
        <rFont val="Arial"/>
        <family val="2"/>
      </rPr>
      <t xml:space="preserve"> </t>
    </r>
    <r>
      <rPr>
        <sz val="12"/>
        <rFont val="Arial"/>
        <family val="2"/>
      </rPr>
      <t>500</t>
    </r>
  </si>
  <si>
    <r>
      <t>≥</t>
    </r>
    <r>
      <rPr>
        <sz val="10.45"/>
        <rFont val="Arial"/>
        <family val="2"/>
      </rPr>
      <t xml:space="preserve"> </t>
    </r>
    <r>
      <rPr>
        <sz val="12"/>
        <rFont val="Arial"/>
        <family val="2"/>
      </rPr>
      <t>200</t>
    </r>
  </si>
  <si>
    <r>
      <t>≥</t>
    </r>
    <r>
      <rPr>
        <sz val="10.45"/>
        <rFont val="Arial"/>
        <family val="2"/>
      </rPr>
      <t xml:space="preserve"> </t>
    </r>
    <r>
      <rPr>
        <sz val="12"/>
        <rFont val="Arial"/>
        <family val="2"/>
      </rPr>
      <t>100</t>
    </r>
  </si>
  <si>
    <r>
      <t>≥</t>
    </r>
    <r>
      <rPr>
        <sz val="10.45"/>
        <rFont val="Arial"/>
        <family val="2"/>
      </rPr>
      <t xml:space="preserve"> </t>
    </r>
    <r>
      <rPr>
        <sz val="12"/>
        <rFont val="Arial"/>
        <family val="2"/>
      </rPr>
      <t>10</t>
    </r>
  </si>
  <si>
    <r>
      <t>≥</t>
    </r>
    <r>
      <rPr>
        <sz val="10.45"/>
        <rFont val="Arial"/>
        <family val="2"/>
      </rPr>
      <t xml:space="preserve"> </t>
    </r>
    <r>
      <rPr>
        <sz val="12"/>
        <rFont val="Arial"/>
        <family val="2"/>
      </rPr>
      <t>5</t>
    </r>
  </si>
  <si>
    <t>TORNADO SEGMENTS BY COUNTY:</t>
  </si>
  <si>
    <t>200 ≤ W &lt; 500</t>
  </si>
  <si>
    <t>500 ≤ W &lt; 1000</t>
  </si>
  <si>
    <t>1000 ≤ W &lt; 2000</t>
  </si>
  <si>
    <t>F Scale</t>
  </si>
  <si>
    <t>Intensity</t>
  </si>
  <si>
    <t>Recorded Tornado F Scale</t>
  </si>
  <si>
    <t>65-85</t>
  </si>
  <si>
    <t>86-110</t>
  </si>
  <si>
    <t>111-135</t>
  </si>
  <si>
    <t>136-165</t>
  </si>
  <si>
    <t>166-200</t>
  </si>
  <si>
    <t>&gt;200</t>
  </si>
  <si>
    <t>Range (mph)</t>
  </si>
  <si>
    <t>Total Area</t>
  </si>
  <si>
    <t>Area</t>
  </si>
  <si>
    <t>(sq mi)</t>
  </si>
  <si>
    <t>Probability of</t>
  </si>
  <si>
    <t>Wind Speed</t>
  </si>
  <si>
    <t>Exceeding</t>
  </si>
  <si>
    <t>Threshold</t>
  </si>
  <si>
    <t>Enhanced Fujita</t>
  </si>
  <si>
    <t>Scale Wind</t>
  </si>
  <si>
    <t>Speed Range</t>
  </si>
  <si>
    <t>Neutral to weak El Nino</t>
  </si>
  <si>
    <t>Weak La Nina to neutral</t>
  </si>
  <si>
    <t>Neutral to El Nino</t>
  </si>
  <si>
    <t>Neutral</t>
  </si>
  <si>
    <t>Weak El Nino to neutral</t>
  </si>
  <si>
    <t>Strong La Nina to La Nina</t>
  </si>
  <si>
    <t>13 mi. W of Miami
Tornado watch to our E in OK.  Dryline along a Pampa to Clarendon line.  Temps in the mid 80s.  A cool front was pushing SWRD through the NRN TX Panhandle.  One lone supercell developed NW of Miami, and moved slowly SE.  The cell turned S just NE of Pampa, and produced a series of brief tornadoes to the NE and E of Pampa.  Spectacular rotating wall cloud.  The wall cloud became rain-wrapped as it crossed U.S. 60.  The final tornado near Lefors was completely rain-wrapped.</t>
  </si>
  <si>
    <t>6.8 mi. SE of McBride</t>
  </si>
  <si>
    <t>2 mi. NNW of Panhandle</t>
  </si>
  <si>
    <t xml:space="preserve">1 mi. W of Vega
</t>
  </si>
  <si>
    <t>16 mi. SSE of Perryton Airport</t>
  </si>
  <si>
    <t>6 mi. S of Dalhart
Today's tornadoes were produced from a series of tstms that developed along a surface trough/dryline in the NWRN TX panhandle, and moved SSE.  The "Panhandles" were under a SVR TSTM Watch at the time.</t>
  </si>
  <si>
    <t>Texas Panhandle</t>
  </si>
  <si>
    <r>
      <t>R</t>
    </r>
    <r>
      <rPr>
        <i/>
        <vertAlign val="subscript"/>
        <sz val="11"/>
        <rFont val="Arial"/>
        <family val="2"/>
      </rPr>
      <t>m</t>
    </r>
  </si>
  <si>
    <r>
      <t>V</t>
    </r>
    <r>
      <rPr>
        <i/>
        <vertAlign val="subscript"/>
        <sz val="11"/>
        <rFont val="Arial"/>
        <family val="2"/>
      </rPr>
      <t>total</t>
    </r>
  </si>
  <si>
    <r>
      <t>V</t>
    </r>
    <r>
      <rPr>
        <i/>
        <vertAlign val="subscript"/>
        <sz val="11"/>
        <rFont val="Arial"/>
        <family val="2"/>
      </rPr>
      <t>Rm</t>
    </r>
  </si>
  <si>
    <r>
      <t>0.8 × V</t>
    </r>
    <r>
      <rPr>
        <i/>
        <vertAlign val="subscript"/>
        <sz val="11"/>
        <rFont val="Arial"/>
        <family val="2"/>
      </rPr>
      <t>total</t>
    </r>
  </si>
  <si>
    <r>
      <t>V</t>
    </r>
    <r>
      <rPr>
        <i/>
        <vertAlign val="subscript"/>
        <sz val="11"/>
        <rFont val="Arial"/>
        <family val="2"/>
      </rPr>
      <t>t</t>
    </r>
  </si>
  <si>
    <r>
      <t>0.2 × V</t>
    </r>
    <r>
      <rPr>
        <i/>
        <vertAlign val="subscript"/>
        <sz val="11"/>
        <rFont val="Arial"/>
        <family val="2"/>
      </rPr>
      <t>total</t>
    </r>
  </si>
  <si>
    <r>
      <t>ρ × V</t>
    </r>
    <r>
      <rPr>
        <i/>
        <vertAlign val="subscript"/>
        <sz val="11"/>
        <rFont val="Arial"/>
        <family val="2"/>
      </rPr>
      <t>Rm</t>
    </r>
    <r>
      <rPr>
        <i/>
        <vertAlign val="superscript"/>
        <sz val="11"/>
        <rFont val="Arial"/>
        <family val="2"/>
      </rPr>
      <t>2</t>
    </r>
  </si>
  <si>
    <r>
      <t>(V</t>
    </r>
    <r>
      <rPr>
        <i/>
        <vertAlign val="subscript"/>
        <sz val="11"/>
        <rFont val="Arial"/>
        <family val="2"/>
      </rPr>
      <t>t</t>
    </r>
    <r>
      <rPr>
        <i/>
        <sz val="11"/>
        <rFont val="Arial"/>
        <family val="2"/>
      </rPr>
      <t xml:space="preserve">  ∕  R</t>
    </r>
    <r>
      <rPr>
        <i/>
        <vertAlign val="subscript"/>
        <sz val="11"/>
        <rFont val="Arial"/>
        <family val="2"/>
      </rPr>
      <t>m</t>
    </r>
    <r>
      <rPr>
        <i/>
        <sz val="11"/>
        <rFont val="Arial"/>
        <family val="2"/>
      </rPr>
      <t>) × Δp</t>
    </r>
  </si>
  <si>
    <t>by Wind</t>
  </si>
  <si>
    <t>Speed</t>
  </si>
  <si>
    <r>
      <t>The probability of the wind speed, u, exceeding some value u</t>
    </r>
    <r>
      <rPr>
        <vertAlign val="subscript"/>
        <sz val="10"/>
        <rFont val="Arial"/>
        <family val="2"/>
      </rPr>
      <t>0</t>
    </r>
    <r>
      <rPr>
        <sz val="10"/>
        <rFont val="Arial"/>
        <family val="2"/>
      </rPr>
      <t xml:space="preserve"> at a site is defined as the product of the probability that a tornado will strike the point structure (strike probability) and the conditional probability that the wind speed u will exceed u</t>
    </r>
    <r>
      <rPr>
        <vertAlign val="subscript"/>
        <sz val="10"/>
        <rFont val="Arial"/>
        <family val="2"/>
      </rPr>
      <t>0</t>
    </r>
    <r>
      <rPr>
        <sz val="10"/>
        <rFont val="Arial"/>
        <family val="2"/>
      </rPr>
      <t xml:space="preserve"> assuming that a tornado strike, s, occurs:</t>
    </r>
  </si>
  <si>
    <r>
      <t>P</t>
    </r>
    <r>
      <rPr>
        <vertAlign val="subscript"/>
        <sz val="10"/>
        <rFont val="Arial"/>
        <family val="2"/>
      </rPr>
      <t>p</t>
    </r>
    <r>
      <rPr>
        <sz val="10"/>
        <rFont val="Arial"/>
        <family val="2"/>
      </rPr>
      <t xml:space="preserve"> (u ≥ u</t>
    </r>
    <r>
      <rPr>
        <vertAlign val="subscript"/>
        <sz val="10"/>
        <rFont val="Arial"/>
        <family val="2"/>
      </rPr>
      <t>0</t>
    </r>
    <r>
      <rPr>
        <sz val="10"/>
        <rFont val="Arial"/>
        <family val="2"/>
      </rPr>
      <t>) = P</t>
    </r>
    <r>
      <rPr>
        <vertAlign val="subscript"/>
        <sz val="10"/>
        <rFont val="Arial"/>
        <family val="2"/>
      </rPr>
      <t>p</t>
    </r>
    <r>
      <rPr>
        <sz val="10"/>
        <rFont val="Arial"/>
        <family val="2"/>
      </rPr>
      <t xml:space="preserve"> × P</t>
    </r>
    <r>
      <rPr>
        <vertAlign val="subscript"/>
        <sz val="10"/>
        <rFont val="Arial"/>
        <family val="2"/>
      </rPr>
      <t>p</t>
    </r>
    <r>
      <rPr>
        <sz val="10"/>
        <rFont val="Arial"/>
        <family val="2"/>
      </rPr>
      <t xml:space="preserve"> (u ≥ u</t>
    </r>
    <r>
      <rPr>
        <vertAlign val="subscript"/>
        <sz val="10"/>
        <rFont val="Arial"/>
        <family val="2"/>
      </rPr>
      <t>0</t>
    </r>
    <r>
      <rPr>
        <sz val="10"/>
        <rFont val="Arial"/>
        <family val="2"/>
      </rPr>
      <t>|s)</t>
    </r>
  </si>
  <si>
    <r>
      <t>P</t>
    </r>
    <r>
      <rPr>
        <vertAlign val="subscript"/>
        <sz val="10"/>
        <rFont val="Arial"/>
        <family val="2"/>
      </rPr>
      <t>p</t>
    </r>
    <r>
      <rPr>
        <sz val="10"/>
        <rFont val="Arial"/>
        <family val="2"/>
      </rPr>
      <t xml:space="preserve"> = A</t>
    </r>
    <r>
      <rPr>
        <vertAlign val="subscript"/>
        <sz val="10"/>
        <rFont val="Arial"/>
        <family val="2"/>
      </rPr>
      <t>t</t>
    </r>
    <r>
      <rPr>
        <sz val="10"/>
        <rFont val="Arial"/>
        <family val="2"/>
      </rPr>
      <t xml:space="preserve"> ∕ (N × A</t>
    </r>
    <r>
      <rPr>
        <vertAlign val="subscript"/>
        <sz val="10"/>
        <rFont val="Arial"/>
        <family val="2"/>
      </rPr>
      <t>r</t>
    </r>
    <r>
      <rPr>
        <sz val="10"/>
        <rFont val="Arial"/>
        <family val="2"/>
      </rPr>
      <t>)</t>
    </r>
  </si>
  <si>
    <r>
      <t>A</t>
    </r>
    <r>
      <rPr>
        <vertAlign val="subscript"/>
        <sz val="10"/>
        <rFont val="Arial"/>
        <family val="2"/>
      </rPr>
      <t>r</t>
    </r>
    <r>
      <rPr>
        <sz val="10"/>
        <rFont val="Arial"/>
        <family val="2"/>
      </rPr>
      <t xml:space="preserve"> = total area of the region of interest in square miles</t>
    </r>
  </si>
  <si>
    <r>
      <t>"A</t>
    </r>
    <r>
      <rPr>
        <vertAlign val="subscript"/>
        <sz val="10"/>
        <rFont val="Arial"/>
        <family val="2"/>
      </rPr>
      <t>r</t>
    </r>
    <r>
      <rPr>
        <sz val="10"/>
        <rFont val="Arial"/>
        <family val="2"/>
      </rPr>
      <t>" =</t>
    </r>
  </si>
  <si>
    <r>
      <t>"A</t>
    </r>
    <r>
      <rPr>
        <vertAlign val="subscript"/>
        <sz val="10"/>
        <rFont val="Arial"/>
        <family val="2"/>
      </rPr>
      <t>t</t>
    </r>
    <r>
      <rPr>
        <sz val="10"/>
        <rFont val="Arial"/>
        <family val="2"/>
      </rPr>
      <t>" =</t>
    </r>
  </si>
  <si>
    <r>
      <t>P</t>
    </r>
    <r>
      <rPr>
        <vertAlign val="subscript"/>
        <sz val="10"/>
        <rFont val="Arial"/>
        <family val="2"/>
      </rPr>
      <t>p</t>
    </r>
    <r>
      <rPr>
        <sz val="10"/>
        <rFont val="Arial"/>
        <family val="2"/>
      </rPr>
      <t xml:space="preserve"> =</t>
    </r>
  </si>
  <si>
    <r>
      <t>P</t>
    </r>
    <r>
      <rPr>
        <vertAlign val="subscript"/>
        <sz val="10"/>
        <rFont val="Arial"/>
        <family val="2"/>
      </rPr>
      <t>l</t>
    </r>
    <r>
      <rPr>
        <sz val="10"/>
        <rFont val="Arial"/>
        <family val="2"/>
      </rPr>
      <t xml:space="preserve"> (u ≥ u</t>
    </r>
    <r>
      <rPr>
        <vertAlign val="subscript"/>
        <sz val="10"/>
        <rFont val="Arial"/>
        <family val="2"/>
      </rPr>
      <t>0</t>
    </r>
    <r>
      <rPr>
        <sz val="10"/>
        <rFont val="Arial"/>
        <family val="2"/>
      </rPr>
      <t>) = P</t>
    </r>
    <r>
      <rPr>
        <vertAlign val="subscript"/>
        <sz val="10"/>
        <rFont val="Arial"/>
        <family val="2"/>
      </rPr>
      <t>l</t>
    </r>
    <r>
      <rPr>
        <sz val="10"/>
        <rFont val="Arial"/>
        <family val="2"/>
      </rPr>
      <t xml:space="preserve"> × P (u ≥ u</t>
    </r>
    <r>
      <rPr>
        <vertAlign val="subscript"/>
        <sz val="10"/>
        <rFont val="Arial"/>
        <family val="2"/>
      </rPr>
      <t>0</t>
    </r>
    <r>
      <rPr>
        <sz val="10"/>
        <rFont val="Arial"/>
        <family val="2"/>
      </rPr>
      <t>|s)</t>
    </r>
  </si>
  <si>
    <r>
      <t>P</t>
    </r>
    <r>
      <rPr>
        <vertAlign val="subscript"/>
        <sz val="10"/>
        <rFont val="Arial"/>
        <family val="2"/>
      </rPr>
      <t>l</t>
    </r>
    <r>
      <rPr>
        <sz val="10"/>
        <rFont val="Arial"/>
        <family val="2"/>
      </rPr>
      <t xml:space="preserve"> = A</t>
    </r>
    <r>
      <rPr>
        <vertAlign val="subscript"/>
        <sz val="10"/>
        <rFont val="Arial"/>
        <family val="2"/>
      </rPr>
      <t>t</t>
    </r>
    <r>
      <rPr>
        <sz val="10"/>
        <rFont val="Arial"/>
        <family val="2"/>
      </rPr>
      <t xml:space="preserve"> ∕ (N × A</t>
    </r>
    <r>
      <rPr>
        <vertAlign val="subscript"/>
        <sz val="10"/>
        <rFont val="Arial"/>
        <family val="2"/>
      </rPr>
      <t>r</t>
    </r>
    <r>
      <rPr>
        <sz val="10"/>
        <rFont val="Arial"/>
        <family val="2"/>
      </rPr>
      <t>) = (w</t>
    </r>
    <r>
      <rPr>
        <vertAlign val="subscript"/>
        <sz val="10"/>
        <rFont val="Arial"/>
        <family val="2"/>
      </rPr>
      <t>s</t>
    </r>
    <r>
      <rPr>
        <sz val="10"/>
        <rFont val="Arial"/>
        <family val="2"/>
      </rPr>
      <t xml:space="preserve"> × L</t>
    </r>
    <r>
      <rPr>
        <vertAlign val="subscript"/>
        <sz val="10"/>
        <rFont val="Arial"/>
        <family val="2"/>
      </rPr>
      <t>t</t>
    </r>
    <r>
      <rPr>
        <sz val="10"/>
        <rFont val="Arial"/>
        <family val="2"/>
      </rPr>
      <t>) ∕ (N × A</t>
    </r>
    <r>
      <rPr>
        <vertAlign val="subscript"/>
        <sz val="10"/>
        <rFont val="Arial"/>
        <family val="2"/>
      </rPr>
      <t>r</t>
    </r>
    <r>
      <rPr>
        <sz val="10"/>
        <rFont val="Arial"/>
        <family val="2"/>
      </rPr>
      <t>)</t>
    </r>
  </si>
  <si>
    <r>
      <t>w</t>
    </r>
    <r>
      <rPr>
        <vertAlign val="subscript"/>
        <sz val="10"/>
        <rFont val="Arial"/>
        <family val="2"/>
      </rPr>
      <t>s</t>
    </r>
    <r>
      <rPr>
        <sz val="10"/>
        <rFont val="Arial"/>
        <family val="2"/>
      </rPr>
      <t xml:space="preserve"> = characteristic building dimension in miles</t>
    </r>
  </si>
  <si>
    <r>
      <t>L</t>
    </r>
    <r>
      <rPr>
        <vertAlign val="subscript"/>
        <sz val="10"/>
        <rFont val="Arial"/>
        <family val="2"/>
      </rPr>
      <t>t</t>
    </r>
    <r>
      <rPr>
        <sz val="10"/>
        <rFont val="Arial"/>
        <family val="2"/>
      </rPr>
      <t xml:space="preserve"> = total length of tornado paths in miles</t>
    </r>
  </si>
  <si>
    <r>
      <t>"w</t>
    </r>
    <r>
      <rPr>
        <vertAlign val="subscript"/>
        <sz val="10"/>
        <rFont val="Arial"/>
        <family val="2"/>
      </rPr>
      <t>s</t>
    </r>
    <r>
      <rPr>
        <sz val="10"/>
        <rFont val="Arial"/>
        <family val="2"/>
      </rPr>
      <t>" =</t>
    </r>
  </si>
  <si>
    <r>
      <t>"L</t>
    </r>
    <r>
      <rPr>
        <vertAlign val="subscript"/>
        <sz val="10"/>
        <rFont val="Arial"/>
        <family val="2"/>
      </rPr>
      <t>t</t>
    </r>
    <r>
      <rPr>
        <sz val="10"/>
        <rFont val="Arial"/>
        <family val="2"/>
      </rPr>
      <t>" =</t>
    </r>
  </si>
  <si>
    <r>
      <t>P</t>
    </r>
    <r>
      <rPr>
        <vertAlign val="subscript"/>
        <sz val="10"/>
        <rFont val="Arial"/>
        <family val="2"/>
      </rPr>
      <t>l</t>
    </r>
    <r>
      <rPr>
        <sz val="10"/>
        <rFont val="Arial"/>
        <family val="2"/>
      </rPr>
      <t xml:space="preserve"> =</t>
    </r>
  </si>
  <si>
    <r>
      <t>P</t>
    </r>
    <r>
      <rPr>
        <vertAlign val="subscript"/>
        <sz val="10"/>
        <rFont val="Arial"/>
        <family val="2"/>
      </rPr>
      <t>l</t>
    </r>
    <r>
      <rPr>
        <sz val="10"/>
        <rFont val="Arial"/>
        <family val="2"/>
      </rPr>
      <t xml:space="preserve"> (u ≥ u</t>
    </r>
    <r>
      <rPr>
        <vertAlign val="subscript"/>
        <sz val="10"/>
        <rFont val="Arial"/>
        <family val="2"/>
      </rPr>
      <t>0</t>
    </r>
    <r>
      <rPr>
        <sz val="10"/>
        <rFont val="Arial"/>
        <family val="2"/>
      </rPr>
      <t>|s) = (L</t>
    </r>
    <r>
      <rPr>
        <vertAlign val="subscript"/>
        <sz val="10"/>
        <rFont val="Arial"/>
        <family val="2"/>
      </rPr>
      <t>u≥u0</t>
    </r>
    <r>
      <rPr>
        <sz val="10"/>
        <rFont val="Arial"/>
        <family val="2"/>
      </rPr>
      <t>)/ L</t>
    </r>
    <r>
      <rPr>
        <vertAlign val="subscript"/>
        <sz val="10"/>
        <rFont val="Arial"/>
        <family val="2"/>
      </rPr>
      <t>t</t>
    </r>
  </si>
  <si>
    <r>
      <t>L</t>
    </r>
    <r>
      <rPr>
        <vertAlign val="subscript"/>
        <sz val="10"/>
        <rFont val="Arial"/>
        <family val="2"/>
      </rPr>
      <t>u ≥ u0</t>
    </r>
    <r>
      <rPr>
        <sz val="10"/>
        <rFont val="Arial"/>
        <family val="2"/>
      </rPr>
      <t xml:space="preserve"> = total tornado path length with wind speeds equalling or exceeding u</t>
    </r>
    <r>
      <rPr>
        <vertAlign val="subscript"/>
        <sz val="10"/>
        <rFont val="Arial"/>
        <family val="2"/>
      </rPr>
      <t>0</t>
    </r>
    <r>
      <rPr>
        <sz val="10"/>
        <rFont val="Arial"/>
        <family val="2"/>
      </rPr>
      <t>.</t>
    </r>
  </si>
  <si>
    <r>
      <t>P (u ≥ u</t>
    </r>
    <r>
      <rPr>
        <vertAlign val="subscript"/>
        <sz val="10"/>
        <rFont val="Arial"/>
        <family val="2"/>
      </rPr>
      <t>0</t>
    </r>
    <r>
      <rPr>
        <sz val="10"/>
        <rFont val="Arial"/>
        <family val="2"/>
      </rPr>
      <t>) = P</t>
    </r>
    <r>
      <rPr>
        <vertAlign val="subscript"/>
        <sz val="10"/>
        <rFont val="Arial"/>
        <family val="2"/>
      </rPr>
      <t>p</t>
    </r>
    <r>
      <rPr>
        <sz val="10"/>
        <rFont val="Arial"/>
        <family val="2"/>
      </rPr>
      <t xml:space="preserve"> (u ≥ u</t>
    </r>
    <r>
      <rPr>
        <vertAlign val="subscript"/>
        <sz val="10"/>
        <rFont val="Arial"/>
        <family val="2"/>
      </rPr>
      <t>0</t>
    </r>
    <r>
      <rPr>
        <sz val="10"/>
        <rFont val="Arial"/>
        <family val="2"/>
      </rPr>
      <t>) + P</t>
    </r>
    <r>
      <rPr>
        <vertAlign val="subscript"/>
        <sz val="10"/>
        <rFont val="Arial"/>
        <family val="2"/>
      </rPr>
      <t>l</t>
    </r>
    <r>
      <rPr>
        <sz val="10"/>
        <rFont val="Arial"/>
        <family val="2"/>
      </rPr>
      <t xml:space="preserve"> (u ≥ u</t>
    </r>
    <r>
      <rPr>
        <vertAlign val="subscript"/>
        <sz val="10"/>
        <rFont val="Arial"/>
        <family val="2"/>
      </rPr>
      <t>0</t>
    </r>
    <r>
      <rPr>
        <sz val="10"/>
        <rFont val="Arial"/>
        <family val="2"/>
      </rPr>
      <t>)</t>
    </r>
  </si>
  <si>
    <r>
      <t>A</t>
    </r>
    <r>
      <rPr>
        <vertAlign val="subscript"/>
        <sz val="10"/>
        <rFont val="Arial"/>
        <family val="2"/>
      </rPr>
      <t>t</t>
    </r>
    <r>
      <rPr>
        <sz val="10"/>
        <rFont val="Arial"/>
        <family val="2"/>
      </rPr>
      <t xml:space="preserve"> = total area impacted by tornadoes in square miles*</t>
    </r>
  </si>
  <si>
    <t>Number</t>
  </si>
  <si>
    <t>of Counties</t>
  </si>
  <si>
    <t>Tornadoes per square mile per year:</t>
  </si>
  <si>
    <t>(Sq. Miles)</t>
  </si>
  <si>
    <t>6.2 mi. SSE of White Deer
High-based tstms that developed along a surface trough/dryline just NW of AMA slowly moved E, spawning several funnels and one tornado as they encountered better sheer, moisture and instability.</t>
  </si>
  <si>
    <t>Number of Years with this Total</t>
  </si>
  <si>
    <t xml:space="preserve">        the starting time, indicating the tornado touched down only briefly.</t>
  </si>
  <si>
    <t xml:space="preserve">        segment is recorded separately). </t>
  </si>
  <si>
    <t xml:space="preserve">         tornado.  The path length represents the length of the tornado in the individual counties.</t>
  </si>
  <si>
    <t xml:space="preserve">        Old vs. new wind speeds are:</t>
  </si>
  <si>
    <t xml:space="preserve">              F0 = 40 - 72 mph (average = 56 mph),                EF0 = 65 - 85 mph (average = 75 mph);</t>
  </si>
  <si>
    <t xml:space="preserve">              F1 = 73 - 112 mph (average = 92.5 mph,           EF1 = 86 - 110 mph (average = 98 mph);</t>
  </si>
  <si>
    <t xml:space="preserve">              F2 = 113 - 157 mph (average = 135 mph),         EF2 = 111 - 135 mph (average = 123 mph);</t>
  </si>
  <si>
    <t xml:space="preserve">              F3 = 158 - 206 mph (average = 182 mph),         EF3 = 136 - 165 mph (average = 150.5 mph);</t>
  </si>
  <si>
    <t xml:space="preserve">              F4 = 207 - 260 mph (average = 233.5 mph),      EF4 = 166 - 200 mph (average = 183 mph); and</t>
  </si>
  <si>
    <t xml:space="preserve">              F5 = 261 - 318 mph (average = 289.5 mph),      EF5 = 201+ mph. </t>
  </si>
  <si>
    <t xml:space="preserve">        The old Fujita scale winds were approximately "fastest quarter-mile" wind speeds, while the Enhanced</t>
  </si>
  <si>
    <t xml:space="preserve">        Fujita winds are nominally "3-second gust" wind speeds.</t>
  </si>
  <si>
    <t>(Width)</t>
  </si>
  <si>
    <t>(Length)</t>
  </si>
  <si>
    <t>Natural</t>
  </si>
  <si>
    <t>Log</t>
  </si>
  <si>
    <r>
      <t>mi</t>
    </r>
    <r>
      <rPr>
        <vertAlign val="superscript"/>
        <sz val="12"/>
        <rFont val="Arial"/>
        <family val="2"/>
      </rPr>
      <t>2</t>
    </r>
  </si>
  <si>
    <r>
      <t>mi</t>
    </r>
    <r>
      <rPr>
        <vertAlign val="superscript"/>
        <sz val="12"/>
        <color indexed="10"/>
        <rFont val="Arial"/>
        <family val="2"/>
      </rPr>
      <t>2</t>
    </r>
  </si>
  <si>
    <t>Total Area in AMA NWS CWA:</t>
  </si>
  <si>
    <t>developed by Alan Scruggs</t>
  </si>
  <si>
    <t>Current Revision:</t>
  </si>
  <si>
    <t>Current Revision Date:</t>
  </si>
  <si>
    <t>Comments</t>
  </si>
  <si>
    <t>Revision</t>
  </si>
  <si>
    <t>Revision History for Tornado Database</t>
  </si>
  <si>
    <t>Original Issue</t>
  </si>
  <si>
    <t>000</t>
  </si>
  <si>
    <t>Use of the filter sort - Select Drop Down Feature</t>
  </si>
  <si>
    <t>Helpful Hints Regarding the Use of This Database</t>
  </si>
  <si>
    <t>tornado from an area town, the atmospheric conditions for that day, or a</t>
  </si>
  <si>
    <t>discussion regarding any discrepancy between this database and one or more</t>
  </si>
  <si>
    <t xml:space="preserve">Column "Q" is reserved for any annotations, such as the location of the </t>
  </si>
  <si>
    <t>Column "W" is reserved for notes such as the state of the pacific ocean</t>
  </si>
  <si>
    <t>This sheet calculates the maximum APC for two different Performance Categories.</t>
  </si>
  <si>
    <t>Tornado Information by F Rating:</t>
  </si>
  <si>
    <t>yellow.</t>
  </si>
  <si>
    <t>NOTE: Multiple columns may be filtered simultaneously to pin point very specific</t>
  </si>
  <si>
    <t>is "three."</t>
  </si>
  <si>
    <t xml:space="preserve">month of March between 6 and 7 PM, CST?  As of the spring of 2010, the answer </t>
  </si>
  <si>
    <t>Self explanatory.  Each year following an update to the database, simply increment</t>
  </si>
  <si>
    <t xml:space="preserve">this table by "one."  </t>
  </si>
  <si>
    <t>temperatures (e.g., El Nino to Neutral, etc.).</t>
  </si>
  <si>
    <t>Total area in the OK Panhandle:</t>
  </si>
  <si>
    <t>Total area in the TX Panhandle:</t>
  </si>
  <si>
    <t>Use the "Filter Sort" buttons at the bottom right hand corner of selected header</t>
  </si>
  <si>
    <t>row columns.  Click on the arrow and select the item from the drop down list.</t>
  </si>
  <si>
    <t>La Nina to neutral then to El Nino</t>
  </si>
  <si>
    <t>Moderate El Nino to neutral</t>
  </si>
  <si>
    <t>TORNADO CLIMATOLOGY OF THE TEXAS AND OKLAHOMA PANHANDLES</t>
  </si>
  <si>
    <t>001</t>
  </si>
  <si>
    <t>Tornado Segment Statistics for the Texas and Oklahoma Panhandles</t>
  </si>
  <si>
    <t>F0/EF0</t>
  </si>
  <si>
    <t>F1/EF1</t>
  </si>
  <si>
    <t>F2/EF2</t>
  </si>
  <si>
    <t>F3/EF3</t>
  </si>
  <si>
    <t>F4/EF4</t>
  </si>
  <si>
    <t>Total Number of Segments</t>
  </si>
  <si>
    <t>Number of Segments with Length</t>
  </si>
  <si>
    <t>Median (mi)</t>
  </si>
  <si>
    <t>Average (mi)</t>
  </si>
  <si>
    <t>Number of Segments with Width</t>
  </si>
  <si>
    <t>Number of Segments with Areas</t>
  </si>
  <si>
    <t>(a)  Estimated limit on expected value, assuming a lognormal distribution for tornado parameters</t>
  </si>
  <si>
    <t>(b) Assuming a lognormal distribution for tornado parameters</t>
  </si>
  <si>
    <t>(Area)</t>
  </si>
  <si>
    <t>Median (yd)</t>
  </si>
  <si>
    <t>Average (yd)</t>
  </si>
  <si>
    <t>Area impacted (all tornadoes) =</t>
  </si>
  <si>
    <r>
      <t>5th Percentile (mi)</t>
    </r>
    <r>
      <rPr>
        <vertAlign val="superscript"/>
        <sz val="10"/>
        <rFont val="Arial"/>
        <family val="2"/>
      </rPr>
      <t>(a)</t>
    </r>
  </si>
  <si>
    <r>
      <t>Expected Value (mi)</t>
    </r>
    <r>
      <rPr>
        <vertAlign val="superscript"/>
        <sz val="10"/>
        <rFont val="Arial"/>
        <family val="2"/>
      </rPr>
      <t>(b)</t>
    </r>
  </si>
  <si>
    <r>
      <t>95th Percentile (mi)</t>
    </r>
    <r>
      <rPr>
        <vertAlign val="superscript"/>
        <sz val="10"/>
        <rFont val="Arial"/>
        <family val="2"/>
      </rPr>
      <t>(a)</t>
    </r>
  </si>
  <si>
    <r>
      <t>5th Percentile (yd)</t>
    </r>
    <r>
      <rPr>
        <vertAlign val="superscript"/>
        <sz val="10"/>
        <rFont val="Arial"/>
        <family val="2"/>
      </rPr>
      <t>(a)</t>
    </r>
  </si>
  <si>
    <r>
      <t>Expected Value (yd)</t>
    </r>
    <r>
      <rPr>
        <vertAlign val="superscript"/>
        <sz val="10"/>
        <rFont val="Arial"/>
        <family val="2"/>
      </rPr>
      <t>(b)</t>
    </r>
  </si>
  <si>
    <r>
      <t>95th Percentile (yd)</t>
    </r>
    <r>
      <rPr>
        <vertAlign val="superscript"/>
        <sz val="10"/>
        <rFont val="Arial"/>
        <family val="2"/>
      </rPr>
      <t>(a)</t>
    </r>
  </si>
  <si>
    <r>
      <t>Median (mi</t>
    </r>
    <r>
      <rPr>
        <vertAlign val="superscript"/>
        <sz val="10"/>
        <rFont val="Arial"/>
        <family val="2"/>
      </rPr>
      <t>2</t>
    </r>
    <r>
      <rPr>
        <sz val="10"/>
        <rFont val="Arial"/>
        <family val="2"/>
      </rPr>
      <t>)</t>
    </r>
  </si>
  <si>
    <r>
      <t>Average (mi</t>
    </r>
    <r>
      <rPr>
        <vertAlign val="superscript"/>
        <sz val="10"/>
        <rFont val="Arial"/>
        <family val="2"/>
      </rPr>
      <t>2</t>
    </r>
    <r>
      <rPr>
        <sz val="10"/>
        <rFont val="Arial"/>
        <family val="2"/>
      </rPr>
      <t>)</t>
    </r>
  </si>
  <si>
    <r>
      <t>5th Percentile (mi</t>
    </r>
    <r>
      <rPr>
        <vertAlign val="superscript"/>
        <sz val="10"/>
        <rFont val="Arial"/>
        <family val="2"/>
      </rPr>
      <t>2</t>
    </r>
    <r>
      <rPr>
        <sz val="10"/>
        <rFont val="Arial"/>
        <family val="2"/>
      </rPr>
      <t>)</t>
    </r>
    <r>
      <rPr>
        <vertAlign val="superscript"/>
        <sz val="10"/>
        <rFont val="Arial"/>
        <family val="2"/>
      </rPr>
      <t>(a)</t>
    </r>
  </si>
  <si>
    <r>
      <t>Expected Value (mi</t>
    </r>
    <r>
      <rPr>
        <vertAlign val="superscript"/>
        <sz val="10"/>
        <rFont val="Arial"/>
        <family val="2"/>
      </rPr>
      <t>2</t>
    </r>
    <r>
      <rPr>
        <sz val="10"/>
        <rFont val="Arial"/>
        <family val="2"/>
      </rPr>
      <t>)</t>
    </r>
    <r>
      <rPr>
        <vertAlign val="superscript"/>
        <sz val="10"/>
        <rFont val="Arial"/>
        <family val="2"/>
      </rPr>
      <t>(b)</t>
    </r>
  </si>
  <si>
    <r>
      <t>95th Percentile (mi</t>
    </r>
    <r>
      <rPr>
        <vertAlign val="superscript"/>
        <sz val="10"/>
        <rFont val="Arial"/>
        <family val="2"/>
      </rPr>
      <t>2</t>
    </r>
    <r>
      <rPr>
        <sz val="10"/>
        <rFont val="Arial"/>
        <family val="2"/>
      </rPr>
      <t>)</t>
    </r>
    <r>
      <rPr>
        <vertAlign val="superscript"/>
        <sz val="10"/>
        <rFont val="Arial"/>
        <family val="2"/>
      </rPr>
      <t>(a)</t>
    </r>
  </si>
  <si>
    <t>W &gt; 2000</t>
  </si>
  <si>
    <t>Tornado Segment Areas in the AMA NWS CWA</t>
  </si>
  <si>
    <t>Distribution of Tornado Segment Areas in the AMA NWS CWA</t>
  </si>
  <si>
    <r>
      <t>Area (mi</t>
    </r>
    <r>
      <rPr>
        <b/>
        <vertAlign val="superscript"/>
        <sz val="12"/>
        <rFont val="Arial"/>
        <family val="2"/>
      </rPr>
      <t>2</t>
    </r>
    <r>
      <rPr>
        <b/>
        <sz val="12"/>
        <rFont val="Arial"/>
        <family val="2"/>
      </rPr>
      <t>)</t>
    </r>
  </si>
  <si>
    <t>0.1 ≤ A &lt; 0.2</t>
  </si>
  <si>
    <t>0.2 ≤ A &lt; 0.5</t>
  </si>
  <si>
    <t>0.5 ≤ A &lt; 1</t>
  </si>
  <si>
    <t>1 ≤ A &lt; 2</t>
  </si>
  <si>
    <t>2 ≤ A &lt; 5</t>
  </si>
  <si>
    <t>5 ≤ A &lt; 10</t>
  </si>
  <si>
    <t>10 ≤ A &lt; 20</t>
  </si>
  <si>
    <t>20 ≤ A &lt; 50</t>
  </si>
  <si>
    <t>Width (rounded)</t>
  </si>
  <si>
    <t>Length (rounded)</t>
  </si>
  <si>
    <t>Area (rounded)</t>
  </si>
  <si>
    <t>0.0002 ≤ A &lt; 0.0005</t>
  </si>
  <si>
    <t>0.0005 ≤ A &lt; 0.001</t>
  </si>
  <si>
    <t>0.001 ≤ A &lt; 0.002</t>
  </si>
  <si>
    <t>0.002 ≤ A &lt; 0.005</t>
  </si>
  <si>
    <t>0.005 ≤ A &lt; 0.01</t>
  </si>
  <si>
    <t>0.01 ≤ A &lt; 0.02</t>
  </si>
  <si>
    <t>0.02 ≤ A &lt; 0.05</t>
  </si>
  <si>
    <t>0.05 ≤ A &lt; 0.1</t>
  </si>
  <si>
    <r>
      <rPr>
        <sz val="12"/>
        <rFont val="Calibri"/>
        <family val="2"/>
      </rPr>
      <t>≥</t>
    </r>
    <r>
      <rPr>
        <sz val="10.8"/>
        <rFont val="Arial"/>
        <family val="2"/>
      </rPr>
      <t xml:space="preserve"> 0.0002</t>
    </r>
  </si>
  <si>
    <r>
      <rPr>
        <sz val="12"/>
        <rFont val="Calibri"/>
        <family val="2"/>
      </rPr>
      <t>≥</t>
    </r>
    <r>
      <rPr>
        <sz val="10.8"/>
        <rFont val="Arial"/>
        <family val="2"/>
      </rPr>
      <t xml:space="preserve"> 0.0005</t>
    </r>
  </si>
  <si>
    <r>
      <rPr>
        <sz val="12"/>
        <rFont val="Calibri"/>
        <family val="2"/>
      </rPr>
      <t>≥</t>
    </r>
    <r>
      <rPr>
        <sz val="10.8"/>
        <rFont val="Arial"/>
        <family val="2"/>
      </rPr>
      <t xml:space="preserve"> 0.001</t>
    </r>
  </si>
  <si>
    <r>
      <rPr>
        <sz val="12"/>
        <rFont val="Calibri"/>
        <family val="2"/>
      </rPr>
      <t>≥</t>
    </r>
    <r>
      <rPr>
        <sz val="10.8"/>
        <rFont val="Arial"/>
        <family val="2"/>
      </rPr>
      <t xml:space="preserve"> 0.002</t>
    </r>
  </si>
  <si>
    <r>
      <rPr>
        <sz val="12"/>
        <rFont val="Calibri"/>
        <family val="2"/>
      </rPr>
      <t>≥</t>
    </r>
    <r>
      <rPr>
        <sz val="10.8"/>
        <rFont val="Arial"/>
        <family val="2"/>
      </rPr>
      <t xml:space="preserve"> 0.005</t>
    </r>
  </si>
  <si>
    <r>
      <rPr>
        <sz val="12"/>
        <rFont val="Calibri"/>
        <family val="2"/>
      </rPr>
      <t>≥</t>
    </r>
    <r>
      <rPr>
        <sz val="10.8"/>
        <rFont val="Arial"/>
        <family val="2"/>
      </rPr>
      <t xml:space="preserve"> 0.01</t>
    </r>
  </si>
  <si>
    <r>
      <rPr>
        <sz val="12"/>
        <rFont val="Calibri"/>
        <family val="2"/>
      </rPr>
      <t>≥</t>
    </r>
    <r>
      <rPr>
        <sz val="10.8"/>
        <rFont val="Arial"/>
        <family val="2"/>
      </rPr>
      <t xml:space="preserve"> 0.02</t>
    </r>
  </si>
  <si>
    <r>
      <rPr>
        <sz val="12"/>
        <rFont val="Calibri"/>
        <family val="2"/>
      </rPr>
      <t>≥</t>
    </r>
    <r>
      <rPr>
        <sz val="10.8"/>
        <rFont val="Arial"/>
        <family val="2"/>
      </rPr>
      <t xml:space="preserve"> 0.05</t>
    </r>
  </si>
  <si>
    <t>Tornado Area Intensity Distribution for Point Structure Design Wind Speed Estimates</t>
  </si>
  <si>
    <t>Tornado Length Intensity Distribution for Finite-Structure Design Wind Speed Estimates</t>
  </si>
  <si>
    <r>
      <t>(mi</t>
    </r>
    <r>
      <rPr>
        <b/>
        <vertAlign val="superscript"/>
        <sz val="12"/>
        <rFont val="Arial"/>
        <family val="2"/>
      </rPr>
      <t>2</t>
    </r>
    <r>
      <rPr>
        <b/>
        <sz val="12"/>
        <rFont val="Arial"/>
        <family val="2"/>
      </rPr>
      <t>)</t>
    </r>
  </si>
  <si>
    <r>
      <t>Range (mi</t>
    </r>
    <r>
      <rPr>
        <b/>
        <vertAlign val="superscript"/>
        <sz val="12"/>
        <rFont val="Arial"/>
        <family val="2"/>
      </rPr>
      <t>2</t>
    </r>
    <r>
      <rPr>
        <b/>
        <sz val="12"/>
        <rFont val="Arial"/>
        <family val="2"/>
      </rPr>
      <t>)</t>
    </r>
  </si>
  <si>
    <t>TORNADO MODEL</t>
  </si>
  <si>
    <t>per year</t>
  </si>
  <si>
    <r>
      <t>P</t>
    </r>
    <r>
      <rPr>
        <vertAlign val="subscript"/>
        <sz val="10"/>
        <rFont val="Arial"/>
        <family val="2"/>
      </rPr>
      <t>p</t>
    </r>
    <r>
      <rPr>
        <sz val="10"/>
        <rFont val="Arial"/>
        <family val="2"/>
      </rPr>
      <t xml:space="preserve"> (u ≥ u</t>
    </r>
    <r>
      <rPr>
        <vertAlign val="subscript"/>
        <sz val="10"/>
        <rFont val="Arial"/>
        <family val="2"/>
      </rPr>
      <t>0</t>
    </r>
    <r>
      <rPr>
        <sz val="10"/>
        <rFont val="Arial"/>
        <family val="2"/>
      </rPr>
      <t>|s) = (A</t>
    </r>
    <r>
      <rPr>
        <vertAlign val="subscript"/>
        <sz val="10"/>
        <rFont val="Arial"/>
        <family val="2"/>
      </rPr>
      <t>u≥u0</t>
    </r>
    <r>
      <rPr>
        <sz val="10"/>
        <rFont val="Arial"/>
        <family val="2"/>
      </rPr>
      <t>)/ A</t>
    </r>
    <r>
      <rPr>
        <vertAlign val="subscript"/>
        <sz val="10"/>
        <rFont val="Arial"/>
        <family val="2"/>
      </rPr>
      <t>t</t>
    </r>
  </si>
  <si>
    <t>Path Lengths*</t>
  </si>
  <si>
    <t>by F Scale*</t>
  </si>
  <si>
    <r>
      <t>mi</t>
    </r>
    <r>
      <rPr>
        <vertAlign val="superscript"/>
        <sz val="10"/>
        <rFont val="Arial"/>
        <family val="2"/>
      </rPr>
      <t>2</t>
    </r>
  </si>
  <si>
    <t>(assumed characteristic width)</t>
  </si>
  <si>
    <t>The AMA NWS website, the SPC and the NCDC databases all list the date as 4-13-73.  Storm Data does not list any tornadoes in the AMA NWS CWA for the 13th other than the Potter Co. tornado listed above.  For the event on the 14th, Storm Data lists the start time as 1730 hrs CST.  NWS stated to use the Storm Data date and 1800 hrs CST as the start time (e-mail Schneider to Scruggs).  Based on the fact that this tornado also passed through much of Carson County before reaching Gray County at 18:15 hrs, the Storm Data start time of 17:30 hrs makes more sense, and is shown.
Tornado crossed into Carson Co. (no entry)</t>
  </si>
  <si>
    <t>The AMA NWS website &amp; NCDC databases list the date for this tornado as April 13th.  The information in Storm Data supports the conclusion that this is a continuation of the Armstrong Co. tornado that touched down on the 14th, leaving a 70-mile damage path from near Washburn through the city of Panhandle, along with areas near Skellytown and Canadian.  Note that the strength and path width are the same for the two entries.  The combined path lengths for Armstrong and Gray counties reported in the NCDC database (75 miles) is close to the Storm Data path length of 70 miles for the April 14th tornado.  Since Gray Co. is not specifically mentioned in Storm Data (but perhaps should have been), I debated changing this database entry to Carson Co. to account for the damage in the city of Panhandle as noted in Storm Data.  However, in the end I left the county as previous listed.  
Tornado originated in Armstrong Co., and passed through Carson County before entering Gray Co., and then Roberts and Hemphill Counties (no entry for Carson, Roberts, or Hemphill Counties).</t>
  </si>
  <si>
    <t>5 mi. SW of Shamrock
Length estimated.  Total tornado length was about 15 miles as listed in Storm Data.
Tornado crossed into Wheeler Co.</t>
  </si>
  <si>
    <t>The width listed in NCDC database (33 yards), is not consistent with the Collingsworth Co. entry above.  Used the same width as Collingsworth Co. and as listed in Storm Data.
Tornado originated in Collingsworth Co.</t>
  </si>
  <si>
    <t>8 mi. SE of Boise City
Start time as listed in Storm Data.
Tornado crossed into Colorado.</t>
  </si>
  <si>
    <t>A start time is really unknown for this tornado, which is only briefly mentioned in Storm Data as being witnessed alongside the above tornado.
Tornado crossed into Colorado</t>
  </si>
  <si>
    <t>AMA NWS web database incorrectly classifies this as F3.  Storm Data and NCDC database list a rating of F4.
Tornado originated in Moore Co., and crossed into Ochiltree Co.</t>
  </si>
  <si>
    <t xml:space="preserve">11 mi. E of Four Way
This tornado lifted as it moved over the SRN portions of Lake Meredith, sparing the NW sections of Fritch.  It then set down in the SE part of Fritch, traveling another 8 miles or so until it dissipated in Carson Co.  Total path length was 18 miles per Storm Data.  Length in Moore Co. is based on NCDC database.
Tornado crossed into Hutchinson Co.  </t>
  </si>
  <si>
    <t>NDCD database lists the length as 5 miles.  Length in Hutchinson Co. is based on total path length of 18 miles less 10 miles in Moore Co. less 5 miles in Carson Co.
Tornado originated in Moore Co., and crossed into Carson Co.</t>
  </si>
  <si>
    <t>2 mi. SW of Fritch
Tornado crossed into Hutchinson Co.</t>
  </si>
  <si>
    <t>Tail end of the Fritch F4 tornado.  Length based on NCDC database.
Tornado originated in Moore county, and passed through Hutchinson Co. before crossing into Carson Co.</t>
  </si>
  <si>
    <t>4 mi. NE of Nara Visa
Tornado originated in Quay Co.</t>
  </si>
  <si>
    <t>1 mi. N of McLean
SPC database length of 29 miles is for the entire tract (2 counties).  Length from Storm Data.
Tornado crossed into Wheeler Co.</t>
  </si>
  <si>
    <t>5 mi. SW of Kellerville
Tornado originated in Gray Co.</t>
  </si>
  <si>
    <t>3 mi. NW of Allison
Tornado originated in Wheeler Co.</t>
  </si>
  <si>
    <t>1 mi. W of McLean
Tornado crossed into Donley Co.</t>
  </si>
  <si>
    <t>20 mi. ENE of Jericho
Tornado originated in Gray Co.</t>
  </si>
  <si>
    <t>10 mi. NE of Lipscomb
Start time in AMA NWS database (1956 hrs CST) is incorrect per Storm Data.  NCDC database has the correct start time.
Tornado crossed into Oklahoma</t>
  </si>
  <si>
    <t>8 mi. NNW of McBride.
Tornado crossed into Hutchinson Co.</t>
  </si>
  <si>
    <t>15 mi. ENE of Amarillo
Tornado crossed into Carson Co.</t>
  </si>
  <si>
    <t>15 mi. SW of Panhandle
Tornado originated in Potter Co.</t>
  </si>
  <si>
    <t>13 mi. WSW of Rolla
Tornado originated in Donley Co.</t>
  </si>
  <si>
    <t>10 mi. SSE of Hedley
See note #1.
Tornado crossed into Collingsworth Co.</t>
  </si>
  <si>
    <t>1 mi. WSW of Fritch
Tornado crossed into Carson Co. and soon dissipated.  No separate entry was made for Carson Co.</t>
  </si>
  <si>
    <t>3 mi. SSW of Jericho
Tornado crossed into Gray county.  Considerable damage reported.</t>
  </si>
  <si>
    <t>4 mi. W of Boys Ranch
Similar setup to March 28th, but not quite as much surface moisture.  Upper low near the 4 corners region.  Dryline located along the TX/NM border.  Pacific cold front moving E through ERN NM.    Most storms formed along the dryline.
Tornado crossed into Hartley Co.</t>
  </si>
  <si>
    <t>3 mi. SSE of Channing
Tornado originated in Oldham Co.</t>
  </si>
  <si>
    <t>10 mi. WSW of Dumas
Tornado hit Cactus and then crossed into Sherman Co.</t>
  </si>
  <si>
    <t>17 mi. SSE of Stratford
Tornado originated in Moore Co.</t>
  </si>
  <si>
    <t>4 mi. E of Sunray
Tornado crossed into Sherman Co.</t>
  </si>
  <si>
    <t>19 mi. SE of Stratford
Tornado originated in Moore Co.</t>
  </si>
  <si>
    <t>9 mi. ENE of Claude
Tornado crossed into Carson Co.</t>
  </si>
  <si>
    <t>2 mi. SW of Groom
Tornado originated in Armstrong Co.</t>
  </si>
  <si>
    <t>14 mi. NE of Lutie
Tornado crossed into Wheeler Co.</t>
  </si>
  <si>
    <t>8 mi. ESE of Shamrock
Tornado originated in extreme NERN Collingsworth Co.</t>
  </si>
  <si>
    <t>6 mi. NE of Channing
Tornado crossed into Moore Co.</t>
  </si>
  <si>
    <t>10 mi. SW of Dumas airport
Tornado originated in Hartley Co.</t>
  </si>
  <si>
    <t>2.    The ending times are from the NCDC database.  For a few tornadoes, the ending time is the same as</t>
  </si>
  <si>
    <t>3.     Some tornadoes are counted more than once in a given year if they cross county lines (each county</t>
  </si>
  <si>
    <t>4.     The path width represents the maximum width listed in Storm Data for any county impacted by the</t>
  </si>
  <si>
    <t>5.     The new enhanced Fujita (EF-X) ratings were effective with the 2007 tornado season.</t>
  </si>
  <si>
    <t>*     Information for F5/EF5 tornadoes is based on 1947 event.</t>
  </si>
  <si>
    <t>F5/EF5*</t>
  </si>
  <si>
    <t>0 to 19</t>
  </si>
  <si>
    <t>20 to 29</t>
  </si>
  <si>
    <t>30 to 39</t>
  </si>
  <si>
    <t>40 to 49</t>
  </si>
  <si>
    <t>50 to 59</t>
  </si>
  <si>
    <t>60 to 69</t>
  </si>
  <si>
    <t>70 to 79</t>
  </si>
  <si>
    <t>Legend:</t>
  </si>
  <si>
    <t>80 to 89</t>
  </si>
  <si>
    <t>Start Hour</t>
  </si>
  <si>
    <t>8 mi. SW of Allison
The "Allison" tornado.  This tornado is the largest recorded tornado (width) in the AMA NWS CWA.  This tornado may have produced F5 windspeeds, but a lack of observable structural damage prevented assigning a rating that high.
Tornado crossed into Hemphill Co.</t>
  </si>
  <si>
    <t>Total Length</t>
  </si>
  <si>
    <t>Total length of all tornadoes =</t>
  </si>
  <si>
    <t>Cum.</t>
  </si>
  <si>
    <t>Avg.</t>
  </si>
  <si>
    <t>(F0/EF0)</t>
  </si>
  <si>
    <t>(F1/EF1)</t>
  </si>
  <si>
    <t>(F2/EF2)</t>
  </si>
  <si>
    <t>(F3/EF3)</t>
  </si>
  <si>
    <t>(F4/EF4)</t>
  </si>
  <si>
    <r>
      <t>(mi</t>
    </r>
    <r>
      <rPr>
        <b/>
        <sz val="12"/>
        <rFont val="Arial"/>
        <family val="2"/>
      </rPr>
      <t>)</t>
    </r>
  </si>
  <si>
    <r>
      <t>Range (mi</t>
    </r>
    <r>
      <rPr>
        <b/>
        <sz val="12"/>
        <rFont val="Arial"/>
        <family val="2"/>
      </rPr>
      <t>)</t>
    </r>
  </si>
  <si>
    <t>*     Information for F5/EF5 tornadoes is based on 1947 event</t>
  </si>
  <si>
    <t>*     Information for F5 / EF5 tornadoes is based on 1947 event.</t>
  </si>
  <si>
    <t xml:space="preserve">information (e.g., how many tornadoes have occurred in Donley county during the </t>
  </si>
  <si>
    <t>of the source databases.  Discrepancies and my resolution are shaded in bright</t>
  </si>
  <si>
    <t>Encyclopedia.</t>
  </si>
  <si>
    <t>Self explanatory.  No updates are needed for this sheet.  The area information is</t>
  </si>
  <si>
    <t>No updates are needed for this sheet.  The information is automatically updated.</t>
  </si>
  <si>
    <t>This worksheet begins the calculations for the probability that a given point or finite</t>
  </si>
  <si>
    <t>The probability that a point or finite structure will experience a wind speed</t>
  </si>
  <si>
    <t>structure will experience a wind speed associated with a tornado (per year).</t>
  </si>
  <si>
    <t>Number of Years of Data:</t>
  </si>
  <si>
    <t>Graphs:</t>
  </si>
  <si>
    <t>Counties:</t>
  </si>
  <si>
    <t>Atmospheric Pressure Change:</t>
  </si>
  <si>
    <t>Distribution:</t>
  </si>
  <si>
    <t>Adjustments to Data:</t>
  </si>
  <si>
    <t>Tornado Model:</t>
  </si>
  <si>
    <t>distribution, the length, width, and area parameters are transformed by taking the</t>
  </si>
  <si>
    <t>natural logarithm of the parameter, then applying statistical analyses on the</t>
  </si>
  <si>
    <t>transformed values.  Finally, the parameters are transformed back and used to</t>
  </si>
  <si>
    <t>F5*</t>
  </si>
  <si>
    <t xml:space="preserve">       towns of Glazier and Higgins, Texas following the tornado.  No official rating exists for this tornado.</t>
  </si>
  <si>
    <t>*     Note that this rating is based on the opinion of the AMA NWS WCM after reviewing photographs taken of the</t>
  </si>
  <si>
    <t>Segment Statistics:</t>
  </si>
  <si>
    <t>This sheet calculates the expected value for the path width, length and area for</t>
  </si>
  <si>
    <t>distribution, the values are transformed by taking the natural logarithm of the value,</t>
  </si>
  <si>
    <t xml:space="preserve">and then applying statistical analysis on the transformed values.  The means, </t>
  </si>
  <si>
    <t>5%, and 95% of the transformed values are then transformed back to establish</t>
  </si>
  <si>
    <t>TEXAS AND OKLAHOMA PANHANDLE TORNADO SEGMENTS BY COUNTY</t>
  </si>
  <si>
    <t>90 +</t>
  </si>
  <si>
    <t>12 AM</t>
  </si>
  <si>
    <t>1 AM</t>
  </si>
  <si>
    <t>2 AM</t>
  </si>
  <si>
    <t>3 AM</t>
  </si>
  <si>
    <t>4 AM</t>
  </si>
  <si>
    <t>5 AM</t>
  </si>
  <si>
    <t>6 AM</t>
  </si>
  <si>
    <t>7 AM</t>
  </si>
  <si>
    <t>8 AM</t>
  </si>
  <si>
    <t>9 AM</t>
  </si>
  <si>
    <t>10 AM</t>
  </si>
  <si>
    <t>11 AM</t>
  </si>
  <si>
    <t>1 PM</t>
  </si>
  <si>
    <t>2 PM</t>
  </si>
  <si>
    <t>3 PM</t>
  </si>
  <si>
    <t>4 PM</t>
  </si>
  <si>
    <t>5 PM</t>
  </si>
  <si>
    <t>6 PM</t>
  </si>
  <si>
    <t>7 PM</t>
  </si>
  <si>
    <t>8 PM</t>
  </si>
  <si>
    <t>9 PM</t>
  </si>
  <si>
    <t>10 PM</t>
  </si>
  <si>
    <t>11 PM</t>
  </si>
  <si>
    <t>Tornado originated in Donley Co.</t>
  </si>
  <si>
    <t>Tornado originated in Collingsworth Co., and then crossed into Oklahoma.</t>
  </si>
  <si>
    <t>9 mi. NW of Dalhart
Start time is that listed in Storm Data.</t>
  </si>
  <si>
    <t>10 mi. SW of McLean
The NCDC database incorrectly lists this tornado as occurring on 6-1-95 at 1718 hrs CST.  Info obtained from Storm Data.
Tornado crossed into Gray Co.</t>
  </si>
  <si>
    <t>6 mi. SW of McLean
Tornado originated in Donley Co.</t>
  </si>
  <si>
    <t>10 mi. SE of Elmwood
Tornado originated in Lipscomb Co.</t>
  </si>
  <si>
    <t>Database of Tornado Segments</t>
  </si>
  <si>
    <t>This tornado family, although never officially rated, began at 5:52 PM CST near White Deer and traveled NE, damaging structures in or near White Deer, Pampa, Glazier, and Higgins, before moving into Oklahoma and striking Woodward before eventually moving into Kansas where it finally dissipated.  Glazier and Higgins were almost "blown off the map."  Steve Drillette, current WCM at WFO Amarillo, says that based on photographs he has seen of Glazier and Higgins, the tornado(s) that destroyed these two towns could have been rated an F5.  Although occurring prior to the beginning of the official NCDC/NWS/SPC databases in 1950, this event is captured in this database because of its historical significance (only tornado to produce what appears to be F5 damage  in the AMA CWA) and the fact that it occurred close to the beginning of the official government databases.  The length and width are assumed.  Although the tornado(s) moved through parts of five counties in the Texas Panhandle, this will be the only entry in the database.  Start and end times are based on the first touchdown time above and the average storm speed of 42 mph (from initial touchdown, the tornado traveled ~ 44 miles until it reached Hemphill Co. and was on the ground for 35 miles (give or take a few miles) from that point until it reached the Oklahoma border.</t>
  </si>
  <si>
    <t>AMA NWS web database incorrectly classifies this as F3.  Storm Data and NCDC database list a rating of F4.
Tornado originated in Moore Co., and passed through Hansford Co.   It continued into Beaver Co.</t>
  </si>
  <si>
    <t>Ending time is estimated based on time in Carson Co.
Tornado originated in Carson Co.</t>
  </si>
  <si>
    <t>16 mi. ESE of Glazier
See note #1.
Tornado crossed into Oklahoma.</t>
  </si>
  <si>
    <t>of Initial</t>
  </si>
  <si>
    <t>Touchdown</t>
  </si>
  <si>
    <t>NOTES
(touchdown locations, database reconciliation )</t>
  </si>
  <si>
    <t>AMARILLO NWS TORNADO SUMMARY - SEGMENTS</t>
  </si>
  <si>
    <t>AMARILLO NWS TORNADO SUMMARY - WHOLE TORNADOES</t>
  </si>
  <si>
    <t>TORNADO BREAKDOWN BY YEAR:</t>
  </si>
  <si>
    <t>Database Notes</t>
  </si>
  <si>
    <t>(All segments)</t>
  </si>
  <si>
    <t>Entire worksheet:  Cells shaded in light yellow are cells for which information is to be</t>
  </si>
  <si>
    <t>Tornado Databases:</t>
  </si>
  <si>
    <t>a.</t>
  </si>
  <si>
    <t>b.</t>
  </si>
  <si>
    <t>c.</t>
  </si>
  <si>
    <t>GRAPHICAL ANALYSIS OF THE DATA</t>
  </si>
  <si>
    <t>TORNADOES BY YEAR:</t>
  </si>
  <si>
    <t>TORNADOES BY CATEGORY:</t>
  </si>
  <si>
    <t>TORNADOES BY CLASSIFICATION:</t>
  </si>
  <si>
    <t>TORNADOES BY MONTH:</t>
  </si>
  <si>
    <t>TORNADOES BY HOUR:</t>
  </si>
  <si>
    <t>Strength and</t>
  </si>
  <si>
    <t>VIOLENT TORNADOES BY HOUR</t>
  </si>
  <si>
    <t>STRONG TORNADOES BY HOUR</t>
  </si>
  <si>
    <t>WEAK TORNADOES BY HOUR</t>
  </si>
  <si>
    <t>TORNADOES BY DAY OF THE MONTH:</t>
  </si>
  <si>
    <r>
      <t xml:space="preserve">Database of Whole Tornadoes
</t>
    </r>
    <r>
      <rPr>
        <b/>
        <sz val="10"/>
        <rFont val="Arial"/>
        <family val="2"/>
      </rPr>
      <t>Tornadoes that cross county lines are listed as a single tornado.</t>
    </r>
  </si>
  <si>
    <t>Database of F1 / EF1 Tornado Segments</t>
  </si>
  <si>
    <t>Database of F0 / EF0 Tornado Segments</t>
  </si>
  <si>
    <t>Database of F2 / EF2 Tornado Segments</t>
  </si>
  <si>
    <t>Database of F3 / EF3 Tornado Segments</t>
  </si>
  <si>
    <t>Database of F4 / EF4 Tornado Segments</t>
  </si>
  <si>
    <t>Database of EF5 Tornado Segments</t>
  </si>
  <si>
    <t>Area Impacted by Tornado Segments in the AMA NWS CWA</t>
  </si>
  <si>
    <r>
      <t>Total Tornado Segment Path Length with Wind Speeds Equaling or Greater than u</t>
    </r>
    <r>
      <rPr>
        <b/>
        <vertAlign val="subscript"/>
        <sz val="12"/>
        <rFont val="Arial"/>
        <family val="2"/>
      </rPr>
      <t>o</t>
    </r>
  </si>
  <si>
    <t>The first tornado began near Lazbuddie at 2230 CST and traveled NE.  Per Storm Data, other confirmed touchdowns were near the SW corner of Randall Co., near Conway, and SW of Pampa, moving into the city limits.  This tornado family (#1 for this date) ended at 0115 hrs CST on the 18th.  This family of F4 tornadoes had a total length of 120 miles, with a path width of up to 1/2 mile.  NCDC, SPC and AMA databases do not list Armstrong or Carson Counties, only Randall and Gray Counties.  Storm Data includes all four counties in our CWA:  Randall, Armstrong, Carson, and Gray. 
Tornado originated in Parmer Co., and passed through Castro Co. before entering Randall Co.
Tornado crossed into Armstrong Co.</t>
  </si>
  <si>
    <t>This and the next three entries represent the third and final tornado family for this significant Panhandle/South Plains outbreak as described in Storm Data.  The first tornado began ~ 15 miles northeast of Tulia and touched down on and off for about 65 miles, finally ending north of McLean.  NCDC, SPC and AMA databases do not include a listing for Armstrong County.  Storm Data lists Swisher, Armstrong, Donley and Gray Counties.    All times are based on Storm Data copy.
Tornado originated in Swisher Co., and passed through Briscoe and Armstrong Counties before entering Donley Co.</t>
  </si>
  <si>
    <t>Latest "first" tornado of the year:  August 7, 1998</t>
  </si>
  <si>
    <t>Per Storm Data, this family of tornadoes (#2 for this date) began near Whiteface at 2050 hours CST, and ended near Hedley at 0040 hours, CST.  The family of F4 tornadoes traveled approximately 140 miles, with a path width of up to 1/2 mile.
Tornado originated in Cochran Co., and passed through Hockley, Lamb, Hale, Swisher, Briscoe, and Hall Counties before entering Donley Co.</t>
  </si>
  <si>
    <t>Continuation of the Randall Co. tornado family above.
Tornado family originated in Parmer Co., and passed through Castro, Randall, Armstrong, and Carson Counties before entering Gray Co.</t>
  </si>
  <si>
    <t>Very brief touchdown.
3 mi. NE of Umbarger</t>
  </si>
  <si>
    <t>3 mi. S of Goodnight</t>
  </si>
  <si>
    <t>A strong upper low/trough  was moving NE from NM into CO.  Surface low pressure developing in SE CO with a trailing dryline set up across the central OK and TX Panhandles.  Surface DPs E of the dryline in the upper 50s to low 60s.  As the morning low clouds burned off by noon, a series of svr tstms developed in the NRN TX Panhandle along the dryline.  By 1530 hrs, others developed just E. of the dryline and moved NE.
 Most of the action occurred along a line from near Goodnight to near Lefors.
5 mi. NE of Goodnight</t>
  </si>
  <si>
    <t xml:space="preserve">May </t>
  </si>
  <si>
    <t>11 mi. W of Dumas</t>
  </si>
  <si>
    <t>2 mi. E of Dumas</t>
  </si>
  <si>
    <t>15 mi. E. of Stratford</t>
  </si>
  <si>
    <t>Two brief touchdowns
15 mi. NW of Guymon</t>
  </si>
  <si>
    <t>2 mi. SSW of Dumas</t>
  </si>
  <si>
    <t>3 mi. ENE of Ware</t>
  </si>
  <si>
    <t>4 mi. NNW of Gruver</t>
  </si>
  <si>
    <t>3 mi. SSW of Pringle</t>
  </si>
  <si>
    <t>Several brief touchdowns
8 mi. W. of Conlen</t>
  </si>
  <si>
    <t>Three brief touchdowns
2 mi. W of Stratford</t>
  </si>
  <si>
    <t>Upper level low in ERN UT/WRN CO moving very slowly.  Surface low in SERN CO providing good SERLY flow of moisture.  Dryline in ERN NM.  A single storm developed SW of Hartley and slowly moved E.  It grew into a large supercell that traveled across the NRN TX Panhandle, and crossed into OK.  It spawned several very brief tornadoes as it traveled E.  A second storm  developed NW of Guymon in Texas Co. of OK.  A third cell developed NW of Dalhart and moved slowly E, trailing behind the first storm.  This one also produced several brief tornadoes.
4 mi. SSE of Hartley</t>
  </si>
  <si>
    <t>Spearman</t>
  </si>
  <si>
    <t>4 mi. WNW of Eva</t>
  </si>
  <si>
    <t>Upper low in ERN UT, moving slowly ENE.  Surface low in NERN CO.  Our winds were out of the SSE at 20-30 mph.  DPs were near 60.  Dryline in ERN NM and along the ERN range.  Tornado watch issued for points E &amp; W of Dalhart and northward.  Storms fired along the dryline in ERN NM and moved basically N (very little E progress).  They stayed in ERN NM and crossed into the AMA CWA around Texline and in WRN Cimarron Co., producing four brief tornadoes.
7 mi. WSW of Felt</t>
  </si>
  <si>
    <t>Dryline along the ERN plains of CO and NM.  One lone supercell developed near Campo, CO durinig the evening and moved SE, producing several tornadoes in SE CO and the NW OK Panhandle.
11 mi. NW of Keyes</t>
  </si>
  <si>
    <t>Earliest "last" tornado of the year:  June 5, 2003</t>
  </si>
  <si>
    <t>Length of Tornado Season:</t>
  </si>
  <si>
    <t>Start</t>
  </si>
  <si>
    <t>End</t>
  </si>
  <si>
    <t>11 mi. E. of Elmwood</t>
  </si>
  <si>
    <t>10 mi. W. of Slapout</t>
  </si>
  <si>
    <t>7 mi. WNW of Slapout</t>
  </si>
  <si>
    <t xml:space="preserve">Strong cold front stretched from TCC to Boys Ranch to Dumas to Liberal.  Dryline in the ERN Plains of NM.  Upper lvl low in the 4 corners region.  Storms initiated  SE of Dumas, producing a brief tornado near Sunray, along with very large hail (5.5").  Several other cells developed and exhibited some rotation, including a large cell near Stinnett and Morse, but no other tornadoes were reported.
8 mi. S of Sunray </t>
  </si>
  <si>
    <t>"Traditional" tornado season</t>
  </si>
  <si>
    <t>3.5 mi. S of Gray</t>
  </si>
  <si>
    <t>Although decent moisture was in place at the surface (DPs in the low 50s with a temperature in the mid to upper 60s), thermodynamic conditions were not favorable for supercells.  Thunderstorms initially developed  along the TX/NM border.  A rogue supercell developed near Boys Ranch and moved SE, slowly at first.  As the storm neared the Bushland area, it produced a tornado just south of I-40 and west of Bushland that lasted about 5 minutes.  As the storm  continued SE, it produced another brief touchdown NE of Umbarger.  Besides the tornadoes, heavy rains fell in Bushland, Amarillo, Canyon, Umbarger, and points inbetween along with golf ball sized hail north of Umbarger.
3 mi. W of Bushland</t>
  </si>
  <si>
    <t>3.5 mi. WSW of Jerico</t>
  </si>
  <si>
    <t>1 mi. E of Lake McLellan (6.8 mi. W of Alanreed)</t>
  </si>
  <si>
    <t>1 mi. N of Lake McLellan (4.8 mi. NW of Alanreed)</t>
  </si>
  <si>
    <t>11 mi. ENE of Lefors</t>
  </si>
  <si>
    <t>8 mi. SE of Hartley</t>
  </si>
  <si>
    <t>Several brief touchdowns
16.8 mi. SSE of Farnsworth</t>
  </si>
  <si>
    <t>12.4 mi. W of Felt</t>
  </si>
  <si>
    <t>Dryline in the CNTRL Panhandles.  Storms fired E along the dryline and moved NE.  Better upper lvl dynamics the further N you go towards the Dakotas.  One supercell near Spearman produced several tornadoes including one main one that lasted 14 minutes.  Other supercells developed near Amarillo by 11:00 PM as the dryline moved back westward, and produced some wall clouds and possible funnels, but no confirmed touchdowns.
4 mi. W of Spearman</t>
  </si>
  <si>
    <t>2.8 mi. W of Spearman</t>
  </si>
  <si>
    <t>3.5 mi. NW of Spearman</t>
  </si>
  <si>
    <t>Same strong cold front was located in about the same area as yesterday.  The upper low was slowly moving to the ENE through CO, and the dryline pushed E of AMA to along TX hwy 207.  Storms fired just NE of Borger and moved NE.  All throughout the evening storms continued generating just NE of Borger and training over the same area towards Perryton and points NE.  Several brief tornadoes were reported in Beaver Co, and one brief one in Lipscomb Co.  By 2200 hrs CDT, the front finally pushed through AMA moving S.
6.4  mi. SSW of Elmwood</t>
  </si>
  <si>
    <t>14.9 mi. WSW of Lipscomb</t>
  </si>
  <si>
    <t>1.     The event prior to 1950 is not reflected in the figures on this tab.</t>
  </si>
  <si>
    <t>NOTES:</t>
  </si>
  <si>
    <t>Windspeed</t>
  </si>
  <si>
    <t>Perf Category</t>
  </si>
  <si>
    <t>PROBABILITY OF EXCEEDING A SPECIFIC WINDSPEED</t>
  </si>
  <si>
    <t>The equation for the curve is used to calculate the PC-3 and PC-4 windspeeds used in the Atmospheric Pressure Change calculations.</t>
  </si>
  <si>
    <t>002</t>
  </si>
  <si>
    <t>Summaries:</t>
  </si>
  <si>
    <t>used in the probability calculations and was obtained from the online Wikipedia</t>
  </si>
  <si>
    <t>This sheet is automatically updated, except for the curve at the bottom of the page.</t>
  </si>
  <si>
    <t>1         Prior to 1996, the Amarillo NWS CWA included Parmer, Castro, Swisher, Briscoe, Hall, and Childress counties.  Tornadoes from these</t>
  </si>
  <si>
    <t xml:space="preserve">           counties are not included in the database.</t>
  </si>
  <si>
    <t>METHODOLOGY</t>
  </si>
  <si>
    <t>Added a new "Methodology" worksheet.  Input 2010 tornado data per latest posted copy of Storm Data obtained from the  Amarillo NWS website.  Updated the windspeed vs. probability graph on the "Tornado Model" worksheet and added an automatic link from this worksheet to the "APC" worksheet for the windspeeds associated with PC-3 and PC-4 tornadoes.</t>
  </si>
  <si>
    <t>The author notes this is a very simplistic analysis.  More complex curve fitting solutions should be used</t>
  </si>
  <si>
    <t>tornado data sets, the error bands for the lowest frequency events are substantial.</t>
  </si>
  <si>
    <t>to achieve a much better fit to the data points.  Due to the small population for the F4/EF4 and 5/EF5</t>
  </si>
  <si>
    <r>
      <t xml:space="preserve">          Tornado wind data was collected for the counties included in the Amarillo National Weather Service's County Warning Area (CWS).  The counties included in the CWA are:  Armstrong, Carson, Collingsworth, Dallam, Deaf Smith, Donley, Gray, Hansford, Hartley, Hemphill, Hutchinson, Lipscomb, Moore, Ochiltree, Oldham, Potter, Randall, Roberts, Sherman, and Wheeler counties of the Texas Panhandle, along with Cimmaron, Texas and Beaver counties in the Oklahoma Panhandle.  This encompasses an approximate 3 degree latitude by 2 degree longitude region around Amarillo, Texas (the geographic center of the CWA is roughly 45 miles to the north northeast of Amarillo).  Data collected for each tornado includes the damage path length and width as well as the intensity.  For this spreadsheet, tornado data compiled on the Amarillo NWS internet website for the years between 1950 and 1997 was compared to that from the Storm Prediction Center's online database and that available from the National Climatic Data Center's internet website.  While it is not known exactly where all three databases obtained their source information, the printed hard copies of the U.S. Department of Commerce's monthly publication </t>
    </r>
    <r>
      <rPr>
        <i/>
        <sz val="12"/>
        <rFont val="Arial"/>
        <family val="2"/>
      </rPr>
      <t>STORM DATA</t>
    </r>
    <r>
      <rPr>
        <sz val="12"/>
        <rFont val="Arial"/>
        <family val="2"/>
      </rPr>
      <t xml:space="preserve"> are a likely source.  Beginning in 1998, data was obtained directly from </t>
    </r>
    <r>
      <rPr>
        <i/>
        <sz val="12"/>
        <rFont val="Arial"/>
        <family val="2"/>
      </rPr>
      <t>STORM DATA</t>
    </r>
    <r>
      <rPr>
        <sz val="12"/>
        <rFont val="Arial"/>
        <family val="2"/>
      </rPr>
      <t xml:space="preserve">.  Discrepancies between the three aforementioned databases for tornadoes occurring prior to 1998 were discussed with a senior meteorologist and the Warning Coordination Meteorologist from the Amarillo NWS during development of the initial issue of this database.  Resolution of discrepancies was typically based on information as printed in </t>
    </r>
    <r>
      <rPr>
        <i/>
        <sz val="12"/>
        <rFont val="Arial"/>
        <family val="2"/>
      </rPr>
      <t xml:space="preserve">STORM DATA </t>
    </r>
    <r>
      <rPr>
        <sz val="12"/>
        <rFont val="Arial"/>
        <family val="2"/>
      </rPr>
      <t xml:space="preserve">(prior to the 1990s, information in </t>
    </r>
    <r>
      <rPr>
        <i/>
        <sz val="12"/>
        <rFont val="Arial"/>
        <family val="2"/>
      </rPr>
      <t>STORM DATA</t>
    </r>
    <r>
      <rPr>
        <sz val="12"/>
        <rFont val="Arial"/>
        <family val="2"/>
      </rPr>
      <t xml:space="preserve"> was usually more subjective and qualitative in nature than in recent editions of the publication).  </t>
    </r>
  </si>
  <si>
    <r>
      <t>The Design Basis Tornado is modeled as a single Rankine combined vortex.  A single Rankine combined vortex is a simple model possessing only asimuthal velocity.  The wind velocities and pressures are assumed not to vary with the height above the ground.  Therefore, the flow field is two-dimensionial.  The flow field of a Rankine combined vortex is equivalent to that of a solid rotating body within the core of radius Rm.  Ourside the core, the speed falls off as 1/r.  The maximum rotational speed occurs at radius r = Rm.
The pressure drop from normal atmospheric pressure to the center of the Rankine combined vortex is calculated by balancing the pressure gradient and the centrifugal force (cyclostrophic balance), and integrating from infinity to the center of the vortex.
The calculation method and equations are based on NUREG/CR - 4461, Revision 2</t>
    </r>
    <r>
      <rPr>
        <vertAlign val="superscript"/>
        <sz val="11"/>
        <rFont val="Arial"/>
        <family val="2"/>
      </rPr>
      <t>1</t>
    </r>
    <r>
      <rPr>
        <sz val="11"/>
        <rFont val="Arial"/>
        <family val="2"/>
      </rPr>
      <t>.  The windspeeds for PC-3 and 4 tornados are calculated from the data contained in this database for the Amarillo, Texas area.
1.     NUREG/CR - 4461, Revision 2, Tornado Climatology of the Contiguous United States, prepared by Pacific Northwest
        Laboratory for the Nuclear Regulatory Commission, February, 2007.</t>
    </r>
  </si>
  <si>
    <t>Model" page.</t>
  </si>
  <si>
    <t>The total velocity for the two performance categories is calculated on the "Tornado</t>
  </si>
  <si>
    <t>AREAS OF COUNTIES</t>
  </si>
  <si>
    <t>Weak El Nino to  weak La Nina</t>
  </si>
  <si>
    <t>Weak El Nino</t>
  </si>
  <si>
    <t>Weak La Nina to moderate La Nina</t>
  </si>
  <si>
    <t>Weak La Nina</t>
  </si>
  <si>
    <t>Moderate El Nino to weak El Nino</t>
  </si>
  <si>
    <t>Neutral to weak La Nina</t>
  </si>
  <si>
    <t>Neutral to moderate El Nino</t>
  </si>
  <si>
    <t>Weak El Nino to moderate El Nino</t>
  </si>
  <si>
    <t>Neutral to moderate La Nina</t>
  </si>
  <si>
    <t>Moderate La Nina to weak La Nina</t>
  </si>
  <si>
    <t>Strong El Nino to weak El Nino</t>
  </si>
  <si>
    <t>Moderate La Nina (-1.8 &lt; ONI &lt; -1)</t>
  </si>
  <si>
    <t>Weak El Nino (0.5 &lt; ONI &lt; 1)</t>
  </si>
  <si>
    <t>Weak La Nina (-1 &lt; ONI &lt; -0.5)</t>
  </si>
  <si>
    <t>Neutral (-0.5 &lt; ONI &lt; 0.5)</t>
  </si>
  <si>
    <t>Moderate El Nino (1 &lt; ONI &lt; 1.8)</t>
  </si>
  <si>
    <t>003</t>
  </si>
  <si>
    <t>Corrected an error on the "Graphics" tab.  On the graphic showing the Texas and Oklahoma Panhandles with the counties colored in, Beaver county and Texas county were switched.</t>
  </si>
  <si>
    <t>2.3 mi. NNE of Tyrone</t>
  </si>
  <si>
    <t>4.8 mi. N of  Boyd</t>
  </si>
  <si>
    <t>5.7 mi. WNW of Follett</t>
  </si>
  <si>
    <t>Oklahoma
Panhandle</t>
  </si>
  <si>
    <t>004</t>
  </si>
  <si>
    <t>Weak</t>
  </si>
  <si>
    <t>Strong</t>
  </si>
  <si>
    <t>Violent</t>
  </si>
  <si>
    <t>Significant</t>
  </si>
  <si>
    <t>Intense</t>
  </si>
  <si>
    <t>Some damage to chimneys; breaks branches off trees; pushes over shallow-rooted trees; damages sign boards.</t>
  </si>
  <si>
    <t>The lower limit is the beginning of hurricane wind speed; peels surface off roofs; mobile homes pushed off foundations or overturned; moving autos pushed off the roads; attached garages may be destroyed.</t>
  </si>
  <si>
    <t>Considerable damage. Roofs torn off frame houses; mobile homes demolished; boxcars pushed over; large trees snapped or uprooted; light object missiles generated.</t>
  </si>
  <si>
    <t>Roof and some walls torn off well constructed houses; trains overturned; most trees in fores uprooted</t>
  </si>
  <si>
    <t>Well-constructed houses leveled; structures with weak foundations blown off some distance; cars thrown and large missiles generated.</t>
  </si>
  <si>
    <t>Strong frame houses lifted off foundations and carried considerable distances to disintegrate; automobile sized missiles fly through the air in excess of 100 meters; trees debarked; steel re-inforced concrete structures badly damaged.</t>
  </si>
  <si>
    <t>Tornado Classifications</t>
  </si>
  <si>
    <t>Description</t>
  </si>
  <si>
    <t>Extreme drought / moderate to strong La Nina</t>
  </si>
  <si>
    <t>The summer of 2011 was the driest and hottest on record in Amarillo.  Very little rainfall fell.  June 11th was the only day with a couple of tornadoc thunderstorms that developed in the northern portion of the panhandles and moved SSE.  ARES not activated.
5.9 mi. WNW of Darrouzett</t>
  </si>
  <si>
    <t>1.     The information for the first tornado is somewhat subjective.  It is included because of the significance of</t>
  </si>
  <si>
    <t xml:space="preserve">        the event ( possible F5 tornado touchdown).  </t>
  </si>
  <si>
    <t>Rounded Path Widths, Lengths and Areas</t>
  </si>
  <si>
    <t>Path widths, lengths and areas are rounded down and entered into columns "U", "V", and</t>
  </si>
  <si>
    <t>"W."  Path widths shall be rounded down to the following:  2, 5, 10, 20, 50, 100, 200,</t>
  </si>
  <si>
    <t>0.1, 0.2, 0.5, 1, 2, 5, 10, 20, or 50 miles.  Path areas are rounded down in similar fashion.</t>
  </si>
  <si>
    <t>This information is used in the "Distribution Tab."</t>
  </si>
  <si>
    <t>N</t>
  </si>
  <si>
    <t>Quantile</t>
  </si>
  <si>
    <t>z</t>
  </si>
  <si>
    <t>ln Width</t>
  </si>
  <si>
    <t>ln Length</t>
  </si>
  <si>
    <t>ln Area</t>
  </si>
  <si>
    <t>Count</t>
  </si>
  <si>
    <t>Mode</t>
  </si>
  <si>
    <t>Median</t>
  </si>
  <si>
    <t>Geo. Mean</t>
  </si>
  <si>
    <t>Added a new "Rating" worksheet and modified the "Counties" worksheet to create new drop-down boxes to the actual databases for ease in selecting the ratings and counties.  Input the 2011 tornado data per posted copy of  Storm Data obtained from the Amarillo NWS website.  Clarified section 1.c in the "Instructions" worksheet to mention the  rounded down path areas.  Added "Analysis" worksheets following each of the individual tornado classification worksheets (EF0 - EF4).  Added additional text to the "Methodology" worksheet to explain the statistical verification performed on the tornado data.</t>
  </si>
  <si>
    <t xml:space="preserve">calculate the probability of a tornado "strike."  Following each classification, I have </t>
  </si>
  <si>
    <t xml:space="preserve">          Appendix A3.2.2-e of Department of Energy Standard DOE-STD-1023-95 (reaffirmed in 2002) provides the methodology to be used for generating the probabilistic wind hazard analysis.  According to DOE-STD-1022-94 (also reaffirmed in 2002), tornado data should be collected for an area 310 miles radius around the site (DOE).  It is the author's opinion that this requirement will lead to overly conservative frequency estimates.  A 310 mile radius from Amarillo encompasses areas far to the east where atmospheric conditions more favorably support the development of tornadic thunderstorms than in the Texas Panhandle.   The Texas and Oklahoma Panhandles are located along the western edge of "Tornado Alley."   Thus, the number of tornadoes typically experienced in this area is usually fewer and their estimated windspeeds lower (not as many EF4 or EF5 tornadoes) than those documented further to the northeast, east, and southeaset in Kansas, Oklahoma, or North Texas.  Although use of a 310 mile radius also includes areas to the west that experience a much lower incidence of tornadic activity, the number/strength of tornadoes is not simply averaged across the entire 620 mile diameter circle surrounding the site.  For this reason, this analysis relies on data from the region in the vicinity of Amarillo, Texas (an added benefit is that since about 1998 this information has been readily available from the Amarillo NWS.</t>
  </si>
  <si>
    <t xml:space="preserve">          This spreadsheet uses information for an area between approximately 60 to 100 miles radius from Amarillo, Texas.  This is judged to result in frequency estimates that are more representative of the tornado threat to the region surrounding Amarillo.  Since the complex computer model used by Boissonnade et.al. for the Department of Energy (DOE) was never "published" or made available for use by either the DOE community or the public, the model used in this analysis closely follows the model developed by the Pacific Northwest Laboratory for the NRC analysis (Ramsdell and Rishel, 2007).   Like the NRC's model, this analysis also assigns the Enhanced Fujita windspeeds to all tornadoes, even those occurring prior to the change in 2007.</t>
  </si>
  <si>
    <t xml:space="preserve">          Hazard models developed by Coats and Murray (1985) and Boissonnade et. al. (2000) have been accepted by the Department of Energy for performing a site tornado probabilitic hazard analysis and contain probability distributions applicable for the Amarillo, Texas area (the DOE's Pantex Plant is located approximately 10 miles northeast of Amarillo, Texas).  The models and the database used for these two reports used windspeeds associated with the original Fujuta Scale for F0 to F5 tornadoes.  A more recent analysis, commissioned by the U.S. Nuclear Regulatory Commission (NRC) (Ramsdell and Rishel), was completed in 2007.  In addition to using a slightly different model, the NRC database utilized the updated windspeed criteria associated with the Enhanced Fujita Scale for EF0 to EF5 tornadoes.  The NRC's design basis windspeeds are also based on a different frequency than that required by DOE-STD-1023 for PC-3 and PC-4 structures (the NRC uses 1.0E-7 per year while the DOE uses 2.0E-5 per year for PC-3 structures and 2.0E-6 per year for PC-4 structures).  The net effect of using the Enhanced Fujita windspeeds versus the old Fujita windspeeds in these types of analyses is a reduction in the design basis windspeed for a given structure, regardless of the frequency.    </t>
  </si>
  <si>
    <t xml:space="preserve">          The 5% and 95% quantiles for path width, length, and area are interprolated from the natural log columns, and then the "anti-log" or exponential taken of  the natural log to arrive at the 5% and 95% values. </t>
  </si>
  <si>
    <t xml:space="preserve">          What Mr. Ashcraft found is that the data for the Amarillo NWS's CWA is relatively "close" to lognormal, but is skewed some especially in the EF0 to EF2 classifications.  If you examine the plots on the "Analysis" worksheets, you see that the graphs are skewed in some locations of the range for width, length, and area.  These graphs should be "straight" lines (from the lower left to the upper right) if the data was truly distributed in a lognormal fashion.  Upon examination, the portions of the graphs that form horizontal lines are due to the "abnormal" number of tornadoes that are arbitratily assigned a path length and path width.  These smaller and weaker tornadoes typically do not travel very far, and only touch down briefly in the wide, open spaces that make up the majority of the Texas and Oklahoma panhandles, making an accurate determination of length and width next to impossible.  In these cases the NWS meteorologists assign an "arbitrary" length and width using their experience and training as best they can.  In the case of the EF3 and especially the EF4 tornadoes,  the graphs are not as skewed, probably owing to the fact that these tornadoes are generally larger and on the ground for longer times, making determination of path width and length easier.  As the tornado database grows over time, and as the population density in our area increases, we expect to see a better fit of the data to a lognormal distribution.</t>
  </si>
  <si>
    <t>005</t>
  </si>
  <si>
    <t>7.3 mi. S of Wellington</t>
  </si>
  <si>
    <t>4 mi. NW of Adrian</t>
  </si>
  <si>
    <t>3 mi. NE of Washburn</t>
  </si>
  <si>
    <t>5 mi. SSE of Clarendon</t>
  </si>
  <si>
    <t>1 mi. NW of Lela Lake</t>
  </si>
  <si>
    <t>Earliest "first" tornado of the year:  February 3, 2012</t>
  </si>
  <si>
    <t>Latest "last" tornado of the year:  December 14, 2012</t>
  </si>
  <si>
    <t>2.     Unless otherwise delinated, the individual graphs use data from the "whole" tornado database.</t>
  </si>
  <si>
    <t>the expected value, 5%, and 95% values for the parameters.  Each year, the cell</t>
  </si>
  <si>
    <t>Total number of Whole Tornadoes per Year</t>
  </si>
  <si>
    <t>associated with a tornado is calculated.</t>
  </si>
  <si>
    <t>lognormal distribution.</t>
  </si>
  <si>
    <t xml:space="preserve">included worksheets prepared by R. Ashcraft that evaluate the fit of the data to a </t>
  </si>
  <si>
    <t>Individual Analysis Tabs</t>
  </si>
  <si>
    <t>tornadoes into the list at the bottom.  You can simply use the "copy" function, and copy</t>
  </si>
  <si>
    <t>function, and only paste in the values, not the formula.  Next, input the "N" values</t>
  </si>
  <si>
    <t>To update the "F_ - EF_ Analysis" tabs, insert the width, length and area of the new</t>
  </si>
  <si>
    <t>Jan</t>
  </si>
  <si>
    <t>Feb</t>
  </si>
  <si>
    <t>Mar</t>
  </si>
  <si>
    <t>Apr</t>
  </si>
  <si>
    <t>Jun</t>
  </si>
  <si>
    <t>Jul</t>
  </si>
  <si>
    <t>Aug</t>
  </si>
  <si>
    <t>Sep</t>
  </si>
  <si>
    <t>Oct</t>
  </si>
  <si>
    <t>Nov</t>
  </si>
  <si>
    <t>Dec</t>
  </si>
  <si>
    <t>Percent</t>
  </si>
  <si>
    <t>F5 - EF5</t>
  </si>
  <si>
    <t>F0 - EF0</t>
  </si>
  <si>
    <t>F1 - EF1</t>
  </si>
  <si>
    <t>F2 - EF2</t>
  </si>
  <si>
    <t>F3 - EF3</t>
  </si>
  <si>
    <t>F4 - EF4</t>
  </si>
  <si>
    <t>Month and</t>
  </si>
  <si>
    <t>TORNADOES BY DECADE:</t>
  </si>
  <si>
    <t>1950s:</t>
  </si>
  <si>
    <t>1960s:</t>
  </si>
  <si>
    <t>1970s:</t>
  </si>
  <si>
    <t>1980s:</t>
  </si>
  <si>
    <t>1990s:</t>
  </si>
  <si>
    <t>2000s:</t>
  </si>
  <si>
    <t>2010s:</t>
  </si>
  <si>
    <t>Totals:</t>
  </si>
  <si>
    <t>Jan 1-10</t>
  </si>
  <si>
    <t>Jan 11-20</t>
  </si>
  <si>
    <t>Jan 21-31</t>
  </si>
  <si>
    <t>Feb 1-10</t>
  </si>
  <si>
    <t>Feb 21-28</t>
  </si>
  <si>
    <t>Feb 11-20</t>
  </si>
  <si>
    <t>Mar 1-10</t>
  </si>
  <si>
    <t>Mar 11-20</t>
  </si>
  <si>
    <t>Mar 21-31</t>
  </si>
  <si>
    <t>Apr 1-10</t>
  </si>
  <si>
    <t>Apr 11-20</t>
  </si>
  <si>
    <t>Apr 21-30</t>
  </si>
  <si>
    <t>May 1-10</t>
  </si>
  <si>
    <t>May 11-20</t>
  </si>
  <si>
    <t>May 21-31</t>
  </si>
  <si>
    <t>Jun 1-10</t>
  </si>
  <si>
    <t>Jun 21-30</t>
  </si>
  <si>
    <t>Jun 11-20</t>
  </si>
  <si>
    <t>Jul 1-10</t>
  </si>
  <si>
    <t>Jul 11-20</t>
  </si>
  <si>
    <t>Jul 21-31</t>
  </si>
  <si>
    <t>Aug 1-10</t>
  </si>
  <si>
    <t>Aug 11-20</t>
  </si>
  <si>
    <t>Aug 21-31</t>
  </si>
  <si>
    <t>Sep 1-10</t>
  </si>
  <si>
    <t>Sep 11-20</t>
  </si>
  <si>
    <t>Sep 21-30</t>
  </si>
  <si>
    <t>Oct 1-10</t>
  </si>
  <si>
    <t>Oct 11-20</t>
  </si>
  <si>
    <t>Oct 21-31</t>
  </si>
  <si>
    <t>Nov 1-10</t>
  </si>
  <si>
    <t>Nov 11-20</t>
  </si>
  <si>
    <t>Nov 21-30</t>
  </si>
  <si>
    <t>Dec 1-10</t>
  </si>
  <si>
    <t>Dec 11-20</t>
  </si>
  <si>
    <t>Dec 21-31</t>
  </si>
  <si>
    <t>.</t>
  </si>
  <si>
    <t>Total:</t>
  </si>
  <si>
    <t>YEAR:</t>
  </si>
  <si>
    <t>DATE:</t>
  </si>
  <si>
    <t>DAYS WITH MULTIPLE TORNADOES</t>
  </si>
  <si>
    <t># Tornadoes</t>
  </si>
  <si>
    <t>Rank</t>
  </si>
  <si>
    <t>[Six (6) or more tornadoes]</t>
  </si>
  <si>
    <t>counties in the table immediately above the graph.  The graph will update automatically.</t>
  </si>
  <si>
    <t>The map of the Panhandles should be checked to see if any one or more counties has</t>
  </si>
  <si>
    <t>increased in total number of tornadoes such that it's highlighted color needs to change.</t>
  </si>
  <si>
    <t>The last two tables, "Tornadoes by Decade" and "Days with Multiple Tornadoes" each</t>
  </si>
  <si>
    <t>will have to be updated manually.</t>
  </si>
  <si>
    <t>Ratings:</t>
  </si>
  <si>
    <t>No changes are needed for this tab.  It simply provides useful information regarding the</t>
  </si>
  <si>
    <t>strength of tornadoes along with their significance category.</t>
  </si>
  <si>
    <t>Season:</t>
  </si>
  <si>
    <t>This information is manually created every year.  This graph is intended to present a</t>
  </si>
  <si>
    <t>First Tornado:</t>
  </si>
  <si>
    <t>This information is entered manually each year.  The two graphs show the date by which</t>
  </si>
  <si>
    <t>the region experiences the first tornado of the year, and the percent of years the region</t>
  </si>
  <si>
    <t>3.9 mi. W of Laketon
Tornado crossed into Roberts Co.</t>
  </si>
  <si>
    <t>12 mi. SSW of Clarendon
Tornado originated in Hall County.</t>
  </si>
  <si>
    <t>6.3 mi. SSE of Miami
Tornado originated in Gray Co., and crossed into Hemphill Co.</t>
  </si>
  <si>
    <t>11.9 mi. W of Gageby
Tornado originated in Gray Co., and moved through Roberts Co. before crossing into Hemphill Co.</t>
  </si>
  <si>
    <t>Self explanatory.  Most information on this sheet is automatically updated.  The</t>
  </si>
  <si>
    <t xml:space="preserve">information comes from the "Whole Tornadoes" worksheet, except for the county </t>
  </si>
  <si>
    <t>statistics information.  The "Tornado Segments by County" graph should list the</t>
  </si>
  <si>
    <t>counties from left to right in decreasing order of number of tornadoes.  If, after updating</t>
  </si>
  <si>
    <t xml:space="preserve">the databases, any counties have "swapped" places, simply swap the respective </t>
  </si>
  <si>
    <t>"scatterplot" of the tornado-days for the region.  It is best viewed at about 50% zoom.</t>
  </si>
  <si>
    <t>each F rating.  Since the actual values for these parameters follow a lognormal</t>
  </si>
  <si>
    <t>final tabs.  Since the path width and lengths are assumed to follow a lognormal</t>
  </si>
  <si>
    <t>Renamed the file to better reflect its purpose.   Added total path length calculation to individual "F" scale databases.  Corrected errors in the 'Summary - Segments' tab calculations by "F" scale from 2016 to 2025.  Added information to the database on one significant tornado that occurred just prior to 1950.  Deleted the "Averages" tab.  Added the "Segment Statistics" tab.  Added a new tab for listing whole tornadoes by themselves (not broken out by county).  Added a new tab to summarize information on whole tornadoes.  Revised the tab names.</t>
  </si>
  <si>
    <t xml:space="preserve">          To verify the data in this database fit the assumed lognormal distribution for path length, path width and path area, I enlisted the aid of Mr. Robert Ashcraft, retired statistician from BWXT Pantex.  He used "Hazen's Method" to determine the quantiles for the data and corresponding "Z" values which were then plotted on a lognormal graph to "test" the lognormality of each parameter for the EF0 to EF4 classifications  (with only one assumed F5 data point this exercise is useless for that classification).  To accomplish this, first the tornado path width, length, and area are entered (and the "N" value updated according to the number of new tornadoes).  Each of the parameters (length, width, and area) is then sorted individually, from the lowest value to the highest.  Hazen's method is then used to determine the quantile, based on the value of "N."  The EXCEL normal inverse function is then applied to the quantile to determine the "z".  Finally, as before, the natural log of the width, length, and area is calculated.  </t>
  </si>
  <si>
    <t>006</t>
  </si>
  <si>
    <t>Updated the worksheets to add in the six (6) tornadoes recorded for 2012.  Revised and reordered the instructions.  Added a new instructions #3, 7, 8, and 15.  Added two new graphs:  "Date of First Tornado" and "Percent of Years First Tornado On or Before Date" (both on a new tab titled "First Tornado").  Added three new tables to the infomation on the "Graphics" tab:  "Tornadoes by Month" (delineated by strength), "Tornadoes by Decade", and "Days with Multiple Tornadoes".  Corrected minor typographical errors.</t>
  </si>
  <si>
    <t>8.9 mi. NNW of Clear Lake
Brief landspout tornado.</t>
  </si>
  <si>
    <t>5.7 mi. E of Forgan
Landspout tornado.</t>
  </si>
  <si>
    <t>9 mi. WSW of Bootleg
Discrete supercell produced a brief tornado.</t>
  </si>
  <si>
    <t>6.8 mi. NW of Walcott
Brief tornado produced by the same supercell as the previous.  This same storm formed along a retreating dryline, and initially moved NE.  As it neared Vega, it turned sharply right and traveled east, staying just south of I-40.  The storm produced brief funnels as it approached Amarillo about 10:30 PM,  and produced copious amounts of golfball to baseball sized hail generally north of 45th avenue across the northern 2/3rds of Amarillo.  No more tornadoes or funnels were reported after the storm left Amarillo.</t>
  </si>
  <si>
    <t>Total no. of years of data</t>
  </si>
  <si>
    <t>updated each year.  As the information is entered, remove the light yellow highlighting.</t>
  </si>
  <si>
    <t>Per Storm Data, a storm developed in Potter Co, and initially moved NE.  It then turned and moved south, and finally to the southeast.  Seven funnels were reported, although only four tornadoes are shown in the various databases.  Storm Data only  lists a time of 3:30 PM CST for  this event (all seven funnels).</t>
  </si>
  <si>
    <t>Per Storm Data, this storm formed near Lefors and moved northward, striking portions of Pampa.</t>
  </si>
  <si>
    <t>Per Storm Data, this storm formed east of Groom, and moved northward.</t>
  </si>
  <si>
    <t>Per Storm Data, this storm or family of tornadoes caused extensive damage over a large area.</t>
  </si>
  <si>
    <t>The next four entries were reviewed against information in Storm Data.  SD confirms all four tornadoes, and describes them as two separate large tornadoes that moved into Texas from New Mexico, traveling generally east and southeast.  One of the two large tornadoes had two smaller ones trailing it.</t>
  </si>
  <si>
    <t>Starting time is an estimate.  Storm Data only lists a touchdown "during the day" as seen by the National Severe Storms Project.</t>
  </si>
  <si>
    <t>The large tornado reported in Storm Data.  Start and end times are as published in SD.</t>
  </si>
  <si>
    <t>Storm Data reported two tornadoes touching down 4 miles north of Gruver.  One was identified as a "large tornado".  See the entry immediately below.  Start and end times are as published in SD.</t>
  </si>
  <si>
    <t>5 mi. NW of Canadian.  Start and end times as published in SD.</t>
  </si>
  <si>
    <t>4 mi. S of Beaver</t>
  </si>
  <si>
    <t>7 mi. W. of Goodwell</t>
  </si>
  <si>
    <t>6 mi. N of Beaver</t>
  </si>
  <si>
    <t>2 mi. W of  Beaver</t>
  </si>
  <si>
    <t>S side of Canyon.  Other funnels were observed as well around Canyon.</t>
  </si>
  <si>
    <t>Storm Data reported a tornado touching down in Union Hill during the afternoon.</t>
  </si>
  <si>
    <t>Storm Data reports six funnels aloft, with one or more touching down in the southern portions of Amarillo between 7 and 9 PM.</t>
  </si>
  <si>
    <t>Storm Data does not list a specific time for this tornado.  This and the one below were part of a family of tornadoes that formed on the evening of the 14th.</t>
  </si>
  <si>
    <t>Storm Data lists three tornadoes touching down near Pampa, and moving NE to Miami, from 1:10 PM to 3:15 PM.</t>
  </si>
  <si>
    <t>Not sure what the source of the starting time is for this tornado.</t>
  </si>
  <si>
    <t>Per Storm Data, this tornado and its sister below moved in open land between White Deer and Pampa.</t>
  </si>
  <si>
    <t>Near White Deer.  Start and end times per SD.</t>
  </si>
  <si>
    <t>6 mi. NW of Shamrock.  Start and end times per SD.</t>
  </si>
  <si>
    <t>8 mi. S of Washburn</t>
  </si>
  <si>
    <t>Just W of Borger</t>
  </si>
  <si>
    <t>Touchdown at Lark</t>
  </si>
  <si>
    <t>20 mi. SE of Claude</t>
  </si>
  <si>
    <t>Touchdown at Kingmill</t>
  </si>
  <si>
    <t>Touchdown just NE of Clarendon</t>
  </si>
  <si>
    <t>Touchdown  just W of Shamrock</t>
  </si>
  <si>
    <t>The next four entries document another long track tornado, or family of tornadoes.  AMA NWS web database incorrectly classifies this as F3.  Storm Data and NCDC database list a rating of F4.
5 mi. SE of Sunray
Tornado crossed into Hansford Co.</t>
  </si>
  <si>
    <t>AMA NWS web database and Storm Data classify this as an F3.  NCDC and SPC databases list a rating of F4.  Listed the SD rating of F3.
Tornado originated in Moore Co., and passed through Hansford and Ochiltree Counties.</t>
  </si>
  <si>
    <t>Updated the worksheets to add in the seven (7) tornadoes recorded for 2013.  Added information into the "notes" section of the "Database - Tornado Segments" tab based on a review of the applicable Storm Data files provided by the Amarillo NWS office staff.  Changed the rating of the March 19th, 1982 Beaver Co. Oklahoma tornado from F4 to F3 based on Storm Data listing in the "Database - Tornado Segments" tab.</t>
  </si>
  <si>
    <t>10 mi. N of Fritch</t>
  </si>
  <si>
    <t>Numerous funnels between Four Way and Lake Meredith.  One touchdown.</t>
  </si>
  <si>
    <t>A few mi. N of Dawn.  Start time based on Storm Data information.</t>
  </si>
  <si>
    <t>4 mi. S of Bushland. 
Tornado crossed into Potter Co.</t>
  </si>
  <si>
    <t>8 to 10 mi. N of Umbarger</t>
  </si>
  <si>
    <t>There is no Storm Data entry for this date and time in Potter Co.</t>
  </si>
  <si>
    <t>Near Miami.</t>
  </si>
  <si>
    <t>5 mi. S of Canadian</t>
  </si>
  <si>
    <t>There is no Storm Data entry for this date and time in Roberts Co.</t>
  </si>
  <si>
    <t>15 mi. S of Miami (near Laketon)</t>
  </si>
  <si>
    <t>Near Heaton</t>
  </si>
  <si>
    <t>Storm Data lists a tornado beginning at 5:55 PM CST near Pampa.</t>
  </si>
  <si>
    <t>There is no Storm Data entry for this date and time in Gray Co.</t>
  </si>
  <si>
    <t>There is no Storm Data entry for this date and time in Gray Co.  SD does indicate there were numerous funnels with a large wall cloud associated with this supercell.  It is possible the entries not officially listed were reported in other databases by various chasers and reasearchers.</t>
  </si>
  <si>
    <t>20 mi. SE of Borger
The Storm Data entry for this date and time in Carson Co.  lists a starting time of 5:05 PM CST.  Storm Data suggests this same storm produced the tornadoes in and around the Pampa area.</t>
  </si>
  <si>
    <t>4.5 mi. S of Elmwood</t>
  </si>
  <si>
    <t>Near Pampa</t>
  </si>
  <si>
    <t>3 mi. S of Clarendon</t>
  </si>
  <si>
    <t>Just SW of Gruver</t>
  </si>
  <si>
    <t>Just S of Gruver</t>
  </si>
  <si>
    <t>4 mi. NW of Spearman</t>
  </si>
  <si>
    <t>Just NW of Palo Duro Canyon State Park
Tornado crossed into Armstrong Co.</t>
  </si>
  <si>
    <t>Just S of Waka</t>
  </si>
  <si>
    <t>6 mi. SE of Farnsworth</t>
  </si>
  <si>
    <t>9 mi. NW of Happy</t>
  </si>
  <si>
    <t>There is no Storm Data entry for this date and time in Randall Co.</t>
  </si>
  <si>
    <t>6 mi. E of Canyon</t>
  </si>
  <si>
    <t>6 mi. NW of Amarillo</t>
  </si>
  <si>
    <t>5 mi. E of Borger</t>
  </si>
  <si>
    <t>Near Skellytown</t>
  </si>
  <si>
    <t>7 mi. N of Claude
Tornado crossed into Armstrong Co.</t>
  </si>
  <si>
    <t>W side of Pampa</t>
  </si>
  <si>
    <t>5 mi. S of McLean</t>
  </si>
  <si>
    <t>Near Blueridge</t>
  </si>
  <si>
    <t>20 mi. E of Canadian</t>
  </si>
  <si>
    <t>7 mi. SW of Higgins</t>
  </si>
  <si>
    <t>6 mi. SE of McLean</t>
  </si>
  <si>
    <t>10 mi. W of Shamrock</t>
  </si>
  <si>
    <t>Near Shamrock</t>
  </si>
  <si>
    <t>1 mi. SW of Tyrone</t>
  </si>
  <si>
    <t>13 mi. S of Farnsworth</t>
  </si>
  <si>
    <t>7 mi. S of Waka</t>
  </si>
  <si>
    <t>3 mi. S of Spearman</t>
  </si>
  <si>
    <t>5 mi. W of Spearman</t>
  </si>
  <si>
    <t>6 mi. S of Waka</t>
  </si>
  <si>
    <t>2 mi. W of Spearman</t>
  </si>
  <si>
    <t>20 mi. S. of Farnsworth</t>
  </si>
  <si>
    <t>8 mi. N of Canadian</t>
  </si>
  <si>
    <t>8 mi. NW of Canadian</t>
  </si>
  <si>
    <t>9 mi. NE of Canadian</t>
  </si>
  <si>
    <t>12 mi. W of Shamrock</t>
  </si>
  <si>
    <t>2 mi. S of Kellerville</t>
  </si>
  <si>
    <t>3 mi. N of Pampa</t>
  </si>
  <si>
    <t>5 mi. E of Pampa</t>
  </si>
  <si>
    <t>Near Panhandle</t>
  </si>
  <si>
    <t>2 mi. N of Conway</t>
  </si>
  <si>
    <t>6 mi. WE of Panhandle</t>
  </si>
  <si>
    <t>4 mi. W of Panhandle</t>
  </si>
  <si>
    <t>12 mi. SW of Panhandle</t>
  </si>
  <si>
    <t>In Shamrock</t>
  </si>
  <si>
    <t>10 mi. N of Panhandle</t>
  </si>
  <si>
    <t>1 mi. E of Wheeler</t>
  </si>
  <si>
    <t>15 mi. N of Panhandle</t>
  </si>
  <si>
    <t>1 mi. N of Panhandle</t>
  </si>
  <si>
    <t>10 mi. WSW of Beaver</t>
  </si>
  <si>
    <t>Neutral to weak La Nina  Above normal temps, below normal precip</t>
  </si>
  <si>
    <t>has experienced the first tornado on or before a given date.</t>
  </si>
  <si>
    <t xml:space="preserve">This and the next six tornadoes were confirmed in Storm Data as separate tornadoes.  </t>
  </si>
  <si>
    <t>007</t>
  </si>
  <si>
    <t>The combination of a stationary front, passing upper level shortwave, and unstable environment helped to initiate thunderstorms across the TX Panhandle. 3,000 J/kg of CAPE and 40 to 50 kts of deep layer sheer (per the SPC Mesoanalysis page) allowed the storms to quickly develop into severe thunderstorms.</t>
  </si>
  <si>
    <t>Near Elmwood</t>
  </si>
  <si>
    <t>NRN Lipscomb Co.</t>
  </si>
  <si>
    <t>CNTRL Lipscomb Co.</t>
  </si>
  <si>
    <t>12 mi. W of Slapout.</t>
  </si>
  <si>
    <t>Weak El Nino to Neutral</t>
  </si>
  <si>
    <t>500, 1,000, and 2,000 yards.  Path lengths shall be rounded down to the following:  0,</t>
  </si>
  <si>
    <t>Note:  Each year, the equations in the two windspeed cells must be regenerated using curve fit software and the PC-3 and PC-4 windspeeds determined manually.  This will only be done periodically, as the values are not expected to vary much from year to year.</t>
  </si>
  <si>
    <t>VERIFICATION OF LOGNORMAL DISTRIBUTION FOR F0 - EF0 TORNADOES</t>
  </si>
  <si>
    <t>VERIFICATION OF LOGNORMAL DISTRIBUTION FOR F1 - EF1 TORNADOES</t>
  </si>
  <si>
    <t>VERIFICATION OF LOGNORMAL DISTRIBUTION FOR F2 - EF2 TORNADOES</t>
  </si>
  <si>
    <t>VERIFICATION OF LOGNORMAL DISTRIBUTION FOR F3 - EF3 TORNADOES</t>
  </si>
  <si>
    <t>VERIFICATION OF LOGNORMAL DISTRIBUTION FOR F4 - EF4 TORNADOES</t>
  </si>
  <si>
    <t>Updated the worksheets to add in the thirteen (13) tornado segments recorded for 2014.  Revised the header for the "Analysis" worksheets at the end.</t>
  </si>
  <si>
    <r>
      <t>This spreadsheet provides statistics regarding tornado touchdowns in the Amarillo, Texas area from 1950 to the present day.  One additional tornado event prior to 1950 is also included due to its significance (potential F5 event).  This file was primarily developed to calculate the probability that a structure in the Amarillo, Texas vicinity will experience wind speeds associated with F0 (EF0) to F5 (EF5) tornadoes.  The inclusion of the data point prior to 1950 will result in conservative probabilities for exceeding wind speeds associated with violent tornadoes.
The database itself was developed with information supplied from the Amarillo office of the National Weather Service (AMA NWS), the Storm Prediction Center's tornado database, and the online tornado database maintained by the National Climatic Data Center (NCDC).  This spreadsheet includes tornado events from the top twenty counties of the Texas Panhandle as well as the three counties of the Oklahoma Panhandle</t>
    </r>
    <r>
      <rPr>
        <vertAlign val="superscript"/>
        <sz val="12"/>
        <rFont val="Arial"/>
        <family val="2"/>
      </rPr>
      <t>1</t>
    </r>
    <r>
      <rPr>
        <sz val="12"/>
        <rFont val="Arial"/>
        <family val="2"/>
      </rPr>
      <t xml:space="preserve">.
Since the early 1960s, several analyses have been prepared that calculate the probability of a tornado strike across the continental United States (Thom [1963]; Doswell [1998]; Brooks, Doswell, and Kay [2003], and Ramsdell &amp; Rishel [2007] among others), they are all "stand alone" documents that do not allow for yearly updates to the calculations.  Nor do previous analyses prepared for the Department of Energy (DOE) (Coats and Murray [1985]; Boissonnade et. al. [2000]).  This spreadsheet was developed to allow for annual updates with the latest tornado event information as it is published in </t>
    </r>
    <r>
      <rPr>
        <i/>
        <sz val="12"/>
        <rFont val="Arial"/>
        <family val="2"/>
      </rPr>
      <t>Storm Data</t>
    </r>
    <r>
      <rPr>
        <sz val="12"/>
        <rFont val="Arial"/>
        <family val="2"/>
      </rPr>
      <t>.
The author wishes to express his sincere thanks to Messrs. Steve Drillette (former Warning Coordination Meteorologist) and Ken Schneider, Lead Forecaster, of the Amarillo office of the National Weather Service for their support, verification of the initial revision of this database, and resolution of discrepancies between the source databases.  I also with to give my thanks to Mr. Robert Ashcraft, retired statistician, for performing an independent verification of the "goodness" of the assumption that the path width and length data follow a lognormal distribution.</t>
    </r>
  </si>
  <si>
    <t>008</t>
  </si>
  <si>
    <t>S. side of Stratford</t>
  </si>
  <si>
    <t>5 mi. WSW of Cactus</t>
  </si>
  <si>
    <t>3.5 mi. WSW of Turpin</t>
  </si>
  <si>
    <t>12.9 mi. SSW of Texoma</t>
  </si>
  <si>
    <t>6.7 mi. W of Pringle
This storm formed along a stalled boundary in the OK panhandle.  A strengthening jet streak provided the forcing to initiate storms.  After initially moving east, this storm turned right and moved south, clearing Armstrong Co. by about 9 PM.  Two brief tornadoes and hail were confirmed.</t>
  </si>
  <si>
    <t>4 mi. E of Briscoe</t>
  </si>
  <si>
    <t>8 mi. WSW of Hereford</t>
  </si>
  <si>
    <t>Near Slapout
Favorable NW flow aloft and abundant moisture produces severe convection during the  evening and night of the 22nd and  23rd.  A discrete supercell developed over the ERN OK Panhandle during the early afternoon on the 22nd.  This storm produced a couple brief tornadoes and large hail as it moved southward across the far eastern OK Panhandle.</t>
  </si>
  <si>
    <t>7 mi. WNW of Canadian
Tornado originated in Hemphill Co.</t>
  </si>
  <si>
    <t>Near Stratford
NR flow aloft and a shortwave moving out of CO along with a warm front draped across the NRN and ERN TX Panhandle.  Convection developed along the front during the evening hours.  Instability and deep layer sheer were both marginal, but low level helicity near the front produced brief tornadoes.  Outflows from the storms pushed the front south during the evening.</t>
  </si>
  <si>
    <t>4.2 mi. S. of Kingsmill
Two stalled baroclinic zones from earlier convection and a cold front laid across the Panhandles during the afternoon on the 9th.  Up to 1500 J/kg mlcape developed in the SRN TX Panhandle with lesser amounts furhter north.  Straight long hodographs favored splittiing supercells and favorable boundaries were present to support right movers.  This storm formed in ERN Oldham Co. and rode one of the boundaries to the east into Wheeler Co.  Rotation tightened up twice along its journey.</t>
  </si>
  <si>
    <t>5.9 mi. WSW of Goodnight</t>
  </si>
  <si>
    <t>20 mi. WNW of Codman</t>
  </si>
  <si>
    <t>24.7 mi. NNW of Codman</t>
  </si>
  <si>
    <t>1.6 mi. WNW of Groom</t>
  </si>
  <si>
    <t>7.0 mi. S of Perryton</t>
  </si>
  <si>
    <t>5.5 mi. ESE of Perryton</t>
  </si>
  <si>
    <t>5.0 mi. S of Pampa
The second supercell storm to impact Pampa.  Same storm that produced the Groom tornado.  Destroyed the Halliburton plant just east of Pampa.</t>
  </si>
  <si>
    <t>8.1 mi. E of Twichell
Crossed into Beaver Co.</t>
  </si>
  <si>
    <t>8.5 mi. S of Elmwood
Originated in Ochiltree Co.</t>
  </si>
  <si>
    <t>5.9 mi. S of Elmwood</t>
  </si>
  <si>
    <t>1.3 mi. ESE of Hoover
This is the same storm that produced the tornado that destroyed the Halliburton plant.
Crossed into Roberts Co.</t>
  </si>
  <si>
    <t>2.8 mi. WSW of Codman
Originated in Gray Co.</t>
  </si>
  <si>
    <t>8.9 mi. ESE of the Hutchinson Co. Airport (Borger)</t>
  </si>
  <si>
    <t>5.8 mi. NW of Lora
Crossed into Hemphill Co.</t>
  </si>
  <si>
    <t>8.9 mi. WSW of Canadian Airport
Originated in Roberts Co.</t>
  </si>
  <si>
    <t>15.3 mi. NNE of Amarillo Intl Airport</t>
  </si>
  <si>
    <t>3.3 mi. NW of Glazier
Crossed into Lipscomb Co.</t>
  </si>
  <si>
    <t>12.1 mi. S of Lipscomb
Originated in Hemphill Co.
Crossed into Ellis Co., Oklahoma</t>
  </si>
  <si>
    <t>15.2 mi. SSE of Farnsworth</t>
  </si>
  <si>
    <t>8.9 mi. S of Booker</t>
  </si>
  <si>
    <t>5.3 mi. SW of Logan</t>
  </si>
  <si>
    <t>9.9 mi. ESE of Lefors
Sufficient moisture for instability combined with a front (wind sheer) to produce a rare severe weather episode across the SE Texas Panhandle.</t>
  </si>
  <si>
    <t>Weak El Nino to strong El Nino.  4th highest annual precip total.</t>
  </si>
  <si>
    <t>(through 2015)</t>
  </si>
  <si>
    <t>5 (t)</t>
  </si>
  <si>
    <t>7 (t)</t>
  </si>
  <si>
    <t>9 (t)</t>
  </si>
  <si>
    <t>13 (t)</t>
  </si>
  <si>
    <t>15 (t)</t>
  </si>
  <si>
    <t>17 (t)</t>
  </si>
  <si>
    <t>23 (t)</t>
  </si>
  <si>
    <t>28 (t)</t>
  </si>
  <si>
    <t>22.1 mi. N of Amarillo</t>
  </si>
  <si>
    <t>15.9 mi. W of Alanreed</t>
  </si>
  <si>
    <t>6.1 mi. ENE of Gageby</t>
  </si>
  <si>
    <t>4.8 mi. ESE of Codman</t>
  </si>
  <si>
    <t xml:space="preserve">7.3 mi. W of Kellerville  
This touchdown point actually is in ERN Gray Co.  There is no Storm Data entry for Gray Co. for this tornado. The 14.05 miles shown for Wheeler Co. represents the entire length of the tornado (from 7 mi. W of Kellerville to 7 mi. ENE of Kellerville). </t>
  </si>
  <si>
    <t>2.9 mi. SE of Lela Lake
The atmosphere over the Texas Panhandle was very moist following rainfall the previous evening.  Thunderstorms formed as the instability increased, and due to an approaching weather system.</t>
  </si>
  <si>
    <t>6.1 mi. NNE of Hedley
Crossed into Collingsworth Co.</t>
  </si>
  <si>
    <t>10.1 mi. NNW of Quail
Tornado originated in Donley Co.</t>
  </si>
  <si>
    <t>2.2 mi. W of Shamrock</t>
  </si>
  <si>
    <t>5.3 mi. NNW of Canadian
This and the following three tornadoes dropped out of the same storm that essentially sat NW of Canadian for some time.</t>
  </si>
  <si>
    <t>3.4 mi. NW of Canadian</t>
  </si>
  <si>
    <t>5.6 mi. NW of Canadian</t>
  </si>
  <si>
    <t>No updates are needed for this sheet.  This sheet is automatically updated (for the</t>
  </si>
  <si>
    <t>first 2000 entries).  It can be seen that the data for the tornado path width and length</t>
  </si>
  <si>
    <t>follow a lognormal distribution, instead of a normal or "Gaussian" distribution.</t>
  </si>
  <si>
    <t>The information in the "Whole Tornadoes" database is broken out by F rating in the</t>
  </si>
  <si>
    <r>
      <t>from the preceeding tab to make things easier, but be sure to use the "</t>
    </r>
    <r>
      <rPr>
        <sz val="10"/>
        <color rgb="FFFF0066"/>
        <rFont val="Arial"/>
        <family val="2"/>
      </rPr>
      <t>paste special</t>
    </r>
    <r>
      <rPr>
        <sz val="10"/>
        <rFont val="Arial"/>
        <family val="2"/>
      </rPr>
      <t xml:space="preserve">" </t>
    </r>
  </si>
  <si>
    <r>
      <t xml:space="preserve">(column "A") for the new tornadoes (this is just a sequential number) and then update </t>
    </r>
    <r>
      <rPr>
        <b/>
        <i/>
        <sz val="10"/>
        <rFont val="Arial"/>
        <family val="2"/>
      </rPr>
      <t/>
    </r>
  </si>
  <si>
    <t>formulas must be updated to include the new tornadoes as appropriate.  Excel's "Find</t>
  </si>
  <si>
    <t>and Replace" function can be used to update the numbers in the formulae easily.</t>
  </si>
  <si>
    <t>ALL the "Quantile" calculations (the entire column "E") by updating the demoninator</t>
  </si>
  <si>
    <t>in the formula of cell E12 with the new maximum "N" value.  Then, copy that cell (E12)</t>
  </si>
  <si>
    <t>and D individually and sort each by itself, from smallest to largest.  Finally, copy the</t>
  </si>
  <si>
    <t>information (formulae) for columns G, H, and I from any cells with information, and</t>
  </si>
  <si>
    <t>paste into the empty cells to complete the table.  The graphs will update automatically.</t>
  </si>
  <si>
    <t>Straight lines in the graphs validate a lognormal distribution for the tornato path length,</t>
  </si>
  <si>
    <t>width, and areas.  Finally, update the information in the header for the 0.05, Mode,</t>
  </si>
  <si>
    <t>with the new last row of data where it appears in the formulae.  Do not just use</t>
  </si>
  <si>
    <t>Median, Geometric Mean, Average, and 0.95 entries by updating the cell formulae</t>
  </si>
  <si>
    <t>EXCEL's "Find and Replace" function to do this as it will replace digits in the numbers</t>
  </si>
  <si>
    <t>as well.</t>
  </si>
  <si>
    <t>Updated the worksheets to add in the forty-two (42) tornado segments recorded for 2015.  Made minor changes to the "Instructions" tab.</t>
  </si>
  <si>
    <t>and paste it in every row down to the "new" last row.  Next, highlight columns B, C,</t>
  </si>
  <si>
    <t xml:space="preserve">Extreme ERN Roberts Co.
The NCDC lists a total path length of 1.86 miles and the same start and end times for both Hemphill and Roberts Co.  The path length and  duration of five minutes were split between the two counties.
Tornado crossed into Roberts Co.  </t>
  </si>
  <si>
    <t>2.6 mi. ENE of Conway
An approaching weather system interacted with a moist and unstable environment over the Texas Panhandle, producing a significant severe weather event  Six tornadoes were confirmed from this event.</t>
  </si>
  <si>
    <t xml:space="preserve">4.9 mi. NW of Groom
Crossed into Gray Co. </t>
  </si>
  <si>
    <t>7.7 mi. S of Kings Mill
Originated in Carson Co.</t>
  </si>
  <si>
    <t>12.8 mi. SSE Kings Mill
Crossed into Roberts Co.</t>
  </si>
  <si>
    <t>2.0 mi. SW of Codman
Originated in Gray Co.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</si>
</sst>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
    <numFmt numFmtId="165" formatCode="0.0E+00"/>
    <numFmt numFmtId="166" formatCode="0.0"/>
    <numFmt numFmtId="167" formatCode="0.000"/>
    <numFmt numFmtId="168" formatCode="mmmm\ d\,\ yyyy"/>
    <numFmt numFmtId="169" formatCode="h:mm;@"/>
    <numFmt numFmtId="170" formatCode="[$-409]mmmm\ d\,\ yyyy;@"/>
    <numFmt numFmtId="171" formatCode="0.0000"/>
    <numFmt numFmtId="172" formatCode="m/d;@"/>
    <numFmt numFmtId="173" formatCode="m/d/yy;@"/>
  </numFmts>
  <fonts count="58">
    <font>
      <sz val="12"/>
      <name val="Arial"/>
    </font>
    <font>
      <sz val="12"/>
      <name val="Arial"/>
      <family val="2"/>
    </font>
    <font>
      <sz val="12"/>
      <name val="Arial"/>
      <family val="2"/>
    </font>
    <font>
      <b/>
      <sz val="12"/>
      <name val="Arial"/>
      <family val="2"/>
    </font>
    <font>
      <b/>
      <sz val="18"/>
      <name val="Arial"/>
      <family val="2"/>
    </font>
    <font>
      <sz val="12"/>
      <name val="Arial"/>
      <family val="2"/>
    </font>
    <font>
      <b/>
      <sz val="12"/>
      <name val="Arial"/>
      <family val="2"/>
    </font>
    <font>
      <b/>
      <sz val="18"/>
      <name val="Arial"/>
      <family val="2"/>
    </font>
    <font>
      <sz val="12"/>
      <name val="Arial"/>
      <family val="2"/>
    </font>
    <font>
      <sz val="11"/>
      <name val="Arial"/>
      <family val="2"/>
    </font>
    <font>
      <b/>
      <sz val="20"/>
      <name val="Arial"/>
      <family val="2"/>
    </font>
    <font>
      <u/>
      <sz val="10.45"/>
      <color indexed="12"/>
      <name val="Arial"/>
      <family val="2"/>
    </font>
    <font>
      <b/>
      <sz val="11"/>
      <name val="Arial"/>
      <family val="2"/>
    </font>
    <font>
      <b/>
      <sz val="10"/>
      <name val="Arial"/>
      <family val="2"/>
    </font>
    <font>
      <sz val="10"/>
      <name val="Arial"/>
      <family val="2"/>
    </font>
    <font>
      <sz val="10.45"/>
      <name val="Arial"/>
      <family val="2"/>
    </font>
    <font>
      <sz val="16"/>
      <name val="Arial"/>
      <family val="2"/>
    </font>
    <font>
      <sz val="18"/>
      <name val="Arial"/>
      <family val="2"/>
    </font>
    <font>
      <sz val="8"/>
      <name val="Arial"/>
      <family val="2"/>
    </font>
    <font>
      <sz val="18"/>
      <name val="Arial"/>
      <family val="2"/>
    </font>
    <font>
      <sz val="14"/>
      <name val="Arial"/>
      <family val="2"/>
    </font>
    <font>
      <sz val="8"/>
      <name val="Arial"/>
      <family val="2"/>
    </font>
    <font>
      <b/>
      <sz val="24"/>
      <name val="Arial"/>
      <family val="2"/>
    </font>
    <font>
      <i/>
      <sz val="11"/>
      <name val="Arial"/>
      <family val="2"/>
    </font>
    <font>
      <i/>
      <vertAlign val="subscript"/>
      <sz val="11"/>
      <name val="Arial"/>
      <family val="2"/>
    </font>
    <font>
      <i/>
      <vertAlign val="superscript"/>
      <sz val="11"/>
      <name val="Arial"/>
      <family val="2"/>
    </font>
    <font>
      <b/>
      <sz val="14"/>
      <name val="Arial"/>
      <family val="2"/>
    </font>
    <font>
      <sz val="10"/>
      <name val="Arial"/>
      <family val="2"/>
    </font>
    <font>
      <vertAlign val="subscript"/>
      <sz val="10"/>
      <name val="Arial"/>
      <family val="2"/>
    </font>
    <font>
      <b/>
      <sz val="20"/>
      <name val="Albertus"/>
    </font>
    <font>
      <vertAlign val="superscript"/>
      <sz val="11"/>
      <name val="Arial"/>
      <family val="2"/>
    </font>
    <font>
      <vertAlign val="superscript"/>
      <sz val="12"/>
      <name val="Arial"/>
      <family val="2"/>
    </font>
    <font>
      <vertAlign val="superscript"/>
      <sz val="12"/>
      <color indexed="10"/>
      <name val="Arial"/>
      <family val="2"/>
    </font>
    <font>
      <sz val="9"/>
      <name val="Arial"/>
      <family val="2"/>
    </font>
    <font>
      <i/>
      <sz val="12"/>
      <name val="Arial"/>
      <family val="2"/>
    </font>
    <font>
      <b/>
      <sz val="16"/>
      <name val="Arial"/>
      <family val="2"/>
    </font>
    <font>
      <vertAlign val="superscript"/>
      <sz val="10"/>
      <name val="Arial"/>
      <family val="2"/>
    </font>
    <font>
      <b/>
      <vertAlign val="superscript"/>
      <sz val="12"/>
      <name val="Arial"/>
      <family val="2"/>
    </font>
    <font>
      <sz val="12"/>
      <name val="Calibri"/>
      <family val="2"/>
    </font>
    <font>
      <sz val="10.8"/>
      <name val="Arial"/>
      <family val="2"/>
    </font>
    <font>
      <b/>
      <sz val="6"/>
      <name val="Arial"/>
      <family val="2"/>
    </font>
    <font>
      <u/>
      <sz val="10"/>
      <color indexed="12"/>
      <name val="Arial"/>
      <family val="2"/>
    </font>
    <font>
      <b/>
      <vertAlign val="subscript"/>
      <sz val="12"/>
      <name val="Arial"/>
      <family val="2"/>
    </font>
    <font>
      <sz val="6"/>
      <name val="Arial"/>
      <family val="2"/>
    </font>
    <font>
      <b/>
      <sz val="8"/>
      <name val="Arial"/>
      <family val="2"/>
    </font>
    <font>
      <sz val="12"/>
      <color rgb="FFFF0000"/>
      <name val="Arial"/>
      <family val="2"/>
    </font>
    <font>
      <b/>
      <sz val="12"/>
      <color theme="0"/>
      <name val="Arial"/>
      <family val="2"/>
    </font>
    <font>
      <b/>
      <sz val="24"/>
      <color theme="0"/>
      <name val="Arial"/>
      <family val="2"/>
    </font>
    <font>
      <sz val="8"/>
      <color theme="0"/>
      <name val="Arial"/>
      <family val="2"/>
    </font>
    <font>
      <sz val="12"/>
      <color rgb="FF7030A0"/>
      <name val="Arial"/>
      <family val="2"/>
    </font>
    <font>
      <sz val="10"/>
      <color rgb="FFFFFF00"/>
      <name val="Arial"/>
      <family val="2"/>
    </font>
    <font>
      <sz val="8"/>
      <color rgb="FFFFFF00"/>
      <name val="Arial"/>
      <family val="2"/>
    </font>
    <font>
      <sz val="6"/>
      <color rgb="FFFFFF00"/>
      <name val="Arial"/>
      <family val="2"/>
    </font>
    <font>
      <b/>
      <sz val="8"/>
      <color rgb="FFFF0000"/>
      <name val="Arial"/>
      <family val="2"/>
    </font>
    <font>
      <b/>
      <sz val="18"/>
      <color rgb="FFFF0000"/>
      <name val="Arial"/>
      <family val="2"/>
    </font>
    <font>
      <b/>
      <sz val="12"/>
      <color rgb="FFFF0000"/>
      <name val="Arial"/>
      <family val="2"/>
    </font>
    <font>
      <b/>
      <i/>
      <sz val="10"/>
      <name val="Arial"/>
      <family val="2"/>
    </font>
    <font>
      <sz val="10"/>
      <color rgb="FFFF0066"/>
      <name val="Arial"/>
      <family val="2"/>
    </font>
  </fonts>
  <fills count="37">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34"/>
        <bgColor indexed="64"/>
      </patternFill>
    </fill>
    <fill>
      <patternFill patternType="solid">
        <fgColor theme="3"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8"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1" tint="4.9989318521683403E-2"/>
        <bgColor indexed="64"/>
      </patternFill>
    </fill>
    <fill>
      <patternFill patternType="solid">
        <fgColor rgb="FFFA7332"/>
        <bgColor indexed="64"/>
      </patternFill>
    </fill>
    <fill>
      <patternFill patternType="solid">
        <fgColor rgb="FFFAD232"/>
        <bgColor indexed="64"/>
      </patternFill>
    </fill>
    <fill>
      <patternFill patternType="solid">
        <fgColor rgb="FFFFE682"/>
        <bgColor indexed="64"/>
      </patternFill>
    </fill>
    <fill>
      <patternFill patternType="solid">
        <fgColor rgb="FFFF9606"/>
        <bgColor indexed="64"/>
      </patternFill>
    </fill>
    <fill>
      <patternFill patternType="solid">
        <fgColor rgb="FFBE0000"/>
        <bgColor indexed="64"/>
      </patternFill>
    </fill>
    <fill>
      <patternFill patternType="solid">
        <fgColor rgb="FF820000"/>
        <bgColor indexed="64"/>
      </patternFill>
    </fill>
    <fill>
      <patternFill patternType="solid">
        <fgColor rgb="FFCCFFFF"/>
        <bgColor indexed="64"/>
      </patternFill>
    </fill>
    <fill>
      <patternFill patternType="solid">
        <fgColor rgb="FFFFFFCC"/>
        <bgColor indexed="64"/>
      </patternFill>
    </fill>
    <fill>
      <patternFill patternType="solid">
        <fgColor rgb="FFFFC000"/>
        <bgColor indexed="64"/>
      </patternFill>
    </fill>
    <fill>
      <patternFill patternType="solid">
        <fgColor theme="5"/>
        <bgColor indexed="64"/>
      </patternFill>
    </fill>
    <fill>
      <patternFill patternType="solid">
        <fgColor rgb="FFCCECFF"/>
        <bgColor indexed="64"/>
      </patternFill>
    </fill>
    <fill>
      <patternFill patternType="solid">
        <fgColor theme="9" tint="0.59996337778862885"/>
        <bgColor indexed="64"/>
      </patternFill>
    </fill>
    <fill>
      <patternFill patternType="solid">
        <fgColor rgb="FFFBD23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00B0F0"/>
        <bgColor indexed="64"/>
      </patternFill>
    </fill>
    <fill>
      <patternFill patternType="solid">
        <fgColor rgb="FFFF9966"/>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C0504D"/>
        <bgColor indexed="64"/>
      </patternFill>
    </fill>
  </fills>
  <borders count="411">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right style="double">
        <color indexed="12"/>
      </right>
      <top/>
      <bottom/>
      <diagonal/>
    </border>
    <border>
      <left style="double">
        <color indexed="12"/>
      </left>
      <right/>
      <top/>
      <bottom/>
      <diagonal/>
    </border>
    <border>
      <left style="double">
        <color indexed="12"/>
      </left>
      <right/>
      <top/>
      <bottom style="double">
        <color indexed="12"/>
      </bottom>
      <diagonal/>
    </border>
    <border>
      <left/>
      <right/>
      <top/>
      <bottom style="double">
        <color indexed="12"/>
      </bottom>
      <diagonal/>
    </border>
    <border>
      <left style="double">
        <color indexed="8"/>
      </left>
      <right style="thin">
        <color indexed="8"/>
      </right>
      <top style="medium">
        <color indexed="8"/>
      </top>
      <bottom/>
      <diagonal/>
    </border>
    <border>
      <left style="thin">
        <color indexed="8"/>
      </left>
      <right style="thin">
        <color indexed="8"/>
      </right>
      <top style="medium">
        <color indexed="8"/>
      </top>
      <bottom/>
      <diagonal/>
    </border>
    <border>
      <left style="double">
        <color indexed="8"/>
      </left>
      <right style="thin">
        <color indexed="8"/>
      </right>
      <top/>
      <bottom/>
      <diagonal/>
    </border>
    <border>
      <left style="thin">
        <color indexed="8"/>
      </left>
      <right style="thin">
        <color indexed="8"/>
      </right>
      <top/>
      <bottom/>
      <diagonal/>
    </border>
    <border>
      <left style="double">
        <color indexed="8"/>
      </left>
      <right style="thin">
        <color indexed="8"/>
      </right>
      <top/>
      <bottom style="thick">
        <color indexed="8"/>
      </bottom>
      <diagonal/>
    </border>
    <border>
      <left style="thin">
        <color indexed="8"/>
      </left>
      <right style="thin">
        <color indexed="8"/>
      </right>
      <top/>
      <bottom style="thick">
        <color indexed="8"/>
      </bottom>
      <diagonal/>
    </border>
    <border>
      <left/>
      <right style="double">
        <color indexed="12"/>
      </right>
      <top/>
      <bottom style="double">
        <color indexed="12"/>
      </bottom>
      <diagonal/>
    </border>
    <border>
      <left style="double">
        <color indexed="12"/>
      </left>
      <right style="thin">
        <color indexed="64"/>
      </right>
      <top style="thin">
        <color indexed="64"/>
      </top>
      <bottom/>
      <diagonal/>
    </border>
    <border>
      <left style="thin">
        <color indexed="64"/>
      </left>
      <right style="double">
        <color indexed="12"/>
      </right>
      <top style="thin">
        <color indexed="64"/>
      </top>
      <bottom/>
      <diagonal/>
    </border>
    <border>
      <left style="double">
        <color indexed="12"/>
      </left>
      <right style="thin">
        <color indexed="64"/>
      </right>
      <top/>
      <bottom style="medium">
        <color indexed="64"/>
      </bottom>
      <diagonal/>
    </border>
    <border>
      <left/>
      <right/>
      <top/>
      <bottom style="medium">
        <color indexed="64"/>
      </bottom>
      <diagonal/>
    </border>
    <border>
      <left style="thin">
        <color indexed="64"/>
      </left>
      <right style="double">
        <color indexed="12"/>
      </right>
      <top/>
      <bottom style="medium">
        <color indexed="64"/>
      </bottom>
      <diagonal/>
    </border>
    <border>
      <left style="thin">
        <color indexed="55"/>
      </left>
      <right style="thin">
        <color indexed="55"/>
      </right>
      <top style="thin">
        <color indexed="55"/>
      </top>
      <bottom style="thin">
        <color indexed="55"/>
      </bottom>
      <diagonal/>
    </border>
    <border>
      <left style="double">
        <color indexed="8"/>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double">
        <color indexed="8"/>
      </right>
      <top style="thin">
        <color indexed="22"/>
      </top>
      <bottom style="thin">
        <color indexed="22"/>
      </bottom>
      <diagonal/>
    </border>
    <border>
      <left style="double">
        <color indexed="8"/>
      </left>
      <right style="thin">
        <color indexed="55"/>
      </right>
      <top style="thin">
        <color indexed="55"/>
      </top>
      <bottom style="thin">
        <color indexed="55"/>
      </bottom>
      <diagonal/>
    </border>
    <border>
      <left style="thin">
        <color indexed="22"/>
      </left>
      <right style="double">
        <color indexed="8"/>
      </right>
      <top style="thin">
        <color indexed="22"/>
      </top>
      <bottom/>
      <diagonal/>
    </border>
    <border>
      <left style="thin">
        <color indexed="64"/>
      </left>
      <right style="thin">
        <color indexed="64"/>
      </right>
      <top/>
      <bottom/>
      <diagonal/>
    </border>
    <border>
      <left style="double">
        <color indexed="20"/>
      </left>
      <right/>
      <top/>
      <bottom/>
      <diagonal/>
    </border>
    <border>
      <left/>
      <right style="double">
        <color indexed="20"/>
      </right>
      <top/>
      <bottom/>
      <diagonal/>
    </border>
    <border>
      <left style="double">
        <color indexed="20"/>
      </left>
      <right/>
      <top/>
      <bottom style="double">
        <color indexed="20"/>
      </bottom>
      <diagonal/>
    </border>
    <border>
      <left style="thin">
        <color indexed="64"/>
      </left>
      <right style="thin">
        <color indexed="64"/>
      </right>
      <top/>
      <bottom style="double">
        <color indexed="20"/>
      </bottom>
      <diagonal/>
    </border>
    <border>
      <left/>
      <right/>
      <top/>
      <bottom style="double">
        <color indexed="20"/>
      </bottom>
      <diagonal/>
    </border>
    <border>
      <left/>
      <right style="double">
        <color indexed="20"/>
      </right>
      <top/>
      <bottom style="double">
        <color indexed="20"/>
      </bottom>
      <diagonal/>
    </border>
    <border>
      <left style="double">
        <color indexed="51"/>
      </left>
      <right/>
      <top/>
      <bottom/>
      <diagonal/>
    </border>
    <border>
      <left/>
      <right style="double">
        <color indexed="51"/>
      </right>
      <top/>
      <bottom/>
      <diagonal/>
    </border>
    <border>
      <left style="double">
        <color indexed="51"/>
      </left>
      <right/>
      <top/>
      <bottom style="double">
        <color indexed="51"/>
      </bottom>
      <diagonal/>
    </border>
    <border>
      <left/>
      <right/>
      <top/>
      <bottom style="double">
        <color indexed="51"/>
      </bottom>
      <diagonal/>
    </border>
    <border>
      <left/>
      <right style="double">
        <color indexed="51"/>
      </right>
      <top/>
      <bottom style="double">
        <color indexed="51"/>
      </bottom>
      <diagonal/>
    </border>
    <border>
      <left style="double">
        <color indexed="20"/>
      </left>
      <right/>
      <top/>
      <bottom style="medium">
        <color indexed="64"/>
      </bottom>
      <diagonal/>
    </border>
    <border>
      <left style="thin">
        <color indexed="64"/>
      </left>
      <right style="thin">
        <color indexed="64"/>
      </right>
      <top/>
      <bottom style="medium">
        <color indexed="64"/>
      </bottom>
      <diagonal/>
    </border>
    <border>
      <left/>
      <right style="double">
        <color indexed="20"/>
      </right>
      <top/>
      <bottom style="medium">
        <color indexed="64"/>
      </bottom>
      <diagonal/>
    </border>
    <border>
      <left/>
      <right style="double">
        <color indexed="51"/>
      </right>
      <top/>
      <bottom style="medium">
        <color indexed="64"/>
      </bottom>
      <diagonal/>
    </border>
    <border>
      <left style="double">
        <color indexed="32"/>
      </left>
      <right/>
      <top/>
      <bottom/>
      <diagonal/>
    </border>
    <border>
      <left/>
      <right style="double">
        <color indexed="32"/>
      </right>
      <top/>
      <bottom/>
      <diagonal/>
    </border>
    <border>
      <left style="double">
        <color indexed="32"/>
      </left>
      <right/>
      <top/>
      <bottom style="double">
        <color indexed="32"/>
      </bottom>
      <diagonal/>
    </border>
    <border>
      <left style="thin">
        <color indexed="64"/>
      </left>
      <right style="thin">
        <color indexed="64"/>
      </right>
      <top/>
      <bottom style="double">
        <color indexed="32"/>
      </bottom>
      <diagonal/>
    </border>
    <border>
      <left/>
      <right/>
      <top/>
      <bottom style="double">
        <color indexed="32"/>
      </bottom>
      <diagonal/>
    </border>
    <border>
      <left/>
      <right style="double">
        <color indexed="32"/>
      </right>
      <top/>
      <bottom style="double">
        <color indexed="32"/>
      </bottom>
      <diagonal/>
    </border>
    <border>
      <left style="double">
        <color indexed="32"/>
      </left>
      <right/>
      <top/>
      <bottom style="medium">
        <color indexed="64"/>
      </bottom>
      <diagonal/>
    </border>
    <border>
      <left/>
      <right style="double">
        <color indexed="32"/>
      </right>
      <top/>
      <bottom style="medium">
        <color indexed="64"/>
      </bottom>
      <diagonal/>
    </border>
    <border>
      <left/>
      <right style="double">
        <color indexed="10"/>
      </right>
      <top/>
      <bottom/>
      <diagonal/>
    </border>
    <border>
      <left/>
      <right style="double">
        <color indexed="10"/>
      </right>
      <top/>
      <bottom style="medium">
        <color indexed="64"/>
      </bottom>
      <diagonal/>
    </border>
    <border>
      <left/>
      <right/>
      <top/>
      <bottom style="double">
        <color indexed="10"/>
      </bottom>
      <diagonal/>
    </border>
    <border>
      <left/>
      <right style="double">
        <color indexed="10"/>
      </right>
      <top/>
      <bottom style="double">
        <color indexed="10"/>
      </bottom>
      <diagonal/>
    </border>
    <border>
      <left style="thin">
        <color indexed="8"/>
      </left>
      <right/>
      <top style="medium">
        <color indexed="8"/>
      </top>
      <bottom/>
      <diagonal/>
    </border>
    <border>
      <left style="thin">
        <color indexed="8"/>
      </left>
      <right/>
      <top/>
      <bottom/>
      <diagonal/>
    </border>
    <border>
      <left style="thin">
        <color indexed="8"/>
      </left>
      <right/>
      <top/>
      <bottom style="thick">
        <color indexed="8"/>
      </bottom>
      <diagonal/>
    </border>
    <border>
      <left style="thin">
        <color indexed="8"/>
      </left>
      <right style="double">
        <color indexed="8"/>
      </right>
      <top style="medium">
        <color indexed="8"/>
      </top>
      <bottom/>
      <diagonal/>
    </border>
    <border>
      <left style="thin">
        <color indexed="8"/>
      </left>
      <right style="double">
        <color indexed="8"/>
      </right>
      <top/>
      <bottom/>
      <diagonal/>
    </border>
    <border>
      <left style="thin">
        <color indexed="8"/>
      </left>
      <right style="double">
        <color indexed="8"/>
      </right>
      <top/>
      <bottom style="thick">
        <color indexed="8"/>
      </bottom>
      <diagonal/>
    </border>
    <border>
      <left/>
      <right style="double">
        <color indexed="8"/>
      </right>
      <top style="thin">
        <color indexed="22"/>
      </top>
      <bottom style="thin">
        <color indexed="22"/>
      </bottom>
      <diagonal/>
    </border>
    <border>
      <left/>
      <right style="double">
        <color indexed="8"/>
      </right>
      <top style="medium">
        <color indexed="8"/>
      </top>
      <bottom/>
      <diagonal/>
    </border>
    <border>
      <left/>
      <right style="double">
        <color indexed="8"/>
      </right>
      <top/>
      <bottom/>
      <diagonal/>
    </border>
    <border>
      <left/>
      <right style="double">
        <color indexed="8"/>
      </right>
      <top/>
      <bottom style="thick">
        <color indexed="8"/>
      </bottom>
      <diagonal/>
    </border>
    <border>
      <left/>
      <right style="double">
        <color indexed="8"/>
      </right>
      <top style="thin">
        <color indexed="55"/>
      </top>
      <bottom style="thin">
        <color indexed="55"/>
      </bottom>
      <diagonal/>
    </border>
    <border>
      <left style="double">
        <color indexed="16"/>
      </left>
      <right style="thin">
        <color indexed="16"/>
      </right>
      <top/>
      <bottom/>
      <diagonal/>
    </border>
    <border>
      <left style="thin">
        <color indexed="16"/>
      </left>
      <right style="double">
        <color indexed="16"/>
      </right>
      <top/>
      <bottom/>
      <diagonal/>
    </border>
    <border>
      <left style="double">
        <color indexed="16"/>
      </left>
      <right style="thin">
        <color indexed="16"/>
      </right>
      <top/>
      <bottom style="thin">
        <color indexed="16"/>
      </bottom>
      <diagonal/>
    </border>
    <border>
      <left style="thin">
        <color indexed="16"/>
      </left>
      <right style="double">
        <color indexed="16"/>
      </right>
      <top/>
      <bottom style="thin">
        <color indexed="16"/>
      </bottom>
      <diagonal/>
    </border>
    <border>
      <left style="double">
        <color indexed="16"/>
      </left>
      <right style="thin">
        <color indexed="16"/>
      </right>
      <top/>
      <bottom style="double">
        <color indexed="16"/>
      </bottom>
      <diagonal/>
    </border>
    <border>
      <left style="thin">
        <color indexed="16"/>
      </left>
      <right style="double">
        <color indexed="16"/>
      </right>
      <top/>
      <bottom style="double">
        <color indexed="1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thick">
        <color indexed="8"/>
      </bottom>
      <diagonal/>
    </border>
    <border>
      <left style="double">
        <color indexed="10"/>
      </left>
      <right/>
      <top/>
      <bottom/>
      <diagonal/>
    </border>
    <border>
      <left/>
      <right/>
      <top style="medium">
        <color indexed="64"/>
      </top>
      <bottom/>
      <diagonal/>
    </border>
    <border>
      <left style="double">
        <color indexed="12"/>
      </left>
      <right/>
      <top/>
      <bottom style="medium">
        <color indexed="12"/>
      </bottom>
      <diagonal/>
    </border>
    <border>
      <left/>
      <right/>
      <top/>
      <bottom style="medium">
        <color indexed="12"/>
      </bottom>
      <diagonal/>
    </border>
    <border>
      <left/>
      <right style="double">
        <color indexed="12"/>
      </right>
      <top/>
      <bottom style="medium">
        <color indexed="12"/>
      </bottom>
      <diagonal/>
    </border>
    <border>
      <left style="hair">
        <color indexed="64"/>
      </left>
      <right style="hair">
        <color indexed="64"/>
      </right>
      <top style="hair">
        <color indexed="64"/>
      </top>
      <bottom style="hair">
        <color indexed="64"/>
      </bottom>
      <diagonal/>
    </border>
    <border>
      <left style="double">
        <color indexed="10"/>
      </left>
      <right/>
      <top/>
      <bottom style="medium">
        <color indexed="64"/>
      </bottom>
      <diagonal/>
    </border>
    <border>
      <left style="double">
        <color indexed="10"/>
      </left>
      <right/>
      <top/>
      <bottom style="double">
        <color indexed="10"/>
      </bottom>
      <diagonal/>
    </border>
    <border>
      <left style="thin">
        <color indexed="64"/>
      </left>
      <right style="thin">
        <color indexed="64"/>
      </right>
      <top style="thin">
        <color indexed="64"/>
      </top>
      <bottom style="thin">
        <color indexed="64"/>
      </bottom>
      <diagonal/>
    </border>
    <border>
      <left style="double">
        <color indexed="8"/>
      </left>
      <right/>
      <top/>
      <bottom/>
      <diagonal/>
    </border>
    <border>
      <left style="thin">
        <color indexed="64"/>
      </left>
      <right style="thin">
        <color indexed="64"/>
      </right>
      <top/>
      <bottom style="double">
        <color indexed="64"/>
      </bottom>
      <diagonal/>
    </border>
    <border>
      <left style="double">
        <color indexed="51"/>
      </left>
      <right/>
      <top/>
      <bottom style="medium">
        <color indexed="64"/>
      </bottom>
      <diagonal/>
    </border>
    <border>
      <left/>
      <right/>
      <top style="thin">
        <color indexed="55"/>
      </top>
      <bottom/>
      <diagonal/>
    </border>
    <border>
      <left style="thin">
        <color indexed="22"/>
      </left>
      <right style="double">
        <color indexed="64"/>
      </right>
      <top style="thin">
        <color indexed="22"/>
      </top>
      <bottom style="thin">
        <color indexed="22"/>
      </bottom>
      <diagonal/>
    </border>
    <border>
      <left style="thin">
        <color indexed="22"/>
      </left>
      <right style="double">
        <color indexed="64"/>
      </right>
      <top style="thick">
        <color indexed="8"/>
      </top>
      <bottom style="thin">
        <color indexed="22"/>
      </bottom>
      <diagonal/>
    </border>
    <border>
      <left style="medium">
        <color indexed="64"/>
      </left>
      <right/>
      <top/>
      <bottom/>
      <diagonal/>
    </border>
    <border>
      <left style="thin">
        <color indexed="22"/>
      </left>
      <right style="thin">
        <color indexed="22"/>
      </right>
      <top style="thick">
        <color indexed="8"/>
      </top>
      <bottom style="thin">
        <color indexed="22"/>
      </bottom>
      <diagonal/>
    </border>
    <border>
      <left style="thin">
        <color indexed="22"/>
      </left>
      <right style="thin">
        <color indexed="22"/>
      </right>
      <top/>
      <bottom style="thin">
        <color indexed="22"/>
      </bottom>
      <diagonal/>
    </border>
    <border>
      <left style="double">
        <color indexed="8"/>
      </left>
      <right style="thin">
        <color indexed="22"/>
      </right>
      <top/>
      <bottom style="thin">
        <color indexed="22"/>
      </bottom>
      <diagonal/>
    </border>
    <border>
      <left style="thin">
        <color indexed="22"/>
      </left>
      <right style="double">
        <color indexed="8"/>
      </right>
      <top/>
      <bottom style="thin">
        <color indexed="22"/>
      </bottom>
      <diagonal/>
    </border>
    <border>
      <left style="thin">
        <color indexed="22"/>
      </left>
      <right style="thin">
        <color indexed="22"/>
      </right>
      <top/>
      <bottom/>
      <diagonal/>
    </border>
    <border>
      <left style="double">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22"/>
      </left>
      <right style="double">
        <color indexed="8"/>
      </right>
      <top style="thick">
        <color indexed="8"/>
      </top>
      <bottom style="thin">
        <color indexed="22"/>
      </bottom>
      <diagonal/>
    </border>
    <border>
      <left/>
      <right style="double">
        <color indexed="8"/>
      </right>
      <top/>
      <bottom style="thin">
        <color indexed="22"/>
      </bottom>
      <diagonal/>
    </border>
    <border>
      <left style="double">
        <color indexed="8"/>
      </left>
      <right style="thin">
        <color indexed="55"/>
      </right>
      <top style="thick">
        <color indexed="8"/>
      </top>
      <bottom style="thin">
        <color indexed="55"/>
      </bottom>
      <diagonal/>
    </border>
    <border>
      <left style="thin">
        <color indexed="55"/>
      </left>
      <right style="thin">
        <color indexed="55"/>
      </right>
      <top style="thick">
        <color indexed="8"/>
      </top>
      <bottom style="thin">
        <color indexed="55"/>
      </bottom>
      <diagonal/>
    </border>
    <border>
      <left style="double">
        <color indexed="16"/>
      </left>
      <right style="thin">
        <color indexed="16"/>
      </right>
      <top style="double">
        <color indexed="16"/>
      </top>
      <bottom style="medium">
        <color indexed="16"/>
      </bottom>
      <diagonal/>
    </border>
    <border>
      <left style="thin">
        <color indexed="16"/>
      </left>
      <right style="double">
        <color indexed="16"/>
      </right>
      <top style="double">
        <color indexed="16"/>
      </top>
      <bottom style="medium">
        <color indexed="16"/>
      </bottom>
      <diagonal/>
    </border>
    <border>
      <left/>
      <right style="thick">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ck">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16"/>
      </left>
      <right style="double">
        <color indexed="16"/>
      </right>
      <top style="double">
        <color indexed="16"/>
      </top>
      <bottom/>
      <diagonal/>
    </border>
    <border>
      <left style="double">
        <color indexed="16"/>
      </left>
      <right style="double">
        <color indexed="16"/>
      </right>
      <top/>
      <bottom/>
      <diagonal/>
    </border>
    <border>
      <left style="double">
        <color indexed="16"/>
      </left>
      <right style="double">
        <color indexed="16"/>
      </right>
      <top style="thin">
        <color indexed="16"/>
      </top>
      <bottom/>
      <diagonal/>
    </border>
    <border>
      <left style="double">
        <color indexed="16"/>
      </left>
      <right style="double">
        <color indexed="16"/>
      </right>
      <top/>
      <bottom style="double">
        <color indexed="16"/>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2"/>
      </left>
      <right/>
      <top style="double">
        <color indexed="12"/>
      </top>
      <bottom style="thin">
        <color indexed="64"/>
      </bottom>
      <diagonal/>
    </border>
    <border>
      <left/>
      <right/>
      <top style="double">
        <color indexed="12"/>
      </top>
      <bottom style="thin">
        <color indexed="64"/>
      </bottom>
      <diagonal/>
    </border>
    <border>
      <left/>
      <right style="double">
        <color indexed="12"/>
      </right>
      <top style="double">
        <color indexed="12"/>
      </top>
      <bottom style="thin">
        <color indexed="64"/>
      </bottom>
      <diagonal/>
    </border>
    <border>
      <left/>
      <right/>
      <top style="thin">
        <color indexed="64"/>
      </top>
      <bottom/>
      <diagonal/>
    </border>
    <border>
      <left style="double">
        <color indexed="51"/>
      </left>
      <right/>
      <top style="double">
        <color indexed="51"/>
      </top>
      <bottom style="thick">
        <color indexed="64"/>
      </bottom>
      <diagonal/>
    </border>
    <border>
      <left/>
      <right/>
      <top style="double">
        <color indexed="51"/>
      </top>
      <bottom style="thick">
        <color indexed="64"/>
      </bottom>
      <diagonal/>
    </border>
    <border>
      <left/>
      <right style="double">
        <color indexed="51"/>
      </right>
      <top style="double">
        <color indexed="51"/>
      </top>
      <bottom style="thick">
        <color indexed="64"/>
      </bottom>
      <diagonal/>
    </border>
    <border>
      <left style="double">
        <color indexed="20"/>
      </left>
      <right/>
      <top style="double">
        <color indexed="20"/>
      </top>
      <bottom style="thick">
        <color indexed="64"/>
      </bottom>
      <diagonal/>
    </border>
    <border>
      <left/>
      <right/>
      <top style="double">
        <color indexed="20"/>
      </top>
      <bottom style="thick">
        <color indexed="64"/>
      </bottom>
      <diagonal/>
    </border>
    <border>
      <left/>
      <right style="double">
        <color indexed="20"/>
      </right>
      <top style="double">
        <color indexed="20"/>
      </top>
      <bottom style="thick">
        <color indexed="64"/>
      </bottom>
      <diagonal/>
    </border>
    <border>
      <left style="double">
        <color indexed="32"/>
      </left>
      <right/>
      <top style="double">
        <color indexed="32"/>
      </top>
      <bottom style="thick">
        <color indexed="64"/>
      </bottom>
      <diagonal/>
    </border>
    <border>
      <left/>
      <right/>
      <top style="double">
        <color indexed="32"/>
      </top>
      <bottom style="thick">
        <color indexed="64"/>
      </bottom>
      <diagonal/>
    </border>
    <border>
      <left/>
      <right style="double">
        <color indexed="32"/>
      </right>
      <top style="double">
        <color indexed="32"/>
      </top>
      <bottom style="thick">
        <color indexed="64"/>
      </bottom>
      <diagonal/>
    </border>
    <border>
      <left style="double">
        <color indexed="12"/>
      </left>
      <right/>
      <top style="double">
        <color indexed="12"/>
      </top>
      <bottom style="thick">
        <color indexed="12"/>
      </bottom>
      <diagonal/>
    </border>
    <border>
      <left/>
      <right/>
      <top style="double">
        <color indexed="12"/>
      </top>
      <bottom style="thick">
        <color indexed="12"/>
      </bottom>
      <diagonal/>
    </border>
    <border>
      <left/>
      <right style="double">
        <color indexed="12"/>
      </right>
      <top style="double">
        <color indexed="12"/>
      </top>
      <bottom style="thick">
        <color indexed="12"/>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thin">
        <color indexed="22"/>
      </left>
      <right/>
      <top style="thin">
        <color indexed="22"/>
      </top>
      <bottom style="thin">
        <color indexed="22"/>
      </bottom>
      <diagonal/>
    </border>
    <border>
      <left/>
      <right/>
      <top style="thick">
        <color rgb="FFFF0000"/>
      </top>
      <bottom/>
      <diagonal/>
    </border>
    <border>
      <left/>
      <right/>
      <top/>
      <bottom style="thick">
        <color rgb="FFFF0000"/>
      </bottom>
      <diagonal/>
    </border>
    <border>
      <left/>
      <right/>
      <top style="thick">
        <color rgb="FF00B0F0"/>
      </top>
      <bottom/>
      <diagonal/>
    </border>
    <border>
      <left/>
      <right/>
      <top/>
      <bottom style="thick">
        <color rgb="FF00B0F0"/>
      </bottom>
      <diagonal/>
    </border>
    <border>
      <left style="thin">
        <color indexed="22"/>
      </left>
      <right style="thin">
        <color theme="0" tint="-0.24994659260841701"/>
      </right>
      <top style="thin">
        <color indexed="22"/>
      </top>
      <bottom style="thin">
        <color indexed="22"/>
      </bottom>
      <diagonal/>
    </border>
    <border>
      <left style="thin">
        <color theme="1"/>
      </left>
      <right style="double">
        <color theme="1"/>
      </right>
      <top style="medium">
        <color theme="1"/>
      </top>
      <bottom/>
      <diagonal/>
    </border>
    <border>
      <left style="thin">
        <color theme="1"/>
      </left>
      <right style="double">
        <color theme="1"/>
      </right>
      <top/>
      <bottom/>
      <diagonal/>
    </border>
    <border>
      <left style="thin">
        <color theme="1"/>
      </left>
      <right style="double">
        <color theme="1"/>
      </right>
      <top/>
      <bottom style="thick">
        <color theme="1"/>
      </bottom>
      <diagonal/>
    </border>
    <border>
      <left style="thin">
        <color theme="0" tint="-0.24994659260841701"/>
      </left>
      <right style="double">
        <color theme="1"/>
      </right>
      <top style="thin">
        <color theme="0" tint="-0.24994659260841701"/>
      </top>
      <bottom style="thin">
        <color theme="0" tint="-0.24994659260841701"/>
      </bottom>
      <diagonal/>
    </border>
    <border>
      <left/>
      <right style="thick">
        <color rgb="FF00B0F0"/>
      </right>
      <top style="thick">
        <color rgb="FF00B0F0"/>
      </top>
      <bottom/>
      <diagonal/>
    </border>
    <border>
      <left/>
      <right style="thick">
        <color rgb="FF00B0F0"/>
      </right>
      <top/>
      <bottom/>
      <diagonal/>
    </border>
    <border>
      <left style="thick">
        <color rgb="FF00B0F0"/>
      </left>
      <right/>
      <top/>
      <bottom/>
      <diagonal/>
    </border>
    <border>
      <left style="thick">
        <color rgb="FF00B0F0"/>
      </left>
      <right style="medium">
        <color indexed="64"/>
      </right>
      <top style="medium">
        <color indexed="64"/>
      </top>
      <bottom style="medium">
        <color indexed="64"/>
      </bottom>
      <diagonal/>
    </border>
    <border>
      <left style="thick">
        <color rgb="FF00B0F0"/>
      </left>
      <right/>
      <top/>
      <bottom style="thick">
        <color rgb="FF00B0F0"/>
      </bottom>
      <diagonal/>
    </border>
    <border>
      <left/>
      <right style="thick">
        <color rgb="FF00B0F0"/>
      </right>
      <top/>
      <bottom style="thick">
        <color rgb="FF00B0F0"/>
      </bottom>
      <diagonal/>
    </border>
    <border>
      <left style="thick">
        <color rgb="FF00B0F0"/>
      </left>
      <right style="thin">
        <color indexed="64"/>
      </right>
      <top/>
      <bottom/>
      <diagonal/>
    </border>
    <border>
      <left style="thin">
        <color indexed="64"/>
      </left>
      <right style="thin">
        <color indexed="64"/>
      </right>
      <top style="thick">
        <color rgb="FF00B0F0"/>
      </top>
      <bottom/>
      <diagonal/>
    </border>
    <border>
      <left style="thin">
        <color indexed="64"/>
      </left>
      <right style="thick">
        <color rgb="FF00B0F0"/>
      </right>
      <top/>
      <bottom style="thin">
        <color indexed="64"/>
      </bottom>
      <diagonal/>
    </border>
    <border>
      <left style="thick">
        <color rgb="FF00B0F0"/>
      </left>
      <right/>
      <top style="thick">
        <color rgb="FF00B0F0"/>
      </top>
      <bottom style="thick">
        <color rgb="FF00B0F0"/>
      </bottom>
      <diagonal/>
    </border>
    <border>
      <left/>
      <right/>
      <top style="thick">
        <color rgb="FF00B0F0"/>
      </top>
      <bottom style="thick">
        <color rgb="FF00B0F0"/>
      </bottom>
      <diagonal/>
    </border>
    <border>
      <left/>
      <right style="thick">
        <color rgb="FF00B0F0"/>
      </right>
      <top style="thick">
        <color rgb="FF00B0F0"/>
      </top>
      <bottom style="thick">
        <color rgb="FF00B0F0"/>
      </bottom>
      <diagonal/>
    </border>
    <border>
      <left style="thick">
        <color rgb="FF00B0F0"/>
      </left>
      <right style="medium">
        <color indexed="64"/>
      </right>
      <top style="thin">
        <color indexed="64"/>
      </top>
      <bottom style="medium">
        <color indexed="64"/>
      </bottom>
      <diagonal/>
    </border>
    <border>
      <left/>
      <right style="thick">
        <color theme="2" tint="-0.499984740745262"/>
      </right>
      <top/>
      <bottom/>
      <diagonal/>
    </border>
    <border>
      <left/>
      <right style="thick">
        <color theme="2" tint="-0.499984740745262"/>
      </right>
      <top/>
      <bottom style="thick">
        <color theme="2" tint="-0.499984740745262"/>
      </bottom>
      <diagonal/>
    </border>
    <border>
      <left style="thick">
        <color theme="2" tint="-0.499984740745262"/>
      </left>
      <right style="thick">
        <color theme="3"/>
      </right>
      <top/>
      <bottom/>
      <diagonal/>
    </border>
    <border>
      <left style="thick">
        <color theme="2" tint="-0.499984740745262"/>
      </left>
      <right style="thick">
        <color theme="3"/>
      </right>
      <top/>
      <bottom style="thick">
        <color theme="2" tint="-0.499984740745262"/>
      </bottom>
      <diagonal/>
    </border>
    <border>
      <left/>
      <right style="double">
        <color rgb="FFFFC000"/>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double">
        <color rgb="FFFFFF00"/>
      </left>
      <right/>
      <top style="double">
        <color rgb="FFFFFF00"/>
      </top>
      <bottom/>
      <diagonal/>
    </border>
    <border>
      <left/>
      <right style="double">
        <color rgb="FFFFFF00"/>
      </right>
      <top style="double">
        <color rgb="FFFFFF00"/>
      </top>
      <bottom/>
      <diagonal/>
    </border>
    <border>
      <left style="double">
        <color rgb="FFFFFF00"/>
      </left>
      <right/>
      <top/>
      <bottom style="double">
        <color rgb="FFFFFF00"/>
      </bottom>
      <diagonal/>
    </border>
    <border>
      <left/>
      <right style="thin">
        <color theme="0"/>
      </right>
      <top/>
      <bottom style="thin">
        <color theme="0"/>
      </bottom>
      <diagonal/>
    </border>
    <border>
      <left style="thin">
        <color theme="0"/>
      </left>
      <right style="thin">
        <color theme="0"/>
      </right>
      <top/>
      <bottom/>
      <diagonal/>
    </border>
    <border>
      <left style="double">
        <color rgb="FFFF0066"/>
      </left>
      <right/>
      <top/>
      <bottom/>
      <diagonal/>
    </border>
    <border>
      <left/>
      <right style="double">
        <color rgb="FFFF0066"/>
      </right>
      <top/>
      <bottom/>
      <diagonal/>
    </border>
    <border>
      <left style="double">
        <color rgb="FFFF0066"/>
      </left>
      <right/>
      <top/>
      <bottom style="double">
        <color rgb="FFFF0066"/>
      </bottom>
      <diagonal/>
    </border>
    <border>
      <left/>
      <right style="double">
        <color rgb="FFFF0066"/>
      </right>
      <top/>
      <bottom style="double">
        <color rgb="FFFF0066"/>
      </bottom>
      <diagonal/>
    </border>
    <border>
      <left/>
      <right style="double">
        <color rgb="FFFFFF00"/>
      </right>
      <top/>
      <bottom style="double">
        <color rgb="FFFFFF00"/>
      </bottom>
      <diagonal/>
    </border>
    <border>
      <left style="thin">
        <color theme="0"/>
      </left>
      <right style="thin">
        <color theme="0"/>
      </right>
      <top style="medium">
        <color indexed="64"/>
      </top>
      <bottom style="thin">
        <color theme="0"/>
      </bottom>
      <diagonal/>
    </border>
    <border>
      <left style="thin">
        <color theme="0"/>
      </left>
      <right style="thin">
        <color theme="0"/>
      </right>
      <top style="double">
        <color indexed="64"/>
      </top>
      <bottom style="thin">
        <color theme="0"/>
      </bottom>
      <diagonal/>
    </border>
    <border>
      <left style="thin">
        <color theme="0"/>
      </left>
      <right style="thin">
        <color theme="0"/>
      </right>
      <top style="thin">
        <color theme="0"/>
      </top>
      <bottom style="medium">
        <color indexed="64"/>
      </bottom>
      <diagonal/>
    </border>
    <border>
      <left/>
      <right style="thin">
        <color rgb="FFFFFF99"/>
      </right>
      <top/>
      <bottom style="thin">
        <color rgb="FFFFFF99"/>
      </bottom>
      <diagonal/>
    </border>
    <border>
      <left style="thin">
        <color rgb="FFFFFF99"/>
      </left>
      <right style="thin">
        <color rgb="FFFFFF99"/>
      </right>
      <top/>
      <bottom style="thin">
        <color rgb="FFFFFF99"/>
      </bottom>
      <diagonal/>
    </border>
    <border>
      <left style="thin">
        <color rgb="FFFFFF99"/>
      </left>
      <right/>
      <top/>
      <bottom style="thin">
        <color rgb="FFFFFF99"/>
      </bottom>
      <diagonal/>
    </border>
    <border>
      <left/>
      <right style="thin">
        <color rgb="FFFFFF99"/>
      </right>
      <top style="thin">
        <color rgb="FFFFFF99"/>
      </top>
      <bottom style="thin">
        <color rgb="FFFFFF99"/>
      </bottom>
      <diagonal/>
    </border>
    <border>
      <left style="thin">
        <color rgb="FFFFFF99"/>
      </left>
      <right style="thin">
        <color rgb="FFFFFF99"/>
      </right>
      <top style="thin">
        <color rgb="FFFFFF99"/>
      </top>
      <bottom style="thin">
        <color rgb="FFFFFF99"/>
      </bottom>
      <diagonal/>
    </border>
    <border>
      <left style="thin">
        <color rgb="FFFFFF99"/>
      </left>
      <right/>
      <top style="thin">
        <color rgb="FFFFFF99"/>
      </top>
      <bottom style="thin">
        <color rgb="FFFFFF99"/>
      </bottom>
      <diagonal/>
    </border>
    <border>
      <left/>
      <right style="thin">
        <color rgb="FFFFFF99"/>
      </right>
      <top style="thin">
        <color rgb="FFFFFF99"/>
      </top>
      <bottom/>
      <diagonal/>
    </border>
    <border>
      <left style="thin">
        <color rgb="FFFFFF99"/>
      </left>
      <right style="thin">
        <color rgb="FFFFFF99"/>
      </right>
      <top style="thin">
        <color rgb="FFFFFF99"/>
      </top>
      <bottom/>
      <diagonal/>
    </border>
    <border>
      <left style="thin">
        <color rgb="FFFFFF99"/>
      </left>
      <right/>
      <top style="thin">
        <color rgb="FFFFFF99"/>
      </top>
      <bottom/>
      <diagonal/>
    </border>
    <border>
      <left style="thin">
        <color theme="0"/>
      </left>
      <right style="thin">
        <color rgb="FFFFFF99"/>
      </right>
      <top style="thin">
        <color theme="0"/>
      </top>
      <bottom style="thin">
        <color rgb="FFFFFF99"/>
      </bottom>
      <diagonal/>
    </border>
    <border>
      <left style="thin">
        <color rgb="FFFFFF99"/>
      </left>
      <right style="thin">
        <color rgb="FFFFFF99"/>
      </right>
      <top style="thin">
        <color theme="0"/>
      </top>
      <bottom style="thin">
        <color rgb="FFFFFF99"/>
      </bottom>
      <diagonal/>
    </border>
    <border>
      <left style="thin">
        <color rgb="FFFFFF99"/>
      </left>
      <right style="thin">
        <color theme="0"/>
      </right>
      <top style="thin">
        <color theme="0"/>
      </top>
      <bottom style="thin">
        <color rgb="FFFFFF99"/>
      </bottom>
      <diagonal/>
    </border>
    <border>
      <left style="thin">
        <color theme="0"/>
      </left>
      <right style="thin">
        <color rgb="FFFFFF99"/>
      </right>
      <top style="thin">
        <color rgb="FFFFFF99"/>
      </top>
      <bottom style="thin">
        <color rgb="FFFFFF99"/>
      </bottom>
      <diagonal/>
    </border>
    <border>
      <left style="thin">
        <color rgb="FFFFFF99"/>
      </left>
      <right style="thin">
        <color theme="0"/>
      </right>
      <top style="thin">
        <color rgb="FFFFFF99"/>
      </top>
      <bottom style="thin">
        <color rgb="FFFFFF99"/>
      </bottom>
      <diagonal/>
    </border>
    <border>
      <left style="thin">
        <color theme="0"/>
      </left>
      <right style="thin">
        <color rgb="FFFFFF99"/>
      </right>
      <top style="thin">
        <color rgb="FFFFFF99"/>
      </top>
      <bottom style="thin">
        <color theme="0"/>
      </bottom>
      <diagonal/>
    </border>
    <border>
      <left style="thin">
        <color rgb="FFFFFF99"/>
      </left>
      <right style="thin">
        <color rgb="FFFFFF99"/>
      </right>
      <top style="thin">
        <color rgb="FFFFFF99"/>
      </top>
      <bottom style="thin">
        <color theme="0"/>
      </bottom>
      <diagonal/>
    </border>
    <border>
      <left style="thin">
        <color rgb="FFFFFF99"/>
      </left>
      <right style="thin">
        <color theme="0"/>
      </right>
      <top style="thin">
        <color rgb="FFFFFF99"/>
      </top>
      <bottom style="thin">
        <color theme="0"/>
      </bottom>
      <diagonal/>
    </border>
    <border>
      <left style="thick">
        <color indexed="64"/>
      </left>
      <right style="thick">
        <color indexed="64"/>
      </right>
      <top style="thick">
        <color indexed="64"/>
      </top>
      <bottom style="thick">
        <color rgb="FFFF0000"/>
      </bottom>
      <diagonal/>
    </border>
    <border>
      <left style="thick">
        <color indexed="64"/>
      </left>
      <right style="thick">
        <color indexed="64"/>
      </right>
      <top style="thick">
        <color rgb="FFFF0000"/>
      </top>
      <bottom style="thick">
        <color indexed="64"/>
      </bottom>
      <diagonal/>
    </border>
    <border>
      <left style="thin">
        <color theme="0"/>
      </left>
      <right style="thin">
        <color theme="0"/>
      </right>
      <top/>
      <bottom style="medium">
        <color indexed="64"/>
      </bottom>
      <diagonal/>
    </border>
    <border>
      <left style="thick">
        <color indexed="64"/>
      </left>
      <right style="thick">
        <color indexed="64"/>
      </right>
      <top style="thick">
        <color indexed="64"/>
      </top>
      <bottom style="thick">
        <color rgb="FFFA7332"/>
      </bottom>
      <diagonal/>
    </border>
    <border>
      <left style="thick">
        <color indexed="64"/>
      </left>
      <right style="thick">
        <color indexed="64"/>
      </right>
      <top style="thick">
        <color rgb="FFFA7332"/>
      </top>
      <bottom style="thick">
        <color indexed="64"/>
      </bottom>
      <diagonal/>
    </border>
    <border>
      <left style="thick">
        <color indexed="64"/>
      </left>
      <right style="thick">
        <color indexed="12"/>
      </right>
      <top style="thick">
        <color indexed="64"/>
      </top>
      <bottom style="thick">
        <color rgb="FFFAD232"/>
      </bottom>
      <diagonal/>
    </border>
    <border>
      <left style="thick">
        <color indexed="64"/>
      </left>
      <right style="thick">
        <color indexed="12"/>
      </right>
      <top style="thick">
        <color rgb="FFFAD232"/>
      </top>
      <bottom style="thick">
        <color indexed="12"/>
      </bottom>
      <diagonal/>
    </border>
    <border>
      <left style="thick">
        <color indexed="64"/>
      </left>
      <right style="thick">
        <color indexed="64"/>
      </right>
      <top style="thick">
        <color indexed="64"/>
      </top>
      <bottom style="thick">
        <color rgb="FFFAD232"/>
      </bottom>
      <diagonal/>
    </border>
    <border>
      <left style="thick">
        <color indexed="64"/>
      </left>
      <right style="thick">
        <color indexed="64"/>
      </right>
      <top style="thick">
        <color rgb="FFFAD232"/>
      </top>
      <bottom style="thick">
        <color indexed="12"/>
      </bottom>
      <diagonal/>
    </border>
    <border>
      <left style="thick">
        <color indexed="64"/>
      </left>
      <right style="thick">
        <color indexed="64"/>
      </right>
      <top style="thick">
        <color rgb="FFFAD232"/>
      </top>
      <bottom style="thick">
        <color indexed="64"/>
      </bottom>
      <diagonal/>
    </border>
    <border>
      <left style="thick">
        <color indexed="64"/>
      </left>
      <right style="thick">
        <color indexed="12"/>
      </right>
      <top style="thick">
        <color rgb="FFFAD232"/>
      </top>
      <bottom style="thick">
        <color indexed="64"/>
      </bottom>
      <diagonal/>
    </border>
    <border>
      <left style="thick">
        <color indexed="64"/>
      </left>
      <right style="thick">
        <color indexed="64"/>
      </right>
      <top style="thick">
        <color indexed="64"/>
      </top>
      <bottom style="thick">
        <color rgb="FFFFE682"/>
      </bottom>
      <diagonal/>
    </border>
    <border>
      <left style="thick">
        <color indexed="64"/>
      </left>
      <right style="thick">
        <color indexed="64"/>
      </right>
      <top style="thick">
        <color rgb="FFFFE682"/>
      </top>
      <bottom style="thick">
        <color indexed="64"/>
      </bottom>
      <diagonal/>
    </border>
    <border>
      <left style="double">
        <color theme="1"/>
      </left>
      <right/>
      <top/>
      <bottom/>
      <diagonal/>
    </border>
    <border>
      <left/>
      <right style="thick">
        <color rgb="FF00B0F0"/>
      </right>
      <top/>
      <bottom style="double">
        <color indexed="64"/>
      </bottom>
      <diagonal/>
    </border>
    <border>
      <left style="thick">
        <color indexed="64"/>
      </left>
      <right style="thick">
        <color indexed="12"/>
      </right>
      <top style="thick">
        <color indexed="64"/>
      </top>
      <bottom style="thick">
        <color rgb="FFFF9606"/>
      </bottom>
      <diagonal/>
    </border>
    <border>
      <left style="thick">
        <color indexed="64"/>
      </left>
      <right style="thick">
        <color indexed="12"/>
      </right>
      <top style="thick">
        <color rgb="FFFF9606"/>
      </top>
      <bottom style="thick">
        <color indexed="64"/>
      </bottom>
      <diagonal/>
    </border>
    <border>
      <left style="thick">
        <color indexed="64"/>
      </left>
      <right style="thick">
        <color indexed="64"/>
      </right>
      <top style="thick">
        <color indexed="64"/>
      </top>
      <bottom style="thick">
        <color rgb="FFBE0000"/>
      </bottom>
      <diagonal/>
    </border>
    <border>
      <left style="thick">
        <color indexed="64"/>
      </left>
      <right style="thick">
        <color indexed="64"/>
      </right>
      <top style="thick">
        <color rgb="FFBE0000"/>
      </top>
      <bottom style="thick">
        <color indexed="12"/>
      </bottom>
      <diagonal/>
    </border>
    <border>
      <left style="thick">
        <color indexed="64"/>
      </left>
      <right style="thick">
        <color indexed="64"/>
      </right>
      <top style="thick">
        <color indexed="64"/>
      </top>
      <bottom style="thick">
        <color rgb="FF820000"/>
      </bottom>
      <diagonal/>
    </border>
    <border>
      <left style="thick">
        <color indexed="64"/>
      </left>
      <right style="thick">
        <color indexed="64"/>
      </right>
      <top style="thick">
        <color rgb="FF820000"/>
      </top>
      <bottom style="thick">
        <color indexed="64"/>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style="thin">
        <color theme="0"/>
      </left>
      <right style="thin">
        <color theme="0"/>
      </right>
      <top style="medium">
        <color indexed="64"/>
      </top>
      <bottom style="medium">
        <color indexed="64"/>
      </bottom>
      <diagonal/>
    </border>
    <border>
      <left style="thin">
        <color indexed="22"/>
      </left>
      <right style="double">
        <color indexed="64"/>
      </right>
      <top style="thick">
        <color indexed="8"/>
      </top>
      <bottom style="thin">
        <color theme="0" tint="-0.14996795556505021"/>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n">
        <color indexed="64"/>
      </right>
      <top/>
      <bottom/>
      <diagonal/>
    </border>
    <border>
      <left style="thin">
        <color indexed="64"/>
      </left>
      <right style="thick">
        <color rgb="FFFF0000"/>
      </right>
      <top/>
      <bottom style="thin">
        <color indexed="64"/>
      </bottom>
      <diagonal/>
    </border>
    <border>
      <left style="thick">
        <color rgb="FFFF0000"/>
      </left>
      <right style="medium">
        <color indexed="64"/>
      </right>
      <top style="thin">
        <color indexed="64"/>
      </top>
      <bottom style="medium">
        <color indexed="64"/>
      </bottom>
      <diagonal/>
    </border>
    <border>
      <left style="thick">
        <color rgb="FFFF0000"/>
      </left>
      <right/>
      <top/>
      <bottom/>
      <diagonal/>
    </border>
    <border>
      <left style="thick">
        <color rgb="FFFF0000"/>
      </left>
      <right style="medium">
        <color indexed="64"/>
      </right>
      <top style="medium">
        <color indexed="64"/>
      </top>
      <bottom style="medium">
        <color indexed="64"/>
      </bottom>
      <diagonal/>
    </border>
    <border>
      <left style="thick">
        <color rgb="FFFF0000"/>
      </left>
      <right/>
      <top/>
      <bottom style="thick">
        <color rgb="FFFF0000"/>
      </bottom>
      <diagonal/>
    </border>
    <border>
      <left style="double">
        <color indexed="8"/>
      </left>
      <right style="thin">
        <color theme="0" tint="-0.14996795556505021"/>
      </right>
      <top style="thick">
        <color indexed="8"/>
      </top>
      <bottom style="thin">
        <color theme="0" tint="-0.14996795556505021"/>
      </bottom>
      <diagonal/>
    </border>
    <border>
      <left style="thin">
        <color theme="0" tint="-0.14996795556505021"/>
      </left>
      <right style="thin">
        <color theme="0" tint="-0.14996795556505021"/>
      </right>
      <top style="thick">
        <color indexed="8"/>
      </top>
      <bottom style="thin">
        <color theme="0" tint="-0.1499679555650502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double">
        <color rgb="FFFF0000"/>
      </left>
      <right style="thin">
        <color theme="3" tint="0.79998168889431442"/>
      </right>
      <top style="thin">
        <color theme="3" tint="0.79998168889431442"/>
      </top>
      <bottom style="thin">
        <color theme="3" tint="0.79998168889431442"/>
      </bottom>
      <diagonal/>
    </border>
    <border>
      <left style="thin">
        <color theme="3" tint="0.79998168889431442"/>
      </left>
      <right style="double">
        <color rgb="FFFF0000"/>
      </right>
      <top style="thin">
        <color theme="3" tint="0.79998168889431442"/>
      </top>
      <bottom style="thin">
        <color theme="3" tint="0.79998168889431442"/>
      </bottom>
      <diagonal/>
    </border>
    <border>
      <left style="thin">
        <color theme="3" tint="0.79998168889431442"/>
      </left>
      <right style="double">
        <color rgb="FFFF0000"/>
      </right>
      <top style="thin">
        <color theme="3" tint="0.79998168889431442"/>
      </top>
      <bottom style="double">
        <color rgb="FFFF0000"/>
      </bottom>
      <diagonal/>
    </border>
    <border>
      <left style="thick">
        <color theme="2" tint="-0.499984740745262"/>
      </left>
      <right style="thick">
        <color theme="3"/>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style="thick">
        <color theme="3"/>
      </right>
      <top/>
      <bottom style="thick">
        <color theme="3"/>
      </bottom>
      <diagonal/>
    </border>
    <border>
      <left/>
      <right style="thick">
        <color theme="2" tint="-0.499984740745262"/>
      </right>
      <top/>
      <bottom style="thick">
        <color theme="3"/>
      </bottom>
      <diagonal/>
    </border>
    <border>
      <left style="thin">
        <color indexed="64"/>
      </left>
      <right style="thin">
        <color indexed="64"/>
      </right>
      <top style="thick">
        <color rgb="FFFF0000"/>
      </top>
      <bottom/>
      <diagonal/>
    </border>
    <border>
      <left style="thin">
        <color indexed="64"/>
      </left>
      <right style="thin">
        <color indexed="64"/>
      </right>
      <top style="thin">
        <color indexed="64"/>
      </top>
      <bottom style="thick">
        <color theme="1"/>
      </bottom>
      <diagonal/>
    </border>
    <border>
      <left style="thin">
        <color indexed="64"/>
      </left>
      <right style="thin">
        <color indexed="64"/>
      </right>
      <top/>
      <bottom style="thick">
        <color theme="1"/>
      </bottom>
      <diagonal/>
    </border>
    <border>
      <left/>
      <right style="thick">
        <color rgb="FFFF0000"/>
      </right>
      <top/>
      <bottom style="thick">
        <color theme="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double">
        <color rgb="FF00B0F0"/>
      </right>
      <top/>
      <bottom/>
      <diagonal/>
    </border>
    <border>
      <left style="double">
        <color rgb="FF00B0F0"/>
      </left>
      <right/>
      <top/>
      <bottom/>
      <diagonal/>
    </border>
    <border>
      <left/>
      <right/>
      <top style="double">
        <color rgb="FF00B0F0"/>
      </top>
      <bottom/>
      <diagonal/>
    </border>
    <border>
      <left/>
      <right style="double">
        <color rgb="FF00B0F0"/>
      </right>
      <top style="double">
        <color rgb="FF00B0F0"/>
      </top>
      <bottom/>
      <diagonal/>
    </border>
    <border>
      <left style="double">
        <color rgb="FF00B0F0"/>
      </left>
      <right/>
      <top style="double">
        <color rgb="FF00B0F0"/>
      </top>
      <bottom/>
      <diagonal/>
    </border>
    <border>
      <left style="thick">
        <color indexed="64"/>
      </left>
      <right style="thick">
        <color indexed="64"/>
      </right>
      <top style="thick">
        <color indexed="12"/>
      </top>
      <bottom style="thick">
        <color rgb="FFFA7332"/>
      </bottom>
      <diagonal/>
    </border>
    <border>
      <left style="thick">
        <color indexed="64"/>
      </left>
      <right style="thick">
        <color indexed="64"/>
      </right>
      <top style="thick">
        <color rgb="FFFA7332"/>
      </top>
      <bottom style="thick">
        <color indexed="12"/>
      </bottom>
      <diagonal/>
    </border>
    <border>
      <left style="double">
        <color rgb="FFFF0000"/>
      </left>
      <right style="thin">
        <color rgb="FFFF0000"/>
      </right>
      <top style="double">
        <color rgb="FFFF0000"/>
      </top>
      <bottom/>
      <diagonal/>
    </border>
    <border>
      <left style="thin">
        <color rgb="FFFF0000"/>
      </left>
      <right style="double">
        <color rgb="FFFF0000"/>
      </right>
      <top style="double">
        <color rgb="FFFF0000"/>
      </top>
      <bottom/>
      <diagonal/>
    </border>
    <border>
      <left style="double">
        <color rgb="FFFF0000"/>
      </left>
      <right style="thin">
        <color rgb="FFFF0000"/>
      </right>
      <top/>
      <bottom style="medium">
        <color indexed="64"/>
      </bottom>
      <diagonal/>
    </border>
    <border>
      <left style="thin">
        <color rgb="FFFF0000"/>
      </left>
      <right style="double">
        <color rgb="FFFF0000"/>
      </right>
      <top/>
      <bottom style="medium">
        <color indexed="64"/>
      </bottom>
      <diagonal/>
    </border>
    <border>
      <left style="double">
        <color rgb="FFFF0000"/>
      </left>
      <right style="thin">
        <color rgb="FFFF0000"/>
      </right>
      <top/>
      <bottom/>
      <diagonal/>
    </border>
    <border>
      <left style="thin">
        <color rgb="FFFF0000"/>
      </left>
      <right style="double">
        <color rgb="FFFF0000"/>
      </right>
      <top style="medium">
        <color indexed="64"/>
      </top>
      <bottom/>
      <diagonal/>
    </border>
    <border>
      <left style="thin">
        <color rgb="FFFF0000"/>
      </left>
      <right style="double">
        <color rgb="FFFF0000"/>
      </right>
      <top/>
      <bottom/>
      <diagonal/>
    </border>
    <border>
      <left style="double">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style="double">
        <color rgb="FFFFC000"/>
      </left>
      <right/>
      <top/>
      <bottom/>
      <diagonal/>
    </border>
    <border>
      <left style="double">
        <color rgb="FFFFC000"/>
      </left>
      <right/>
      <top/>
      <bottom style="double">
        <color rgb="FFFFC000"/>
      </bottom>
      <diagonal/>
    </border>
    <border>
      <left/>
      <right/>
      <top/>
      <bottom style="double">
        <color rgb="FFFFC000"/>
      </bottom>
      <diagonal/>
    </border>
    <border>
      <left/>
      <right style="medium">
        <color rgb="FFFFC000"/>
      </right>
      <top/>
      <bottom/>
      <diagonal/>
    </border>
    <border>
      <left/>
      <right style="medium">
        <color rgb="FFFFC000"/>
      </right>
      <top/>
      <bottom style="double">
        <color rgb="FFFFC000"/>
      </bottom>
      <diagonal/>
    </border>
    <border>
      <left style="double">
        <color rgb="FFFFC000"/>
      </left>
      <right/>
      <top style="double">
        <color rgb="FFFFC000"/>
      </top>
      <bottom style="medium">
        <color rgb="FFFFC000"/>
      </bottom>
      <diagonal/>
    </border>
    <border>
      <left/>
      <right/>
      <top style="double">
        <color rgb="FFFFC000"/>
      </top>
      <bottom style="medium">
        <color rgb="FFFFC000"/>
      </bottom>
      <diagonal/>
    </border>
    <border>
      <left/>
      <right style="medium">
        <color rgb="FFFFC000"/>
      </right>
      <top style="double">
        <color rgb="FFFFC000"/>
      </top>
      <bottom style="medium">
        <color rgb="FFFFC000"/>
      </bottom>
      <diagonal/>
    </border>
    <border>
      <left/>
      <right style="thin">
        <color theme="3" tint="0.79998168889431442"/>
      </right>
      <top/>
      <bottom/>
      <diagonal/>
    </border>
    <border>
      <left style="thin">
        <color theme="3" tint="0.79998168889431442"/>
      </left>
      <right style="double">
        <color rgb="FFFF0000"/>
      </right>
      <top style="thin">
        <color theme="3" tint="0.79998168889431442"/>
      </top>
      <bottom/>
      <diagonal/>
    </border>
    <border>
      <left/>
      <right/>
      <top/>
      <bottom style="double">
        <color rgb="FFFF0000"/>
      </bottom>
      <diagonal/>
    </border>
    <border>
      <left/>
      <right style="thin">
        <color theme="3" tint="0.79998168889431442"/>
      </right>
      <top/>
      <bottom style="double">
        <color rgb="FFFF0000"/>
      </bottom>
      <diagonal/>
    </border>
    <border>
      <left style="double">
        <color rgb="FFFF0000"/>
      </left>
      <right/>
      <top/>
      <bottom style="double">
        <color rgb="FFFF0000"/>
      </bottom>
      <diagonal/>
    </border>
    <border>
      <left style="double">
        <color rgb="FFFF0000"/>
      </left>
      <right/>
      <top style="thick">
        <color theme="1"/>
      </top>
      <bottom/>
      <diagonal/>
    </border>
    <border>
      <left/>
      <right/>
      <top style="thick">
        <color theme="1"/>
      </top>
      <bottom/>
      <diagonal/>
    </border>
    <border>
      <left style="thin">
        <color indexed="22"/>
      </left>
      <right style="thin">
        <color theme="0" tint="-0.24994659260841701"/>
      </right>
      <top style="thick">
        <color indexed="8"/>
      </top>
      <bottom style="thin">
        <color indexed="22"/>
      </bottom>
      <diagonal/>
    </border>
    <border>
      <left style="thin">
        <color theme="0" tint="-0.24994659260841701"/>
      </left>
      <right style="double">
        <color theme="1"/>
      </right>
      <top style="thick">
        <color theme="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double">
        <color indexed="8"/>
      </right>
      <top style="thin">
        <color theme="0" tint="-0.24994659260841701"/>
      </top>
      <bottom style="thin">
        <color theme="0" tint="-0.24994659260841701"/>
      </bottom>
      <diagonal/>
    </border>
    <border>
      <left style="double">
        <color theme="9" tint="-0.24994659260841701"/>
      </left>
      <right style="thin">
        <color indexed="64"/>
      </right>
      <top style="double">
        <color theme="9" tint="-0.24994659260841701"/>
      </top>
      <bottom style="thin">
        <color indexed="64"/>
      </bottom>
      <diagonal/>
    </border>
    <border>
      <left/>
      <right style="double">
        <color theme="9" tint="-0.24994659260841701"/>
      </right>
      <top style="double">
        <color theme="9" tint="-0.24994659260841701"/>
      </top>
      <bottom style="thin">
        <color indexed="64"/>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style="thin">
        <color indexed="64"/>
      </right>
      <top style="thin">
        <color indexed="64"/>
      </top>
      <bottom style="double">
        <color theme="9" tint="-0.24994659260841701"/>
      </bottom>
      <diagonal/>
    </border>
    <border>
      <left style="thin">
        <color indexed="64"/>
      </left>
      <right style="double">
        <color theme="9" tint="-0.24994659260841701"/>
      </right>
      <top style="thin">
        <color indexed="64"/>
      </top>
      <bottom style="double">
        <color theme="9" tint="-0.24994659260841701"/>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style="double">
        <color rgb="FFFF0000"/>
      </left>
      <right style="thin">
        <color theme="3" tint="0.79998168889431442"/>
      </right>
      <top style="thin">
        <color theme="3" tint="0.79998168889431442"/>
      </top>
      <bottom/>
      <diagonal/>
    </border>
    <border>
      <left style="thin">
        <color theme="3" tint="0.79998168889431442"/>
      </left>
      <right style="thin">
        <color theme="3" tint="0.79998168889431442"/>
      </right>
      <top style="thin">
        <color theme="3" tint="0.79998168889431442"/>
      </top>
      <bottom/>
      <diagonal/>
    </border>
    <border>
      <left style="double">
        <color rgb="FFFF0000"/>
      </left>
      <right style="thin">
        <color theme="3" tint="0.79998168889431442"/>
      </right>
      <top style="double">
        <color rgb="FFFF0000"/>
      </top>
      <bottom style="thin">
        <color theme="3" tint="0.79998168889431442"/>
      </bottom>
      <diagonal/>
    </border>
    <border>
      <left style="thin">
        <color theme="3" tint="0.79998168889431442"/>
      </left>
      <right style="thin">
        <color theme="3" tint="0.79998168889431442"/>
      </right>
      <top style="double">
        <color rgb="FFFF0000"/>
      </top>
      <bottom style="thin">
        <color theme="3" tint="0.79998168889431442"/>
      </bottom>
      <diagonal/>
    </border>
    <border>
      <left style="thin">
        <color theme="3" tint="0.79998168889431442"/>
      </left>
      <right style="double">
        <color rgb="FFFF0000"/>
      </right>
      <top style="double">
        <color rgb="FFFF0000"/>
      </top>
      <bottom style="thin">
        <color theme="3" tint="0.79998168889431442"/>
      </bottom>
      <diagonal/>
    </border>
    <border>
      <left style="double">
        <color rgb="FFFF0066"/>
      </left>
      <right/>
      <top style="double">
        <color rgb="FFFF0066"/>
      </top>
      <bottom style="thick">
        <color indexed="64"/>
      </bottom>
      <diagonal/>
    </border>
    <border>
      <left/>
      <right style="double">
        <color rgb="FFFF0066"/>
      </right>
      <top style="double">
        <color rgb="FFFF0066"/>
      </top>
      <bottom style="thick">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indexed="64"/>
      </left>
      <right/>
      <top style="thick">
        <color rgb="FF00B0F0"/>
      </top>
      <bottom/>
      <diagonal/>
    </border>
    <border>
      <left/>
      <right style="thin">
        <color indexed="64"/>
      </right>
      <top style="thick">
        <color rgb="FF00B0F0"/>
      </top>
      <bottom/>
      <diagonal/>
    </border>
    <border>
      <left style="thick">
        <color rgb="FF00B0F0"/>
      </left>
      <right style="thin">
        <color indexed="64"/>
      </right>
      <top style="thick">
        <color rgb="FF00B0F0"/>
      </top>
      <bottom/>
      <diagonal/>
    </border>
    <border>
      <left style="thick">
        <color rgb="FF00B0F0"/>
      </left>
      <right style="thin">
        <color indexed="64"/>
      </right>
      <top/>
      <bottom style="double">
        <color indexed="64"/>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theme="1"/>
      </bottom>
      <diagonal/>
    </border>
    <border>
      <left style="thin">
        <color indexed="64"/>
      </left>
      <right/>
      <top style="thick">
        <color rgb="FFFF0000"/>
      </top>
      <bottom/>
      <diagonal/>
    </border>
    <border>
      <left/>
      <right style="thin">
        <color indexed="64"/>
      </right>
      <top style="thick">
        <color rgb="FFFF0000"/>
      </top>
      <bottom/>
      <diagonal/>
    </border>
    <border>
      <left style="thick">
        <color indexed="12"/>
      </left>
      <right/>
      <top style="thick">
        <color indexed="12"/>
      </top>
      <bottom style="thick">
        <color rgb="FFFAD232"/>
      </bottom>
      <diagonal/>
    </border>
    <border>
      <left/>
      <right style="thick">
        <color indexed="64"/>
      </right>
      <top style="thick">
        <color indexed="12"/>
      </top>
      <bottom style="thick">
        <color rgb="FFFAD232"/>
      </bottom>
      <diagonal/>
    </border>
    <border>
      <left style="thick">
        <color indexed="64"/>
      </left>
      <right style="thick">
        <color indexed="64"/>
      </right>
      <top style="thick">
        <color indexed="12"/>
      </top>
      <bottom style="thick">
        <color rgb="FFFF0000"/>
      </bottom>
      <diagonal/>
    </border>
    <border>
      <left style="thick">
        <color indexed="64"/>
      </left>
      <right style="thick">
        <color indexed="12"/>
      </right>
      <top style="thick">
        <color indexed="12"/>
      </top>
      <bottom style="thick">
        <color rgb="FFFF0000"/>
      </bottom>
      <diagonal/>
    </border>
    <border>
      <left style="thick">
        <color indexed="12"/>
      </left>
      <right/>
      <top style="thick">
        <color rgb="FFFAD232"/>
      </top>
      <bottom style="thick">
        <color indexed="64"/>
      </bottom>
      <diagonal/>
    </border>
    <border>
      <left/>
      <right style="thick">
        <color indexed="64"/>
      </right>
      <top style="thick">
        <color rgb="FFFAD232"/>
      </top>
      <bottom style="thick">
        <color indexed="64"/>
      </bottom>
      <diagonal/>
    </border>
    <border>
      <left style="thick">
        <color indexed="12"/>
      </left>
      <right style="thick">
        <color indexed="64"/>
      </right>
      <top style="thick">
        <color indexed="64"/>
      </top>
      <bottom style="thick">
        <color rgb="FFFFE682"/>
      </bottom>
      <diagonal/>
    </border>
    <border>
      <left style="thick">
        <color indexed="12"/>
      </left>
      <right style="thick">
        <color indexed="64"/>
      </right>
      <top style="thick">
        <color rgb="FFFFE682"/>
      </top>
      <bottom style="thick">
        <color indexed="64"/>
      </bottom>
      <diagonal/>
    </border>
    <border>
      <left style="thick">
        <color indexed="64"/>
      </left>
      <right style="thick">
        <color indexed="12"/>
      </right>
      <top style="thick">
        <color rgb="FFFF0000"/>
      </top>
      <bottom style="thick">
        <color indexed="64"/>
      </bottom>
      <diagonal/>
    </border>
    <border>
      <left style="thick">
        <color indexed="12"/>
      </left>
      <right/>
      <top style="thick">
        <color rgb="FFFAD232"/>
      </top>
      <bottom style="thick">
        <color indexed="12"/>
      </bottom>
      <diagonal/>
    </border>
    <border>
      <left/>
      <right style="thick">
        <color indexed="64"/>
      </right>
      <top style="thick">
        <color rgb="FFFAD232"/>
      </top>
      <bottom style="thick">
        <color indexed="12"/>
      </bottom>
      <diagonal/>
    </border>
    <border>
      <left style="thick">
        <color indexed="12"/>
      </left>
      <right/>
      <top style="thick">
        <color indexed="64"/>
      </top>
      <bottom style="thick">
        <color rgb="FFFAD232"/>
      </bottom>
      <diagonal/>
    </border>
    <border>
      <left/>
      <right style="thick">
        <color indexed="64"/>
      </right>
      <top style="thick">
        <color indexed="64"/>
      </top>
      <bottom style="thick">
        <color rgb="FFFAD232"/>
      </bottom>
      <diagonal/>
    </border>
    <border>
      <left style="thick">
        <color indexed="12"/>
      </left>
      <right/>
      <top style="thick">
        <color indexed="64"/>
      </top>
      <bottom style="thick">
        <color theme="0"/>
      </bottom>
      <diagonal/>
    </border>
    <border>
      <left/>
      <right style="thick">
        <color indexed="64"/>
      </right>
      <top style="thick">
        <color indexed="64"/>
      </top>
      <bottom style="thick">
        <color theme="0"/>
      </bottom>
      <diagonal/>
    </border>
    <border>
      <left style="thick">
        <color indexed="12"/>
      </left>
      <right/>
      <top style="thick">
        <color theme="0"/>
      </top>
      <bottom style="thick">
        <color indexed="64"/>
      </bottom>
      <diagonal/>
    </border>
    <border>
      <left/>
      <right style="thick">
        <color indexed="64"/>
      </right>
      <top style="thick">
        <color theme="0"/>
      </top>
      <bottom style="thick">
        <color indexed="64"/>
      </bottom>
      <diagonal/>
    </border>
    <border>
      <left style="double">
        <color rgb="FF00B0F0"/>
      </left>
      <right/>
      <top style="double">
        <color rgb="FF00B0F0"/>
      </top>
      <bottom style="double">
        <color rgb="FF00B0F0"/>
      </bottom>
      <diagonal/>
    </border>
    <border>
      <left/>
      <right/>
      <top style="double">
        <color rgb="FF00B0F0"/>
      </top>
      <bottom style="double">
        <color rgb="FF00B0F0"/>
      </bottom>
      <diagonal/>
    </border>
    <border>
      <left/>
      <right style="double">
        <color rgb="FF00B0F0"/>
      </right>
      <top style="double">
        <color rgb="FF00B0F0"/>
      </top>
      <bottom style="double">
        <color rgb="FF00B0F0"/>
      </bottom>
      <diagonal/>
    </border>
    <border>
      <left style="thick">
        <color rgb="FF00B0F0"/>
      </left>
      <right/>
      <top style="thick">
        <color rgb="FF00B0F0"/>
      </top>
      <bottom/>
      <diagonal/>
    </border>
    <border>
      <left style="thick">
        <color rgb="FFFF0000"/>
      </left>
      <right/>
      <top style="thick">
        <color rgb="FFFF0000"/>
      </top>
      <bottom/>
      <diagonal/>
    </border>
    <border>
      <left style="double">
        <color rgb="FFFFC000"/>
      </left>
      <right/>
      <top style="double">
        <color rgb="FFFFC000"/>
      </top>
      <bottom style="double">
        <color rgb="FFFFC000"/>
      </bottom>
      <diagonal/>
    </border>
    <border>
      <left/>
      <right/>
      <top style="double">
        <color rgb="FFFFC000"/>
      </top>
      <bottom style="double">
        <color rgb="FFFFC000"/>
      </bottom>
      <diagonal/>
    </border>
    <border>
      <left/>
      <right style="double">
        <color rgb="FFFFC000"/>
      </right>
      <top style="double">
        <color rgb="FFFFC000"/>
      </top>
      <bottom style="double">
        <color rgb="FFFFC000"/>
      </bottom>
      <diagonal/>
    </border>
    <border>
      <left style="medium">
        <color rgb="FFFFC000"/>
      </left>
      <right/>
      <top style="double">
        <color rgb="FFFFC000"/>
      </top>
      <bottom/>
      <diagonal/>
    </border>
    <border>
      <left/>
      <right style="double">
        <color rgb="FF0000FF"/>
      </right>
      <top style="double">
        <color rgb="FFFFC000"/>
      </top>
      <bottom/>
      <diagonal/>
    </border>
    <border>
      <left style="medium">
        <color rgb="FFFFC000"/>
      </left>
      <right/>
      <top/>
      <bottom/>
      <diagonal/>
    </border>
    <border>
      <left/>
      <right style="double">
        <color rgb="FF0000FF"/>
      </right>
      <top/>
      <bottom/>
      <diagonal/>
    </border>
    <border>
      <left style="medium">
        <color rgb="FFFFC000"/>
      </left>
      <right/>
      <top/>
      <bottom style="double">
        <color rgb="FFFFC000"/>
      </bottom>
      <diagonal/>
    </border>
    <border>
      <left/>
      <right style="double">
        <color rgb="FF0000FF"/>
      </right>
      <top/>
      <bottom style="double">
        <color rgb="FFFFC00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right style="double">
        <color theme="1"/>
      </right>
      <top/>
      <bottom/>
      <diagonal/>
    </border>
    <border>
      <left/>
      <right/>
      <top style="double">
        <color rgb="FFFFC000"/>
      </top>
      <bottom/>
      <diagonal/>
    </border>
    <border>
      <left/>
      <right style="double">
        <color indexed="12"/>
      </right>
      <top style="double">
        <color rgb="FFFFC000"/>
      </top>
      <bottom/>
      <diagonal/>
    </border>
    <border>
      <left style="double">
        <color rgb="FFFFC000"/>
      </left>
      <right/>
      <top style="medium">
        <color rgb="FFFFC000"/>
      </top>
      <bottom/>
      <diagonal/>
    </border>
    <border>
      <left style="thin">
        <color auto="1"/>
      </left>
      <right style="thin">
        <color auto="1"/>
      </right>
      <top style="double">
        <color rgb="FF00B0F0"/>
      </top>
      <bottom style="thin">
        <color auto="1"/>
      </bottom>
      <diagonal/>
    </border>
    <border>
      <left style="thin">
        <color auto="1"/>
      </left>
      <right style="thin">
        <color auto="1"/>
      </right>
      <top style="thin">
        <color auto="1"/>
      </top>
      <bottom style="thin">
        <color auto="1"/>
      </bottom>
      <diagonal/>
    </border>
    <border>
      <left style="thick">
        <color rgb="FF00B0F0"/>
      </left>
      <right style="thin">
        <color auto="1"/>
      </right>
      <top style="double">
        <color rgb="FF00B0F0"/>
      </top>
      <bottom style="thin">
        <color auto="1"/>
      </bottom>
      <diagonal/>
    </border>
    <border>
      <left style="thick">
        <color rgb="FF00B0F0"/>
      </left>
      <right style="thin">
        <color auto="1"/>
      </right>
      <top style="thin">
        <color auto="1"/>
      </top>
      <bottom style="thin">
        <color auto="1"/>
      </bottom>
      <diagonal/>
    </border>
    <border>
      <left style="thin">
        <color auto="1"/>
      </left>
      <right style="thick">
        <color rgb="FF00B0F0"/>
      </right>
      <top style="thin">
        <color auto="1"/>
      </top>
      <bottom style="thin">
        <color auto="1"/>
      </bottom>
      <diagonal/>
    </border>
    <border>
      <left style="thick">
        <color rgb="FF00B0F0"/>
      </left>
      <right style="thin">
        <color auto="1"/>
      </right>
      <top style="thin">
        <color auto="1"/>
      </top>
      <bottom style="thick">
        <color rgb="FF00B0F0"/>
      </bottom>
      <diagonal/>
    </border>
    <border>
      <left style="thin">
        <color auto="1"/>
      </left>
      <right style="thin">
        <color auto="1"/>
      </right>
      <top style="thin">
        <color auto="1"/>
      </top>
      <bottom style="thick">
        <color rgb="FF00B0F0"/>
      </bottom>
      <diagonal/>
    </border>
    <border>
      <left style="thin">
        <color auto="1"/>
      </left>
      <right style="thick">
        <color rgb="FF00B0F0"/>
      </right>
      <top style="thin">
        <color auto="1"/>
      </top>
      <bottom style="thick">
        <color rgb="FF00B0F0"/>
      </bottom>
      <diagonal/>
    </border>
    <border>
      <left style="thick">
        <color rgb="FF00B0F0"/>
      </left>
      <right style="thin">
        <color auto="1"/>
      </right>
      <top style="thick">
        <color rgb="FF00B0F0"/>
      </top>
      <bottom style="double">
        <color rgb="FF00B0F0"/>
      </bottom>
      <diagonal/>
    </border>
    <border>
      <left style="thin">
        <color auto="1"/>
      </left>
      <right style="thin">
        <color auto="1"/>
      </right>
      <top style="thick">
        <color rgb="FF00B0F0"/>
      </top>
      <bottom style="double">
        <color rgb="FF00B0F0"/>
      </bottom>
      <diagonal/>
    </border>
    <border>
      <left style="thin">
        <color auto="1"/>
      </left>
      <right style="thin">
        <color auto="1"/>
      </right>
      <top/>
      <bottom style="thin">
        <color auto="1"/>
      </bottom>
      <diagonal/>
    </border>
    <border>
      <left style="thin">
        <color auto="1"/>
      </left>
      <right/>
      <top style="thick">
        <color rgb="FF00B0F0"/>
      </top>
      <bottom style="double">
        <color rgb="FF00B0F0"/>
      </bottom>
      <diagonal/>
    </border>
    <border>
      <left style="thin">
        <color auto="1"/>
      </left>
      <right/>
      <top style="double">
        <color rgb="FF00B0F0"/>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ck">
        <color auto="1"/>
      </left>
      <right/>
      <top style="thick">
        <color auto="1"/>
      </top>
      <bottom style="double">
        <color auto="1"/>
      </bottom>
      <diagonal/>
    </border>
    <border>
      <left/>
      <right/>
      <top style="thick">
        <color auto="1"/>
      </top>
      <bottom style="double">
        <color auto="1"/>
      </bottom>
      <diagonal/>
    </border>
    <border>
      <left/>
      <right style="thick">
        <color auto="1"/>
      </right>
      <top style="thick">
        <color auto="1"/>
      </top>
      <bottom style="double">
        <color auto="1"/>
      </bottom>
      <diagonal/>
    </border>
  </borders>
  <cellStyleXfs count="2">
    <xf numFmtId="0" fontId="0" fillId="0" borderId="0"/>
    <xf numFmtId="0" fontId="11" fillId="0" borderId="0" applyNumberFormat="0" applyFill="0" applyBorder="0" applyAlignment="0" applyProtection="0">
      <alignment vertical="top"/>
      <protection locked="0"/>
    </xf>
  </cellStyleXfs>
  <cellXfs count="1218">
    <xf numFmtId="0" fontId="0" fillId="0" borderId="0" xfId="0"/>
    <xf numFmtId="0" fontId="1" fillId="0" borderId="0" xfId="0" applyNumberFormat="1" applyFont="1" applyAlignment="1"/>
    <xf numFmtId="1" fontId="1" fillId="0" borderId="0" xfId="0" applyNumberFormat="1" applyFont="1"/>
    <xf numFmtId="0" fontId="2" fillId="0" borderId="0" xfId="0" applyNumberFormat="1" applyFont="1" applyAlignment="1"/>
    <xf numFmtId="0" fontId="3" fillId="0" borderId="0" xfId="0" applyNumberFormat="1" applyFont="1" applyAlignment="1">
      <alignment horizontal="center"/>
    </xf>
    <xf numFmtId="1" fontId="3" fillId="0" borderId="0" xfId="0" applyNumberFormat="1" applyFont="1" applyAlignment="1">
      <alignment horizontal="center"/>
    </xf>
    <xf numFmtId="0" fontId="2" fillId="0" borderId="0" xfId="0" applyNumberFormat="1" applyFont="1" applyAlignment="1">
      <alignment horizontal="center"/>
    </xf>
    <xf numFmtId="0" fontId="3" fillId="0" borderId="0" xfId="0" applyNumberFormat="1" applyFont="1" applyAlignment="1"/>
    <xf numFmtId="0" fontId="4" fillId="0" borderId="0" xfId="0" applyNumberFormat="1" applyFont="1" applyAlignment="1"/>
    <xf numFmtId="0" fontId="5" fillId="0" borderId="0" xfId="0" applyNumberFormat="1" applyFont="1" applyAlignment="1">
      <alignment horizontal="left"/>
    </xf>
    <xf numFmtId="0" fontId="2" fillId="0" borderId="0" xfId="0" applyNumberFormat="1" applyFont="1" applyAlignment="1">
      <alignment horizontal="left"/>
    </xf>
    <xf numFmtId="0" fontId="4" fillId="0" borderId="0" xfId="0" applyNumberFormat="1" applyFont="1" applyAlignment="1">
      <alignment horizontal="left"/>
    </xf>
    <xf numFmtId="0" fontId="5" fillId="0" borderId="0" xfId="0" applyNumberFormat="1" applyFont="1" applyAlignment="1"/>
    <xf numFmtId="164" fontId="5" fillId="0" borderId="0" xfId="0" applyNumberFormat="1" applyFont="1" applyAlignment="1"/>
    <xf numFmtId="9" fontId="5" fillId="0" borderId="0" xfId="0" applyNumberFormat="1" applyFont="1" applyAlignment="1"/>
    <xf numFmtId="164" fontId="1" fillId="0" borderId="0" xfId="0" applyNumberFormat="1" applyFont="1"/>
    <xf numFmtId="0" fontId="6" fillId="0" borderId="0" xfId="0" applyNumberFormat="1" applyFont="1" applyAlignment="1"/>
    <xf numFmtId="11" fontId="1" fillId="0" borderId="0" xfId="0" applyNumberFormat="1" applyFont="1" applyAlignment="1"/>
    <xf numFmtId="165" fontId="1" fillId="0" borderId="0" xfId="0" applyNumberFormat="1" applyFont="1" applyAlignment="1" applyProtection="1">
      <protection locked="0"/>
    </xf>
    <xf numFmtId="0" fontId="6" fillId="0" borderId="0" xfId="0" applyNumberFormat="1" applyFont="1" applyAlignment="1">
      <alignment horizontal="left"/>
    </xf>
    <xf numFmtId="0" fontId="6" fillId="0" borderId="0" xfId="0" applyNumberFormat="1" applyFont="1" applyAlignment="1">
      <alignment horizontal="center"/>
    </xf>
    <xf numFmtId="0" fontId="1" fillId="0" borderId="0" xfId="0" applyNumberFormat="1" applyFont="1" applyFill="1" applyAlignment="1"/>
    <xf numFmtId="9" fontId="6" fillId="0" borderId="0" xfId="0" applyNumberFormat="1" applyFont="1" applyAlignment="1"/>
    <xf numFmtId="164" fontId="6" fillId="0" borderId="0" xfId="0" applyNumberFormat="1" applyFont="1" applyAlignment="1"/>
    <xf numFmtId="0" fontId="8" fillId="0" borderId="0" xfId="0" applyNumberFormat="1" applyFont="1" applyAlignment="1"/>
    <xf numFmtId="168" fontId="0" fillId="0" borderId="0" xfId="0" applyNumberFormat="1"/>
    <xf numFmtId="164" fontId="1" fillId="0" borderId="0" xfId="0" applyNumberFormat="1" applyFont="1" applyAlignment="1"/>
    <xf numFmtId="0" fontId="0" fillId="0" borderId="0" xfId="0" applyNumberFormat="1"/>
    <xf numFmtId="0" fontId="0" fillId="0" borderId="0" xfId="0" applyNumberFormat="1" applyAlignment="1">
      <alignment horizontal="right"/>
    </xf>
    <xf numFmtId="1" fontId="6" fillId="0" borderId="0" xfId="0" applyNumberFormat="1" applyFont="1" applyAlignment="1">
      <alignment horizontal="center"/>
    </xf>
    <xf numFmtId="9" fontId="1" fillId="0" borderId="0" xfId="0" applyNumberFormat="1" applyFont="1"/>
    <xf numFmtId="0" fontId="0" fillId="0" borderId="0" xfId="0" applyAlignment="1">
      <alignment wrapText="1"/>
    </xf>
    <xf numFmtId="0" fontId="0" fillId="0" borderId="0" xfId="0" applyFill="1"/>
    <xf numFmtId="0" fontId="0" fillId="0" borderId="0" xfId="0" applyBorder="1" applyAlignment="1">
      <alignment horizontal="center"/>
    </xf>
    <xf numFmtId="0" fontId="6" fillId="0" borderId="0" xfId="0" applyFont="1" applyBorder="1" applyAlignment="1">
      <alignment horizontal="center"/>
    </xf>
    <xf numFmtId="0" fontId="1" fillId="0" borderId="0" xfId="0" applyNumberFormat="1" applyFont="1" applyAlignment="1">
      <alignment wrapText="1"/>
    </xf>
    <xf numFmtId="0" fontId="0" fillId="0" borderId="0" xfId="0" applyBorder="1"/>
    <xf numFmtId="18" fontId="0" fillId="0" borderId="0" xfId="0" applyNumberFormat="1" applyBorder="1"/>
    <xf numFmtId="18" fontId="0" fillId="0" borderId="0" xfId="0" applyNumberFormat="1" applyFill="1" applyBorder="1"/>
    <xf numFmtId="0" fontId="0" fillId="0" borderId="0" xfId="0" applyNumberFormat="1" applyAlignment="1">
      <alignment horizontal="center"/>
    </xf>
    <xf numFmtId="0" fontId="0" fillId="0" borderId="0" xfId="0" applyAlignment="1">
      <alignment horizontal="center"/>
    </xf>
    <xf numFmtId="18" fontId="0" fillId="0" borderId="0" xfId="0" applyNumberFormat="1" applyBorder="1" applyProtection="1">
      <protection locked="0"/>
    </xf>
    <xf numFmtId="0" fontId="0" fillId="0" borderId="0" xfId="0" applyProtection="1">
      <protection locked="0"/>
    </xf>
    <xf numFmtId="2" fontId="0" fillId="0" borderId="0" xfId="0" applyNumberFormat="1"/>
    <xf numFmtId="0" fontId="1" fillId="0" borderId="0" xfId="0" applyNumberFormat="1" applyFont="1" applyAlignment="1">
      <alignment horizontal="left" wrapText="1"/>
    </xf>
    <xf numFmtId="0" fontId="0" fillId="0" borderId="0" xfId="0" applyAlignment="1" applyProtection="1">
      <alignment vertical="top" wrapText="1"/>
      <protection locked="0"/>
    </xf>
    <xf numFmtId="166" fontId="1" fillId="0" borderId="0" xfId="0" applyNumberFormat="1" applyFont="1"/>
    <xf numFmtId="0" fontId="1" fillId="0" borderId="0" xfId="0" applyNumberFormat="1" applyFont="1" applyAlignment="1">
      <alignment vertical="top" wrapText="1"/>
    </xf>
    <xf numFmtId="0" fontId="0" fillId="0" borderId="0" xfId="0" applyBorder="1" applyAlignment="1">
      <alignment vertical="top" wrapText="1"/>
    </xf>
    <xf numFmtId="0" fontId="2" fillId="0" borderId="0" xfId="0" applyNumberFormat="1" applyFont="1" applyFill="1" applyAlignment="1">
      <alignment horizontal="left"/>
    </xf>
    <xf numFmtId="1" fontId="1" fillId="0" borderId="0" xfId="0" applyNumberFormat="1" applyFont="1" applyFill="1" applyAlignment="1"/>
    <xf numFmtId="0" fontId="1" fillId="0" borderId="2" xfId="0" applyNumberFormat="1" applyFont="1" applyFill="1" applyBorder="1" applyAlignment="1">
      <alignment horizontal="center"/>
    </xf>
    <xf numFmtId="0" fontId="1" fillId="0" borderId="0" xfId="0" applyNumberFormat="1" applyFont="1" applyBorder="1" applyAlignment="1"/>
    <xf numFmtId="0" fontId="1" fillId="0" borderId="3" xfId="0" applyNumberFormat="1" applyFont="1" applyBorder="1" applyAlignment="1"/>
    <xf numFmtId="0" fontId="2" fillId="0" borderId="4" xfId="0" applyNumberFormat="1" applyFont="1" applyBorder="1" applyAlignment="1">
      <alignment horizontal="center"/>
    </xf>
    <xf numFmtId="2" fontId="12" fillId="0" borderId="0" xfId="0" applyNumberFormat="1" applyFont="1" applyBorder="1" applyAlignment="1">
      <alignment horizontal="center"/>
    </xf>
    <xf numFmtId="0" fontId="2" fillId="0" borderId="5" xfId="0" applyNumberFormat="1" applyFont="1" applyBorder="1" applyAlignment="1">
      <alignment horizontal="center"/>
    </xf>
    <xf numFmtId="0" fontId="1" fillId="0" borderId="6" xfId="0" applyNumberFormat="1" applyFont="1" applyBorder="1" applyAlignment="1"/>
    <xf numFmtId="0" fontId="0" fillId="0" borderId="0" xfId="0" applyAlignment="1">
      <alignment vertical="top" wrapText="1"/>
    </xf>
    <xf numFmtId="0" fontId="0" fillId="0" borderId="0" xfId="0" applyAlignment="1">
      <alignment horizontal="left" vertical="top" wrapText="1" indent="1"/>
    </xf>
    <xf numFmtId="0" fontId="0" fillId="2" borderId="7" xfId="0" applyFill="1" applyBorder="1"/>
    <xf numFmtId="0" fontId="6" fillId="2" borderId="8" xfId="0" applyFont="1" applyFill="1" applyBorder="1" applyAlignment="1">
      <alignment horizontal="center"/>
    </xf>
    <xf numFmtId="0" fontId="0" fillId="2" borderId="8" xfId="0" applyFill="1" applyBorder="1"/>
    <xf numFmtId="0" fontId="0" fillId="2" borderId="8" xfId="0" applyNumberFormat="1" applyFill="1" applyBorder="1"/>
    <xf numFmtId="0" fontId="0" fillId="2" borderId="8" xfId="0" applyNumberFormat="1" applyFill="1" applyBorder="1" applyAlignment="1">
      <alignment horizontal="center"/>
    </xf>
    <xf numFmtId="0" fontId="0" fillId="2" borderId="8" xfId="0"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6" fillId="2" borderId="10" xfId="0" applyNumberFormat="1" applyFont="1" applyFill="1" applyBorder="1" applyAlignment="1">
      <alignment horizontal="center"/>
    </xf>
    <xf numFmtId="0" fontId="6" fillId="2" borderId="11" xfId="0" applyFont="1" applyFill="1" applyBorder="1" applyAlignment="1">
      <alignment horizontal="center"/>
    </xf>
    <xf numFmtId="0" fontId="6" fillId="2" borderId="12" xfId="0" applyFont="1" applyFill="1" applyBorder="1" applyAlignment="1">
      <alignment horizontal="center"/>
    </xf>
    <xf numFmtId="0" fontId="13" fillId="2" borderId="12" xfId="0" applyFont="1" applyFill="1" applyBorder="1" applyAlignment="1">
      <alignment horizontal="center"/>
    </xf>
    <xf numFmtId="0" fontId="13" fillId="2" borderId="12" xfId="0" applyNumberFormat="1" applyFont="1" applyFill="1" applyBorder="1" applyAlignment="1">
      <alignment horizontal="center"/>
    </xf>
    <xf numFmtId="0" fontId="8" fillId="0" borderId="0" xfId="0" applyNumberFormat="1" applyFont="1" applyAlignment="1">
      <alignment horizontal="center"/>
    </xf>
    <xf numFmtId="1" fontId="8" fillId="0" borderId="0" xfId="0" applyNumberFormat="1" applyFont="1" applyAlignment="1">
      <alignment horizontal="center"/>
    </xf>
    <xf numFmtId="0" fontId="6" fillId="0" borderId="0" xfId="0" applyNumberFormat="1" applyFont="1" applyAlignment="1">
      <alignment horizontal="right"/>
    </xf>
    <xf numFmtId="0" fontId="0" fillId="0" borderId="0" xfId="0" applyBorder="1" applyAlignment="1"/>
    <xf numFmtId="0" fontId="1" fillId="0" borderId="4" xfId="0" applyNumberFormat="1" applyFont="1" applyBorder="1" applyAlignment="1"/>
    <xf numFmtId="1" fontId="1" fillId="0" borderId="0" xfId="0" applyNumberFormat="1" applyFont="1" applyFill="1" applyBorder="1" applyAlignment="1"/>
    <xf numFmtId="1" fontId="6" fillId="0" borderId="3" xfId="0" applyNumberFormat="1" applyFont="1" applyBorder="1" applyAlignment="1"/>
    <xf numFmtId="0" fontId="6" fillId="0" borderId="6" xfId="0" applyNumberFormat="1" applyFont="1" applyBorder="1" applyAlignment="1">
      <alignment horizontal="right"/>
    </xf>
    <xf numFmtId="1" fontId="6" fillId="0" borderId="13" xfId="0" applyNumberFormat="1" applyFont="1" applyBorder="1" applyAlignment="1"/>
    <xf numFmtId="0" fontId="8" fillId="0" borderId="4" xfId="0" applyNumberFormat="1" applyFont="1" applyBorder="1" applyAlignment="1">
      <alignment horizontal="center"/>
    </xf>
    <xf numFmtId="0" fontId="8" fillId="0" borderId="0" xfId="0" applyNumberFormat="1" applyFont="1" applyBorder="1" applyAlignment="1">
      <alignment horizontal="center"/>
    </xf>
    <xf numFmtId="0" fontId="8" fillId="0" borderId="3" xfId="0" applyNumberFormat="1" applyFont="1" applyBorder="1" applyAlignment="1">
      <alignment horizontal="center"/>
    </xf>
    <xf numFmtId="0" fontId="8" fillId="0" borderId="5" xfId="0" applyNumberFormat="1" applyFont="1" applyBorder="1" applyAlignment="1">
      <alignment horizontal="center"/>
    </xf>
    <xf numFmtId="0" fontId="8" fillId="0" borderId="6" xfId="0" applyNumberFormat="1" applyFont="1" applyBorder="1" applyAlignment="1">
      <alignment horizontal="center"/>
    </xf>
    <xf numFmtId="0" fontId="6" fillId="2" borderId="14" xfId="0" applyNumberFormat="1" applyFont="1" applyFill="1" applyBorder="1" applyAlignment="1">
      <alignment horizontal="center"/>
    </xf>
    <xf numFmtId="0" fontId="6" fillId="2" borderId="15" xfId="0" applyNumberFormat="1" applyFont="1" applyFill="1" applyBorder="1" applyAlignment="1"/>
    <xf numFmtId="0" fontId="6" fillId="2" borderId="16" xfId="0" applyNumberFormat="1" applyFont="1" applyFill="1" applyBorder="1" applyAlignment="1">
      <alignment horizontal="center"/>
    </xf>
    <xf numFmtId="0" fontId="6" fillId="2" borderId="17" xfId="0" applyNumberFormat="1" applyFont="1" applyFill="1" applyBorder="1" applyAlignment="1">
      <alignment horizontal="center"/>
    </xf>
    <xf numFmtId="0" fontId="6" fillId="2" borderId="18" xfId="0" applyNumberFormat="1" applyFont="1" applyFill="1" applyBorder="1" applyAlignment="1">
      <alignment horizontal="center"/>
    </xf>
    <xf numFmtId="0" fontId="2" fillId="0" borderId="4" xfId="0" applyNumberFormat="1" applyFont="1" applyBorder="1" applyAlignment="1">
      <alignment horizontal="right" indent="3"/>
    </xf>
    <xf numFmtId="0" fontId="2" fillId="0" borderId="5" xfId="0" applyNumberFormat="1" applyFont="1" applyBorder="1" applyAlignment="1">
      <alignment horizontal="right" indent="3"/>
    </xf>
    <xf numFmtId="0" fontId="0" fillId="0" borderId="4" xfId="0" applyNumberFormat="1" applyBorder="1" applyAlignment="1">
      <alignment horizontal="right" indent="3"/>
    </xf>
    <xf numFmtId="0" fontId="8" fillId="0" borderId="5" xfId="0" applyNumberFormat="1" applyFont="1" applyBorder="1" applyAlignment="1">
      <alignment horizontal="right" indent="3"/>
    </xf>
    <xf numFmtId="0" fontId="0" fillId="3" borderId="19" xfId="0" applyFill="1" applyBorder="1"/>
    <xf numFmtId="0" fontId="0" fillId="3" borderId="20" xfId="0" applyFill="1" applyBorder="1" applyAlignment="1">
      <alignment vertical="top"/>
    </xf>
    <xf numFmtId="168" fontId="0" fillId="3" borderId="1" xfId="0" applyNumberFormat="1" applyFill="1" applyBorder="1" applyAlignment="1">
      <alignment vertical="top"/>
    </xf>
    <xf numFmtId="18" fontId="0" fillId="3" borderId="1" xfId="0" applyNumberFormat="1" applyFill="1" applyBorder="1" applyAlignment="1">
      <alignment vertical="top"/>
    </xf>
    <xf numFmtId="0" fontId="0" fillId="3" borderId="1" xfId="0" applyFill="1" applyBorder="1" applyAlignment="1">
      <alignment vertical="top"/>
    </xf>
    <xf numFmtId="0" fontId="0" fillId="3" borderId="1" xfId="0" applyFill="1" applyBorder="1" applyAlignment="1">
      <alignment horizontal="right" vertical="top"/>
    </xf>
    <xf numFmtId="0" fontId="0" fillId="3" borderId="1" xfId="0" applyFill="1" applyBorder="1"/>
    <xf numFmtId="0" fontId="0" fillId="3" borderId="21" xfId="0" applyFill="1" applyBorder="1"/>
    <xf numFmtId="0" fontId="0" fillId="3" borderId="1" xfId="0" applyNumberFormat="1" applyFill="1" applyBorder="1" applyAlignment="1">
      <alignment horizontal="center" vertical="top"/>
    </xf>
    <xf numFmtId="20" fontId="0" fillId="3" borderId="1" xfId="0" applyNumberFormat="1" applyFill="1" applyBorder="1" applyAlignment="1" applyProtection="1">
      <alignment vertical="top"/>
    </xf>
    <xf numFmtId="168" fontId="14" fillId="4" borderId="22" xfId="0" applyNumberFormat="1" applyFont="1" applyFill="1" applyBorder="1" applyAlignment="1">
      <alignment horizontal="left" vertical="top" wrapText="1" indent="1"/>
    </xf>
    <xf numFmtId="0" fontId="0" fillId="3" borderId="23" xfId="0" applyFill="1" applyBorder="1"/>
    <xf numFmtId="166" fontId="0" fillId="0" borderId="0" xfId="0" applyNumberFormat="1"/>
    <xf numFmtId="0" fontId="6" fillId="0" borderId="0" xfId="0" applyFont="1" applyBorder="1"/>
    <xf numFmtId="0" fontId="8" fillId="0" borderId="0" xfId="0" applyFont="1" applyFill="1" applyBorder="1" applyAlignment="1">
      <alignment horizontal="left"/>
    </xf>
    <xf numFmtId="0" fontId="8" fillId="0" borderId="25" xfId="0" applyNumberFormat="1" applyFont="1" applyBorder="1" applyAlignment="1">
      <alignment horizontal="center"/>
    </xf>
    <xf numFmtId="0" fontId="8" fillId="0" borderId="26" xfId="0" applyNumberFormat="1" applyFont="1" applyBorder="1" applyAlignment="1">
      <alignment horizontal="center"/>
    </xf>
    <xf numFmtId="167" fontId="8" fillId="0" borderId="27" xfId="0" applyNumberFormat="1" applyFont="1" applyBorder="1" applyAlignment="1">
      <alignment horizontal="center"/>
    </xf>
    <xf numFmtId="0" fontId="8" fillId="0" borderId="28" xfId="0" applyNumberFormat="1" applyFont="1" applyBorder="1" applyAlignment="1">
      <alignment horizontal="center"/>
    </xf>
    <xf numFmtId="0" fontId="8" fillId="0" borderId="29" xfId="0" applyNumberFormat="1" applyFont="1" applyBorder="1" applyAlignment="1">
      <alignment horizontal="center"/>
    </xf>
    <xf numFmtId="0" fontId="8" fillId="0" borderId="30" xfId="0" applyNumberFormat="1" applyFont="1" applyBorder="1" applyAlignment="1">
      <alignment horizontal="center"/>
    </xf>
    <xf numFmtId="167" fontId="8" fillId="0" borderId="31" xfId="0" applyNumberFormat="1" applyFont="1" applyBorder="1" applyAlignment="1">
      <alignment horizontal="center"/>
    </xf>
    <xf numFmtId="0" fontId="8" fillId="0" borderId="32" xfId="0" applyNumberFormat="1" applyFont="1" applyBorder="1" applyAlignment="1">
      <alignment horizontal="center"/>
    </xf>
    <xf numFmtId="2" fontId="8" fillId="0" borderId="0" xfId="0" applyNumberFormat="1" applyFont="1" applyBorder="1" applyAlignment="1">
      <alignment horizontal="center"/>
    </xf>
    <xf numFmtId="11" fontId="8" fillId="0" borderId="0" xfId="0" applyNumberFormat="1" applyFont="1" applyBorder="1" applyAlignment="1">
      <alignment horizontal="center"/>
    </xf>
    <xf numFmtId="0" fontId="8" fillId="0" borderId="33" xfId="0" applyNumberFormat="1" applyFont="1" applyBorder="1" applyAlignment="1">
      <alignment horizontal="center"/>
    </xf>
    <xf numFmtId="0" fontId="8" fillId="0" borderId="34" xfId="0" applyNumberFormat="1" applyFont="1" applyBorder="1" applyAlignment="1">
      <alignment horizontal="center"/>
    </xf>
    <xf numFmtId="2" fontId="8" fillId="0" borderId="35" xfId="0" applyNumberFormat="1" applyFont="1" applyBorder="1" applyAlignment="1">
      <alignment horizontal="center"/>
    </xf>
    <xf numFmtId="11" fontId="8" fillId="0" borderId="35" xfId="0" applyNumberFormat="1" applyFont="1" applyBorder="1" applyAlignment="1">
      <alignment horizontal="center"/>
    </xf>
    <xf numFmtId="0" fontId="8" fillId="0" borderId="36" xfId="0" applyNumberFormat="1" applyFont="1" applyBorder="1" applyAlignment="1">
      <alignment horizontal="center"/>
    </xf>
    <xf numFmtId="0" fontId="6" fillId="5" borderId="26" xfId="0" applyNumberFormat="1" applyFont="1" applyFill="1" applyBorder="1" applyAlignment="1">
      <alignment horizontal="center"/>
    </xf>
    <xf numFmtId="0" fontId="6" fillId="5" borderId="17" xfId="0" applyNumberFormat="1" applyFont="1" applyFill="1" applyBorder="1" applyAlignment="1">
      <alignment horizontal="center"/>
    </xf>
    <xf numFmtId="0" fontId="6" fillId="5" borderId="37" xfId="0" applyNumberFormat="1" applyFont="1" applyFill="1" applyBorder="1" applyAlignment="1">
      <alignment horizontal="center"/>
    </xf>
    <xf numFmtId="0" fontId="6" fillId="5" borderId="38" xfId="0" applyNumberFormat="1" applyFont="1" applyFill="1" applyBorder="1" applyAlignment="1">
      <alignment horizontal="center"/>
    </xf>
    <xf numFmtId="1" fontId="6" fillId="5" borderId="39" xfId="0" applyNumberFormat="1" applyFont="1" applyFill="1" applyBorder="1" applyAlignment="1">
      <alignment horizontal="center"/>
    </xf>
    <xf numFmtId="0" fontId="6" fillId="6" borderId="0" xfId="0" applyNumberFormat="1" applyFont="1" applyFill="1" applyBorder="1" applyAlignment="1">
      <alignment horizontal="center"/>
    </xf>
    <xf numFmtId="1" fontId="6" fillId="6" borderId="0" xfId="0" applyNumberFormat="1" applyFont="1" applyFill="1" applyBorder="1" applyAlignment="1">
      <alignment horizontal="center"/>
    </xf>
    <xf numFmtId="1" fontId="6" fillId="6" borderId="33" xfId="0" applyNumberFormat="1" applyFont="1" applyFill="1" applyBorder="1" applyAlignment="1">
      <alignment horizontal="center"/>
    </xf>
    <xf numFmtId="0" fontId="6" fillId="6" borderId="17" xfId="0" applyNumberFormat="1" applyFont="1" applyFill="1" applyBorder="1" applyAlignment="1">
      <alignment horizontal="center"/>
    </xf>
    <xf numFmtId="1" fontId="6" fillId="6" borderId="17" xfId="0" applyNumberFormat="1" applyFont="1" applyFill="1" applyBorder="1" applyAlignment="1">
      <alignment horizontal="center"/>
    </xf>
    <xf numFmtId="1" fontId="6" fillId="6" borderId="40" xfId="0" applyNumberFormat="1" applyFont="1" applyFill="1" applyBorder="1" applyAlignment="1">
      <alignment horizontal="center"/>
    </xf>
    <xf numFmtId="0" fontId="8" fillId="0" borderId="0" xfId="0" applyNumberFormat="1" applyFont="1" applyFill="1" applyBorder="1" applyAlignment="1">
      <alignment horizontal="left"/>
    </xf>
    <xf numFmtId="0" fontId="6" fillId="5" borderId="25" xfId="0" applyNumberFormat="1" applyFont="1" applyFill="1" applyBorder="1" applyAlignment="1">
      <alignment horizontal="center"/>
    </xf>
    <xf numFmtId="0" fontId="8" fillId="6" borderId="0" xfId="0" applyNumberFormat="1" applyFont="1" applyFill="1" applyBorder="1" applyAlignment="1">
      <alignment horizontal="center"/>
    </xf>
    <xf numFmtId="0" fontId="8" fillId="0" borderId="41" xfId="0" applyNumberFormat="1" applyFont="1" applyBorder="1" applyAlignment="1">
      <alignment horizontal="center"/>
    </xf>
    <xf numFmtId="167" fontId="8" fillId="0" borderId="42" xfId="0" applyNumberFormat="1" applyFont="1" applyBorder="1" applyAlignment="1">
      <alignment horizontal="center"/>
    </xf>
    <xf numFmtId="0" fontId="8" fillId="0" borderId="43" xfId="0" applyNumberFormat="1" applyFont="1" applyBorder="1" applyAlignment="1">
      <alignment horizontal="center"/>
    </xf>
    <xf numFmtId="0" fontId="8" fillId="0" borderId="44" xfId="0" applyNumberFormat="1" applyFont="1" applyBorder="1" applyAlignment="1">
      <alignment horizontal="center"/>
    </xf>
    <xf numFmtId="0" fontId="8" fillId="0" borderId="45" xfId="0" applyNumberFormat="1" applyFont="1" applyBorder="1" applyAlignment="1">
      <alignment horizontal="center"/>
    </xf>
    <xf numFmtId="167" fontId="8" fillId="0" borderId="46" xfId="0" applyNumberFormat="1" applyFont="1" applyBorder="1" applyAlignment="1">
      <alignment horizontal="center"/>
    </xf>
    <xf numFmtId="0" fontId="6" fillId="7" borderId="41" xfId="0" applyNumberFormat="1" applyFont="1" applyFill="1" applyBorder="1" applyAlignment="1">
      <alignment horizontal="center"/>
    </xf>
    <xf numFmtId="0" fontId="6" fillId="7" borderId="25" xfId="0" applyNumberFormat="1" applyFont="1" applyFill="1" applyBorder="1" applyAlignment="1">
      <alignment horizontal="center"/>
    </xf>
    <xf numFmtId="0" fontId="6" fillId="7" borderId="17" xfId="0" applyNumberFormat="1" applyFont="1" applyFill="1" applyBorder="1" applyAlignment="1">
      <alignment horizontal="center"/>
    </xf>
    <xf numFmtId="0" fontId="6" fillId="7" borderId="47" xfId="0" applyNumberFormat="1" applyFont="1" applyFill="1" applyBorder="1" applyAlignment="1">
      <alignment horizontal="center"/>
    </xf>
    <xf numFmtId="0" fontId="6" fillId="7" borderId="38" xfId="0" applyNumberFormat="1" applyFont="1" applyFill="1" applyBorder="1" applyAlignment="1">
      <alignment horizontal="center"/>
    </xf>
    <xf numFmtId="1" fontId="6" fillId="7" borderId="48" xfId="0" applyNumberFormat="1" applyFont="1" applyFill="1" applyBorder="1" applyAlignment="1">
      <alignment horizontal="center"/>
    </xf>
    <xf numFmtId="0" fontId="0" fillId="0" borderId="3" xfId="0" applyBorder="1" applyAlignment="1"/>
    <xf numFmtId="0" fontId="0" fillId="0" borderId="3" xfId="0" applyBorder="1"/>
    <xf numFmtId="0" fontId="0" fillId="0" borderId="4" xfId="0" applyBorder="1" applyAlignment="1"/>
    <xf numFmtId="0" fontId="0" fillId="0" borderId="4" xfId="0" applyBorder="1"/>
    <xf numFmtId="0" fontId="1" fillId="0" borderId="0" xfId="0" applyNumberFormat="1" applyFont="1" applyBorder="1" applyAlignment="1">
      <alignment horizontal="left"/>
    </xf>
    <xf numFmtId="0" fontId="0" fillId="0" borderId="0" xfId="0" applyBorder="1" applyAlignment="1">
      <alignment horizontal="left"/>
    </xf>
    <xf numFmtId="3" fontId="1" fillId="0" borderId="0" xfId="0" applyNumberFormat="1" applyFont="1" applyBorder="1" applyAlignment="1">
      <alignment horizontal="left"/>
    </xf>
    <xf numFmtId="0" fontId="1" fillId="0" borderId="3" xfId="0" applyNumberFormat="1" applyFont="1" applyBorder="1" applyAlignment="1">
      <alignment horizontal="left"/>
    </xf>
    <xf numFmtId="0" fontId="16" fillId="0" borderId="0" xfId="0" applyNumberFormat="1" applyFont="1" applyBorder="1" applyAlignment="1">
      <alignment horizontal="left"/>
    </xf>
    <xf numFmtId="0" fontId="16" fillId="0" borderId="0" xfId="0" applyFont="1" applyBorder="1" applyAlignment="1">
      <alignment horizontal="left"/>
    </xf>
    <xf numFmtId="3" fontId="16" fillId="0" borderId="0" xfId="0" applyNumberFormat="1" applyFont="1" applyBorder="1" applyAlignment="1">
      <alignment horizontal="left"/>
    </xf>
    <xf numFmtId="0" fontId="16" fillId="0" borderId="3" xfId="0" applyNumberFormat="1" applyFont="1" applyBorder="1" applyAlignment="1">
      <alignment horizontal="left"/>
    </xf>
    <xf numFmtId="0" fontId="19" fillId="0" borderId="0" xfId="0" applyFont="1" applyBorder="1"/>
    <xf numFmtId="0" fontId="19" fillId="0" borderId="0" xfId="0" applyFont="1"/>
    <xf numFmtId="0" fontId="20" fillId="0" borderId="0" xfId="0" applyFont="1" applyBorder="1"/>
    <xf numFmtId="0" fontId="20" fillId="0" borderId="0" xfId="0" applyFont="1"/>
    <xf numFmtId="0" fontId="1" fillId="0" borderId="0" xfId="0" applyFont="1" applyBorder="1"/>
    <xf numFmtId="0" fontId="1" fillId="0" borderId="0" xfId="0" applyFont="1"/>
    <xf numFmtId="0" fontId="0" fillId="3" borderId="21" xfId="0" applyNumberFormat="1" applyFill="1" applyBorder="1"/>
    <xf numFmtId="0" fontId="0" fillId="3" borderId="21" xfId="0" applyNumberFormat="1" applyFill="1" applyBorder="1" applyAlignment="1">
      <alignment horizontal="center"/>
    </xf>
    <xf numFmtId="0" fontId="0" fillId="3" borderId="21" xfId="0" applyFill="1" applyBorder="1" applyAlignment="1">
      <alignment horizontal="center"/>
    </xf>
    <xf numFmtId="168" fontId="0" fillId="0" borderId="0" xfId="0" applyNumberFormat="1" applyBorder="1"/>
    <xf numFmtId="0" fontId="0" fillId="0" borderId="0" xfId="0" applyNumberFormat="1" applyBorder="1" applyAlignment="1">
      <alignment horizontal="right"/>
    </xf>
    <xf numFmtId="0" fontId="0" fillId="0" borderId="0" xfId="0" applyNumberFormat="1" applyBorder="1" applyAlignment="1">
      <alignment horizontal="center"/>
    </xf>
    <xf numFmtId="2" fontId="6" fillId="0" borderId="0" xfId="0" applyNumberFormat="1" applyFont="1" applyBorder="1" applyAlignment="1">
      <alignment horizontal="center"/>
    </xf>
    <xf numFmtId="0" fontId="9" fillId="0" borderId="0" xfId="0" applyFont="1"/>
    <xf numFmtId="0" fontId="23" fillId="0" borderId="0" xfId="0" applyFont="1"/>
    <xf numFmtId="0" fontId="9" fillId="0" borderId="0" xfId="0" applyFont="1" applyAlignment="1">
      <alignment horizontal="center"/>
    </xf>
    <xf numFmtId="0" fontId="9" fillId="0" borderId="0" xfId="0" applyFont="1" applyBorder="1"/>
    <xf numFmtId="0" fontId="23" fillId="0" borderId="0" xfId="0" applyFont="1" applyBorder="1"/>
    <xf numFmtId="0" fontId="9" fillId="0" borderId="163" xfId="0" applyFont="1" applyBorder="1"/>
    <xf numFmtId="0" fontId="23" fillId="0" borderId="163" xfId="0" applyFont="1" applyBorder="1"/>
    <xf numFmtId="0" fontId="9" fillId="0" borderId="163" xfId="0" applyFont="1" applyBorder="1" applyAlignment="1">
      <alignment horizontal="center"/>
    </xf>
    <xf numFmtId="0" fontId="9" fillId="0" borderId="0" xfId="0" applyFont="1" applyBorder="1" applyAlignment="1">
      <alignment horizontal="center"/>
    </xf>
    <xf numFmtId="0" fontId="23" fillId="0" borderId="0" xfId="0" quotePrefix="1" applyFont="1" applyBorder="1" applyAlignment="1">
      <alignment horizontal="center"/>
    </xf>
    <xf numFmtId="0" fontId="23" fillId="0" borderId="0" xfId="0" applyFont="1" applyBorder="1" applyAlignment="1">
      <alignment horizontal="center"/>
    </xf>
    <xf numFmtId="167" fontId="9" fillId="0" borderId="0" xfId="0" applyNumberFormat="1" applyFont="1" applyBorder="1"/>
    <xf numFmtId="0" fontId="9" fillId="0" borderId="164" xfId="0" applyFont="1" applyBorder="1"/>
    <xf numFmtId="0" fontId="23" fillId="0" borderId="164" xfId="0" applyFont="1" applyBorder="1"/>
    <xf numFmtId="0" fontId="9" fillId="0" borderId="164" xfId="0" applyFont="1" applyBorder="1" applyAlignment="1">
      <alignment horizontal="center"/>
    </xf>
    <xf numFmtId="167" fontId="9" fillId="0" borderId="164" xfId="0" applyNumberFormat="1" applyFont="1" applyBorder="1"/>
    <xf numFmtId="0" fontId="9" fillId="0" borderId="165" xfId="0" applyFont="1" applyBorder="1"/>
    <xf numFmtId="0" fontId="23" fillId="0" borderId="165" xfId="0" applyFont="1" applyBorder="1"/>
    <xf numFmtId="0" fontId="9" fillId="0" borderId="165" xfId="0" applyFont="1" applyBorder="1" applyAlignment="1">
      <alignment horizontal="center"/>
    </xf>
    <xf numFmtId="0" fontId="9" fillId="0" borderId="166" xfId="0" applyFont="1" applyBorder="1"/>
    <xf numFmtId="0" fontId="23" fillId="0" borderId="166" xfId="0" applyFont="1" applyBorder="1"/>
    <xf numFmtId="0" fontId="9" fillId="0" borderId="166" xfId="0" applyFont="1" applyBorder="1" applyAlignment="1">
      <alignment horizontal="center"/>
    </xf>
    <xf numFmtId="167" fontId="9" fillId="0" borderId="166" xfId="0" applyNumberFormat="1" applyFont="1" applyBorder="1"/>
    <xf numFmtId="0" fontId="27" fillId="0" borderId="0" xfId="0" applyNumberFormat="1" applyFont="1" applyBorder="1" applyAlignment="1"/>
    <xf numFmtId="3" fontId="27" fillId="0" borderId="0" xfId="0" applyNumberFormat="1" applyFont="1" applyBorder="1" applyAlignment="1"/>
    <xf numFmtId="0" fontId="27" fillId="0" borderId="0" xfId="0" applyFont="1" applyBorder="1"/>
    <xf numFmtId="2" fontId="27" fillId="0" borderId="0" xfId="0" applyNumberFormat="1" applyFont="1" applyBorder="1" applyAlignment="1"/>
    <xf numFmtId="0" fontId="27" fillId="0" borderId="4" xfId="0" applyNumberFormat="1" applyFont="1" applyBorder="1" applyAlignment="1">
      <alignment horizontal="left"/>
    </xf>
    <xf numFmtId="11" fontId="27" fillId="0" borderId="0" xfId="0" applyNumberFormat="1" applyFont="1" applyBorder="1" applyAlignment="1">
      <alignment horizontal="left"/>
    </xf>
    <xf numFmtId="0" fontId="27" fillId="0" borderId="0" xfId="0" applyFont="1" applyBorder="1" applyAlignment="1">
      <alignment horizontal="left"/>
    </xf>
    <xf numFmtId="0" fontId="27" fillId="0" borderId="0" xfId="0" applyNumberFormat="1" applyFont="1" applyBorder="1" applyAlignment="1">
      <alignment horizontal="left"/>
    </xf>
    <xf numFmtId="0" fontId="27" fillId="0" borderId="3" xfId="0" applyNumberFormat="1" applyFont="1" applyBorder="1" applyAlignment="1">
      <alignment horizontal="left"/>
    </xf>
    <xf numFmtId="0" fontId="27" fillId="0" borderId="0" xfId="0" applyFont="1" applyBorder="1" applyAlignment="1"/>
    <xf numFmtId="0" fontId="27" fillId="0" borderId="3" xfId="0" applyNumberFormat="1" applyFont="1" applyBorder="1" applyAlignment="1"/>
    <xf numFmtId="0" fontId="27" fillId="0" borderId="4" xfId="0" applyFont="1" applyBorder="1" applyAlignment="1"/>
    <xf numFmtId="11" fontId="27" fillId="0" borderId="0" xfId="0" applyNumberFormat="1" applyFont="1" applyBorder="1" applyAlignment="1"/>
    <xf numFmtId="11" fontId="27" fillId="0" borderId="0" xfId="0" applyNumberFormat="1" applyFont="1" applyBorder="1" applyAlignment="1">
      <alignment horizontal="left" indent="1"/>
    </xf>
    <xf numFmtId="0" fontId="27" fillId="0" borderId="3" xfId="0" applyFont="1" applyBorder="1" applyAlignment="1"/>
    <xf numFmtId="0" fontId="27" fillId="0" borderId="4" xfId="0" applyNumberFormat="1" applyFont="1" applyBorder="1" applyAlignment="1"/>
    <xf numFmtId="0" fontId="27" fillId="0" borderId="0" xfId="0" applyNumberFormat="1" applyFont="1" applyBorder="1" applyAlignment="1">
      <alignment horizontal="left" indent="1"/>
    </xf>
    <xf numFmtId="3" fontId="27" fillId="0" borderId="0" xfId="0" applyNumberFormat="1" applyFont="1" applyBorder="1" applyAlignment="1">
      <alignment horizontal="left" indent="1"/>
    </xf>
    <xf numFmtId="0" fontId="27" fillId="0" borderId="4" xfId="0" applyFont="1" applyBorder="1"/>
    <xf numFmtId="0" fontId="27" fillId="0" borderId="0" xfId="0" applyFont="1" applyBorder="1" applyAlignment="1">
      <alignment horizontal="center"/>
    </xf>
    <xf numFmtId="0" fontId="27" fillId="0" borderId="4" xfId="0" applyFont="1" applyBorder="1" applyAlignment="1">
      <alignment horizontal="left" vertical="top" wrapText="1" indent="1"/>
    </xf>
    <xf numFmtId="1" fontId="27" fillId="0" borderId="0" xfId="0" applyNumberFormat="1" applyFont="1" applyFill="1" applyBorder="1" applyAlignment="1">
      <alignment horizontal="center"/>
    </xf>
    <xf numFmtId="1" fontId="27" fillId="0" borderId="17"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49" xfId="0" applyFont="1" applyBorder="1"/>
    <xf numFmtId="0" fontId="27" fillId="0" borderId="50" xfId="0" applyFont="1" applyBorder="1"/>
    <xf numFmtId="0" fontId="27" fillId="0" borderId="51" xfId="0" applyNumberFormat="1" applyFont="1" applyFill="1" applyBorder="1" applyAlignment="1">
      <alignment horizontal="center"/>
    </xf>
    <xf numFmtId="0" fontId="27" fillId="0" borderId="52" xfId="0" applyFont="1" applyBorder="1"/>
    <xf numFmtId="0" fontId="27" fillId="0" borderId="0" xfId="0" applyFont="1" applyBorder="1" applyAlignment="1">
      <alignment horizontal="left" vertical="top" indent="1"/>
    </xf>
    <xf numFmtId="0" fontId="27" fillId="0" borderId="3" xfId="0" applyFont="1" applyBorder="1" applyAlignment="1">
      <alignment horizontal="left" vertical="top" indent="1"/>
    </xf>
    <xf numFmtId="0" fontId="27" fillId="0" borderId="17" xfId="0" applyFont="1" applyBorder="1"/>
    <xf numFmtId="11" fontId="27" fillId="0" borderId="0" xfId="0" applyNumberFormat="1" applyFont="1" applyBorder="1"/>
    <xf numFmtId="3" fontId="27" fillId="0" borderId="0" xfId="0" applyNumberFormat="1" applyFont="1" applyBorder="1" applyAlignment="1">
      <alignment horizontal="left"/>
    </xf>
    <xf numFmtId="0" fontId="27" fillId="0" borderId="0" xfId="0" applyFont="1" applyBorder="1" applyAlignment="1">
      <alignment horizontal="left" wrapText="1" indent="1"/>
    </xf>
    <xf numFmtId="0" fontId="27" fillId="0" borderId="0" xfId="0" applyFont="1" applyBorder="1" applyAlignment="1">
      <alignment horizontal="left" vertical="top" wrapText="1" indent="1"/>
    </xf>
    <xf numFmtId="0" fontId="27" fillId="0" borderId="3" xfId="0" applyFont="1" applyBorder="1" applyAlignment="1">
      <alignment horizontal="left" vertical="top" wrapText="1" indent="1"/>
    </xf>
    <xf numFmtId="1" fontId="1" fillId="0" borderId="3" xfId="0" applyNumberFormat="1" applyFont="1" applyBorder="1"/>
    <xf numFmtId="1" fontId="19" fillId="0" borderId="4" xfId="0" applyNumberFormat="1" applyFont="1" applyBorder="1"/>
    <xf numFmtId="0" fontId="19" fillId="0" borderId="0" xfId="0" applyNumberFormat="1" applyFont="1" applyBorder="1" applyAlignment="1"/>
    <xf numFmtId="1" fontId="1" fillId="0" borderId="4" xfId="0" applyNumberFormat="1" applyFont="1" applyBorder="1"/>
    <xf numFmtId="0" fontId="1" fillId="0" borderId="4" xfId="0" applyNumberFormat="1" applyFont="1" applyBorder="1" applyAlignment="1">
      <alignment horizontal="left"/>
    </xf>
    <xf numFmtId="0" fontId="27" fillId="0" borderId="4" xfId="0" applyFont="1" applyBorder="1" applyAlignment="1">
      <alignment horizontal="left" wrapText="1" indent="1"/>
    </xf>
    <xf numFmtId="0" fontId="27" fillId="0" borderId="4" xfId="0" applyFont="1" applyBorder="1" applyAlignment="1">
      <alignment horizontal="left" vertical="top" indent="1"/>
    </xf>
    <xf numFmtId="0" fontId="16" fillId="0" borderId="4" xfId="0" applyNumberFormat="1" applyFont="1" applyBorder="1" applyAlignment="1">
      <alignment horizontal="left"/>
    </xf>
    <xf numFmtId="0" fontId="8" fillId="0" borderId="4" xfId="0" applyFont="1" applyBorder="1" applyAlignment="1">
      <alignment horizontal="left" indent="1"/>
    </xf>
    <xf numFmtId="0" fontId="8" fillId="0" borderId="0" xfId="0" applyFont="1" applyBorder="1" applyAlignment="1">
      <alignment horizontal="left" indent="1"/>
    </xf>
    <xf numFmtId="0" fontId="6" fillId="0" borderId="0" xfId="0" applyNumberFormat="1" applyFont="1" applyBorder="1" applyAlignment="1">
      <alignment horizontal="center"/>
    </xf>
    <xf numFmtId="167" fontId="27" fillId="0" borderId="0" xfId="0" applyNumberFormat="1" applyFont="1" applyBorder="1" applyAlignment="1">
      <alignment horizontal="left"/>
    </xf>
    <xf numFmtId="2" fontId="6" fillId="0" borderId="17" xfId="0" applyNumberFormat="1" applyFont="1" applyBorder="1" applyAlignment="1">
      <alignment horizontal="center"/>
    </xf>
    <xf numFmtId="0" fontId="27" fillId="0" borderId="0" xfId="0" applyNumberFormat="1" applyFont="1" applyAlignment="1"/>
    <xf numFmtId="0" fontId="13" fillId="0" borderId="0" xfId="0" applyNumberFormat="1" applyFont="1" applyAlignment="1"/>
    <xf numFmtId="0" fontId="13" fillId="0" borderId="0" xfId="0" applyNumberFormat="1" applyFont="1" applyAlignment="1">
      <alignment horizontal="center"/>
    </xf>
    <xf numFmtId="1" fontId="13" fillId="0" borderId="0" xfId="0" applyNumberFormat="1" applyFont="1" applyAlignment="1">
      <alignment horizontal="center"/>
    </xf>
    <xf numFmtId="11" fontId="27" fillId="0" borderId="0" xfId="0" applyNumberFormat="1" applyFont="1" applyAlignment="1"/>
    <xf numFmtId="9" fontId="13" fillId="0" borderId="0" xfId="0" applyNumberFormat="1" applyFont="1" applyAlignment="1"/>
    <xf numFmtId="0" fontId="13" fillId="0" borderId="0" xfId="0" applyNumberFormat="1" applyFont="1" applyAlignment="1">
      <alignment horizontal="right"/>
    </xf>
    <xf numFmtId="0" fontId="0" fillId="2" borderId="53" xfId="0" applyFill="1" applyBorder="1"/>
    <xf numFmtId="0" fontId="6" fillId="2" borderId="54" xfId="0" applyFont="1" applyFill="1" applyBorder="1" applyAlignment="1">
      <alignment horizontal="center"/>
    </xf>
    <xf numFmtId="0" fontId="13" fillId="2" borderId="55" xfId="0" applyFont="1" applyFill="1" applyBorder="1" applyAlignment="1">
      <alignment horizontal="center"/>
    </xf>
    <xf numFmtId="0" fontId="0" fillId="3" borderId="167" xfId="0" applyFill="1" applyBorder="1" applyAlignment="1">
      <alignment horizontal="right" vertical="top"/>
    </xf>
    <xf numFmtId="0" fontId="0" fillId="2" borderId="168" xfId="0" applyFill="1" applyBorder="1"/>
    <xf numFmtId="0" fontId="6" fillId="2" borderId="169" xfId="0" applyFont="1" applyFill="1" applyBorder="1" applyAlignment="1">
      <alignment horizontal="center"/>
    </xf>
    <xf numFmtId="0" fontId="13" fillId="2" borderId="170" xfId="0" applyFont="1" applyFill="1" applyBorder="1" applyAlignment="1">
      <alignment horizontal="center"/>
    </xf>
    <xf numFmtId="167" fontId="0" fillId="3" borderId="171" xfId="0" applyNumberFormat="1" applyFill="1" applyBorder="1" applyAlignment="1">
      <alignment horizontal="right" vertical="top"/>
    </xf>
    <xf numFmtId="167" fontId="0" fillId="3" borderId="22" xfId="0" applyNumberFormat="1" applyFill="1" applyBorder="1" applyAlignment="1">
      <alignment horizontal="right" vertical="top"/>
    </xf>
    <xf numFmtId="167" fontId="0" fillId="3" borderId="59" xfId="0" applyNumberFormat="1" applyFill="1" applyBorder="1" applyAlignment="1">
      <alignment horizontal="right" vertical="top"/>
    </xf>
    <xf numFmtId="0" fontId="0" fillId="2" borderId="60" xfId="0" applyFill="1" applyBorder="1"/>
    <xf numFmtId="0" fontId="6" fillId="2" borderId="61" xfId="0" applyFont="1" applyFill="1" applyBorder="1" applyAlignment="1">
      <alignment horizontal="center"/>
    </xf>
    <xf numFmtId="0" fontId="13" fillId="2" borderId="62" xfId="0" applyFont="1" applyFill="1" applyBorder="1" applyAlignment="1">
      <alignment horizontal="center"/>
    </xf>
    <xf numFmtId="167" fontId="0" fillId="3" borderId="63" xfId="0" applyNumberFormat="1" applyFill="1" applyBorder="1"/>
    <xf numFmtId="0" fontId="0" fillId="0" borderId="64" xfId="0"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0" xfId="0" applyBorder="1" applyAlignment="1">
      <alignment horizontal="left" vertical="top"/>
    </xf>
    <xf numFmtId="0" fontId="1" fillId="0" borderId="0" xfId="0" applyNumberFormat="1" applyFont="1" applyAlignment="1">
      <alignment horizontal="left" vertical="top" wrapText="1"/>
    </xf>
    <xf numFmtId="0" fontId="8" fillId="0" borderId="0" xfId="0" applyFont="1" applyBorder="1" applyAlignment="1">
      <alignment horizontal="left" vertical="top" wrapText="1"/>
    </xf>
    <xf numFmtId="0" fontId="8" fillId="0" borderId="0" xfId="0" applyFont="1" applyAlignment="1">
      <alignment horizontal="left" vertical="top"/>
    </xf>
    <xf numFmtId="0" fontId="0" fillId="0" borderId="0" xfId="0" applyBorder="1" applyAlignment="1">
      <alignment vertical="top"/>
    </xf>
    <xf numFmtId="2" fontId="0" fillId="0" borderId="0" xfId="0" applyNumberFormat="1" applyBorder="1" applyAlignment="1">
      <alignment vertical="top"/>
    </xf>
    <xf numFmtId="0" fontId="0" fillId="0" borderId="0" xfId="0" applyAlignment="1">
      <alignment vertical="top"/>
    </xf>
    <xf numFmtId="0" fontId="10" fillId="0" borderId="0" xfId="0" applyFont="1" applyBorder="1" applyAlignment="1">
      <alignment vertical="top"/>
    </xf>
    <xf numFmtId="2" fontId="3" fillId="9" borderId="2" xfId="0" applyNumberFormat="1" applyFont="1" applyFill="1" applyBorder="1" applyAlignment="1"/>
    <xf numFmtId="1" fontId="1" fillId="0" borderId="0" xfId="0" applyNumberFormat="1" applyFont="1" applyBorder="1"/>
    <xf numFmtId="0" fontId="3" fillId="0" borderId="0" xfId="0" applyNumberFormat="1" applyFont="1" applyBorder="1" applyAlignment="1"/>
    <xf numFmtId="1" fontId="3" fillId="0" borderId="172" xfId="0" applyNumberFormat="1" applyFont="1" applyBorder="1" applyAlignment="1">
      <alignment horizontal="center"/>
    </xf>
    <xf numFmtId="1" fontId="3" fillId="0" borderId="173" xfId="0" applyNumberFormat="1" applyFont="1" applyBorder="1" applyAlignment="1">
      <alignment horizontal="center"/>
    </xf>
    <xf numFmtId="0" fontId="3" fillId="0" borderId="174" xfId="0" applyNumberFormat="1" applyFont="1" applyBorder="1" applyAlignment="1">
      <alignment horizontal="center"/>
    </xf>
    <xf numFmtId="166" fontId="1" fillId="0" borderId="173" xfId="0" applyNumberFormat="1" applyFont="1" applyBorder="1"/>
    <xf numFmtId="0" fontId="1" fillId="0" borderId="173" xfId="0" applyNumberFormat="1" applyFont="1" applyBorder="1" applyAlignment="1"/>
    <xf numFmtId="0" fontId="3" fillId="9" borderId="175" xfId="0" applyNumberFormat="1" applyFont="1" applyFill="1" applyBorder="1" applyAlignment="1">
      <alignment horizontal="center"/>
    </xf>
    <xf numFmtId="0" fontId="6" fillId="0" borderId="174" xfId="0" applyNumberFormat="1" applyFont="1" applyBorder="1" applyAlignment="1">
      <alignment horizontal="center"/>
    </xf>
    <xf numFmtId="0" fontId="1" fillId="0" borderId="176" xfId="0" applyNumberFormat="1" applyFont="1" applyBorder="1" applyAlignment="1"/>
    <xf numFmtId="0" fontId="1" fillId="0" borderId="166" xfId="0" applyNumberFormat="1" applyFont="1" applyBorder="1" applyAlignment="1"/>
    <xf numFmtId="0" fontId="1" fillId="0" borderId="177" xfId="0" applyNumberFormat="1" applyFont="1" applyBorder="1" applyAlignment="1"/>
    <xf numFmtId="0" fontId="3" fillId="0" borderId="178" xfId="0" applyNumberFormat="1" applyFont="1" applyBorder="1" applyAlignment="1">
      <alignment horizontal="center"/>
    </xf>
    <xf numFmtId="0" fontId="2" fillId="0" borderId="178" xfId="0" applyNumberFormat="1" applyFont="1" applyBorder="1" applyAlignment="1">
      <alignment horizontal="center"/>
    </xf>
    <xf numFmtId="0" fontId="3" fillId="0" borderId="25" xfId="0" applyNumberFormat="1" applyFont="1" applyBorder="1" applyAlignment="1">
      <alignment horizontal="center"/>
    </xf>
    <xf numFmtId="1" fontId="1" fillId="0" borderId="25" xfId="0" applyNumberFormat="1" applyFont="1" applyFill="1" applyBorder="1" applyAlignment="1"/>
    <xf numFmtId="0" fontId="3" fillId="0" borderId="179" xfId="0" applyNumberFormat="1" applyFont="1" applyBorder="1" applyAlignment="1">
      <alignment horizontal="center"/>
    </xf>
    <xf numFmtId="1" fontId="3" fillId="0" borderId="179" xfId="0" applyNumberFormat="1" applyFont="1" applyBorder="1" applyAlignment="1">
      <alignment horizontal="center"/>
    </xf>
    <xf numFmtId="1" fontId="3" fillId="0" borderId="25" xfId="0" applyNumberFormat="1" applyFont="1" applyBorder="1" applyAlignment="1">
      <alignment horizontal="center"/>
    </xf>
    <xf numFmtId="0" fontId="1" fillId="0" borderId="25" xfId="0" applyNumberFormat="1" applyFont="1" applyBorder="1" applyAlignment="1"/>
    <xf numFmtId="1" fontId="1" fillId="0" borderId="25" xfId="0" applyNumberFormat="1" applyFont="1" applyBorder="1"/>
    <xf numFmtId="1" fontId="1" fillId="0" borderId="70" xfId="0" applyNumberFormat="1" applyFont="1" applyBorder="1"/>
    <xf numFmtId="0" fontId="1" fillId="0" borderId="180" xfId="0" applyNumberFormat="1" applyFont="1" applyBorder="1" applyAlignment="1"/>
    <xf numFmtId="0" fontId="3" fillId="0" borderId="71" xfId="0" applyNumberFormat="1" applyFont="1" applyBorder="1" applyAlignment="1">
      <alignment horizontal="center"/>
    </xf>
    <xf numFmtId="0" fontId="7" fillId="0" borderId="181" xfId="0" applyNumberFormat="1" applyFont="1" applyBorder="1" applyAlignment="1"/>
    <xf numFmtId="0" fontId="1" fillId="0" borderId="182" xfId="0" applyNumberFormat="1" applyFont="1" applyBorder="1" applyAlignment="1"/>
    <xf numFmtId="0" fontId="1" fillId="0" borderId="183" xfId="0" applyNumberFormat="1" applyFont="1" applyBorder="1" applyAlignment="1"/>
    <xf numFmtId="0" fontId="1" fillId="0" borderId="25" xfId="0" applyNumberFormat="1" applyFont="1" applyFill="1" applyBorder="1" applyAlignment="1"/>
    <xf numFmtId="0" fontId="3" fillId="10" borderId="184" xfId="0" applyNumberFormat="1" applyFont="1" applyFill="1" applyBorder="1" applyAlignment="1">
      <alignment horizontal="center"/>
    </xf>
    <xf numFmtId="0" fontId="3" fillId="10" borderId="72" xfId="0" applyNumberFormat="1" applyFont="1" applyFill="1" applyBorder="1" applyAlignment="1"/>
    <xf numFmtId="0" fontId="3" fillId="0" borderId="0" xfId="0" applyFont="1"/>
    <xf numFmtId="0" fontId="3" fillId="0" borderId="0" xfId="0" applyFont="1" applyBorder="1"/>
    <xf numFmtId="0" fontId="3" fillId="0" borderId="0" xfId="0" applyFont="1" applyFill="1" applyBorder="1" applyAlignment="1">
      <alignment horizontal="center"/>
    </xf>
    <xf numFmtId="0" fontId="3" fillId="0" borderId="0" xfId="0" applyFont="1" applyBorder="1" applyAlignment="1">
      <alignment horizontal="center"/>
    </xf>
    <xf numFmtId="166" fontId="3" fillId="0" borderId="0" xfId="0" applyNumberFormat="1" applyFont="1" applyAlignment="1">
      <alignment horizontal="center"/>
    </xf>
    <xf numFmtId="1" fontId="0" fillId="0" borderId="0" xfId="0" applyNumberFormat="1"/>
    <xf numFmtId="2" fontId="1" fillId="0" borderId="0" xfId="0" applyNumberFormat="1" applyFont="1"/>
    <xf numFmtId="167" fontId="45" fillId="0" borderId="0" xfId="0" applyNumberFormat="1" applyFont="1"/>
    <xf numFmtId="0" fontId="45" fillId="0" borderId="0" xfId="0" applyFont="1"/>
    <xf numFmtId="0" fontId="0" fillId="0" borderId="0" xfId="0" applyFill="1" applyBorder="1"/>
    <xf numFmtId="0" fontId="6" fillId="0" borderId="0" xfId="0" applyFont="1" applyFill="1" applyAlignment="1">
      <alignment horizontal="center"/>
    </xf>
    <xf numFmtId="0" fontId="6" fillId="0" borderId="0" xfId="0" applyFont="1" applyFill="1" applyBorder="1" applyAlignment="1">
      <alignment horizontal="center"/>
    </xf>
    <xf numFmtId="0" fontId="0" fillId="0" borderId="0" xfId="0" applyFill="1" applyBorder="1" applyAlignment="1">
      <alignment horizontal="center"/>
    </xf>
    <xf numFmtId="0" fontId="0" fillId="3" borderId="185" xfId="0" applyFill="1" applyBorder="1"/>
    <xf numFmtId="0" fontId="0" fillId="3" borderId="186" xfId="0" applyFill="1" applyBorder="1"/>
    <xf numFmtId="0" fontId="0" fillId="0" borderId="187" xfId="0" applyFill="1" applyBorder="1" applyAlignment="1">
      <alignment horizontal="center"/>
    </xf>
    <xf numFmtId="0" fontId="0" fillId="0" borderId="188" xfId="0" applyFill="1" applyBorder="1" applyAlignment="1">
      <alignment horizontal="center"/>
    </xf>
    <xf numFmtId="0" fontId="0" fillId="11" borderId="0" xfId="0" applyFill="1"/>
    <xf numFmtId="0" fontId="0" fillId="0" borderId="189" xfId="0" applyBorder="1"/>
    <xf numFmtId="0" fontId="3" fillId="0" borderId="0" xfId="0" applyFont="1" applyAlignment="1">
      <alignment horizontal="right"/>
    </xf>
    <xf numFmtId="0" fontId="0" fillId="0" borderId="0" xfId="0" applyAlignment="1">
      <alignment vertical="center"/>
    </xf>
    <xf numFmtId="0" fontId="0" fillId="0" borderId="190" xfId="0" applyBorder="1"/>
    <xf numFmtId="0" fontId="0" fillId="0" borderId="191" xfId="0" applyBorder="1"/>
    <xf numFmtId="0" fontId="0" fillId="0" borderId="191" xfId="0" applyBorder="1" applyAlignment="1">
      <alignment vertical="center"/>
    </xf>
    <xf numFmtId="0" fontId="0" fillId="0" borderId="192" xfId="0" applyBorder="1"/>
    <xf numFmtId="0" fontId="0" fillId="0" borderId="193" xfId="0" applyBorder="1"/>
    <xf numFmtId="0" fontId="0" fillId="0" borderId="194" xfId="0" applyBorder="1"/>
    <xf numFmtId="0" fontId="0" fillId="0" borderId="195" xfId="0" applyBorder="1"/>
    <xf numFmtId="0" fontId="11" fillId="0" borderId="195" xfId="1" applyBorder="1" applyAlignment="1" applyProtection="1"/>
    <xf numFmtId="0" fontId="0" fillId="0" borderId="196" xfId="0" applyBorder="1"/>
    <xf numFmtId="0" fontId="0" fillId="0" borderId="197" xfId="0" applyBorder="1"/>
    <xf numFmtId="0" fontId="0" fillId="0" borderId="198" xfId="0" applyBorder="1"/>
    <xf numFmtId="0" fontId="0" fillId="0" borderId="199" xfId="0" applyBorder="1"/>
    <xf numFmtId="0" fontId="0" fillId="0" borderId="200" xfId="0" applyBorder="1"/>
    <xf numFmtId="0" fontId="0" fillId="0" borderId="201" xfId="0" applyBorder="1"/>
    <xf numFmtId="0" fontId="0" fillId="0" borderId="194" xfId="0" applyBorder="1" applyAlignment="1">
      <alignment vertical="center"/>
    </xf>
    <xf numFmtId="0" fontId="0" fillId="0" borderId="195" xfId="0" applyBorder="1" applyAlignment="1">
      <alignment vertical="center"/>
    </xf>
    <xf numFmtId="0" fontId="14" fillId="0" borderId="0" xfId="0" applyFont="1"/>
    <xf numFmtId="0" fontId="1" fillId="0" borderId="0" xfId="0" applyNumberFormat="1" applyFont="1" applyBorder="1" applyAlignment="1">
      <alignment horizontal="left" vertical="top" wrapText="1"/>
    </xf>
    <xf numFmtId="0" fontId="11" fillId="0" borderId="194" xfId="1" applyBorder="1" applyAlignment="1" applyProtection="1"/>
    <xf numFmtId="0" fontId="46" fillId="12" borderId="202" xfId="0" applyFont="1" applyFill="1" applyBorder="1"/>
    <xf numFmtId="0" fontId="46" fillId="12" borderId="203" xfId="0" applyFont="1" applyFill="1" applyBorder="1" applyAlignment="1">
      <alignment horizontal="center" vertical="top"/>
    </xf>
    <xf numFmtId="0" fontId="46" fillId="12" borderId="204" xfId="0" applyFont="1" applyFill="1" applyBorder="1"/>
    <xf numFmtId="0" fontId="0" fillId="0" borderId="191" xfId="0" applyBorder="1" applyAlignment="1">
      <alignment horizontal="center"/>
    </xf>
    <xf numFmtId="0" fontId="14" fillId="0" borderId="200" xfId="0" applyFont="1" applyBorder="1"/>
    <xf numFmtId="0" fontId="14" fillId="0" borderId="198" xfId="0" applyFont="1" applyBorder="1"/>
    <xf numFmtId="0" fontId="0" fillId="0" borderId="205" xfId="0" applyBorder="1"/>
    <xf numFmtId="0" fontId="0" fillId="0" borderId="206" xfId="0" applyBorder="1"/>
    <xf numFmtId="0" fontId="3" fillId="0" borderId="207" xfId="0" applyFont="1" applyBorder="1" applyAlignment="1">
      <alignment horizontal="center"/>
    </xf>
    <xf numFmtId="0" fontId="3" fillId="0" borderId="208" xfId="0" applyFont="1" applyBorder="1" applyAlignment="1">
      <alignment horizontal="center"/>
    </xf>
    <xf numFmtId="0" fontId="13" fillId="0" borderId="207" xfId="0" applyFont="1" applyBorder="1" applyAlignment="1">
      <alignment horizontal="left" indent="1"/>
    </xf>
    <xf numFmtId="0" fontId="14" fillId="0" borderId="208" xfId="0" applyFont="1" applyBorder="1" applyAlignment="1">
      <alignment horizontal="left" indent="1"/>
    </xf>
    <xf numFmtId="0" fontId="14" fillId="0" borderId="207" xfId="0" applyFont="1" applyBorder="1" applyAlignment="1">
      <alignment horizontal="left" indent="1"/>
    </xf>
    <xf numFmtId="0" fontId="14" fillId="0" borderId="210" xfId="0" applyFont="1" applyBorder="1" applyAlignment="1">
      <alignment horizontal="left" indent="1"/>
    </xf>
    <xf numFmtId="0" fontId="13" fillId="0" borderId="208" xfId="0" applyFont="1" applyBorder="1" applyAlignment="1">
      <alignment horizontal="left" indent="1"/>
    </xf>
    <xf numFmtId="0" fontId="14" fillId="0" borderId="208" xfId="0" applyFont="1" applyBorder="1" applyAlignment="1">
      <alignment horizontal="left" wrapText="1" indent="1"/>
    </xf>
    <xf numFmtId="0" fontId="14" fillId="0" borderId="195" xfId="0" applyFont="1" applyBorder="1" applyAlignment="1"/>
    <xf numFmtId="0" fontId="1" fillId="0" borderId="0" xfId="0" applyFont="1" applyAlignment="1">
      <alignment horizontal="right"/>
    </xf>
    <xf numFmtId="0" fontId="0" fillId="0" borderId="0" xfId="0" applyFill="1" applyBorder="1" applyAlignment="1">
      <alignment horizontal="right"/>
    </xf>
    <xf numFmtId="0" fontId="11" fillId="0" borderId="0" xfId="1" applyNumberFormat="1" applyBorder="1" applyAlignment="1" applyProtection="1"/>
    <xf numFmtId="0" fontId="0" fillId="10" borderId="73" xfId="0" applyFill="1" applyBorder="1" applyAlignment="1">
      <alignment horizontal="center"/>
    </xf>
    <xf numFmtId="0" fontId="3" fillId="2" borderId="10" xfId="0" applyFont="1" applyFill="1" applyBorder="1" applyAlignment="1">
      <alignment horizontal="center"/>
    </xf>
    <xf numFmtId="0" fontId="0" fillId="10" borderId="12" xfId="0" applyFill="1" applyBorder="1"/>
    <xf numFmtId="0" fontId="0" fillId="10" borderId="12" xfId="0" applyNumberFormat="1" applyFill="1" applyBorder="1"/>
    <xf numFmtId="0" fontId="0" fillId="10" borderId="12" xfId="0" applyNumberFormat="1" applyFill="1" applyBorder="1" applyAlignment="1">
      <alignment horizontal="center"/>
    </xf>
    <xf numFmtId="168" fontId="14" fillId="13" borderId="22" xfId="0" applyNumberFormat="1" applyFont="1" applyFill="1" applyBorder="1" applyAlignment="1">
      <alignment horizontal="left" vertical="top" wrapText="1" indent="1"/>
    </xf>
    <xf numFmtId="170" fontId="46" fillId="12" borderId="211" xfId="0" applyNumberFormat="1" applyFont="1" applyFill="1" applyBorder="1" applyAlignment="1">
      <alignment horizontal="right"/>
    </xf>
    <xf numFmtId="0" fontId="45" fillId="0" borderId="0" xfId="0" applyFont="1" applyAlignment="1"/>
    <xf numFmtId="9" fontId="0" fillId="0" borderId="0" xfId="0" applyNumberFormat="1"/>
    <xf numFmtId="0" fontId="1" fillId="0" borderId="212" xfId="0" applyFont="1" applyBorder="1"/>
    <xf numFmtId="0" fontId="1" fillId="0" borderId="195" xfId="0" applyFont="1" applyBorder="1"/>
    <xf numFmtId="0" fontId="3" fillId="0" borderId="213" xfId="0" applyFont="1" applyBorder="1" applyAlignment="1">
      <alignment horizontal="center" vertical="center"/>
    </xf>
    <xf numFmtId="0" fontId="3" fillId="0" borderId="214" xfId="0" applyFont="1" applyBorder="1"/>
    <xf numFmtId="0" fontId="1" fillId="0" borderId="196" xfId="0" applyFont="1" applyBorder="1"/>
    <xf numFmtId="0" fontId="1" fillId="0" borderId="0" xfId="0" applyFont="1" applyFill="1"/>
    <xf numFmtId="0" fontId="45" fillId="0" borderId="0" xfId="0" applyFont="1" applyAlignment="1">
      <alignment horizontal="left"/>
    </xf>
    <xf numFmtId="0" fontId="45" fillId="0" borderId="0" xfId="0" applyFont="1" applyAlignment="1">
      <alignment horizontal="left" indent="1"/>
    </xf>
    <xf numFmtId="0" fontId="1" fillId="0" borderId="205" xfId="0" applyFont="1" applyBorder="1"/>
    <xf numFmtId="0" fontId="1" fillId="0" borderId="206" xfId="0" applyFont="1" applyBorder="1"/>
    <xf numFmtId="0" fontId="1" fillId="0" borderId="200" xfId="0" applyFont="1" applyBorder="1"/>
    <xf numFmtId="0" fontId="1" fillId="0" borderId="191" xfId="0" applyFont="1" applyBorder="1"/>
    <xf numFmtId="0" fontId="1" fillId="0" borderId="194" xfId="0" applyFont="1" applyBorder="1"/>
    <xf numFmtId="0" fontId="1" fillId="0" borderId="198" xfId="0" applyFont="1" applyBorder="1"/>
    <xf numFmtId="0" fontId="18" fillId="0" borderId="212" xfId="0" applyFont="1" applyBorder="1"/>
    <xf numFmtId="0" fontId="1" fillId="0" borderId="199" xfId="0" applyFont="1" applyBorder="1"/>
    <xf numFmtId="0" fontId="14" fillId="0" borderId="194" xfId="0" applyFont="1" applyBorder="1"/>
    <xf numFmtId="0" fontId="14" fillId="0" borderId="212" xfId="0" applyFont="1" applyBorder="1"/>
    <xf numFmtId="0" fontId="14" fillId="0" borderId="212" xfId="0" applyFont="1" applyBorder="1" applyAlignment="1">
      <alignment horizontal="right"/>
    </xf>
    <xf numFmtId="0" fontId="14" fillId="0" borderId="196" xfId="0" applyFont="1" applyBorder="1"/>
    <xf numFmtId="0" fontId="14" fillId="0" borderId="195" xfId="0" applyFont="1" applyBorder="1"/>
    <xf numFmtId="0" fontId="14" fillId="0" borderId="195" xfId="0" applyFont="1" applyBorder="1" applyAlignment="1">
      <alignment horizontal="right"/>
    </xf>
    <xf numFmtId="0" fontId="14" fillId="0" borderId="198" xfId="0" applyFont="1" applyBorder="1" applyAlignment="1">
      <alignment horizontal="right"/>
    </xf>
    <xf numFmtId="2" fontId="14" fillId="11" borderId="215" xfId="0" applyNumberFormat="1" applyFont="1" applyFill="1" applyBorder="1" applyAlignment="1">
      <alignment horizontal="right"/>
    </xf>
    <xf numFmtId="2" fontId="14" fillId="11" borderId="216" xfId="0" applyNumberFormat="1" applyFont="1" applyFill="1" applyBorder="1" applyAlignment="1">
      <alignment horizontal="right"/>
    </xf>
    <xf numFmtId="2" fontId="14" fillId="11" borderId="217" xfId="0" applyNumberFormat="1" applyFont="1" applyFill="1" applyBorder="1" applyAlignment="1">
      <alignment horizontal="right"/>
    </xf>
    <xf numFmtId="0" fontId="14" fillId="0" borderId="191" xfId="0" applyFont="1" applyBorder="1"/>
    <xf numFmtId="2" fontId="14" fillId="11" borderId="218" xfId="0" applyNumberFormat="1" applyFont="1" applyFill="1" applyBorder="1" applyAlignment="1">
      <alignment horizontal="right"/>
    </xf>
    <xf numFmtId="2" fontId="14" fillId="11" borderId="219" xfId="0" applyNumberFormat="1" applyFont="1" applyFill="1" applyBorder="1" applyAlignment="1">
      <alignment horizontal="right"/>
    </xf>
    <xf numFmtId="2" fontId="14" fillId="11" borderId="220" xfId="0" applyNumberFormat="1" applyFont="1" applyFill="1" applyBorder="1" applyAlignment="1">
      <alignment horizontal="right"/>
    </xf>
    <xf numFmtId="2" fontId="14" fillId="11" borderId="221" xfId="0" applyNumberFormat="1" applyFont="1" applyFill="1" applyBorder="1" applyAlignment="1">
      <alignment horizontal="right"/>
    </xf>
    <xf numFmtId="2" fontId="14" fillId="11" borderId="222" xfId="0" applyNumberFormat="1" applyFont="1" applyFill="1" applyBorder="1" applyAlignment="1">
      <alignment horizontal="right"/>
    </xf>
    <xf numFmtId="2" fontId="14" fillId="11" borderId="223" xfId="0" applyNumberFormat="1" applyFont="1" applyFill="1" applyBorder="1" applyAlignment="1">
      <alignment horizontal="right"/>
    </xf>
    <xf numFmtId="0" fontId="14" fillId="0" borderId="200" xfId="0" applyFont="1" applyBorder="1" applyAlignment="1">
      <alignment horizontal="right"/>
    </xf>
    <xf numFmtId="2" fontId="14" fillId="11" borderId="224" xfId="0" applyNumberFormat="1" applyFont="1" applyFill="1" applyBorder="1" applyAlignment="1">
      <alignment horizontal="right"/>
    </xf>
    <xf numFmtId="2" fontId="14" fillId="11" borderId="225" xfId="0" applyNumberFormat="1" applyFont="1" applyFill="1" applyBorder="1" applyAlignment="1">
      <alignment horizontal="right"/>
    </xf>
    <xf numFmtId="2" fontId="14" fillId="11" borderId="226" xfId="0" applyNumberFormat="1" applyFont="1" applyFill="1" applyBorder="1" applyAlignment="1">
      <alignment horizontal="right"/>
    </xf>
    <xf numFmtId="2" fontId="14" fillId="11" borderId="227" xfId="0" applyNumberFormat="1" applyFont="1" applyFill="1" applyBorder="1" applyAlignment="1">
      <alignment horizontal="right"/>
    </xf>
    <xf numFmtId="2" fontId="14" fillId="11" borderId="228" xfId="0" applyNumberFormat="1" applyFont="1" applyFill="1" applyBorder="1" applyAlignment="1">
      <alignment horizontal="right"/>
    </xf>
    <xf numFmtId="2" fontId="14" fillId="11" borderId="229" xfId="0" applyNumberFormat="1" applyFont="1" applyFill="1" applyBorder="1" applyAlignment="1">
      <alignment horizontal="right"/>
    </xf>
    <xf numFmtId="2" fontId="14" fillId="11" borderId="230" xfId="0" applyNumberFormat="1" applyFont="1" applyFill="1" applyBorder="1" applyAlignment="1">
      <alignment horizontal="right"/>
    </xf>
    <xf numFmtId="2" fontId="14" fillId="11" borderId="231" xfId="0" applyNumberFormat="1" applyFont="1" applyFill="1" applyBorder="1" applyAlignment="1">
      <alignment horizontal="right"/>
    </xf>
    <xf numFmtId="0" fontId="1" fillId="0" borderId="4" xfId="0" applyNumberFormat="1" applyFont="1" applyBorder="1" applyAlignment="1">
      <alignment horizontal="center"/>
    </xf>
    <xf numFmtId="0" fontId="3" fillId="2" borderId="16" xfId="0" applyNumberFormat="1" applyFont="1" applyFill="1" applyBorder="1" applyAlignment="1">
      <alignment horizontal="center"/>
    </xf>
    <xf numFmtId="0" fontId="0" fillId="0" borderId="0" xfId="0" applyFill="1" applyBorder="1" applyAlignment="1">
      <alignment vertical="top"/>
    </xf>
    <xf numFmtId="166" fontId="0" fillId="0" borderId="0" xfId="0" applyNumberFormat="1" applyFill="1" applyBorder="1"/>
    <xf numFmtId="0" fontId="1" fillId="0" borderId="0" xfId="0" applyFont="1" applyBorder="1" applyAlignment="1">
      <alignment horizontal="left" vertical="top"/>
    </xf>
    <xf numFmtId="1" fontId="3" fillId="0" borderId="3" xfId="0" applyNumberFormat="1" applyFont="1" applyBorder="1" applyAlignment="1"/>
    <xf numFmtId="0" fontId="1" fillId="0" borderId="5" xfId="0" applyNumberFormat="1" applyFont="1" applyBorder="1" applyAlignment="1">
      <alignment horizontal="center"/>
    </xf>
    <xf numFmtId="0" fontId="1" fillId="0" borderId="6" xfId="0" applyNumberFormat="1" applyFont="1" applyBorder="1" applyAlignment="1">
      <alignment horizontal="center"/>
    </xf>
    <xf numFmtId="0" fontId="3" fillId="0" borderId="6" xfId="0" applyNumberFormat="1" applyFont="1" applyBorder="1" applyAlignment="1">
      <alignment horizontal="right"/>
    </xf>
    <xf numFmtId="1" fontId="3" fillId="0" borderId="13" xfId="0" applyNumberFormat="1" applyFont="1" applyBorder="1" applyAlignment="1"/>
    <xf numFmtId="0" fontId="27" fillId="0" borderId="0" xfId="0" applyFont="1" applyBorder="1" applyAlignment="1">
      <alignment horizontal="left" vertical="top" wrapText="1"/>
    </xf>
    <xf numFmtId="0" fontId="0" fillId="0" borderId="0" xfId="0" applyBorder="1" applyAlignment="1">
      <alignment horizontal="left" textRotation="180"/>
    </xf>
    <xf numFmtId="0" fontId="0" fillId="0" borderId="189" xfId="0" applyBorder="1" applyAlignment="1">
      <alignment horizontal="center" vertical="center" textRotation="180"/>
    </xf>
    <xf numFmtId="0" fontId="0" fillId="0" borderId="0" xfId="0" applyBorder="1" applyAlignment="1">
      <alignment vertical="center"/>
    </xf>
    <xf numFmtId="0" fontId="3" fillId="6" borderId="17" xfId="0" applyNumberFormat="1" applyFont="1" applyFill="1" applyBorder="1" applyAlignment="1">
      <alignment horizontal="center"/>
    </xf>
    <xf numFmtId="0" fontId="14" fillId="0" borderId="0" xfId="0" applyFont="1" applyBorder="1"/>
    <xf numFmtId="0" fontId="27" fillId="0" borderId="74" xfId="0" applyFont="1" applyBorder="1"/>
    <xf numFmtId="0" fontId="3" fillId="6" borderId="0" xfId="0" applyNumberFormat="1" applyFont="1" applyFill="1" applyBorder="1" applyAlignment="1">
      <alignment horizontal="center"/>
    </xf>
    <xf numFmtId="0" fontId="2" fillId="0" borderId="0" xfId="0" applyNumberFormat="1" applyFont="1" applyBorder="1" applyAlignment="1">
      <alignment horizontal="left"/>
    </xf>
    <xf numFmtId="0" fontId="6" fillId="0" borderId="17" xfId="0" applyNumberFormat="1" applyFont="1" applyBorder="1" applyAlignment="1">
      <alignment horizontal="center"/>
    </xf>
    <xf numFmtId="0" fontId="27" fillId="0" borderId="0" xfId="0" applyNumberFormat="1" applyFont="1" applyBorder="1" applyAlignment="1">
      <alignment horizontal="right"/>
    </xf>
    <xf numFmtId="0" fontId="20" fillId="0" borderId="4" xfId="0" applyFont="1" applyBorder="1"/>
    <xf numFmtId="0" fontId="27" fillId="0" borderId="0" xfId="0" applyFont="1" applyBorder="1" applyAlignment="1">
      <alignment horizontal="left" indent="1"/>
    </xf>
    <xf numFmtId="11" fontId="27" fillId="0" borderId="0" xfId="0" applyNumberFormat="1" applyFont="1" applyBorder="1" applyAlignment="1">
      <alignment horizontal="right"/>
    </xf>
    <xf numFmtId="0" fontId="27" fillId="0" borderId="0" xfId="0" applyFont="1" applyBorder="1" applyAlignment="1">
      <alignment horizontal="right"/>
    </xf>
    <xf numFmtId="0" fontId="14" fillId="0" borderId="0" xfId="0" applyFont="1" applyBorder="1" applyAlignment="1">
      <alignment horizontal="left" indent="1"/>
    </xf>
    <xf numFmtId="11" fontId="27" fillId="0" borderId="75" xfId="0" applyNumberFormat="1" applyFont="1" applyFill="1" applyBorder="1" applyAlignment="1">
      <alignment horizontal="center"/>
    </xf>
    <xf numFmtId="11" fontId="27" fillId="0" borderId="0" xfId="0" applyNumberFormat="1" applyFont="1" applyFill="1" applyBorder="1" applyAlignment="1">
      <alignment horizontal="center"/>
    </xf>
    <xf numFmtId="0" fontId="27" fillId="0" borderId="17" xfId="0" applyFont="1" applyBorder="1" applyAlignment="1">
      <alignment horizontal="center"/>
    </xf>
    <xf numFmtId="0" fontId="1" fillId="0" borderId="4" xfId="0" applyFont="1" applyBorder="1"/>
    <xf numFmtId="0" fontId="14" fillId="0" borderId="0" xfId="0" applyFont="1" applyBorder="1" applyAlignment="1">
      <alignment horizontal="center"/>
    </xf>
    <xf numFmtId="0" fontId="27" fillId="0" borderId="75" xfId="0" applyFont="1" applyBorder="1"/>
    <xf numFmtId="0" fontId="6" fillId="0" borderId="0" xfId="0" applyNumberFormat="1" applyFont="1" applyBorder="1" applyAlignment="1">
      <alignment horizontal="left" indent="1"/>
    </xf>
    <xf numFmtId="0" fontId="0" fillId="0" borderId="5" xfId="0" applyBorder="1"/>
    <xf numFmtId="0" fontId="8" fillId="0" borderId="3" xfId="0" applyFont="1" applyBorder="1" applyAlignment="1">
      <alignment horizontal="left" indent="1"/>
    </xf>
    <xf numFmtId="0" fontId="0" fillId="0" borderId="76" xfId="0" applyBorder="1"/>
    <xf numFmtId="0" fontId="2" fillId="0" borderId="77" xfId="0" applyNumberFormat="1" applyFont="1" applyBorder="1" applyAlignment="1">
      <alignment horizontal="left"/>
    </xf>
    <xf numFmtId="0" fontId="1" fillId="0" borderId="77" xfId="0" applyNumberFormat="1" applyFont="1" applyBorder="1" applyAlignment="1">
      <alignment horizontal="left"/>
    </xf>
    <xf numFmtId="0" fontId="0" fillId="0" borderId="77" xfId="0" applyBorder="1" applyAlignment="1">
      <alignment horizontal="left"/>
    </xf>
    <xf numFmtId="3" fontId="1" fillId="0" borderId="77" xfId="0" applyNumberFormat="1" applyFont="1" applyBorder="1" applyAlignment="1">
      <alignment horizontal="left"/>
    </xf>
    <xf numFmtId="0" fontId="1" fillId="0" borderId="78" xfId="0" applyNumberFormat="1" applyFont="1" applyBorder="1" applyAlignment="1">
      <alignment horizontal="left"/>
    </xf>
    <xf numFmtId="0" fontId="3" fillId="0" borderId="0" xfId="0" applyNumberFormat="1" applyFont="1" applyBorder="1" applyAlignment="1">
      <alignment horizontal="left" indent="1"/>
    </xf>
    <xf numFmtId="0" fontId="13" fillId="0" borderId="0" xfId="0" applyNumberFormat="1" applyFont="1" applyBorder="1" applyAlignment="1">
      <alignment horizontal="left" indent="1"/>
    </xf>
    <xf numFmtId="0" fontId="13" fillId="0" borderId="0" xfId="0" applyFont="1" applyBorder="1" applyAlignment="1">
      <alignment horizontal="left" indent="1"/>
    </xf>
    <xf numFmtId="0" fontId="14" fillId="0" borderId="0" xfId="0" applyFont="1" applyBorder="1" applyAlignment="1"/>
    <xf numFmtId="0" fontId="14" fillId="0" borderId="0" xfId="0" applyFont="1" applyBorder="1" applyAlignment="1">
      <alignment vertical="center"/>
    </xf>
    <xf numFmtId="0" fontId="27" fillId="0" borderId="0" xfId="0" applyFont="1" applyBorder="1" applyAlignment="1">
      <alignment horizontal="center" vertical="center"/>
    </xf>
    <xf numFmtId="3" fontId="27" fillId="0" borderId="79" xfId="0" applyNumberFormat="1" applyFont="1" applyBorder="1" applyAlignment="1"/>
    <xf numFmtId="1" fontId="27" fillId="0" borderId="49" xfId="0" applyNumberFormat="1" applyFont="1" applyFill="1" applyBorder="1" applyAlignment="1">
      <alignment horizontal="center"/>
    </xf>
    <xf numFmtId="0" fontId="27" fillId="0" borderId="80" xfId="0" applyFont="1" applyBorder="1" applyAlignment="1">
      <alignment horizontal="center"/>
    </xf>
    <xf numFmtId="1" fontId="27" fillId="0" borderId="50" xfId="0" applyNumberFormat="1" applyFont="1" applyFill="1" applyBorder="1" applyAlignment="1">
      <alignment horizontal="center"/>
    </xf>
    <xf numFmtId="11" fontId="27" fillId="0" borderId="74" xfId="0" applyNumberFormat="1" applyFont="1" applyBorder="1" applyAlignment="1">
      <alignment horizontal="center"/>
    </xf>
    <xf numFmtId="0" fontId="27" fillId="0" borderId="49" xfId="0" applyNumberFormat="1" applyFont="1" applyFill="1" applyBorder="1" applyAlignment="1">
      <alignment horizontal="center"/>
    </xf>
    <xf numFmtId="11" fontId="27" fillId="0" borderId="81" xfId="0" applyNumberFormat="1" applyFont="1" applyBorder="1" applyAlignment="1">
      <alignment horizontal="center"/>
    </xf>
    <xf numFmtId="0" fontId="27" fillId="0" borderId="52" xfId="0" applyNumberFormat="1" applyFont="1" applyFill="1" applyBorder="1" applyAlignment="1">
      <alignment horizontal="center"/>
    </xf>
    <xf numFmtId="0" fontId="6" fillId="0" borderId="0" xfId="0" applyFont="1" applyBorder="1" applyAlignment="1">
      <alignment horizontal="left" indent="1"/>
    </xf>
    <xf numFmtId="0" fontId="0" fillId="0" borderId="77" xfId="0" applyBorder="1"/>
    <xf numFmtId="0" fontId="0" fillId="0" borderId="77" xfId="0" applyBorder="1" applyAlignment="1"/>
    <xf numFmtId="0" fontId="0" fillId="0" borderId="78" xfId="0" applyBorder="1" applyAlignment="1"/>
    <xf numFmtId="0" fontId="27" fillId="0" borderId="77" xfId="0" applyFont="1" applyBorder="1"/>
    <xf numFmtId="0" fontId="27" fillId="0" borderId="77" xfId="0" applyFont="1" applyBorder="1" applyAlignment="1"/>
    <xf numFmtId="0" fontId="27" fillId="0" borderId="78" xfId="0" applyFont="1" applyBorder="1" applyAlignment="1"/>
    <xf numFmtId="0" fontId="2" fillId="0" borderId="6" xfId="0" applyNumberFormat="1" applyFont="1" applyBorder="1" applyAlignment="1">
      <alignment horizontal="center"/>
    </xf>
    <xf numFmtId="3" fontId="1" fillId="0" borderId="6" xfId="0" applyNumberFormat="1" applyFont="1" applyBorder="1" applyAlignment="1"/>
    <xf numFmtId="167" fontId="14" fillId="0" borderId="0" xfId="0" applyNumberFormat="1" applyFont="1" applyBorder="1"/>
    <xf numFmtId="0" fontId="27" fillId="0" borderId="0" xfId="0" applyFont="1" applyBorder="1" applyAlignment="1">
      <alignment horizontal="left" vertical="center"/>
    </xf>
    <xf numFmtId="0" fontId="14" fillId="0" borderId="0" xfId="0" applyFont="1" applyAlignment="1">
      <alignment horizontal="left" vertical="center"/>
    </xf>
    <xf numFmtId="0" fontId="14" fillId="0" borderId="0" xfId="0" applyFont="1" applyAlignment="1">
      <alignment horizontal="left" indent="1"/>
    </xf>
    <xf numFmtId="0" fontId="27" fillId="0" borderId="0" xfId="0" applyFont="1" applyBorder="1" applyAlignment="1">
      <alignment vertical="top"/>
    </xf>
    <xf numFmtId="0" fontId="1" fillId="0" borderId="0" xfId="0" applyFont="1" applyAlignment="1">
      <alignment vertical="top" wrapText="1"/>
    </xf>
    <xf numFmtId="0" fontId="1" fillId="0" borderId="0" xfId="0" applyFont="1" applyBorder="1" applyAlignment="1">
      <alignment horizontal="left" vertical="top" wrapText="1"/>
    </xf>
    <xf numFmtId="0" fontId="0" fillId="0" borderId="0" xfId="0" applyFill="1" applyAlignment="1"/>
    <xf numFmtId="18" fontId="0" fillId="0" borderId="0" xfId="0" applyNumberFormat="1" applyBorder="1" applyAlignment="1"/>
    <xf numFmtId="1" fontId="22" fillId="14" borderId="232" xfId="0" applyNumberFormat="1" applyFont="1" applyFill="1" applyBorder="1" applyAlignment="1">
      <alignment horizontal="center" vertical="center"/>
    </xf>
    <xf numFmtId="0" fontId="21" fillId="14" borderId="233" xfId="0" applyNumberFormat="1" applyFont="1" applyFill="1" applyBorder="1" applyAlignment="1">
      <alignment horizontal="center"/>
    </xf>
    <xf numFmtId="0" fontId="18" fillId="0" borderId="234" xfId="0" applyFont="1" applyBorder="1"/>
    <xf numFmtId="0" fontId="1" fillId="0" borderId="234" xfId="0" applyFont="1" applyBorder="1"/>
    <xf numFmtId="0" fontId="18" fillId="0" borderId="195" xfId="0" applyFont="1" applyBorder="1"/>
    <xf numFmtId="0" fontId="3" fillId="14" borderId="82" xfId="0" applyNumberFormat="1" applyFont="1" applyFill="1" applyBorder="1" applyAlignment="1">
      <alignment horizontal="center" vertical="center"/>
    </xf>
    <xf numFmtId="0" fontId="46" fillId="15" borderId="82" xfId="0" applyNumberFormat="1" applyFont="1" applyFill="1" applyBorder="1" applyAlignment="1">
      <alignment horizontal="center" vertical="center"/>
    </xf>
    <xf numFmtId="9" fontId="3" fillId="0" borderId="0" xfId="0" applyNumberFormat="1" applyFont="1" applyAlignment="1">
      <alignment horizontal="right"/>
    </xf>
    <xf numFmtId="0" fontId="8" fillId="0" borderId="0" xfId="0" applyNumberFormat="1" applyFont="1" applyFill="1" applyAlignment="1"/>
    <xf numFmtId="1" fontId="3" fillId="0" borderId="82" xfId="0" applyNumberFormat="1" applyFont="1" applyFill="1" applyBorder="1" applyAlignment="1">
      <alignment horizontal="center" vertical="center"/>
    </xf>
    <xf numFmtId="164" fontId="6" fillId="0" borderId="0" xfId="0" applyNumberFormat="1" applyFont="1" applyFill="1" applyAlignment="1"/>
    <xf numFmtId="1" fontId="22" fillId="16" borderId="235" xfId="0" applyNumberFormat="1" applyFont="1" applyFill="1" applyBorder="1" applyAlignment="1">
      <alignment horizontal="center" vertical="center"/>
    </xf>
    <xf numFmtId="0" fontId="21" fillId="16" borderId="236" xfId="0" applyNumberFormat="1" applyFont="1" applyFill="1" applyBorder="1" applyAlignment="1">
      <alignment horizontal="center"/>
    </xf>
    <xf numFmtId="0" fontId="3" fillId="16" borderId="82" xfId="0" applyNumberFormat="1" applyFont="1" applyFill="1" applyBorder="1" applyAlignment="1">
      <alignment horizontal="center" vertical="center"/>
    </xf>
    <xf numFmtId="0" fontId="8" fillId="17" borderId="82" xfId="0" applyNumberFormat="1" applyFont="1" applyFill="1" applyBorder="1" applyAlignment="1"/>
    <xf numFmtId="1" fontId="22" fillId="17" borderId="237" xfId="0" applyNumberFormat="1" applyFont="1" applyFill="1" applyBorder="1" applyAlignment="1">
      <alignment horizontal="center" vertical="center"/>
    </xf>
    <xf numFmtId="0" fontId="21" fillId="17" borderId="238" xfId="0" applyNumberFormat="1" applyFont="1" applyFill="1" applyBorder="1" applyAlignment="1">
      <alignment horizontal="center"/>
    </xf>
    <xf numFmtId="1" fontId="22" fillId="17" borderId="239" xfId="0" applyNumberFormat="1" applyFont="1" applyFill="1" applyBorder="1" applyAlignment="1">
      <alignment horizontal="center" vertical="center"/>
    </xf>
    <xf numFmtId="0" fontId="21" fillId="17" borderId="240" xfId="0" applyNumberFormat="1" applyFont="1" applyFill="1" applyBorder="1" applyAlignment="1">
      <alignment horizontal="center"/>
    </xf>
    <xf numFmtId="0" fontId="21" fillId="17" borderId="241" xfId="0" applyNumberFormat="1" applyFont="1" applyFill="1" applyBorder="1" applyAlignment="1">
      <alignment horizontal="center"/>
    </xf>
    <xf numFmtId="0" fontId="21" fillId="17" borderId="242" xfId="0" applyNumberFormat="1" applyFont="1" applyFill="1" applyBorder="1" applyAlignment="1">
      <alignment horizontal="center"/>
    </xf>
    <xf numFmtId="164" fontId="6" fillId="18" borderId="82" xfId="0" applyNumberFormat="1" applyFont="1" applyFill="1" applyBorder="1" applyAlignment="1"/>
    <xf numFmtId="1" fontId="6" fillId="0" borderId="0" xfId="0" applyNumberFormat="1" applyFont="1" applyAlignment="1"/>
    <xf numFmtId="1" fontId="3" fillId="0" borderId="0" xfId="0" applyNumberFormat="1" applyFont="1"/>
    <xf numFmtId="164" fontId="0" fillId="0" borderId="0" xfId="0" applyNumberFormat="1"/>
    <xf numFmtId="0" fontId="45" fillId="0" borderId="0" xfId="0" applyFont="1" applyBorder="1"/>
    <xf numFmtId="0" fontId="45" fillId="0" borderId="0" xfId="0" applyFont="1" applyAlignment="1">
      <alignment horizontal="right"/>
    </xf>
    <xf numFmtId="0" fontId="45" fillId="0" borderId="245" xfId="0" applyFont="1" applyBorder="1" applyAlignment="1">
      <alignment horizontal="right"/>
    </xf>
    <xf numFmtId="0" fontId="40" fillId="0" borderId="84" xfId="0" applyNumberFormat="1" applyFont="1" applyBorder="1" applyAlignment="1">
      <alignment horizontal="center"/>
    </xf>
    <xf numFmtId="0" fontId="40" fillId="0" borderId="246" xfId="0" applyNumberFormat="1" applyFont="1" applyBorder="1" applyAlignment="1">
      <alignment horizontal="center"/>
    </xf>
    <xf numFmtId="0" fontId="13" fillId="0" borderId="0" xfId="0" applyNumberFormat="1" applyFont="1" applyAlignment="1">
      <alignment horizontal="left"/>
    </xf>
    <xf numFmtId="0" fontId="6" fillId="6" borderId="32" xfId="0" applyNumberFormat="1" applyFont="1" applyFill="1" applyBorder="1" applyAlignment="1">
      <alignment horizontal="center"/>
    </xf>
    <xf numFmtId="0" fontId="6" fillId="6" borderId="85" xfId="0" applyNumberFormat="1" applyFont="1" applyFill="1" applyBorder="1" applyAlignment="1">
      <alignment horizontal="center"/>
    </xf>
    <xf numFmtId="0" fontId="7" fillId="0" borderId="0" xfId="0" applyFont="1" applyAlignment="1">
      <alignment horizontal="center"/>
    </xf>
    <xf numFmtId="0" fontId="1" fillId="0" borderId="0" xfId="0" applyNumberFormat="1" applyFont="1" applyFill="1" applyBorder="1" applyAlignment="1">
      <alignment horizontal="left"/>
    </xf>
    <xf numFmtId="0" fontId="3" fillId="19" borderId="82" xfId="0" applyNumberFormat="1" applyFont="1" applyFill="1" applyBorder="1" applyAlignment="1">
      <alignment horizontal="center" vertical="center"/>
    </xf>
    <xf numFmtId="1" fontId="22" fillId="19" borderId="247" xfId="0" applyNumberFormat="1" applyFont="1" applyFill="1" applyBorder="1" applyAlignment="1">
      <alignment horizontal="center" vertical="center"/>
    </xf>
    <xf numFmtId="0" fontId="21" fillId="19" borderId="248" xfId="0" applyNumberFormat="1" applyFont="1" applyFill="1" applyBorder="1" applyAlignment="1">
      <alignment horizontal="center"/>
    </xf>
    <xf numFmtId="0" fontId="3" fillId="20" borderId="82" xfId="0" applyNumberFormat="1" applyFont="1" applyFill="1" applyBorder="1" applyAlignment="1">
      <alignment horizontal="center" vertical="center"/>
    </xf>
    <xf numFmtId="1" fontId="22" fillId="20" borderId="249" xfId="0" applyNumberFormat="1" applyFont="1" applyFill="1" applyBorder="1" applyAlignment="1">
      <alignment horizontal="center" vertical="center"/>
    </xf>
    <xf numFmtId="0" fontId="21" fillId="20" borderId="250" xfId="0" applyNumberFormat="1" applyFont="1" applyFill="1" applyBorder="1" applyAlignment="1">
      <alignment horizontal="center"/>
    </xf>
    <xf numFmtId="0" fontId="46" fillId="21" borderId="82" xfId="0" applyNumberFormat="1" applyFont="1" applyFill="1" applyBorder="1" applyAlignment="1">
      <alignment horizontal="center" vertical="center"/>
    </xf>
    <xf numFmtId="1" fontId="47" fillId="21" borderId="251" xfId="0" applyNumberFormat="1" applyFont="1" applyFill="1" applyBorder="1" applyAlignment="1">
      <alignment horizontal="center" vertical="center"/>
    </xf>
    <xf numFmtId="0" fontId="48" fillId="21" borderId="252" xfId="0" applyNumberFormat="1" applyFont="1" applyFill="1" applyBorder="1" applyAlignment="1">
      <alignment horizontal="center"/>
    </xf>
    <xf numFmtId="0" fontId="9" fillId="0" borderId="0" xfId="0" applyFont="1" applyAlignment="1">
      <alignment horizontal="left" indent="1"/>
    </xf>
    <xf numFmtId="0" fontId="9" fillId="0" borderId="0" xfId="0" applyFont="1" applyBorder="1" applyAlignment="1">
      <alignment horizontal="left" indent="1"/>
    </xf>
    <xf numFmtId="0" fontId="9" fillId="0" borderId="253" xfId="0" applyFont="1" applyBorder="1" applyAlignment="1">
      <alignment horizontal="left" indent="1"/>
    </xf>
    <xf numFmtId="0" fontId="9" fillId="0" borderId="254" xfId="0" applyFont="1" applyBorder="1" applyAlignment="1">
      <alignment horizontal="left" indent="1"/>
    </xf>
    <xf numFmtId="0" fontId="9" fillId="0" borderId="255" xfId="0" applyFont="1" applyBorder="1" applyAlignment="1">
      <alignment horizontal="left" indent="1"/>
    </xf>
    <xf numFmtId="0" fontId="9" fillId="0" borderId="172" xfId="0" applyFont="1" applyBorder="1" applyAlignment="1">
      <alignment horizontal="left" indent="1"/>
    </xf>
    <xf numFmtId="0" fontId="9" fillId="0" borderId="173" xfId="0" applyFont="1" applyBorder="1" applyAlignment="1">
      <alignment horizontal="left" indent="1"/>
    </xf>
    <xf numFmtId="0" fontId="9" fillId="0" borderId="177" xfId="0" applyFont="1" applyBorder="1" applyAlignment="1">
      <alignment horizontal="left" indent="1"/>
    </xf>
    <xf numFmtId="0" fontId="0" fillId="0" borderId="86" xfId="0" applyFill="1" applyBorder="1"/>
    <xf numFmtId="0" fontId="0" fillId="0" borderId="86" xfId="0" applyFill="1" applyBorder="1" applyAlignment="1">
      <alignment horizontal="center" vertical="top"/>
    </xf>
    <xf numFmtId="167" fontId="0" fillId="0" borderId="86" xfId="0" applyNumberFormat="1" applyFill="1" applyBorder="1"/>
    <xf numFmtId="0" fontId="1" fillId="0" borderId="0" xfId="0" applyFont="1" applyFill="1" applyBorder="1"/>
    <xf numFmtId="0" fontId="0" fillId="0" borderId="0" xfId="0" applyFill="1" applyBorder="1" applyAlignment="1">
      <alignment horizontal="center" vertical="top"/>
    </xf>
    <xf numFmtId="167" fontId="0" fillId="0" borderId="0" xfId="0" applyNumberFormat="1" applyFill="1" applyBorder="1"/>
    <xf numFmtId="0" fontId="1" fillId="0" borderId="0" xfId="0" quotePrefix="1" applyNumberFormat="1" applyFont="1" applyAlignment="1">
      <alignment horizontal="right"/>
    </xf>
    <xf numFmtId="18" fontId="1" fillId="0" borderId="0" xfId="0" quotePrefix="1" applyNumberFormat="1" applyFont="1" applyAlignment="1">
      <alignment horizontal="right"/>
    </xf>
    <xf numFmtId="0" fontId="1" fillId="0" borderId="256" xfId="0" applyFont="1" applyBorder="1" applyAlignment="1">
      <alignment horizontal="right" vertical="center"/>
    </xf>
    <xf numFmtId="0" fontId="3" fillId="2" borderId="8" xfId="0" applyFont="1" applyFill="1" applyBorder="1" applyAlignment="1">
      <alignment horizontal="center"/>
    </xf>
    <xf numFmtId="0" fontId="6" fillId="2" borderId="56" xfId="0" applyFont="1" applyFill="1" applyBorder="1" applyAlignment="1">
      <alignment horizontal="center"/>
    </xf>
    <xf numFmtId="0" fontId="6" fillId="2" borderId="57" xfId="0" applyNumberFormat="1" applyFont="1" applyFill="1" applyBorder="1" applyAlignment="1">
      <alignment horizontal="center"/>
    </xf>
    <xf numFmtId="0" fontId="13" fillId="2" borderId="58" xfId="0" applyNumberFormat="1" applyFont="1" applyFill="1" applyBorder="1" applyAlignment="1">
      <alignment horizontal="center"/>
    </xf>
    <xf numFmtId="0" fontId="14" fillId="13" borderId="257" xfId="0" applyFont="1" applyFill="1" applyBorder="1" applyAlignment="1">
      <alignment vertical="top" wrapText="1"/>
    </xf>
    <xf numFmtId="0" fontId="3" fillId="2" borderId="8" xfId="0" applyFont="1" applyFill="1" applyBorder="1" applyAlignment="1">
      <alignment horizontal="center" vertical="center" wrapText="1"/>
    </xf>
    <xf numFmtId="0" fontId="1" fillId="0" borderId="89" xfId="0" applyNumberFormat="1" applyFont="1" applyFill="1" applyBorder="1" applyAlignment="1">
      <alignment horizontal="center"/>
    </xf>
    <xf numFmtId="0" fontId="1" fillId="0" borderId="0" xfId="0" quotePrefix="1" applyNumberFormat="1" applyFont="1" applyFill="1" applyAlignment="1">
      <alignment horizontal="center"/>
    </xf>
    <xf numFmtId="1" fontId="3" fillId="0" borderId="0" xfId="0" applyNumberFormat="1" applyFont="1" applyFill="1" applyAlignment="1">
      <alignment horizontal="center"/>
    </xf>
    <xf numFmtId="0" fontId="0" fillId="0" borderId="0" xfId="0" applyNumberFormat="1" applyFill="1" applyAlignment="1"/>
    <xf numFmtId="0" fontId="1" fillId="0" borderId="0" xfId="0" applyNumberFormat="1" applyFont="1" applyFill="1" applyAlignment="1">
      <alignment wrapText="1"/>
    </xf>
    <xf numFmtId="2" fontId="0" fillId="0" borderId="0" xfId="0" applyNumberFormat="1" applyBorder="1"/>
    <xf numFmtId="2" fontId="0" fillId="0" borderId="0" xfId="0" applyNumberFormat="1" applyBorder="1" applyAlignment="1">
      <alignment horizontal="center"/>
    </xf>
    <xf numFmtId="2" fontId="3" fillId="0" borderId="0" xfId="0" applyNumberFormat="1" applyFont="1" applyBorder="1" applyAlignment="1">
      <alignment horizontal="center"/>
    </xf>
    <xf numFmtId="1" fontId="41" fillId="0" borderId="0" xfId="1" applyNumberFormat="1" applyFont="1" applyBorder="1" applyAlignment="1" applyProtection="1">
      <alignment horizontal="center"/>
    </xf>
    <xf numFmtId="0" fontId="3" fillId="22" borderId="72" xfId="0" applyNumberFormat="1" applyFont="1" applyFill="1" applyBorder="1" applyAlignment="1"/>
    <xf numFmtId="2" fontId="3" fillId="23" borderId="2" xfId="0" applyNumberFormat="1" applyFont="1" applyFill="1" applyBorder="1" applyAlignment="1"/>
    <xf numFmtId="0" fontId="4" fillId="0" borderId="258" xfId="0" applyNumberFormat="1" applyFont="1" applyBorder="1" applyAlignment="1"/>
    <xf numFmtId="0" fontId="1" fillId="0" borderId="259" xfId="0" applyNumberFormat="1" applyFont="1" applyBorder="1" applyAlignment="1"/>
    <xf numFmtId="0" fontId="1" fillId="0" borderId="260" xfId="0" applyNumberFormat="1" applyFont="1" applyBorder="1" applyAlignment="1"/>
    <xf numFmtId="1" fontId="3" fillId="0" borderId="254" xfId="0" applyNumberFormat="1" applyFont="1" applyBorder="1" applyAlignment="1">
      <alignment horizontal="center"/>
    </xf>
    <xf numFmtId="0" fontId="3" fillId="0" borderId="261" xfId="0" applyNumberFormat="1" applyFont="1" applyBorder="1" applyAlignment="1">
      <alignment horizontal="center"/>
    </xf>
    <xf numFmtId="0" fontId="2" fillId="0" borderId="261" xfId="0" applyNumberFormat="1" applyFont="1" applyBorder="1" applyAlignment="1">
      <alignment horizontal="center"/>
    </xf>
    <xf numFmtId="166" fontId="1" fillId="0" borderId="254" xfId="0" applyNumberFormat="1" applyFont="1" applyBorder="1"/>
    <xf numFmtId="0" fontId="1" fillId="0" borderId="262" xfId="0" applyNumberFormat="1" applyFont="1" applyBorder="1" applyAlignment="1"/>
    <xf numFmtId="0" fontId="3" fillId="22" borderId="263" xfId="0" applyNumberFormat="1" applyFont="1" applyFill="1" applyBorder="1" applyAlignment="1">
      <alignment horizontal="center"/>
    </xf>
    <xf numFmtId="0" fontId="1" fillId="0" borderId="254" xfId="0" applyNumberFormat="1" applyFont="1" applyBorder="1" applyAlignment="1"/>
    <xf numFmtId="0" fontId="3" fillId="0" borderId="264" xfId="0" applyNumberFormat="1" applyFont="1" applyBorder="1" applyAlignment="1">
      <alignment horizontal="center"/>
    </xf>
    <xf numFmtId="0" fontId="3" fillId="23" borderId="265" xfId="0" applyNumberFormat="1" applyFont="1" applyFill="1" applyBorder="1" applyAlignment="1">
      <alignment horizontal="center"/>
    </xf>
    <xf numFmtId="0" fontId="6" fillId="0" borderId="264" xfId="0" applyNumberFormat="1" applyFont="1" applyBorder="1" applyAlignment="1">
      <alignment horizontal="center"/>
    </xf>
    <xf numFmtId="0" fontId="1" fillId="0" borderId="266" xfId="0" applyNumberFormat="1" applyFont="1" applyBorder="1" applyAlignment="1"/>
    <xf numFmtId="0" fontId="1" fillId="0" borderId="164" xfId="0" applyNumberFormat="1" applyFont="1" applyBorder="1" applyAlignment="1"/>
    <xf numFmtId="1" fontId="1" fillId="0" borderId="164" xfId="0" applyNumberFormat="1" applyFont="1" applyBorder="1"/>
    <xf numFmtId="0" fontId="14" fillId="0" borderId="208" xfId="0" applyFont="1" applyBorder="1" applyAlignment="1">
      <alignment horizontal="left"/>
    </xf>
    <xf numFmtId="0" fontId="3" fillId="0" borderId="207" xfId="0" applyFont="1" applyBorder="1" applyAlignment="1">
      <alignment horizontal="left" indent="1"/>
    </xf>
    <xf numFmtId="0" fontId="1" fillId="0" borderId="207" xfId="0" applyFont="1" applyBorder="1" applyAlignment="1">
      <alignment horizontal="left" indent="1"/>
    </xf>
    <xf numFmtId="0" fontId="1" fillId="0" borderId="185" xfId="0" applyNumberFormat="1" applyFont="1" applyFill="1" applyBorder="1" applyAlignment="1"/>
    <xf numFmtId="171" fontId="0" fillId="0" borderId="0" xfId="0" applyNumberFormat="1" applyFill="1" applyBorder="1" applyAlignment="1"/>
    <xf numFmtId="171" fontId="0" fillId="0" borderId="0" xfId="0" applyNumberFormat="1" applyFill="1" applyBorder="1"/>
    <xf numFmtId="171" fontId="1" fillId="0" borderId="0" xfId="0" applyNumberFormat="1" applyFont="1" applyFill="1" applyBorder="1"/>
    <xf numFmtId="0" fontId="0" fillId="0" borderId="267" xfId="0" applyFill="1" applyBorder="1" applyAlignment="1">
      <alignment vertical="top"/>
    </xf>
    <xf numFmtId="0" fontId="0" fillId="0" borderId="268" xfId="0" applyFill="1" applyBorder="1" applyAlignment="1">
      <alignment vertical="top"/>
    </xf>
    <xf numFmtId="170" fontId="0" fillId="0" borderId="91" xfId="0" applyNumberFormat="1" applyFill="1" applyBorder="1" applyAlignment="1">
      <alignment vertical="top"/>
    </xf>
    <xf numFmtId="0" fontId="0" fillId="0" borderId="1" xfId="0" applyNumberFormat="1" applyFill="1" applyBorder="1" applyAlignment="1">
      <alignment horizontal="center" vertical="top"/>
    </xf>
    <xf numFmtId="18" fontId="0" fillId="0" borderId="1" xfId="0" applyNumberFormat="1" applyFill="1" applyBorder="1" applyAlignment="1">
      <alignment vertical="top"/>
    </xf>
    <xf numFmtId="20" fontId="0" fillId="0" borderId="1" xfId="0" applyNumberFormat="1" applyFill="1" applyBorder="1" applyAlignment="1" applyProtection="1">
      <alignment vertical="top"/>
    </xf>
    <xf numFmtId="0" fontId="0" fillId="0" borderId="92" xfId="0" applyFill="1" applyBorder="1" applyAlignment="1">
      <alignment vertical="top"/>
    </xf>
    <xf numFmtId="0" fontId="0" fillId="0" borderId="91" xfId="0" applyFill="1" applyBorder="1" applyAlignment="1">
      <alignment vertical="top"/>
    </xf>
    <xf numFmtId="168" fontId="0" fillId="0" borderId="91" xfId="0" applyNumberFormat="1" applyFill="1" applyBorder="1" applyAlignment="1">
      <alignment vertical="top"/>
    </xf>
    <xf numFmtId="0" fontId="0" fillId="0" borderId="91" xfId="0" applyNumberFormat="1" applyFill="1" applyBorder="1" applyAlignment="1">
      <alignment vertical="top"/>
    </xf>
    <xf numFmtId="0" fontId="0" fillId="0" borderId="91" xfId="0" applyNumberFormat="1" applyFill="1" applyBorder="1" applyAlignment="1">
      <alignment horizontal="center" vertical="top"/>
    </xf>
    <xf numFmtId="0" fontId="0" fillId="0" borderId="91" xfId="0" applyFill="1" applyBorder="1" applyAlignment="1">
      <alignment horizontal="center" vertical="top"/>
    </xf>
    <xf numFmtId="0" fontId="0" fillId="0" borderId="91" xfId="0" applyFill="1" applyBorder="1" applyAlignment="1">
      <alignment horizontal="right" vertical="top"/>
    </xf>
    <xf numFmtId="18" fontId="0" fillId="0" borderId="91" xfId="0" applyNumberFormat="1" applyFill="1" applyBorder="1" applyAlignment="1">
      <alignment vertical="top"/>
    </xf>
    <xf numFmtId="20" fontId="0" fillId="0" borderId="91" xfId="0" applyNumberFormat="1" applyFill="1" applyBorder="1" applyAlignment="1" applyProtection="1">
      <alignment vertical="top"/>
    </xf>
    <xf numFmtId="0" fontId="0" fillId="0" borderId="93" xfId="0" applyFill="1" applyBorder="1" applyAlignment="1">
      <alignment wrapText="1"/>
    </xf>
    <xf numFmtId="0" fontId="0" fillId="0" borderId="20" xfId="0" applyFill="1" applyBorder="1" applyAlignment="1">
      <alignment vertical="top"/>
    </xf>
    <xf numFmtId="0" fontId="0" fillId="0" borderId="1" xfId="0" applyFill="1" applyBorder="1" applyAlignment="1">
      <alignment vertical="top"/>
    </xf>
    <xf numFmtId="168" fontId="0" fillId="0" borderId="1" xfId="0" applyNumberFormat="1" applyFill="1" applyBorder="1" applyAlignment="1">
      <alignment vertical="top"/>
    </xf>
    <xf numFmtId="0" fontId="0" fillId="0" borderId="1" xfId="0" applyNumberFormat="1" applyFill="1" applyBorder="1" applyAlignment="1">
      <alignment vertical="top"/>
    </xf>
    <xf numFmtId="0" fontId="0" fillId="0" borderId="1" xfId="0" applyFill="1" applyBorder="1" applyAlignment="1">
      <alignment horizontal="center" vertical="top"/>
    </xf>
    <xf numFmtId="0" fontId="0" fillId="0" borderId="1" xfId="0" applyFill="1" applyBorder="1" applyAlignment="1">
      <alignment horizontal="right" vertical="top"/>
    </xf>
    <xf numFmtId="168" fontId="14" fillId="0" borderId="22" xfId="0" applyNumberFormat="1" applyFont="1" applyFill="1" applyBorder="1" applyAlignment="1">
      <alignment horizontal="left" vertical="top" wrapText="1" indent="1"/>
    </xf>
    <xf numFmtId="0" fontId="0" fillId="0" borderId="1" xfId="0" applyFill="1" applyBorder="1" applyAlignment="1" applyProtection="1">
      <alignment vertical="top"/>
      <protection locked="0"/>
    </xf>
    <xf numFmtId="168" fontId="0" fillId="0" borderId="1" xfId="0" applyNumberFormat="1" applyFill="1" applyBorder="1" applyAlignment="1" applyProtection="1">
      <alignment vertical="top"/>
      <protection locked="0"/>
    </xf>
    <xf numFmtId="0" fontId="0" fillId="0" borderId="1" xfId="0" applyNumberFormat="1" applyFill="1" applyBorder="1" applyAlignment="1" applyProtection="1">
      <alignment vertical="top"/>
      <protection locked="0"/>
    </xf>
    <xf numFmtId="0" fontId="0" fillId="0" borderId="1" xfId="0" applyNumberFormat="1" applyFill="1" applyBorder="1" applyAlignment="1" applyProtection="1">
      <alignment horizontal="center" vertical="top"/>
      <protection locked="0"/>
    </xf>
    <xf numFmtId="0" fontId="0" fillId="0" borderId="1" xfId="0" applyFill="1" applyBorder="1" applyAlignment="1" applyProtection="1">
      <alignment horizontal="center" vertical="top"/>
      <protection locked="0"/>
    </xf>
    <xf numFmtId="0" fontId="0" fillId="0" borderId="1" xfId="0" applyFill="1" applyBorder="1" applyAlignment="1" applyProtection="1">
      <alignment horizontal="right" vertical="top"/>
      <protection locked="0"/>
    </xf>
    <xf numFmtId="0" fontId="0" fillId="0" borderId="1" xfId="0" applyNumberFormat="1" applyFill="1" applyBorder="1" applyAlignment="1" applyProtection="1">
      <alignment horizontal="center" vertical="top"/>
    </xf>
    <xf numFmtId="18" fontId="0" fillId="0" borderId="1" xfId="0" applyNumberFormat="1" applyFill="1" applyBorder="1" applyAlignment="1" applyProtection="1">
      <alignment vertical="top"/>
      <protection locked="0"/>
    </xf>
    <xf numFmtId="168" fontId="14" fillId="0" borderId="22" xfId="0" applyNumberFormat="1" applyFont="1" applyFill="1" applyBorder="1" applyAlignment="1" applyProtection="1">
      <alignment horizontal="left" vertical="top" wrapText="1" indent="1"/>
      <protection locked="0"/>
    </xf>
    <xf numFmtId="168" fontId="0" fillId="0" borderId="1" xfId="0" applyNumberFormat="1" applyFill="1" applyBorder="1" applyAlignment="1">
      <alignment horizontal="left" vertical="top"/>
    </xf>
    <xf numFmtId="0" fontId="0" fillId="0" borderId="1" xfId="0" applyNumberFormat="1" applyFill="1" applyBorder="1" applyAlignment="1">
      <alignment horizontal="right" vertical="top"/>
    </xf>
    <xf numFmtId="0" fontId="14" fillId="0" borderId="22" xfId="0" applyFont="1" applyFill="1" applyBorder="1" applyAlignment="1">
      <alignment horizontal="left" vertical="top" wrapText="1" indent="1"/>
    </xf>
    <xf numFmtId="0" fontId="1" fillId="0" borderId="1" xfId="0" applyFont="1" applyFill="1" applyBorder="1" applyAlignment="1">
      <alignment vertical="top"/>
    </xf>
    <xf numFmtId="0" fontId="1" fillId="0" borderId="1" xfId="0" applyFont="1" applyFill="1" applyBorder="1" applyAlignment="1">
      <alignment horizontal="center" vertical="top"/>
    </xf>
    <xf numFmtId="0" fontId="1" fillId="0" borderId="1" xfId="0" applyFont="1" applyFill="1" applyBorder="1" applyAlignment="1">
      <alignment horizontal="right" vertical="top"/>
    </xf>
    <xf numFmtId="0" fontId="1" fillId="0" borderId="1" xfId="0" applyNumberFormat="1" applyFont="1" applyFill="1" applyBorder="1" applyAlignment="1">
      <alignment horizontal="center" vertical="top"/>
    </xf>
    <xf numFmtId="20" fontId="1" fillId="0" borderId="1" xfId="0" applyNumberFormat="1" applyFont="1" applyFill="1" applyBorder="1" applyAlignment="1" applyProtection="1">
      <alignment vertical="top"/>
    </xf>
    <xf numFmtId="168" fontId="0" fillId="0" borderId="1" xfId="0" applyNumberFormat="1" applyFill="1" applyBorder="1" applyAlignment="1">
      <alignment horizontal="right" vertical="top"/>
    </xf>
    <xf numFmtId="0" fontId="14" fillId="0" borderId="22" xfId="0" applyFont="1" applyFill="1" applyBorder="1" applyAlignment="1" applyProtection="1">
      <alignment horizontal="left" vertical="top" wrapText="1" indent="1"/>
      <protection locked="0"/>
    </xf>
    <xf numFmtId="170" fontId="0" fillId="0" borderId="1" xfId="0" applyNumberFormat="1" applyFill="1" applyBorder="1" applyAlignment="1">
      <alignment vertical="top"/>
    </xf>
    <xf numFmtId="170" fontId="0" fillId="0" borderId="1" xfId="0" applyNumberFormat="1" applyFill="1" applyBorder="1"/>
    <xf numFmtId="0" fontId="0" fillId="0" borderId="1" xfId="0" applyNumberFormat="1" applyFill="1" applyBorder="1" applyAlignment="1">
      <alignment horizontal="center"/>
    </xf>
    <xf numFmtId="0" fontId="0" fillId="0" borderId="1" xfId="0" applyFill="1" applyBorder="1" applyAlignment="1">
      <alignment horizontal="center"/>
    </xf>
    <xf numFmtId="18" fontId="0" fillId="0" borderId="1" xfId="0" applyNumberFormat="1" applyFill="1" applyBorder="1"/>
    <xf numFmtId="0" fontId="27" fillId="0" borderId="22" xfId="0" applyFont="1" applyFill="1" applyBorder="1" applyAlignment="1">
      <alignment horizontal="left" vertical="top" wrapText="1" indent="1"/>
    </xf>
    <xf numFmtId="0" fontId="0" fillId="9" borderId="269" xfId="0" applyFill="1" applyBorder="1"/>
    <xf numFmtId="0" fontId="33" fillId="9" borderId="269" xfId="0" applyFont="1" applyFill="1" applyBorder="1" applyAlignment="1">
      <alignment horizontal="center"/>
    </xf>
    <xf numFmtId="0" fontId="0" fillId="9" borderId="270" xfId="0" applyFill="1" applyBorder="1"/>
    <xf numFmtId="0" fontId="0" fillId="9" borderId="271" xfId="0" applyFill="1" applyBorder="1"/>
    <xf numFmtId="0" fontId="0" fillId="9" borderId="272" xfId="0" applyFill="1" applyBorder="1" applyAlignment="1">
      <alignment vertical="center" wrapText="1"/>
    </xf>
    <xf numFmtId="0" fontId="2" fillId="0" borderId="0" xfId="0" applyNumberFormat="1" applyFont="1" applyFill="1" applyAlignment="1">
      <alignment horizontal="center"/>
    </xf>
    <xf numFmtId="0" fontId="1" fillId="0" borderId="0" xfId="0" quotePrefix="1" applyNumberFormat="1" applyFont="1" applyFill="1" applyAlignment="1"/>
    <xf numFmtId="0" fontId="11" fillId="0" borderId="0" xfId="1" applyBorder="1" applyAlignment="1" applyProtection="1">
      <alignment horizontal="center"/>
    </xf>
    <xf numFmtId="0" fontId="0" fillId="24" borderId="273" xfId="0" applyFill="1" applyBorder="1"/>
    <xf numFmtId="0" fontId="6" fillId="24" borderId="274" xfId="0" applyFont="1" applyFill="1" applyBorder="1" applyAlignment="1">
      <alignment horizontal="center"/>
    </xf>
    <xf numFmtId="0" fontId="6" fillId="24" borderId="275" xfId="0" applyFont="1" applyFill="1" applyBorder="1" applyAlignment="1">
      <alignment horizontal="center"/>
    </xf>
    <xf numFmtId="0" fontId="6" fillId="24" borderId="276" xfId="0" applyFont="1" applyFill="1" applyBorder="1" applyAlignment="1">
      <alignment horizontal="center"/>
    </xf>
    <xf numFmtId="0" fontId="11" fillId="0" borderId="0" xfId="1" applyNumberFormat="1" applyBorder="1" applyAlignment="1" applyProtection="1">
      <alignment horizontal="center" vertical="top"/>
    </xf>
    <xf numFmtId="0" fontId="0" fillId="0" borderId="0" xfId="0" applyBorder="1" applyAlignment="1">
      <alignment horizontal="center" vertical="top"/>
    </xf>
    <xf numFmtId="18" fontId="0" fillId="0" borderId="88" xfId="0" applyNumberFormat="1" applyFill="1" applyBorder="1" applyAlignment="1">
      <alignment vertical="top"/>
    </xf>
    <xf numFmtId="18" fontId="0" fillId="0" borderId="87" xfId="0" applyNumberFormat="1" applyFill="1" applyBorder="1" applyAlignment="1">
      <alignment vertical="top"/>
    </xf>
    <xf numFmtId="0" fontId="11" fillId="0" borderId="0" xfId="1" applyBorder="1" applyAlignment="1" applyProtection="1">
      <alignment horizontal="center" vertical="center" textRotation="180"/>
    </xf>
    <xf numFmtId="0" fontId="0" fillId="0" borderId="0" xfId="0" applyBorder="1" applyAlignment="1">
      <alignment horizontal="center" vertical="center"/>
    </xf>
    <xf numFmtId="0" fontId="1" fillId="0" borderId="0" xfId="0" applyFont="1" applyFill="1" applyAlignment="1">
      <alignment horizontal="center"/>
    </xf>
    <xf numFmtId="0" fontId="3" fillId="0" borderId="277" xfId="0" applyNumberFormat="1" applyFont="1" applyBorder="1" applyAlignment="1">
      <alignment horizontal="center"/>
    </xf>
    <xf numFmtId="1" fontId="3" fillId="0" borderId="277" xfId="0" applyNumberFormat="1" applyFont="1" applyBorder="1" applyAlignment="1">
      <alignment horizontal="center"/>
    </xf>
    <xf numFmtId="1" fontId="3" fillId="0" borderId="253" xfId="0" applyNumberFormat="1" applyFont="1" applyBorder="1" applyAlignment="1">
      <alignment horizontal="center"/>
    </xf>
    <xf numFmtId="0" fontId="3" fillId="0" borderId="278" xfId="0" applyNumberFormat="1" applyFont="1" applyBorder="1" applyAlignment="1">
      <alignment horizontal="center"/>
    </xf>
    <xf numFmtId="0" fontId="40" fillId="0" borderId="279" xfId="0" applyNumberFormat="1" applyFont="1" applyBorder="1" applyAlignment="1">
      <alignment horizontal="center"/>
    </xf>
    <xf numFmtId="0" fontId="40" fillId="0" borderId="280" xfId="0" applyNumberFormat="1" applyFont="1" applyBorder="1" applyAlignment="1">
      <alignment horizontal="center"/>
    </xf>
    <xf numFmtId="0" fontId="49" fillId="0" borderId="281" xfId="0" applyNumberFormat="1" applyFont="1" applyBorder="1" applyAlignment="1"/>
    <xf numFmtId="0" fontId="2" fillId="0" borderId="282" xfId="0" applyNumberFormat="1" applyFont="1" applyFill="1" applyBorder="1" applyAlignment="1"/>
    <xf numFmtId="1" fontId="1" fillId="0" borderId="282" xfId="0" applyNumberFormat="1" applyFont="1" applyBorder="1"/>
    <xf numFmtId="0" fontId="1" fillId="0" borderId="283" xfId="0" applyNumberFormat="1" applyFont="1" applyBorder="1" applyAlignment="1"/>
    <xf numFmtId="0" fontId="49" fillId="0" borderId="284" xfId="0" applyNumberFormat="1" applyFont="1" applyBorder="1" applyAlignment="1"/>
    <xf numFmtId="0" fontId="2" fillId="0" borderId="0" xfId="0" applyNumberFormat="1" applyFont="1" applyFill="1" applyBorder="1" applyAlignment="1"/>
    <xf numFmtId="0" fontId="1" fillId="0" borderId="285" xfId="0" applyNumberFormat="1" applyFont="1" applyBorder="1" applyAlignment="1"/>
    <xf numFmtId="0" fontId="49" fillId="0" borderId="286" xfId="0" applyNumberFormat="1" applyFont="1" applyBorder="1" applyAlignment="1"/>
    <xf numFmtId="0" fontId="2" fillId="0" borderId="287" xfId="0" applyNumberFormat="1" applyFont="1" applyFill="1" applyBorder="1" applyAlignment="1"/>
    <xf numFmtId="1" fontId="1" fillId="0" borderId="287" xfId="0" applyNumberFormat="1" applyFont="1" applyBorder="1"/>
    <xf numFmtId="0" fontId="1" fillId="0" borderId="288" xfId="0" applyNumberFormat="1" applyFont="1" applyBorder="1" applyAlignment="1"/>
    <xf numFmtId="0" fontId="49" fillId="0" borderId="163" xfId="0" applyNumberFormat="1" applyFont="1" applyBorder="1" applyAlignment="1"/>
    <xf numFmtId="0" fontId="1" fillId="0" borderId="163" xfId="0" applyNumberFormat="1" applyFont="1" applyBorder="1" applyAlignment="1"/>
    <xf numFmtId="0" fontId="49" fillId="0" borderId="0" xfId="0" applyNumberFormat="1" applyFont="1" applyBorder="1" applyAlignment="1"/>
    <xf numFmtId="0" fontId="1" fillId="0" borderId="0" xfId="0" applyNumberFormat="1" applyFont="1" applyBorder="1" applyAlignment="1">
      <alignment wrapText="1"/>
    </xf>
    <xf numFmtId="49" fontId="1" fillId="0" borderId="0" xfId="0" applyNumberFormat="1" applyFont="1" applyAlignment="1">
      <alignment horizontal="center" vertical="center"/>
    </xf>
    <xf numFmtId="172" fontId="0" fillId="0" borderId="0" xfId="0" applyNumberFormat="1"/>
    <xf numFmtId="0" fontId="14" fillId="0" borderId="0" xfId="0" applyNumberFormat="1" applyFont="1" applyAlignment="1"/>
    <xf numFmtId="0" fontId="50" fillId="0" borderId="0" xfId="0" applyFont="1" applyBorder="1"/>
    <xf numFmtId="0" fontId="18" fillId="0" borderId="0" xfId="0" applyFont="1"/>
    <xf numFmtId="0" fontId="51" fillId="0" borderId="0" xfId="0" applyFont="1" applyBorder="1"/>
    <xf numFmtId="0" fontId="43" fillId="0" borderId="0" xfId="0" applyFont="1"/>
    <xf numFmtId="172" fontId="43" fillId="0" borderId="0" xfId="0" applyNumberFormat="1" applyFont="1"/>
    <xf numFmtId="0" fontId="43" fillId="0" borderId="0" xfId="0" applyFont="1" applyBorder="1"/>
    <xf numFmtId="0" fontId="52" fillId="0" borderId="0" xfId="0" applyFont="1" applyBorder="1"/>
    <xf numFmtId="0" fontId="52" fillId="0" borderId="0" xfId="0" applyFont="1" applyFill="1" applyBorder="1"/>
    <xf numFmtId="0" fontId="43" fillId="0" borderId="0" xfId="0" applyFont="1" applyFill="1"/>
    <xf numFmtId="0" fontId="43" fillId="25" borderId="0" xfId="0" applyFont="1" applyFill="1"/>
    <xf numFmtId="0" fontId="52" fillId="25" borderId="0" xfId="0" applyFont="1" applyFill="1" applyBorder="1"/>
    <xf numFmtId="0" fontId="43" fillId="25" borderId="0" xfId="0" applyFont="1" applyFill="1" applyBorder="1"/>
    <xf numFmtId="0" fontId="43" fillId="0" borderId="0" xfId="0" applyFont="1" applyFill="1" applyBorder="1"/>
    <xf numFmtId="172" fontId="43" fillId="0" borderId="0" xfId="0" applyNumberFormat="1" applyFont="1" applyAlignment="1">
      <alignment textRotation="180"/>
    </xf>
    <xf numFmtId="172" fontId="43" fillId="0" borderId="0" xfId="0" applyNumberFormat="1" applyFont="1" applyBorder="1" applyAlignment="1">
      <alignment textRotation="180"/>
    </xf>
    <xf numFmtId="0" fontId="44" fillId="0" borderId="0" xfId="0" applyFont="1" applyAlignment="1">
      <alignment horizontal="center" vertical="center"/>
    </xf>
    <xf numFmtId="49" fontId="44" fillId="0" borderId="0" xfId="0" applyNumberFormat="1" applyFont="1" applyAlignment="1">
      <alignment horizontal="center" vertical="center"/>
    </xf>
    <xf numFmtId="0" fontId="44" fillId="0" borderId="0" xfId="0" applyFont="1"/>
    <xf numFmtId="0" fontId="52" fillId="0" borderId="289" xfId="0" applyFont="1" applyBorder="1"/>
    <xf numFmtId="0" fontId="52" fillId="0" borderId="289" xfId="0" applyFont="1" applyFill="1" applyBorder="1"/>
    <xf numFmtId="0" fontId="52" fillId="25" borderId="289" xfId="0" applyFont="1" applyFill="1" applyBorder="1"/>
    <xf numFmtId="0" fontId="52" fillId="0" borderId="290" xfId="0" applyFont="1" applyFill="1" applyBorder="1"/>
    <xf numFmtId="0" fontId="52" fillId="0" borderId="290" xfId="0" applyFont="1" applyBorder="1"/>
    <xf numFmtId="0" fontId="52" fillId="25" borderId="290" xfId="0" applyFont="1" applyFill="1" applyBorder="1"/>
    <xf numFmtId="0" fontId="52" fillId="0" borderId="291" xfId="0" applyFont="1" applyFill="1" applyBorder="1"/>
    <xf numFmtId="0" fontId="52" fillId="25" borderId="291" xfId="0" applyFont="1" applyFill="1" applyBorder="1"/>
    <xf numFmtId="0" fontId="52" fillId="0" borderId="292" xfId="0" applyFont="1" applyFill="1" applyBorder="1"/>
    <xf numFmtId="0" fontId="52" fillId="0" borderId="293" xfId="0" applyFont="1" applyBorder="1"/>
    <xf numFmtId="0" fontId="52" fillId="0" borderId="291" xfId="0" applyFont="1" applyBorder="1"/>
    <xf numFmtId="0" fontId="3" fillId="0" borderId="208" xfId="0" applyFont="1" applyBorder="1"/>
    <xf numFmtId="0" fontId="14" fillId="0" borderId="206" xfId="0" applyFont="1" applyBorder="1" applyAlignment="1"/>
    <xf numFmtId="1" fontId="22" fillId="16" borderId="294" xfId="0" applyNumberFormat="1" applyFont="1" applyFill="1" applyBorder="1" applyAlignment="1">
      <alignment horizontal="center" vertical="center"/>
    </xf>
    <xf numFmtId="0" fontId="21" fillId="16" borderId="236" xfId="0" applyNumberFormat="1" applyFont="1" applyFill="1" applyBorder="1" applyAlignment="1">
      <alignment horizontal="center"/>
    </xf>
    <xf numFmtId="0" fontId="0" fillId="0" borderId="1" xfId="0" applyFill="1" applyBorder="1"/>
    <xf numFmtId="169" fontId="0" fillId="0" borderId="1" xfId="0" applyNumberFormat="1" applyFill="1" applyBorder="1" applyAlignment="1">
      <alignment horizontal="center"/>
    </xf>
    <xf numFmtId="18" fontId="0" fillId="0" borderId="0" xfId="0" applyNumberFormat="1" applyFill="1" applyBorder="1" applyAlignment="1"/>
    <xf numFmtId="2" fontId="0" fillId="0" borderId="0" xfId="0" applyNumberFormat="1" applyFill="1" applyBorder="1" applyAlignment="1">
      <alignment horizontal="center"/>
    </xf>
    <xf numFmtId="0" fontId="0" fillId="0" borderId="94" xfId="0" applyFill="1" applyBorder="1"/>
    <xf numFmtId="0" fontId="0" fillId="0" borderId="0" xfId="0" applyFill="1" applyAlignment="1">
      <alignment horizontal="center"/>
    </xf>
    <xf numFmtId="0" fontId="0" fillId="0" borderId="94" xfId="0" applyNumberFormat="1" applyFill="1" applyBorder="1" applyAlignment="1">
      <alignment horizontal="center" vertical="top"/>
    </xf>
    <xf numFmtId="18" fontId="0" fillId="0" borderId="0" xfId="0" applyNumberFormat="1" applyFill="1"/>
    <xf numFmtId="20" fontId="0" fillId="0" borderId="94" xfId="0" applyNumberFormat="1" applyFill="1" applyBorder="1" applyAlignment="1" applyProtection="1">
      <alignment vertical="top"/>
    </xf>
    <xf numFmtId="0" fontId="21" fillId="16" borderId="295" xfId="0" applyNumberFormat="1" applyFont="1" applyFill="1" applyBorder="1" applyAlignment="1">
      <alignment horizontal="center"/>
    </xf>
    <xf numFmtId="168" fontId="1" fillId="0" borderId="1" xfId="0" applyNumberFormat="1" applyFont="1" applyFill="1" applyBorder="1" applyAlignment="1">
      <alignment vertical="top"/>
    </xf>
    <xf numFmtId="0" fontId="44" fillId="0" borderId="0" xfId="0" applyFont="1" applyAlignment="1">
      <alignment horizontal="center"/>
    </xf>
    <xf numFmtId="0" fontId="53" fillId="0" borderId="0" xfId="0" applyFont="1" applyAlignment="1">
      <alignment horizontal="center"/>
    </xf>
    <xf numFmtId="11" fontId="27" fillId="0" borderId="0" xfId="0" applyNumberFormat="1" applyFont="1" applyBorder="1" applyAlignment="1">
      <alignment vertical="top"/>
    </xf>
    <xf numFmtId="1" fontId="27" fillId="8" borderId="296" xfId="0" applyNumberFormat="1" applyFont="1" applyFill="1" applyBorder="1" applyAlignment="1">
      <alignment horizontal="center"/>
    </xf>
    <xf numFmtId="0" fontId="27" fillId="8" borderId="297" xfId="0" applyFont="1" applyFill="1" applyBorder="1" applyAlignment="1">
      <alignment horizontal="center"/>
    </xf>
    <xf numFmtId="1" fontId="27" fillId="8" borderId="298" xfId="0" applyNumberFormat="1" applyFont="1" applyFill="1" applyBorder="1" applyAlignment="1">
      <alignment horizontal="center"/>
    </xf>
    <xf numFmtId="0" fontId="27" fillId="8" borderId="299" xfId="0" applyFont="1" applyFill="1" applyBorder="1" applyAlignment="1">
      <alignment horizontal="center"/>
    </xf>
    <xf numFmtId="0" fontId="27" fillId="0" borderId="300" xfId="0" applyNumberFormat="1" applyFont="1" applyFill="1" applyBorder="1" applyAlignment="1">
      <alignment horizontal="center"/>
    </xf>
    <xf numFmtId="11" fontId="27" fillId="0" borderId="301" xfId="0" applyNumberFormat="1" applyFont="1" applyFill="1" applyBorder="1" applyAlignment="1">
      <alignment horizontal="center"/>
    </xf>
    <xf numFmtId="11" fontId="27" fillId="0" borderId="302" xfId="0" applyNumberFormat="1" applyFont="1" applyFill="1" applyBorder="1" applyAlignment="1">
      <alignment horizontal="center"/>
    </xf>
    <xf numFmtId="0" fontId="27" fillId="0" borderId="303" xfId="0" applyNumberFormat="1" applyFont="1" applyFill="1" applyBorder="1" applyAlignment="1">
      <alignment horizontal="center"/>
    </xf>
    <xf numFmtId="11" fontId="27" fillId="0" borderId="304" xfId="0" applyNumberFormat="1" applyFont="1" applyFill="1" applyBorder="1" applyAlignment="1">
      <alignment horizontal="center"/>
    </xf>
    <xf numFmtId="11" fontId="14" fillId="0" borderId="305" xfId="0" applyNumberFormat="1" applyFont="1" applyFill="1" applyBorder="1" applyAlignment="1">
      <alignment horizontal="center"/>
    </xf>
    <xf numFmtId="11" fontId="27" fillId="0" borderId="307" xfId="0" applyNumberFormat="1" applyFont="1" applyBorder="1" applyAlignment="1">
      <alignment vertical="top"/>
    </xf>
    <xf numFmtId="0" fontId="14" fillId="0" borderId="308" xfId="0" applyFont="1" applyBorder="1" applyAlignment="1">
      <alignment horizontal="center" vertical="top"/>
    </xf>
    <xf numFmtId="11" fontId="27" fillId="0" borderId="308" xfId="0" applyNumberFormat="1" applyFont="1" applyBorder="1" applyAlignment="1">
      <alignment horizontal="center" vertical="top"/>
    </xf>
    <xf numFmtId="0" fontId="14" fillId="0" borderId="309" xfId="0" applyFont="1" applyBorder="1" applyAlignment="1">
      <alignment horizontal="center" vertical="top"/>
    </xf>
    <xf numFmtId="2" fontId="9" fillId="0" borderId="163" xfId="0" applyNumberFormat="1" applyFont="1" applyFill="1" applyBorder="1"/>
    <xf numFmtId="2" fontId="9" fillId="0" borderId="165" xfId="0" applyNumberFormat="1" applyFont="1" applyBorder="1" applyAlignment="1">
      <alignment horizontal="right" indent="1"/>
    </xf>
    <xf numFmtId="0" fontId="14" fillId="26" borderId="310" xfId="0" applyFont="1" applyFill="1" applyBorder="1" applyAlignment="1">
      <alignment horizontal="center" vertical="center"/>
    </xf>
    <xf numFmtId="0" fontId="14" fillId="26" borderId="311" xfId="0" applyFont="1" applyFill="1" applyBorder="1" applyAlignment="1">
      <alignment horizontal="center" vertical="center"/>
    </xf>
    <xf numFmtId="0" fontId="14" fillId="26" borderId="312" xfId="0" applyFont="1" applyFill="1" applyBorder="1" applyAlignment="1"/>
    <xf numFmtId="0" fontId="0" fillId="9" borderId="313" xfId="0" applyFill="1" applyBorder="1" applyAlignment="1">
      <alignment vertical="top" wrapText="1"/>
    </xf>
    <xf numFmtId="0" fontId="0" fillId="9" borderId="314" xfId="0" applyFill="1" applyBorder="1" applyAlignment="1">
      <alignment vertical="top" wrapText="1"/>
    </xf>
    <xf numFmtId="0" fontId="18" fillId="9" borderId="315" xfId="0" applyFont="1" applyFill="1" applyBorder="1" applyAlignment="1">
      <alignment horizontal="left" vertical="center" wrapText="1"/>
    </xf>
    <xf numFmtId="0" fontId="18" fillId="9" borderId="316" xfId="0" applyFont="1" applyFill="1" applyBorder="1" applyAlignment="1">
      <alignment horizontal="left" vertical="center" wrapText="1"/>
    </xf>
    <xf numFmtId="0" fontId="18" fillId="9" borderId="317" xfId="0" applyFont="1" applyFill="1" applyBorder="1" applyAlignment="1">
      <alignment horizontal="left" vertical="top"/>
    </xf>
    <xf numFmtId="0" fontId="18" fillId="9" borderId="318" xfId="0" applyFont="1" applyFill="1" applyBorder="1" applyAlignment="1"/>
    <xf numFmtId="0" fontId="0" fillId="9" borderId="319" xfId="0" applyFill="1" applyBorder="1" applyAlignment="1">
      <alignment vertical="top" wrapText="1"/>
    </xf>
    <xf numFmtId="0" fontId="1" fillId="0" borderId="190" xfId="0" applyFont="1" applyBorder="1" applyAlignment="1">
      <alignment vertical="top" wrapText="1"/>
    </xf>
    <xf numFmtId="0" fontId="1" fillId="0" borderId="191" xfId="0" applyFont="1" applyBorder="1" applyAlignment="1">
      <alignment vertical="top" wrapText="1"/>
    </xf>
    <xf numFmtId="0" fontId="43" fillId="0" borderId="0" xfId="0" applyNumberFormat="1" applyFont="1"/>
    <xf numFmtId="14" fontId="43" fillId="0" borderId="0" xfId="0" applyNumberFormat="1" applyFont="1"/>
    <xf numFmtId="0" fontId="1" fillId="0" borderId="191" xfId="0" applyNumberFormat="1" applyFont="1" applyBorder="1" applyAlignment="1">
      <alignment vertical="top" wrapText="1"/>
    </xf>
    <xf numFmtId="11" fontId="0" fillId="0" borderId="195" xfId="0" applyNumberFormat="1" applyBorder="1"/>
    <xf numFmtId="0" fontId="0" fillId="0" borderId="195" xfId="0" applyNumberFormat="1" applyBorder="1"/>
    <xf numFmtId="11" fontId="0" fillId="0" borderId="198" xfId="0" applyNumberFormat="1" applyBorder="1"/>
    <xf numFmtId="0" fontId="1" fillId="0" borderId="197" xfId="0" applyFont="1" applyBorder="1"/>
    <xf numFmtId="0" fontId="3" fillId="27" borderId="95" xfId="0" applyFont="1" applyFill="1" applyBorder="1" applyAlignment="1">
      <alignment horizontal="center"/>
    </xf>
    <xf numFmtId="0" fontId="3" fillId="27" borderId="96" xfId="0" applyFont="1" applyFill="1" applyBorder="1" applyAlignment="1">
      <alignment horizontal="center"/>
    </xf>
    <xf numFmtId="0" fontId="3" fillId="27" borderId="97" xfId="0" applyFont="1" applyFill="1" applyBorder="1" applyAlignment="1">
      <alignment horizontal="center"/>
    </xf>
    <xf numFmtId="49" fontId="1" fillId="0" borderId="100" xfId="0" applyNumberFormat="1" applyFont="1" applyBorder="1" applyAlignment="1">
      <alignment horizontal="center"/>
    </xf>
    <xf numFmtId="14" fontId="1" fillId="0" borderId="82" xfId="0" applyNumberFormat="1" applyFont="1" applyBorder="1" applyAlignment="1">
      <alignment horizontal="center"/>
    </xf>
    <xf numFmtId="0" fontId="1" fillId="0" borderId="82" xfId="0" applyFont="1" applyBorder="1" applyAlignment="1">
      <alignment horizontal="center"/>
    </xf>
    <xf numFmtId="49" fontId="1" fillId="0" borderId="101" xfId="0" applyNumberFormat="1" applyFont="1" applyBorder="1" applyAlignment="1">
      <alignment horizontal="center"/>
    </xf>
    <xf numFmtId="0" fontId="1" fillId="0" borderId="71" xfId="0" applyFont="1" applyBorder="1" applyAlignment="1">
      <alignment horizontal="center"/>
    </xf>
    <xf numFmtId="0" fontId="1" fillId="0" borderId="102" xfId="0" applyFont="1" applyBorder="1" applyAlignment="1">
      <alignment horizontal="left" wrapText="1" indent="1"/>
    </xf>
    <xf numFmtId="0" fontId="21" fillId="16" borderId="236" xfId="0" applyNumberFormat="1" applyFont="1" applyFill="1" applyBorder="1" applyAlignment="1">
      <alignment horizontal="center"/>
    </xf>
    <xf numFmtId="168" fontId="0" fillId="0" borderId="90" xfId="0" applyNumberFormat="1" applyFill="1" applyBorder="1" applyAlignment="1">
      <alignment vertical="top"/>
    </xf>
    <xf numFmtId="18" fontId="0" fillId="0" borderId="90" xfId="0" applyNumberFormat="1" applyFill="1" applyBorder="1" applyAlignment="1">
      <alignment vertical="top"/>
    </xf>
    <xf numFmtId="0" fontId="0" fillId="0" borderId="90" xfId="0" applyFill="1" applyBorder="1" applyAlignment="1">
      <alignment horizontal="center" vertical="top"/>
    </xf>
    <xf numFmtId="0" fontId="0" fillId="0" borderId="90" xfId="0" applyFill="1" applyBorder="1" applyAlignment="1">
      <alignment horizontal="right" vertical="top"/>
    </xf>
    <xf numFmtId="0" fontId="0" fillId="0" borderId="320" xfId="0" applyFill="1" applyBorder="1" applyAlignment="1">
      <alignment horizontal="right" vertical="top"/>
    </xf>
    <xf numFmtId="167" fontId="0" fillId="0" borderId="321" xfId="0" applyNumberFormat="1" applyFill="1" applyBorder="1" applyAlignment="1">
      <alignment horizontal="right" vertical="top"/>
    </xf>
    <xf numFmtId="0" fontId="0" fillId="0" borderId="167" xfId="0" applyFill="1" applyBorder="1" applyAlignment="1">
      <alignment horizontal="right" vertical="top"/>
    </xf>
    <xf numFmtId="167" fontId="0" fillId="0" borderId="171" xfId="0" applyNumberFormat="1" applyFill="1" applyBorder="1" applyAlignment="1">
      <alignment horizontal="right" vertical="top"/>
    </xf>
    <xf numFmtId="0" fontId="0" fillId="0" borderId="167" xfId="0" applyFill="1" applyBorder="1" applyAlignment="1" applyProtection="1">
      <alignment horizontal="right" vertical="top"/>
      <protection locked="0"/>
    </xf>
    <xf numFmtId="0" fontId="0" fillId="0" borderId="167" xfId="0" applyNumberFormat="1" applyFill="1" applyBorder="1" applyAlignment="1">
      <alignment horizontal="right" vertical="top"/>
    </xf>
    <xf numFmtId="0" fontId="0" fillId="0" borderId="167" xfId="0" applyFill="1" applyBorder="1"/>
    <xf numFmtId="167" fontId="0" fillId="0" borderId="59" xfId="0" applyNumberFormat="1" applyFill="1" applyBorder="1" applyAlignment="1">
      <alignment horizontal="right" vertical="top"/>
    </xf>
    <xf numFmtId="170" fontId="0" fillId="0" borderId="90" xfId="0" applyNumberFormat="1" applyFill="1" applyBorder="1" applyAlignment="1">
      <alignment vertical="top"/>
    </xf>
    <xf numFmtId="167" fontId="0" fillId="0" borderId="103" xfId="0" applyNumberFormat="1" applyFill="1" applyBorder="1" applyAlignment="1">
      <alignment horizontal="right" vertical="top"/>
    </xf>
    <xf numFmtId="167" fontId="0" fillId="0" borderId="22" xfId="0" applyNumberFormat="1" applyFill="1" applyBorder="1" applyAlignment="1">
      <alignment horizontal="right" vertical="top"/>
    </xf>
    <xf numFmtId="168" fontId="0" fillId="0" borderId="322" xfId="0" applyNumberFormat="1" applyFill="1" applyBorder="1" applyAlignment="1">
      <alignment vertical="top"/>
    </xf>
    <xf numFmtId="18" fontId="0" fillId="0" borderId="322" xfId="0" applyNumberFormat="1" applyFill="1" applyBorder="1" applyAlignment="1">
      <alignment vertical="top"/>
    </xf>
    <xf numFmtId="0" fontId="0" fillId="0" borderId="322" xfId="0" applyFill="1" applyBorder="1" applyAlignment="1">
      <alignment vertical="top"/>
    </xf>
    <xf numFmtId="0" fontId="0" fillId="0" borderId="322" xfId="0" applyFill="1" applyBorder="1" applyAlignment="1">
      <alignment horizontal="center" vertical="top"/>
    </xf>
    <xf numFmtId="0" fontId="0" fillId="0" borderId="322" xfId="0" applyFill="1" applyBorder="1" applyAlignment="1">
      <alignment horizontal="right" vertical="top"/>
    </xf>
    <xf numFmtId="167" fontId="0" fillId="0" borderId="323" xfId="0" applyNumberFormat="1" applyFill="1" applyBorder="1" applyAlignment="1">
      <alignment horizontal="right" vertical="top"/>
    </xf>
    <xf numFmtId="167" fontId="0" fillId="0" borderId="104" xfId="0" applyNumberFormat="1" applyFill="1" applyBorder="1" applyAlignment="1">
      <alignment horizontal="right" vertical="top"/>
    </xf>
    <xf numFmtId="0" fontId="0" fillId="0" borderId="105" xfId="0" applyFill="1" applyBorder="1" applyAlignment="1">
      <alignment vertical="top"/>
    </xf>
    <xf numFmtId="168" fontId="0" fillId="0" borderId="106" xfId="0" applyNumberFormat="1" applyFill="1" applyBorder="1" applyAlignment="1">
      <alignment vertical="top"/>
    </xf>
    <xf numFmtId="18" fontId="0" fillId="0" borderId="106" xfId="0" applyNumberFormat="1" applyFill="1" applyBorder="1" applyAlignment="1">
      <alignment vertical="top"/>
    </xf>
    <xf numFmtId="0" fontId="1" fillId="0" borderId="106" xfId="0" applyFont="1" applyFill="1" applyBorder="1" applyAlignment="1">
      <alignment vertical="top"/>
    </xf>
    <xf numFmtId="0" fontId="1" fillId="0" borderId="106" xfId="0" applyFont="1" applyFill="1" applyBorder="1" applyAlignment="1">
      <alignment horizontal="center" vertical="top"/>
    </xf>
    <xf numFmtId="0" fontId="0" fillId="0" borderId="106" xfId="0" applyFill="1" applyBorder="1" applyAlignment="1">
      <alignment horizontal="right" vertical="top"/>
    </xf>
    <xf numFmtId="167" fontId="0" fillId="0" borderId="63" xfId="0" applyNumberFormat="1" applyFill="1" applyBorder="1"/>
    <xf numFmtId="0" fontId="6" fillId="4" borderId="107" xfId="0" applyFont="1" applyFill="1" applyBorder="1" applyAlignment="1">
      <alignment horizontal="center"/>
    </xf>
    <xf numFmtId="0" fontId="6" fillId="4" borderId="108" xfId="0" applyFont="1" applyFill="1" applyBorder="1" applyAlignment="1">
      <alignment horizontal="center" wrapText="1"/>
    </xf>
    <xf numFmtId="0" fontId="6" fillId="0" borderId="0" xfId="0" applyFont="1" applyFill="1" applyBorder="1" applyAlignment="1"/>
    <xf numFmtId="0" fontId="6" fillId="0" borderId="0" xfId="0" applyFont="1" applyFill="1" applyBorder="1" applyAlignment="1">
      <alignment horizontal="center" wrapText="1"/>
    </xf>
    <xf numFmtId="0" fontId="3" fillId="0" borderId="109" xfId="0" applyFont="1" applyBorder="1"/>
    <xf numFmtId="0" fontId="1" fillId="0" borderId="0" xfId="0" applyFont="1" applyBorder="1" applyAlignment="1">
      <alignment wrapText="1"/>
    </xf>
    <xf numFmtId="0" fontId="3" fillId="0" borderId="0" xfId="0" applyFont="1" applyFill="1" applyBorder="1" applyAlignment="1">
      <alignment horizontal="center" wrapText="1"/>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0" borderId="112" xfId="0" applyFont="1" applyBorder="1" applyAlignment="1">
      <alignment horizontal="center" vertical="center"/>
    </xf>
    <xf numFmtId="0" fontId="3" fillId="13" borderId="324" xfId="0" applyFont="1" applyFill="1" applyBorder="1" applyAlignment="1">
      <alignment horizontal="center"/>
    </xf>
    <xf numFmtId="0" fontId="3" fillId="13" borderId="325" xfId="0" applyFont="1" applyFill="1" applyBorder="1" applyAlignment="1">
      <alignment horizontal="center" wrapText="1"/>
    </xf>
    <xf numFmtId="0" fontId="1" fillId="0" borderId="326" xfId="0" applyFont="1" applyBorder="1" applyAlignment="1">
      <alignment horizontal="center" vertical="center"/>
    </xf>
    <xf numFmtId="0" fontId="1" fillId="0" borderId="327" xfId="0" applyFont="1" applyBorder="1" applyAlignment="1">
      <alignment wrapText="1"/>
    </xf>
    <xf numFmtId="0" fontId="1" fillId="0" borderId="328" xfId="0" applyFont="1" applyBorder="1" applyAlignment="1">
      <alignment horizontal="center" vertical="center"/>
    </xf>
    <xf numFmtId="0" fontId="1" fillId="0" borderId="329" xfId="0" applyFont="1" applyBorder="1" applyAlignment="1">
      <alignment wrapText="1"/>
    </xf>
    <xf numFmtId="1" fontId="22" fillId="28" borderId="237" xfId="0" applyNumberFormat="1" applyFont="1" applyFill="1" applyBorder="1" applyAlignment="1">
      <alignment horizontal="center" vertical="center"/>
    </xf>
    <xf numFmtId="0" fontId="21" fillId="28" borderId="242" xfId="0" applyNumberFormat="1" applyFont="1" applyFill="1" applyBorder="1" applyAlignment="1">
      <alignment horizontal="center"/>
    </xf>
    <xf numFmtId="0" fontId="43" fillId="0" borderId="290" xfId="0" applyFont="1" applyBorder="1"/>
    <xf numFmtId="0" fontId="43" fillId="0" borderId="289" xfId="0" applyFont="1" applyBorder="1"/>
    <xf numFmtId="0" fontId="43" fillId="0" borderId="330" xfId="0" applyFont="1" applyBorder="1"/>
    <xf numFmtId="0" fontId="43" fillId="0" borderId="331" xfId="0" applyFont="1" applyBorder="1"/>
    <xf numFmtId="0" fontId="43" fillId="0" borderId="332" xfId="0" applyFont="1" applyBorder="1"/>
    <xf numFmtId="0" fontId="0" fillId="0" borderId="0" xfId="0" applyAlignment="1">
      <alignment horizontal="left"/>
    </xf>
    <xf numFmtId="0" fontId="1" fillId="0" borderId="113" xfId="0" applyFont="1" applyBorder="1" applyAlignment="1">
      <alignment horizontal="left" vertical="top" wrapText="1" indent="1"/>
    </xf>
    <xf numFmtId="0" fontId="1" fillId="0" borderId="114" xfId="0" applyFont="1" applyBorder="1" applyAlignment="1">
      <alignment horizontal="left" vertical="top" wrapText="1" indent="1"/>
    </xf>
    <xf numFmtId="0" fontId="35" fillId="0" borderId="0" xfId="0" applyFont="1" applyAlignment="1">
      <alignment horizontal="center" vertical="top" wrapText="1"/>
    </xf>
    <xf numFmtId="0" fontId="0" fillId="0" borderId="1" xfId="0" applyBorder="1" applyAlignment="1">
      <alignment horizontal="center"/>
    </xf>
    <xf numFmtId="0" fontId="0" fillId="0" borderId="162" xfId="0" applyBorder="1" applyAlignment="1">
      <alignment horizontal="center"/>
    </xf>
    <xf numFmtId="167" fontId="0" fillId="0" borderId="0" xfId="0" applyNumberFormat="1" applyFill="1" applyBorder="1" applyAlignment="1">
      <alignment horizontal="center"/>
    </xf>
    <xf numFmtId="0" fontId="3" fillId="0" borderId="0" xfId="0" applyFont="1" applyAlignment="1">
      <alignment horizontal="center"/>
    </xf>
    <xf numFmtId="0" fontId="0" fillId="0" borderId="0" xfId="0" applyFont="1" applyAlignment="1">
      <alignment horizontal="center"/>
    </xf>
    <xf numFmtId="0" fontId="1" fillId="0" borderId="195" xfId="0" applyNumberFormat="1" applyFont="1" applyBorder="1" applyAlignment="1">
      <alignment vertical="top" wrapText="1"/>
    </xf>
    <xf numFmtId="0" fontId="54" fillId="0" borderId="0" xfId="0" applyFont="1" applyAlignment="1">
      <alignment vertical="center"/>
    </xf>
    <xf numFmtId="0" fontId="55" fillId="0" borderId="0" xfId="0" applyFont="1" applyAlignment="1">
      <alignment horizontal="left"/>
    </xf>
    <xf numFmtId="0" fontId="55" fillId="0" borderId="0" xfId="0" applyFont="1"/>
    <xf numFmtId="0" fontId="6" fillId="0" borderId="0" xfId="0" applyFont="1" applyBorder="1" applyAlignment="1">
      <alignment horizontal="center"/>
    </xf>
    <xf numFmtId="0" fontId="7" fillId="0" borderId="0" xfId="0" applyFont="1" applyAlignment="1">
      <alignment horizontal="center"/>
    </xf>
    <xf numFmtId="0" fontId="0" fillId="0" borderId="0" xfId="0"/>
    <xf numFmtId="166" fontId="0" fillId="33" borderId="0" xfId="0" applyNumberFormat="1" applyFill="1" applyBorder="1"/>
    <xf numFmtId="171" fontId="0" fillId="33" borderId="0" xfId="0" applyNumberFormat="1" applyFill="1" applyBorder="1"/>
    <xf numFmtId="0" fontId="0" fillId="33" borderId="20" xfId="0" applyFill="1" applyBorder="1" applyAlignment="1">
      <alignment vertical="top"/>
    </xf>
    <xf numFmtId="0" fontId="0" fillId="33" borderId="1" xfId="0" applyFill="1" applyBorder="1" applyAlignment="1">
      <alignment vertical="top"/>
    </xf>
    <xf numFmtId="168" fontId="0" fillId="33" borderId="1" xfId="0" applyNumberFormat="1" applyFill="1" applyBorder="1" applyAlignment="1">
      <alignment vertical="top"/>
    </xf>
    <xf numFmtId="0" fontId="0" fillId="33" borderId="1" xfId="0" applyNumberFormat="1" applyFill="1" applyBorder="1" applyAlignment="1">
      <alignment horizontal="right" vertical="top"/>
    </xf>
    <xf numFmtId="0" fontId="0" fillId="33" borderId="1" xfId="0" applyNumberFormat="1" applyFill="1" applyBorder="1" applyAlignment="1">
      <alignment horizontal="center" vertical="top"/>
    </xf>
    <xf numFmtId="0" fontId="0" fillId="33" borderId="1" xfId="0" applyFill="1" applyBorder="1" applyAlignment="1">
      <alignment horizontal="center" vertical="top"/>
    </xf>
    <xf numFmtId="18" fontId="0" fillId="33" borderId="1" xfId="0" applyNumberFormat="1" applyFill="1" applyBorder="1" applyAlignment="1">
      <alignment vertical="top"/>
    </xf>
    <xf numFmtId="0" fontId="14" fillId="33" borderId="22" xfId="0" applyFont="1" applyFill="1" applyBorder="1" applyAlignment="1">
      <alignment horizontal="left" vertical="top" wrapText="1" indent="1"/>
    </xf>
    <xf numFmtId="0" fontId="0" fillId="33" borderId="1" xfId="0" applyFill="1" applyBorder="1"/>
    <xf numFmtId="168" fontId="0" fillId="33" borderId="1" xfId="0" applyNumberFormat="1" applyFill="1" applyBorder="1"/>
    <xf numFmtId="0" fontId="0" fillId="33" borderId="1" xfId="0" applyNumberFormat="1" applyFill="1" applyBorder="1" applyAlignment="1">
      <alignment horizontal="right"/>
    </xf>
    <xf numFmtId="0" fontId="0" fillId="33" borderId="1" xfId="0" applyNumberFormat="1" applyFill="1" applyBorder="1" applyAlignment="1">
      <alignment horizontal="center"/>
    </xf>
    <xf numFmtId="0" fontId="0" fillId="33" borderId="1" xfId="0" applyFill="1" applyBorder="1" applyAlignment="1">
      <alignment horizontal="center"/>
    </xf>
    <xf numFmtId="0" fontId="0" fillId="33" borderId="0" xfId="0" applyFill="1"/>
    <xf numFmtId="0" fontId="1" fillId="33" borderId="1" xfId="0" applyFont="1" applyFill="1" applyBorder="1"/>
    <xf numFmtId="0" fontId="8" fillId="33" borderId="1" xfId="0" applyFont="1" applyFill="1" applyBorder="1" applyAlignment="1">
      <alignment horizontal="center"/>
    </xf>
    <xf numFmtId="0" fontId="0" fillId="33" borderId="19" xfId="0" applyFill="1" applyBorder="1" applyAlignment="1">
      <alignment horizontal="center" vertical="top"/>
    </xf>
    <xf numFmtId="2" fontId="14" fillId="11" borderId="306" xfId="0" applyNumberFormat="1" applyFont="1" applyFill="1" applyBorder="1"/>
    <xf numFmtId="2" fontId="14" fillId="11" borderId="388" xfId="0" applyNumberFormat="1" applyFont="1" applyFill="1" applyBorder="1"/>
    <xf numFmtId="0" fontId="0" fillId="11" borderId="0" xfId="0" applyFill="1" applyAlignment="1">
      <alignment horizontal="center"/>
    </xf>
    <xf numFmtId="167" fontId="0" fillId="0" borderId="0" xfId="0" applyNumberFormat="1" applyFill="1" applyBorder="1" applyAlignment="1">
      <alignment horizontal="right" vertical="top"/>
    </xf>
    <xf numFmtId="0" fontId="0" fillId="33" borderId="0" xfId="0" applyFill="1" applyAlignment="1">
      <alignment vertical="top"/>
    </xf>
    <xf numFmtId="0" fontId="0" fillId="0" borderId="0" xfId="0"/>
    <xf numFmtId="0" fontId="3" fillId="33" borderId="397" xfId="0" applyNumberFormat="1" applyFont="1" applyFill="1" applyBorder="1" applyAlignment="1">
      <alignment horizontal="center" vertical="center"/>
    </xf>
    <xf numFmtId="0" fontId="3" fillId="33" borderId="398" xfId="0" applyNumberFormat="1" applyFont="1" applyFill="1" applyBorder="1" applyAlignment="1">
      <alignment horizontal="center" vertical="center"/>
    </xf>
    <xf numFmtId="164" fontId="3" fillId="33" borderId="398" xfId="0" applyNumberFormat="1" applyFont="1" applyFill="1" applyBorder="1" applyAlignment="1">
      <alignment horizontal="center" vertical="center"/>
    </xf>
    <xf numFmtId="0" fontId="3" fillId="34" borderId="392" xfId="0" applyNumberFormat="1" applyFont="1" applyFill="1" applyBorder="1" applyAlignment="1">
      <alignment horizontal="center"/>
    </xf>
    <xf numFmtId="1" fontId="1" fillId="34" borderId="390" xfId="0" applyNumberFormat="1" applyFont="1" applyFill="1" applyBorder="1" applyAlignment="1">
      <alignment horizontal="center"/>
    </xf>
    <xf numFmtId="0" fontId="3" fillId="34" borderId="394" xfId="0" applyNumberFormat="1" applyFont="1" applyFill="1" applyBorder="1" applyAlignment="1">
      <alignment horizontal="center"/>
    </xf>
    <xf numFmtId="1" fontId="1" fillId="34" borderId="395" xfId="0" applyNumberFormat="1" applyFont="1" applyFill="1" applyBorder="1" applyAlignment="1">
      <alignment horizontal="center"/>
    </xf>
    <xf numFmtId="0" fontId="3" fillId="13" borderId="392" xfId="0" applyNumberFormat="1" applyFont="1" applyFill="1" applyBorder="1" applyAlignment="1">
      <alignment horizontal="center"/>
    </xf>
    <xf numFmtId="1" fontId="1" fillId="13" borderId="390" xfId="0" applyNumberFormat="1" applyFont="1" applyFill="1" applyBorder="1" applyAlignment="1">
      <alignment horizontal="center"/>
    </xf>
    <xf numFmtId="0" fontId="3" fillId="14" borderId="392" xfId="0" applyNumberFormat="1" applyFont="1" applyFill="1" applyBorder="1" applyAlignment="1">
      <alignment horizontal="center"/>
    </xf>
    <xf numFmtId="1" fontId="1" fillId="14" borderId="390" xfId="0" applyNumberFormat="1" applyFont="1" applyFill="1" applyBorder="1" applyAlignment="1">
      <alignment horizontal="center"/>
    </xf>
    <xf numFmtId="0" fontId="3" fillId="35" borderId="391" xfId="0" applyNumberFormat="1" applyFont="1" applyFill="1" applyBorder="1" applyAlignment="1">
      <alignment horizontal="center"/>
    </xf>
    <xf numFmtId="1" fontId="1" fillId="35" borderId="389" xfId="0" applyNumberFormat="1" applyFont="1" applyFill="1" applyBorder="1" applyAlignment="1">
      <alignment horizontal="center"/>
    </xf>
    <xf numFmtId="0" fontId="3" fillId="35" borderId="392" xfId="0" applyNumberFormat="1" applyFont="1" applyFill="1" applyBorder="1" applyAlignment="1">
      <alignment horizontal="center"/>
    </xf>
    <xf numFmtId="10" fontId="1" fillId="35" borderId="390" xfId="0" applyNumberFormat="1" applyFont="1" applyFill="1" applyBorder="1" applyAlignment="1">
      <alignment horizontal="center"/>
    </xf>
    <xf numFmtId="9" fontId="1" fillId="34" borderId="393" xfId="0" applyNumberFormat="1" applyFont="1" applyFill="1" applyBorder="1" applyAlignment="1">
      <alignment horizontal="center"/>
    </xf>
    <xf numFmtId="9" fontId="1" fillId="34" borderId="396" xfId="0" applyNumberFormat="1" applyFont="1" applyFill="1" applyBorder="1" applyAlignment="1">
      <alignment horizontal="center"/>
    </xf>
    <xf numFmtId="9" fontId="1" fillId="14" borderId="393" xfId="0" applyNumberFormat="1" applyFont="1" applyFill="1" applyBorder="1" applyAlignment="1">
      <alignment horizontal="center"/>
    </xf>
    <xf numFmtId="9" fontId="1" fillId="13" borderId="393" xfId="0" applyNumberFormat="1" applyFont="1" applyFill="1" applyBorder="1" applyAlignment="1">
      <alignment horizontal="center"/>
    </xf>
    <xf numFmtId="0" fontId="1" fillId="0" borderId="0" xfId="0" applyFont="1" applyAlignment="1">
      <alignment horizontal="center"/>
    </xf>
    <xf numFmtId="172" fontId="3" fillId="0" borderId="0" xfId="0" applyNumberFormat="1" applyFont="1"/>
    <xf numFmtId="1" fontId="0" fillId="0" borderId="0" xfId="0" applyNumberFormat="1" applyAlignment="1">
      <alignment horizontal="center"/>
    </xf>
    <xf numFmtId="0" fontId="1" fillId="11" borderId="0" xfId="0" applyFont="1" applyFill="1"/>
    <xf numFmtId="0" fontId="4" fillId="0" borderId="0" xfId="0" applyFont="1"/>
    <xf numFmtId="0" fontId="3" fillId="0" borderId="0" xfId="0" applyFont="1" applyAlignment="1">
      <alignment horizontal="left"/>
    </xf>
    <xf numFmtId="0" fontId="14" fillId="0" borderId="208" xfId="0" applyFont="1" applyFill="1" applyBorder="1" applyAlignment="1">
      <alignment horizontal="left" indent="1"/>
    </xf>
    <xf numFmtId="0" fontId="0" fillId="0" borderId="0" xfId="0"/>
    <xf numFmtId="168" fontId="0" fillId="0" borderId="1" xfId="0" applyNumberFormat="1" applyFill="1" applyBorder="1"/>
    <xf numFmtId="0" fontId="0" fillId="0" borderId="1" xfId="0" applyNumberFormat="1" applyFill="1" applyBorder="1" applyAlignment="1">
      <alignment horizontal="right"/>
    </xf>
    <xf numFmtId="10" fontId="1" fillId="35" borderId="399" xfId="0" applyNumberFormat="1" applyFont="1" applyFill="1" applyBorder="1" applyAlignment="1">
      <alignment horizontal="center"/>
    </xf>
    <xf numFmtId="0" fontId="3" fillId="33" borderId="400" xfId="0" applyNumberFormat="1" applyFont="1" applyFill="1" applyBorder="1" applyAlignment="1">
      <alignment horizontal="center" vertical="center"/>
    </xf>
    <xf numFmtId="1" fontId="1" fillId="35" borderId="401" xfId="0" applyNumberFormat="1" applyFont="1" applyFill="1" applyBorder="1" applyAlignment="1">
      <alignment horizontal="center"/>
    </xf>
    <xf numFmtId="0" fontId="1" fillId="0" borderId="174" xfId="0" applyNumberFormat="1" applyFont="1" applyFill="1" applyBorder="1" applyAlignment="1"/>
    <xf numFmtId="9" fontId="1" fillId="0" borderId="176" xfId="0" applyNumberFormat="1" applyFont="1" applyFill="1" applyBorder="1" applyAlignment="1">
      <alignment horizontal="center"/>
    </xf>
    <xf numFmtId="0" fontId="44" fillId="0" borderId="0" xfId="0" applyNumberFormat="1" applyFont="1" applyBorder="1" applyAlignment="1">
      <alignment horizontal="center" vertical="center"/>
    </xf>
    <xf numFmtId="0" fontId="3" fillId="0" borderId="0" xfId="0" applyFont="1" applyFill="1"/>
    <xf numFmtId="0" fontId="0" fillId="0" borderId="402" xfId="0" applyBorder="1"/>
    <xf numFmtId="0" fontId="1" fillId="0" borderId="403" xfId="0" applyFont="1" applyBorder="1"/>
    <xf numFmtId="0" fontId="0" fillId="0" borderId="404" xfId="0" applyBorder="1"/>
    <xf numFmtId="0" fontId="0" fillId="0" borderId="162" xfId="0" applyFill="1" applyBorder="1" applyAlignment="1">
      <alignment horizontal="center"/>
    </xf>
    <xf numFmtId="0" fontId="14" fillId="0" borderId="0" xfId="0" applyFont="1" applyAlignment="1">
      <alignment wrapText="1"/>
    </xf>
    <xf numFmtId="0" fontId="0" fillId="0" borderId="0" xfId="0"/>
    <xf numFmtId="0" fontId="0" fillId="0" borderId="0" xfId="0"/>
    <xf numFmtId="168" fontId="0" fillId="11" borderId="1" xfId="0" applyNumberFormat="1" applyFill="1" applyBorder="1" applyAlignment="1">
      <alignment vertical="top"/>
    </xf>
    <xf numFmtId="18" fontId="0" fillId="11" borderId="1" xfId="0" applyNumberFormat="1" applyFill="1" applyBorder="1" applyAlignment="1">
      <alignment vertical="top"/>
    </xf>
    <xf numFmtId="0" fontId="1" fillId="0" borderId="1" xfId="0" applyFont="1" applyFill="1" applyBorder="1"/>
    <xf numFmtId="0" fontId="0" fillId="33" borderId="0" xfId="0" applyFill="1" applyAlignment="1">
      <alignment horizontal="center" vertical="top"/>
    </xf>
    <xf numFmtId="49" fontId="1" fillId="0" borderId="100" xfId="0" applyNumberFormat="1" applyFont="1" applyBorder="1" applyAlignment="1">
      <alignment horizontal="center" vertical="top"/>
    </xf>
    <xf numFmtId="14" fontId="1" fillId="0" borderId="82" xfId="0" applyNumberFormat="1" applyFont="1" applyBorder="1" applyAlignment="1">
      <alignment horizontal="center" vertical="top"/>
    </xf>
    <xf numFmtId="49" fontId="1" fillId="0" borderId="98" xfId="0" applyNumberFormat="1" applyFont="1" applyBorder="1" applyAlignment="1">
      <alignment horizontal="center" vertical="top"/>
    </xf>
    <xf numFmtId="14" fontId="1" fillId="0" borderId="99" xfId="0" applyNumberFormat="1" applyFont="1" applyBorder="1" applyAlignment="1">
      <alignment horizontal="center" vertical="top"/>
    </xf>
    <xf numFmtId="0" fontId="0" fillId="0" borderId="267" xfId="0" applyFill="1" applyBorder="1" applyAlignment="1"/>
    <xf numFmtId="0" fontId="0" fillId="0" borderId="268" xfId="0" applyFill="1" applyBorder="1" applyAlignment="1"/>
    <xf numFmtId="170" fontId="0" fillId="0" borderId="91" xfId="0" applyNumberFormat="1" applyFill="1" applyBorder="1" applyAlignment="1"/>
    <xf numFmtId="0" fontId="1" fillId="0" borderId="268" xfId="0" applyFont="1" applyFill="1" applyBorder="1" applyAlignment="1"/>
    <xf numFmtId="0" fontId="0" fillId="0" borderId="268" xfId="0" applyNumberFormat="1" applyFill="1" applyBorder="1" applyAlignment="1"/>
    <xf numFmtId="0" fontId="0" fillId="0" borderId="268" xfId="0" applyNumberFormat="1" applyFill="1" applyBorder="1" applyAlignment="1">
      <alignment horizontal="center"/>
    </xf>
    <xf numFmtId="0" fontId="1" fillId="0" borderId="268" xfId="0" applyFont="1" applyFill="1" applyBorder="1" applyAlignment="1">
      <alignment horizontal="center"/>
    </xf>
    <xf numFmtId="167" fontId="0" fillId="0" borderId="91" xfId="0" applyNumberFormat="1" applyFill="1" applyBorder="1" applyAlignment="1">
      <alignment horizontal="right"/>
    </xf>
    <xf numFmtId="18" fontId="0" fillId="0" borderId="1" xfId="0" applyNumberFormat="1" applyFill="1" applyBorder="1" applyAlignment="1"/>
    <xf numFmtId="20" fontId="0" fillId="0" borderId="1" xfId="0" applyNumberFormat="1" applyFill="1" applyBorder="1" applyAlignment="1" applyProtection="1"/>
    <xf numFmtId="0" fontId="0" fillId="0" borderId="92" xfId="0" applyFill="1" applyBorder="1" applyAlignment="1"/>
    <xf numFmtId="0" fontId="0" fillId="0" borderId="91" xfId="0" applyFill="1" applyBorder="1" applyAlignment="1"/>
    <xf numFmtId="168" fontId="0" fillId="0" borderId="91" xfId="0" applyNumberFormat="1" applyFill="1" applyBorder="1" applyAlignment="1"/>
    <xf numFmtId="0" fontId="0" fillId="0" borderId="91" xfId="0" applyNumberFormat="1" applyFill="1" applyBorder="1" applyAlignment="1"/>
    <xf numFmtId="0" fontId="0" fillId="0" borderId="91" xfId="0" applyNumberFormat="1" applyFill="1" applyBorder="1" applyAlignment="1">
      <alignment horizontal="center"/>
    </xf>
    <xf numFmtId="0" fontId="0" fillId="0" borderId="91" xfId="0" applyFill="1" applyBorder="1" applyAlignment="1">
      <alignment horizontal="center"/>
    </xf>
    <xf numFmtId="0" fontId="0" fillId="0" borderId="91" xfId="0" applyFill="1" applyBorder="1" applyAlignment="1">
      <alignment horizontal="right"/>
    </xf>
    <xf numFmtId="18" fontId="0" fillId="0" borderId="91" xfId="0" applyNumberFormat="1" applyFill="1" applyBorder="1" applyAlignment="1"/>
    <xf numFmtId="20" fontId="0" fillId="0" borderId="91" xfId="0" applyNumberFormat="1" applyFill="1" applyBorder="1" applyAlignment="1" applyProtection="1"/>
    <xf numFmtId="169" fontId="0" fillId="0" borderId="91" xfId="0" applyNumberFormat="1" applyFill="1" applyBorder="1" applyAlignment="1">
      <alignment horizontal="center"/>
    </xf>
    <xf numFmtId="0" fontId="0" fillId="0" borderId="20" xfId="0" applyFill="1" applyBorder="1" applyAlignment="1"/>
    <xf numFmtId="0" fontId="0" fillId="0" borderId="1" xfId="0" applyFill="1" applyBorder="1" applyAlignment="1"/>
    <xf numFmtId="168" fontId="0" fillId="0" borderId="1" xfId="0" applyNumberFormat="1" applyFill="1" applyBorder="1" applyAlignment="1"/>
    <xf numFmtId="0" fontId="0" fillId="0" borderId="1" xfId="0" applyNumberFormat="1" applyFill="1" applyBorder="1" applyAlignment="1"/>
    <xf numFmtId="0" fontId="0" fillId="0" borderId="1" xfId="0" applyFill="1" applyBorder="1" applyAlignment="1">
      <alignment horizontal="right"/>
    </xf>
    <xf numFmtId="167" fontId="0" fillId="0" borderId="1" xfId="0" applyNumberFormat="1" applyFill="1" applyBorder="1" applyAlignment="1">
      <alignment horizontal="right"/>
    </xf>
    <xf numFmtId="0" fontId="0" fillId="0" borderId="1" xfId="0" applyFill="1" applyBorder="1" applyAlignment="1" applyProtection="1">
      <protection locked="0"/>
    </xf>
    <xf numFmtId="168" fontId="0" fillId="0" borderId="1" xfId="0" applyNumberFormat="1" applyFill="1" applyBorder="1" applyAlignment="1" applyProtection="1">
      <protection locked="0"/>
    </xf>
    <xf numFmtId="0" fontId="0" fillId="0" borderId="1" xfId="0" applyNumberFormat="1" applyFill="1" applyBorder="1" applyAlignment="1" applyProtection="1">
      <protection locked="0"/>
    </xf>
    <xf numFmtId="0" fontId="0" fillId="0" borderId="1" xfId="0" applyNumberForma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1" xfId="0" applyFill="1" applyBorder="1" applyAlignment="1" applyProtection="1">
      <alignment horizontal="right"/>
      <protection locked="0"/>
    </xf>
    <xf numFmtId="0" fontId="0" fillId="0" borderId="1" xfId="0" applyNumberFormat="1" applyFill="1" applyBorder="1" applyAlignment="1" applyProtection="1">
      <alignment horizontal="center"/>
    </xf>
    <xf numFmtId="18" fontId="0" fillId="0" borderId="1" xfId="0" applyNumberFormat="1" applyFill="1" applyBorder="1" applyAlignment="1" applyProtection="1">
      <protection locked="0"/>
    </xf>
    <xf numFmtId="169" fontId="0" fillId="0" borderId="1" xfId="0" applyNumberFormat="1" applyFill="1" applyBorder="1" applyAlignment="1" applyProtection="1">
      <alignment horizontal="center"/>
    </xf>
    <xf numFmtId="20" fontId="0" fillId="0" borderId="1" xfId="0" applyNumberFormat="1" applyFill="1" applyBorder="1" applyAlignment="1">
      <alignment horizontal="center"/>
    </xf>
    <xf numFmtId="168" fontId="0" fillId="0" borderId="1" xfId="0" applyNumberFormat="1" applyFill="1" applyBorder="1" applyAlignment="1">
      <alignment horizontal="left"/>
    </xf>
    <xf numFmtId="0" fontId="1" fillId="0" borderId="1" xfId="0" applyFont="1" applyFill="1" applyBorder="1" applyAlignment="1"/>
    <xf numFmtId="0" fontId="1" fillId="0" borderId="1" xfId="0" applyFont="1" applyFill="1" applyBorder="1" applyAlignment="1">
      <alignment horizontal="center"/>
    </xf>
    <xf numFmtId="0" fontId="1" fillId="0" borderId="1" xfId="0" applyFont="1" applyFill="1" applyBorder="1" applyAlignment="1">
      <alignment horizontal="right"/>
    </xf>
    <xf numFmtId="0" fontId="1" fillId="0" borderId="1" xfId="0" applyNumberFormat="1" applyFont="1" applyFill="1" applyBorder="1" applyAlignment="1">
      <alignment horizontal="center"/>
    </xf>
    <xf numFmtId="20" fontId="1" fillId="0" borderId="1" xfId="0" applyNumberFormat="1" applyFont="1" applyFill="1" applyBorder="1" applyAlignment="1" applyProtection="1"/>
    <xf numFmtId="169" fontId="1" fillId="0" borderId="1" xfId="0" applyNumberFormat="1" applyFont="1" applyFill="1" applyBorder="1" applyAlignment="1">
      <alignment horizontal="center"/>
    </xf>
    <xf numFmtId="168" fontId="0" fillId="0" borderId="1" xfId="0" applyNumberFormat="1" applyFill="1" applyBorder="1" applyAlignment="1">
      <alignment horizontal="right"/>
    </xf>
    <xf numFmtId="170" fontId="0" fillId="0" borderId="1" xfId="0" applyNumberFormat="1" applyFill="1" applyBorder="1" applyAlignment="1"/>
    <xf numFmtId="0" fontId="0" fillId="0" borderId="94" xfId="0" applyFill="1" applyBorder="1" applyAlignment="1"/>
    <xf numFmtId="167" fontId="0" fillId="0" borderId="94" xfId="0" applyNumberFormat="1" applyFill="1" applyBorder="1" applyAlignment="1">
      <alignment horizontal="right"/>
    </xf>
    <xf numFmtId="0" fontId="0" fillId="0" borderId="94" xfId="0" applyNumberFormat="1" applyFill="1" applyBorder="1" applyAlignment="1">
      <alignment horizontal="center"/>
    </xf>
    <xf numFmtId="18" fontId="0" fillId="0" borderId="0" xfId="0" applyNumberFormat="1" applyFill="1" applyAlignment="1"/>
    <xf numFmtId="20" fontId="0" fillId="0" borderId="94" xfId="0" applyNumberFormat="1" applyFill="1" applyBorder="1" applyAlignment="1" applyProtection="1"/>
    <xf numFmtId="169" fontId="0" fillId="0" borderId="94" xfId="0" applyNumberFormat="1" applyFill="1" applyBorder="1" applyAlignment="1">
      <alignment horizontal="center"/>
    </xf>
    <xf numFmtId="0" fontId="0" fillId="33" borderId="1" xfId="0" applyFill="1" applyBorder="1" applyAlignment="1"/>
    <xf numFmtId="168" fontId="0" fillId="33" borderId="1" xfId="0" applyNumberFormat="1" applyFill="1" applyBorder="1" applyAlignment="1"/>
    <xf numFmtId="167" fontId="0" fillId="33" borderId="1" xfId="0" applyNumberFormat="1" applyFill="1" applyBorder="1" applyAlignment="1">
      <alignment horizontal="right"/>
    </xf>
    <xf numFmtId="18" fontId="0" fillId="33" borderId="1" xfId="0" applyNumberFormat="1" applyFill="1" applyBorder="1" applyAlignment="1"/>
    <xf numFmtId="20" fontId="0" fillId="33" borderId="1" xfId="0" applyNumberFormat="1" applyFill="1" applyBorder="1" applyAlignment="1" applyProtection="1"/>
    <xf numFmtId="169" fontId="0" fillId="33" borderId="1" xfId="0" applyNumberFormat="1" applyFill="1" applyBorder="1" applyAlignment="1">
      <alignment horizontal="center"/>
    </xf>
    <xf numFmtId="168" fontId="0" fillId="3" borderId="1" xfId="0" applyNumberFormat="1" applyFill="1" applyBorder="1" applyAlignment="1"/>
    <xf numFmtId="0" fontId="0" fillId="3" borderId="21" xfId="0" applyFill="1" applyBorder="1" applyAlignment="1"/>
    <xf numFmtId="18" fontId="0" fillId="11" borderId="87" xfId="0" applyNumberFormat="1" applyFill="1" applyBorder="1" applyAlignment="1">
      <alignment vertical="top"/>
    </xf>
    <xf numFmtId="0" fontId="0" fillId="0" borderId="406" xfId="0" applyBorder="1"/>
    <xf numFmtId="0" fontId="0" fillId="0" borderId="407" xfId="0" applyBorder="1"/>
    <xf numFmtId="0" fontId="3" fillId="0" borderId="405" xfId="0" applyFont="1" applyBorder="1" applyAlignment="1">
      <alignment horizontal="center"/>
    </xf>
    <xf numFmtId="0" fontId="3" fillId="0" borderId="405" xfId="0" applyFont="1" applyBorder="1" applyAlignment="1">
      <alignment horizontal="center" wrapText="1"/>
    </xf>
    <xf numFmtId="0" fontId="14" fillId="13" borderId="22" xfId="0" applyFont="1" applyFill="1" applyBorder="1" applyAlignment="1">
      <alignment horizontal="left" vertical="top" wrapText="1" indent="1"/>
    </xf>
    <xf numFmtId="0" fontId="3" fillId="11" borderId="0" xfId="0" applyFont="1" applyFill="1"/>
    <xf numFmtId="2" fontId="0" fillId="0" borderId="0" xfId="0" applyNumberFormat="1" applyBorder="1" applyAlignment="1">
      <alignment horizontal="center"/>
    </xf>
    <xf numFmtId="0" fontId="0" fillId="0" borderId="0" xfId="0"/>
    <xf numFmtId="2" fontId="0" fillId="0" borderId="0" xfId="0" applyNumberFormat="1" applyBorder="1" applyAlignment="1">
      <alignment horizontal="center"/>
    </xf>
    <xf numFmtId="0" fontId="0" fillId="0" borderId="0" xfId="0"/>
    <xf numFmtId="0" fontId="1" fillId="3" borderId="21" xfId="0" applyFont="1" applyFill="1" applyBorder="1" applyAlignment="1">
      <alignment horizontal="center"/>
    </xf>
    <xf numFmtId="18" fontId="1" fillId="3" borderId="1" xfId="0" applyNumberFormat="1" applyFont="1" applyFill="1" applyBorder="1" applyAlignment="1"/>
    <xf numFmtId="0" fontId="14" fillId="3" borderId="24" xfId="0" applyFont="1" applyFill="1" applyBorder="1" applyAlignment="1">
      <alignment horizontal="left" vertical="top" wrapText="1" indent="1"/>
    </xf>
    <xf numFmtId="0" fontId="1" fillId="3" borderId="21" xfId="0" applyFont="1" applyFill="1" applyBorder="1" applyAlignment="1"/>
    <xf numFmtId="167" fontId="1" fillId="0" borderId="1" xfId="0" applyNumberFormat="1" applyFont="1" applyFill="1" applyBorder="1" applyAlignment="1">
      <alignment horizontal="right"/>
    </xf>
    <xf numFmtId="169" fontId="1" fillId="3" borderId="1" xfId="0" applyNumberFormat="1" applyFont="1" applyFill="1" applyBorder="1" applyAlignment="1">
      <alignment horizontal="center"/>
    </xf>
    <xf numFmtId="0" fontId="1" fillId="3" borderId="21" xfId="0" applyNumberFormat="1" applyFont="1" applyFill="1" applyBorder="1" applyAlignment="1"/>
    <xf numFmtId="0" fontId="1" fillId="3" borderId="21" xfId="0" applyNumberFormat="1" applyFont="1" applyFill="1" applyBorder="1" applyAlignment="1">
      <alignment horizontal="center"/>
    </xf>
    <xf numFmtId="0" fontId="14" fillId="0" borderId="0" xfId="0" applyFont="1" applyAlignment="1">
      <alignment horizontal="left" vertical="top" wrapText="1" indent="1"/>
    </xf>
    <xf numFmtId="18" fontId="1" fillId="0" borderId="0" xfId="0" applyNumberFormat="1" applyFont="1" applyBorder="1"/>
    <xf numFmtId="166" fontId="1" fillId="3" borderId="0" xfId="0" applyNumberFormat="1" applyFont="1" applyFill="1" applyBorder="1"/>
    <xf numFmtId="171" fontId="1" fillId="3" borderId="0" xfId="0" applyNumberFormat="1" applyFont="1" applyFill="1" applyBorder="1"/>
    <xf numFmtId="18" fontId="1" fillId="0" borderId="0" xfId="0" applyNumberFormat="1" applyFont="1" applyFill="1" applyBorder="1"/>
    <xf numFmtId="18" fontId="1" fillId="0" borderId="0" xfId="0" applyNumberFormat="1" applyFont="1" applyBorder="1" applyAlignment="1"/>
    <xf numFmtId="2" fontId="1" fillId="0" borderId="0" xfId="0" applyNumberFormat="1" applyFont="1" applyBorder="1" applyAlignment="1">
      <alignment horizontal="center"/>
    </xf>
    <xf numFmtId="2" fontId="1" fillId="0" borderId="0" xfId="0" applyNumberFormat="1" applyFont="1" applyBorder="1"/>
    <xf numFmtId="168" fontId="1" fillId="0" borderId="1" xfId="0" applyNumberFormat="1" applyFont="1" applyFill="1" applyBorder="1" applyAlignment="1"/>
    <xf numFmtId="0" fontId="1" fillId="0" borderId="21" xfId="0" applyFont="1" applyFill="1" applyBorder="1" applyAlignment="1">
      <alignment horizontal="center"/>
    </xf>
    <xf numFmtId="0" fontId="1" fillId="0" borderId="21" xfId="0" applyFont="1" applyFill="1" applyBorder="1" applyAlignment="1"/>
    <xf numFmtId="18" fontId="1" fillId="0" borderId="1" xfId="0" applyNumberFormat="1" applyFont="1" applyFill="1" applyBorder="1" applyAlignment="1"/>
    <xf numFmtId="0" fontId="0" fillId="0" borderId="21" xfId="0" applyFill="1" applyBorder="1" applyAlignment="1"/>
    <xf numFmtId="0" fontId="1" fillId="0" borderId="1" xfId="0" applyNumberFormat="1" applyFont="1" applyFill="1" applyBorder="1" applyAlignment="1">
      <alignment horizontal="right"/>
    </xf>
    <xf numFmtId="166" fontId="1" fillId="0" borderId="0" xfId="0" applyNumberFormat="1" applyFont="1" applyFill="1" applyBorder="1"/>
    <xf numFmtId="0" fontId="1" fillId="0" borderId="21" xfId="0" applyNumberFormat="1" applyFont="1" applyFill="1" applyBorder="1" applyAlignment="1"/>
    <xf numFmtId="0" fontId="14" fillId="0" borderId="24" xfId="0" applyFont="1" applyFill="1" applyBorder="1" applyAlignment="1">
      <alignment horizontal="left" vertical="top" wrapText="1" indent="1"/>
    </xf>
    <xf numFmtId="0" fontId="14" fillId="0" borderId="0" xfId="0" applyFont="1" applyFill="1" applyBorder="1"/>
    <xf numFmtId="0" fontId="0" fillId="0" borderId="21" xfId="0" applyFill="1" applyBorder="1"/>
    <xf numFmtId="18" fontId="0" fillId="0" borderId="21" xfId="0" applyNumberFormat="1" applyFill="1" applyBorder="1"/>
    <xf numFmtId="0" fontId="52" fillId="36" borderId="0" xfId="0" applyFont="1" applyFill="1" applyBorder="1"/>
    <xf numFmtId="0" fontId="43" fillId="36" borderId="0" xfId="0" applyFont="1" applyFill="1"/>
    <xf numFmtId="172" fontId="3" fillId="0" borderId="0" xfId="0" applyNumberFormat="1" applyFont="1" applyFill="1"/>
    <xf numFmtId="2" fontId="0" fillId="0" borderId="0" xfId="0" applyNumberFormat="1" applyFill="1" applyAlignment="1"/>
    <xf numFmtId="2" fontId="0" fillId="0" borderId="0" xfId="0" applyNumberFormat="1" applyFill="1" applyBorder="1"/>
    <xf numFmtId="2" fontId="0" fillId="33" borderId="0" xfId="0" applyNumberFormat="1" applyFill="1" applyBorder="1"/>
    <xf numFmtId="2" fontId="1" fillId="0" borderId="0" xfId="0" applyNumberFormat="1" applyFont="1" applyFill="1" applyBorder="1"/>
    <xf numFmtId="2" fontId="1" fillId="3" borderId="0" xfId="0" applyNumberFormat="1" applyFont="1" applyFill="1" applyBorder="1"/>
    <xf numFmtId="0" fontId="0" fillId="0" borderId="0" xfId="0"/>
    <xf numFmtId="0" fontId="0" fillId="0" borderId="0" xfId="0" applyBorder="1" applyAlignment="1">
      <alignment horizontal="center"/>
    </xf>
    <xf numFmtId="170" fontId="0" fillId="3" borderId="1" xfId="0" applyNumberFormat="1" applyFill="1" applyBorder="1"/>
    <xf numFmtId="0" fontId="1" fillId="0" borderId="209" xfId="0" applyFont="1" applyBorder="1" applyAlignment="1">
      <alignment horizontal="left" indent="1"/>
    </xf>
    <xf numFmtId="173" fontId="0" fillId="11" borderId="0" xfId="0" applyNumberFormat="1" applyFill="1"/>
    <xf numFmtId="0" fontId="1" fillId="11" borderId="0" xfId="0" applyFont="1" applyFill="1" applyAlignment="1">
      <alignment horizontal="center"/>
    </xf>
    <xf numFmtId="0" fontId="1" fillId="9" borderId="333" xfId="0" applyFont="1" applyFill="1" applyBorder="1" applyAlignment="1">
      <alignment vertical="top" wrapText="1"/>
    </xf>
    <xf numFmtId="0" fontId="0" fillId="9" borderId="334" xfId="0" applyFill="1" applyBorder="1" applyAlignment="1">
      <alignment vertical="top" wrapText="1"/>
    </xf>
    <xf numFmtId="0" fontId="0" fillId="9" borderId="269" xfId="0" applyFill="1" applyBorder="1" applyAlignment="1">
      <alignment vertical="top" wrapText="1"/>
    </xf>
    <xf numFmtId="0" fontId="0" fillId="9" borderId="271" xfId="0" applyFill="1" applyBorder="1" applyAlignment="1">
      <alignment vertical="top" wrapText="1"/>
    </xf>
    <xf numFmtId="0" fontId="35" fillId="9" borderId="335" xfId="0" applyFont="1" applyFill="1" applyBorder="1" applyAlignment="1">
      <alignment horizontal="center" vertical="center"/>
    </xf>
    <xf numFmtId="0" fontId="35" fillId="9" borderId="336" xfId="0" applyFont="1" applyFill="1" applyBorder="1" applyAlignment="1"/>
    <xf numFmtId="0" fontId="35" fillId="9" borderId="337" xfId="0" applyFont="1" applyFill="1" applyBorder="1" applyAlignment="1"/>
    <xf numFmtId="0" fontId="33" fillId="9" borderId="270" xfId="0" applyFont="1" applyFill="1" applyBorder="1" applyAlignment="1">
      <alignment horizontal="center"/>
    </xf>
    <xf numFmtId="0" fontId="0" fillId="9" borderId="269" xfId="0" applyFill="1" applyBorder="1" applyAlignment="1"/>
    <xf numFmtId="0" fontId="0" fillId="9" borderId="271" xfId="0" applyFill="1" applyBorder="1" applyAlignment="1"/>
    <xf numFmtId="0" fontId="35" fillId="29" borderId="115" xfId="0" applyFont="1" applyFill="1" applyBorder="1" applyAlignment="1">
      <alignment horizontal="center"/>
    </xf>
    <xf numFmtId="0" fontId="35" fillId="29" borderId="116" xfId="0" applyFont="1" applyFill="1" applyBorder="1" applyAlignment="1">
      <alignment horizontal="center"/>
    </xf>
    <xf numFmtId="0" fontId="35" fillId="29" borderId="117" xfId="0" applyFont="1" applyFill="1" applyBorder="1" applyAlignment="1">
      <alignment horizontal="center"/>
    </xf>
    <xf numFmtId="0" fontId="35" fillId="30" borderId="338" xfId="0" applyFont="1" applyFill="1" applyBorder="1" applyAlignment="1">
      <alignment horizontal="center" vertical="center"/>
    </xf>
    <xf numFmtId="0" fontId="35" fillId="30" borderId="339" xfId="0" applyFont="1" applyFill="1" applyBorder="1" applyAlignment="1">
      <alignment horizontal="center" vertical="center"/>
    </xf>
    <xf numFmtId="0" fontId="35" fillId="0" borderId="0" xfId="0" applyFont="1" applyAlignment="1">
      <alignment horizontal="center"/>
    </xf>
    <xf numFmtId="0" fontId="6" fillId="13" borderId="118" xfId="0" applyFont="1" applyFill="1" applyBorder="1" applyAlignment="1">
      <alignment horizontal="center" vertical="center" textRotation="90"/>
    </xf>
    <xf numFmtId="0" fontId="6" fillId="13" borderId="119" xfId="0" applyFont="1" applyFill="1" applyBorder="1" applyAlignment="1">
      <alignment horizontal="center" vertical="center" textRotation="90"/>
    </xf>
    <xf numFmtId="0" fontId="3" fillId="13" borderId="120" xfId="0" applyFont="1" applyFill="1" applyBorder="1" applyAlignment="1">
      <alignment horizontal="center" vertical="center" wrapText="1"/>
    </xf>
    <xf numFmtId="0" fontId="6" fillId="13" borderId="119" xfId="0" applyFont="1" applyFill="1" applyBorder="1" applyAlignment="1">
      <alignment horizontal="center" vertical="center"/>
    </xf>
    <xf numFmtId="0" fontId="6" fillId="13" borderId="121" xfId="0" applyFont="1" applyFill="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3" fillId="0" borderId="130" xfId="0" applyFont="1" applyBorder="1" applyAlignment="1">
      <alignment horizontal="center" vertical="center"/>
    </xf>
    <xf numFmtId="0" fontId="3" fillId="0" borderId="340" xfId="0" applyFont="1" applyBorder="1" applyAlignment="1">
      <alignment horizontal="center"/>
    </xf>
    <xf numFmtId="0" fontId="3" fillId="0" borderId="341" xfId="0" applyFont="1" applyBorder="1" applyAlignment="1">
      <alignment horizontal="center"/>
    </xf>
    <xf numFmtId="0" fontId="3" fillId="0" borderId="342" xfId="0" applyFont="1" applyBorder="1" applyAlignment="1">
      <alignment horizontal="center"/>
    </xf>
    <xf numFmtId="0" fontId="3" fillId="0" borderId="122" xfId="0" applyFont="1" applyBorder="1" applyAlignment="1">
      <alignment horizontal="center" vertical="center"/>
    </xf>
    <xf numFmtId="0" fontId="3" fillId="0" borderId="123" xfId="0" applyFont="1" applyBorder="1" applyAlignment="1">
      <alignment horizontal="center" vertical="center"/>
    </xf>
    <xf numFmtId="0" fontId="3" fillId="0" borderId="124" xfId="0" applyFont="1" applyBorder="1" applyAlignment="1">
      <alignment horizontal="center" vertical="center"/>
    </xf>
    <xf numFmtId="0" fontId="3" fillId="0" borderId="125" xfId="0" applyFont="1" applyBorder="1" applyAlignment="1">
      <alignment horizontal="center" vertical="center"/>
    </xf>
    <xf numFmtId="0" fontId="3" fillId="0" borderId="126" xfId="0" applyFont="1" applyBorder="1" applyAlignment="1">
      <alignment horizontal="center" vertical="center"/>
    </xf>
    <xf numFmtId="0" fontId="3" fillId="0" borderId="75" xfId="0" applyFont="1" applyBorder="1" applyAlignment="1">
      <alignment horizontal="center" vertical="center"/>
    </xf>
    <xf numFmtId="0" fontId="3" fillId="0" borderId="127" xfId="0" applyFont="1" applyBorder="1" applyAlignment="1">
      <alignment horizontal="center" vertical="center"/>
    </xf>
    <xf numFmtId="0" fontId="10" fillId="2" borderId="131" xfId="0" applyFont="1" applyFill="1" applyBorder="1" applyAlignment="1">
      <alignment horizontal="center" vertical="center" wrapText="1"/>
    </xf>
    <xf numFmtId="0" fontId="0" fillId="2" borderId="132" xfId="0" applyFill="1" applyBorder="1" applyAlignment="1">
      <alignment vertical="center"/>
    </xf>
    <xf numFmtId="0" fontId="0" fillId="2" borderId="133" xfId="0" applyFill="1" applyBorder="1" applyAlignment="1"/>
    <xf numFmtId="0" fontId="0" fillId="2" borderId="83" xfId="0" applyFill="1" applyBorder="1" applyAlignment="1">
      <alignment vertical="center"/>
    </xf>
    <xf numFmtId="0" fontId="0" fillId="2" borderId="0" xfId="0" applyFill="1" applyBorder="1" applyAlignment="1">
      <alignment vertical="center"/>
    </xf>
    <xf numFmtId="0" fontId="0" fillId="2" borderId="61" xfId="0" applyFill="1" applyBorder="1" applyAlignment="1"/>
    <xf numFmtId="0" fontId="0" fillId="2" borderId="134" xfId="0" applyFill="1" applyBorder="1" applyAlignment="1">
      <alignment vertical="center"/>
    </xf>
    <xf numFmtId="0" fontId="0" fillId="2" borderId="135" xfId="0" applyFill="1" applyBorder="1" applyAlignment="1">
      <alignment vertical="center"/>
    </xf>
    <xf numFmtId="0" fontId="0" fillId="2" borderId="136" xfId="0" applyFill="1" applyBorder="1" applyAlignment="1"/>
    <xf numFmtId="0" fontId="3"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2" fontId="1" fillId="0" borderId="0" xfId="0" applyNumberFormat="1" applyFont="1" applyBorder="1" applyAlignment="1">
      <alignment horizontal="center"/>
    </xf>
    <xf numFmtId="2" fontId="0" fillId="0" borderId="0" xfId="0" applyNumberFormat="1" applyBorder="1" applyAlignment="1">
      <alignment horizontal="center"/>
    </xf>
    <xf numFmtId="0" fontId="6" fillId="0" borderId="343" xfId="0" applyNumberFormat="1" applyFont="1" applyBorder="1" applyAlignment="1">
      <alignment horizontal="center" vertical="center"/>
    </xf>
    <xf numFmtId="0" fontId="0" fillId="0" borderId="165" xfId="0" applyBorder="1" applyAlignment="1">
      <alignment vertical="center"/>
    </xf>
    <xf numFmtId="0" fontId="0" fillId="0" borderId="344" xfId="0" applyBorder="1" applyAlignment="1">
      <alignment vertical="center"/>
    </xf>
    <xf numFmtId="0" fontId="0" fillId="0" borderId="137" xfId="0" applyBorder="1" applyAlignment="1">
      <alignment vertical="center"/>
    </xf>
    <xf numFmtId="0" fontId="0" fillId="0" borderId="138" xfId="0" applyBorder="1" applyAlignment="1">
      <alignment vertical="center"/>
    </xf>
    <xf numFmtId="0" fontId="0" fillId="0" borderId="139" xfId="0" applyBorder="1" applyAlignment="1">
      <alignment vertical="center"/>
    </xf>
    <xf numFmtId="0" fontId="3" fillId="0" borderId="345" xfId="0" applyNumberFormat="1" applyFont="1" applyBorder="1" applyAlignment="1">
      <alignment horizontal="center" vertical="center"/>
    </xf>
    <xf numFmtId="0" fontId="0" fillId="0" borderId="178" xfId="0" applyBorder="1" applyAlignment="1">
      <alignment vertical="center"/>
    </xf>
    <xf numFmtId="0" fontId="0" fillId="0" borderId="346" xfId="0" applyBorder="1" applyAlignment="1">
      <alignment vertical="center"/>
    </xf>
    <xf numFmtId="0" fontId="29" fillId="0" borderId="0" xfId="0" applyNumberFormat="1" applyFont="1" applyAlignment="1">
      <alignment horizontal="center" vertical="center"/>
    </xf>
    <xf numFmtId="0" fontId="0" fillId="0" borderId="0" xfId="0" applyAlignment="1">
      <alignment vertical="center"/>
    </xf>
    <xf numFmtId="0" fontId="2" fillId="0" borderId="0" xfId="0" applyNumberFormat="1" applyFont="1" applyAlignment="1">
      <alignment horizontal="center" vertical="center"/>
    </xf>
    <xf numFmtId="0" fontId="0" fillId="0" borderId="132" xfId="0" applyBorder="1" applyAlignment="1">
      <alignment vertical="center"/>
    </xf>
    <xf numFmtId="0" fontId="0" fillId="0" borderId="133" xfId="0" applyBorder="1" applyAlignment="1">
      <alignment vertical="center"/>
    </xf>
    <xf numFmtId="0" fontId="3" fillId="0" borderId="347" xfId="0" applyNumberFormat="1" applyFont="1" applyBorder="1" applyAlignment="1">
      <alignment horizontal="center" vertical="center"/>
    </xf>
    <xf numFmtId="0" fontId="0" fillId="0" borderId="261" xfId="0" applyBorder="1" applyAlignment="1">
      <alignment vertical="center"/>
    </xf>
    <xf numFmtId="0" fontId="0" fillId="0" borderId="348" xfId="0" applyBorder="1" applyAlignment="1">
      <alignment vertical="center"/>
    </xf>
    <xf numFmtId="0" fontId="6" fillId="0" borderId="349" xfId="0" applyNumberFormat="1" applyFont="1" applyBorder="1" applyAlignment="1">
      <alignment horizontal="center" vertical="center"/>
    </xf>
    <xf numFmtId="0" fontId="0" fillId="0" borderId="163" xfId="0" applyBorder="1" applyAlignment="1">
      <alignment vertical="center"/>
    </xf>
    <xf numFmtId="0" fontId="0" fillId="0" borderId="350" xfId="0" applyBorder="1" applyAlignment="1">
      <alignment vertical="center"/>
    </xf>
    <xf numFmtId="0" fontId="4" fillId="0" borderId="0" xfId="0" applyFont="1" applyAlignment="1">
      <alignment horizontal="center"/>
    </xf>
    <xf numFmtId="0" fontId="7" fillId="0" borderId="0" xfId="0" applyFont="1" applyAlignment="1">
      <alignment horizontal="center"/>
    </xf>
    <xf numFmtId="0" fontId="1" fillId="0" borderId="0" xfId="0" applyFont="1" applyAlignment="1">
      <alignment horizontal="center"/>
    </xf>
    <xf numFmtId="1" fontId="22" fillId="18" borderId="357" xfId="0" applyNumberFormat="1" applyFont="1" applyFill="1" applyBorder="1" applyAlignment="1">
      <alignment horizontal="center" vertical="center"/>
    </xf>
    <xf numFmtId="1" fontId="22" fillId="18" borderId="243" xfId="0" applyNumberFormat="1" applyFont="1" applyFill="1" applyBorder="1" applyAlignment="1">
      <alignment horizontal="center" vertical="center"/>
    </xf>
    <xf numFmtId="164" fontId="3" fillId="0" borderId="0" xfId="0" applyNumberFormat="1" applyFont="1" applyAlignment="1">
      <alignment horizontal="center"/>
    </xf>
    <xf numFmtId="0" fontId="0" fillId="0" borderId="0" xfId="0"/>
    <xf numFmtId="164" fontId="21" fillId="18" borderId="358" xfId="0" applyNumberFormat="1" applyFont="1" applyFill="1" applyBorder="1" applyAlignment="1">
      <alignment horizontal="center"/>
    </xf>
    <xf numFmtId="0" fontId="21" fillId="18" borderId="244" xfId="0" applyFont="1" applyFill="1" applyBorder="1" applyAlignment="1">
      <alignment horizontal="center"/>
    </xf>
    <xf numFmtId="164" fontId="21" fillId="17" borderId="355" xfId="0" applyNumberFormat="1" applyFont="1" applyFill="1" applyBorder="1" applyAlignment="1">
      <alignment horizontal="center"/>
    </xf>
    <xf numFmtId="0" fontId="21" fillId="17" borderId="356" xfId="0" applyFont="1" applyFill="1" applyBorder="1" applyAlignment="1">
      <alignment horizontal="center"/>
    </xf>
    <xf numFmtId="0" fontId="18" fillId="14" borderId="233" xfId="0" applyNumberFormat="1" applyFont="1" applyFill="1" applyBorder="1" applyAlignment="1">
      <alignment horizontal="center"/>
    </xf>
    <xf numFmtId="0" fontId="21" fillId="14" borderId="359" xfId="0" applyFont="1" applyFill="1" applyBorder="1" applyAlignment="1">
      <alignment horizontal="center"/>
    </xf>
    <xf numFmtId="1" fontId="22" fillId="17" borderId="351" xfId="0" applyNumberFormat="1" applyFont="1" applyFill="1" applyBorder="1" applyAlignment="1">
      <alignment horizontal="center" vertical="center"/>
    </xf>
    <xf numFmtId="1" fontId="22" fillId="17" borderId="352" xfId="0" applyNumberFormat="1" applyFont="1" applyFill="1" applyBorder="1" applyAlignment="1">
      <alignment horizontal="center" vertical="center"/>
    </xf>
    <xf numFmtId="1" fontId="22" fillId="14" borderId="353" xfId="0" applyNumberFormat="1" applyFont="1" applyFill="1" applyBorder="1" applyAlignment="1">
      <alignment horizontal="center" vertical="center"/>
    </xf>
    <xf numFmtId="1" fontId="22" fillId="14" borderId="354" xfId="0" applyNumberFormat="1" applyFont="1" applyFill="1" applyBorder="1" applyAlignment="1">
      <alignment horizontal="center" vertical="center"/>
    </xf>
    <xf numFmtId="164" fontId="21" fillId="17" borderId="360" xfId="0" applyNumberFormat="1" applyFont="1" applyFill="1" applyBorder="1" applyAlignment="1">
      <alignment horizontal="center"/>
    </xf>
    <xf numFmtId="0" fontId="21" fillId="17" borderId="361" xfId="0" applyFont="1" applyFill="1" applyBorder="1" applyAlignment="1">
      <alignment horizontal="center"/>
    </xf>
    <xf numFmtId="1" fontId="22" fillId="17" borderId="362" xfId="0" applyNumberFormat="1" applyFont="1" applyFill="1" applyBorder="1" applyAlignment="1">
      <alignment horizontal="center" vertical="center"/>
    </xf>
    <xf numFmtId="1" fontId="22" fillId="17" borderId="363" xfId="0" applyNumberFormat="1" applyFont="1" applyFill="1" applyBorder="1" applyAlignment="1">
      <alignment horizontal="center" vertical="center"/>
    </xf>
    <xf numFmtId="1" fontId="22" fillId="0" borderId="364" xfId="0" applyNumberFormat="1" applyFont="1" applyFill="1" applyBorder="1" applyAlignment="1">
      <alignment horizontal="center" vertical="center"/>
    </xf>
    <xf numFmtId="1" fontId="22" fillId="0" borderId="365" xfId="0" applyNumberFormat="1" applyFont="1" applyFill="1" applyBorder="1" applyAlignment="1">
      <alignment horizontal="center" vertical="center"/>
    </xf>
    <xf numFmtId="164" fontId="21" fillId="0" borderId="366" xfId="0" applyNumberFormat="1" applyFont="1" applyFill="1" applyBorder="1" applyAlignment="1">
      <alignment horizontal="center"/>
    </xf>
    <xf numFmtId="164" fontId="21" fillId="0" borderId="367" xfId="0" applyNumberFormat="1" applyFont="1" applyFill="1" applyBorder="1" applyAlignment="1">
      <alignment horizontal="center"/>
    </xf>
    <xf numFmtId="0" fontId="44" fillId="0" borderId="368" xfId="0" applyNumberFormat="1" applyFont="1" applyBorder="1" applyAlignment="1">
      <alignment horizontal="center" vertical="center"/>
    </xf>
    <xf numFmtId="0" fontId="44" fillId="0" borderId="369" xfId="0" applyNumberFormat="1" applyFont="1" applyBorder="1" applyAlignment="1">
      <alignment horizontal="center" vertical="center"/>
    </xf>
    <xf numFmtId="0" fontId="44" fillId="0" borderId="370" xfId="0" applyNumberFormat="1" applyFont="1" applyBorder="1" applyAlignment="1">
      <alignment horizontal="center" vertical="center"/>
    </xf>
    <xf numFmtId="0" fontId="12" fillId="14" borderId="371" xfId="0" applyFont="1" applyFill="1" applyBorder="1" applyAlignment="1">
      <alignment horizontal="center" vertical="center"/>
    </xf>
    <xf numFmtId="0" fontId="12" fillId="14" borderId="174" xfId="0" applyFont="1" applyFill="1" applyBorder="1" applyAlignment="1">
      <alignment horizontal="center" vertical="center"/>
    </xf>
    <xf numFmtId="0" fontId="12" fillId="14" borderId="174" xfId="0" applyFont="1" applyFill="1" applyBorder="1" applyAlignment="1">
      <alignment vertical="center"/>
    </xf>
    <xf numFmtId="0" fontId="12" fillId="14" borderId="176" xfId="0" applyFont="1" applyFill="1" applyBorder="1" applyAlignment="1">
      <alignment vertical="center"/>
    </xf>
    <xf numFmtId="0" fontId="12" fillId="31" borderId="372" xfId="0" applyFont="1" applyFill="1" applyBorder="1" applyAlignment="1">
      <alignment horizontal="center" vertical="center"/>
    </xf>
    <xf numFmtId="0" fontId="12" fillId="31" borderId="264" xfId="0" applyFont="1" applyFill="1" applyBorder="1" applyAlignment="1">
      <alignment horizontal="center" vertical="center"/>
    </xf>
    <xf numFmtId="0" fontId="12" fillId="31" borderId="264" xfId="0" applyFont="1" applyFill="1" applyBorder="1" applyAlignment="1">
      <alignment vertical="center"/>
    </xf>
    <xf numFmtId="0" fontId="12" fillId="31" borderId="266" xfId="0" applyFont="1" applyFill="1" applyBorder="1" applyAlignment="1">
      <alignment vertical="center"/>
    </xf>
    <xf numFmtId="0" fontId="9" fillId="0" borderId="373" xfId="0" applyNumberFormat="1" applyFont="1" applyBorder="1" applyAlignment="1">
      <alignment vertical="top" wrapText="1"/>
    </xf>
    <xf numFmtId="0" fontId="0" fillId="0" borderId="374" xfId="0" applyBorder="1" applyAlignment="1"/>
    <xf numFmtId="0" fontId="0" fillId="0" borderId="375" xfId="0" applyBorder="1" applyAlignment="1"/>
    <xf numFmtId="0" fontId="7" fillId="0" borderId="0" xfId="0" applyFont="1" applyBorder="1" applyAlignment="1">
      <alignment horizontal="center"/>
    </xf>
    <xf numFmtId="0" fontId="0" fillId="0" borderId="0" xfId="0" applyBorder="1" applyAlignment="1">
      <alignment horizontal="center"/>
    </xf>
    <xf numFmtId="0" fontId="0" fillId="0" borderId="0" xfId="0" applyAlignment="1"/>
    <xf numFmtId="0" fontId="20" fillId="0" borderId="140" xfId="0" applyFont="1" applyBorder="1" applyAlignment="1">
      <alignment horizontal="center" vertical="center"/>
    </xf>
    <xf numFmtId="0" fontId="20" fillId="0" borderId="141" xfId="0" applyFont="1" applyBorder="1" applyAlignment="1">
      <alignment horizontal="center" vertical="center"/>
    </xf>
    <xf numFmtId="0" fontId="20" fillId="0" borderId="142" xfId="0" applyFont="1" applyBorder="1" applyAlignment="1">
      <alignment horizontal="center" vertical="center"/>
    </xf>
    <xf numFmtId="0" fontId="20" fillId="0" borderId="206" xfId="0" applyFont="1" applyBorder="1" applyAlignment="1">
      <alignment horizontal="center" vertical="center"/>
    </xf>
    <xf numFmtId="0" fontId="7" fillId="2" borderId="143" xfId="0" applyNumberFormat="1" applyFont="1" applyFill="1" applyBorder="1" applyAlignment="1">
      <alignment horizontal="center"/>
    </xf>
    <xf numFmtId="0" fontId="17" fillId="0" borderId="144" xfId="0" applyFont="1" applyBorder="1" applyAlignment="1">
      <alignment horizontal="center"/>
    </xf>
    <xf numFmtId="0" fontId="17" fillId="0" borderId="145" xfId="0" applyFont="1" applyBorder="1" applyAlignment="1">
      <alignment horizontal="center"/>
    </xf>
    <xf numFmtId="0" fontId="6" fillId="2" borderId="146" xfId="0" applyNumberFormat="1" applyFont="1" applyFill="1" applyBorder="1" applyAlignment="1">
      <alignment horizontal="center"/>
    </xf>
    <xf numFmtId="0" fontId="0" fillId="0" borderId="144" xfId="0" applyBorder="1" applyAlignment="1">
      <alignment horizontal="center"/>
    </xf>
    <xf numFmtId="0" fontId="0" fillId="0" borderId="145" xfId="0" applyBorder="1" applyAlignment="1">
      <alignment horizontal="center"/>
    </xf>
    <xf numFmtId="0" fontId="4" fillId="2" borderId="143" xfId="0" applyNumberFormat="1" applyFont="1" applyFill="1" applyBorder="1" applyAlignment="1">
      <alignment horizontal="center"/>
    </xf>
    <xf numFmtId="0" fontId="3" fillId="0" borderId="0" xfId="0" applyNumberFormat="1" applyFont="1" applyAlignment="1">
      <alignment horizontal="center" wrapText="1"/>
    </xf>
    <xf numFmtId="0" fontId="6" fillId="0" borderId="0" xfId="0" applyNumberFormat="1" applyFont="1" applyAlignment="1">
      <alignment horizontal="center" wrapText="1"/>
    </xf>
    <xf numFmtId="0" fontId="3" fillId="6" borderId="147" xfId="0" applyNumberFormat="1" applyFont="1" applyFill="1" applyBorder="1" applyAlignment="1">
      <alignment horizontal="center" vertical="center"/>
    </xf>
    <xf numFmtId="0" fontId="1" fillId="0" borderId="148" xfId="0" applyFont="1" applyBorder="1" applyAlignment="1">
      <alignment horizontal="center" vertical="center"/>
    </xf>
    <xf numFmtId="0" fontId="1" fillId="0" borderId="149" xfId="0" applyFont="1" applyBorder="1" applyAlignment="1">
      <alignment horizontal="center" vertical="center"/>
    </xf>
    <xf numFmtId="0" fontId="6" fillId="7" borderId="17" xfId="0" applyNumberFormat="1" applyFont="1" applyFill="1" applyBorder="1" applyAlignment="1">
      <alignment horizontal="center"/>
    </xf>
    <xf numFmtId="0" fontId="6" fillId="7" borderId="17" xfId="0" applyFont="1" applyFill="1" applyBorder="1" applyAlignment="1">
      <alignment horizontal="center"/>
    </xf>
    <xf numFmtId="0" fontId="6" fillId="7" borderId="48" xfId="0" applyFont="1" applyFill="1" applyBorder="1" applyAlignment="1">
      <alignment horizontal="center"/>
    </xf>
    <xf numFmtId="0" fontId="26" fillId="5" borderId="150" xfId="0" applyNumberFormat="1" applyFont="1" applyFill="1" applyBorder="1" applyAlignment="1">
      <alignment horizontal="center" vertical="center" wrapText="1"/>
    </xf>
    <xf numFmtId="0" fontId="26" fillId="5" borderId="151" xfId="0" applyFont="1" applyFill="1" applyBorder="1" applyAlignment="1">
      <alignment horizontal="center" vertical="center" wrapText="1"/>
    </xf>
    <xf numFmtId="0" fontId="26" fillId="5" borderId="152" xfId="0" applyFont="1" applyFill="1" applyBorder="1" applyAlignment="1">
      <alignment horizontal="center" vertical="center" wrapText="1"/>
    </xf>
    <xf numFmtId="0" fontId="6" fillId="5" borderId="17" xfId="0" applyNumberFormat="1" applyFont="1" applyFill="1" applyBorder="1" applyAlignment="1">
      <alignment horizontal="center"/>
    </xf>
    <xf numFmtId="0" fontId="6" fillId="5" borderId="17" xfId="0" applyFont="1" applyFill="1" applyBorder="1" applyAlignment="1">
      <alignment horizontal="center"/>
    </xf>
    <xf numFmtId="0" fontId="6" fillId="5" borderId="39" xfId="0" applyFont="1" applyFill="1" applyBorder="1" applyAlignment="1">
      <alignment horizontal="center"/>
    </xf>
    <xf numFmtId="0" fontId="26" fillId="7" borderId="153" xfId="0" applyNumberFormat="1" applyFont="1" applyFill="1" applyBorder="1" applyAlignment="1">
      <alignment horizontal="center" vertical="center" wrapText="1"/>
    </xf>
    <xf numFmtId="0" fontId="26" fillId="7" borderId="154" xfId="0" applyFont="1" applyFill="1" applyBorder="1" applyAlignment="1">
      <alignment horizontal="center" vertical="center" wrapText="1"/>
    </xf>
    <xf numFmtId="0" fontId="26" fillId="7" borderId="155" xfId="0" applyFont="1" applyFill="1" applyBorder="1" applyAlignment="1">
      <alignment horizontal="center" vertical="center" wrapText="1"/>
    </xf>
    <xf numFmtId="0" fontId="26" fillId="6" borderId="148" xfId="0" applyNumberFormat="1" applyFont="1" applyFill="1" applyBorder="1" applyAlignment="1">
      <alignment horizontal="center" vertical="center"/>
    </xf>
    <xf numFmtId="0" fontId="0" fillId="0" borderId="148" xfId="0" applyBorder="1" applyAlignment="1">
      <alignment horizontal="center" vertical="center"/>
    </xf>
    <xf numFmtId="0" fontId="0" fillId="0" borderId="149" xfId="0" applyBorder="1" applyAlignment="1">
      <alignment horizontal="center" vertical="center"/>
    </xf>
    <xf numFmtId="11" fontId="13" fillId="0" borderId="386" xfId="0" applyNumberFormat="1" applyFont="1" applyFill="1" applyBorder="1" applyAlignment="1">
      <alignment horizontal="left" vertical="top" wrapText="1"/>
    </xf>
    <xf numFmtId="11" fontId="13" fillId="0" borderId="387" xfId="0" applyNumberFormat="1" applyFont="1" applyFill="1" applyBorder="1" applyAlignment="1">
      <alignment horizontal="left" vertical="top" wrapText="1"/>
    </xf>
    <xf numFmtId="11" fontId="13" fillId="0" borderId="0" xfId="0" applyNumberFormat="1" applyFont="1" applyFill="1" applyBorder="1" applyAlignment="1">
      <alignment horizontal="left" vertical="top" wrapText="1"/>
    </xf>
    <xf numFmtId="11" fontId="13" fillId="0" borderId="3" xfId="0" applyNumberFormat="1" applyFont="1" applyFill="1" applyBorder="1" applyAlignment="1">
      <alignment horizontal="left" vertical="top" wrapText="1"/>
    </xf>
    <xf numFmtId="11" fontId="13" fillId="0" borderId="6" xfId="0" applyNumberFormat="1" applyFont="1" applyFill="1" applyBorder="1" applyAlignment="1">
      <alignment horizontal="left" vertical="top" wrapText="1"/>
    </xf>
    <xf numFmtId="11" fontId="13" fillId="0" borderId="13" xfId="0" applyNumberFormat="1" applyFont="1" applyFill="1" applyBorder="1" applyAlignment="1">
      <alignment horizontal="left" vertical="top" wrapText="1"/>
    </xf>
    <xf numFmtId="0" fontId="26" fillId="32" borderId="156" xfId="0" applyNumberFormat="1" applyFont="1" applyFill="1" applyBorder="1" applyAlignment="1">
      <alignment horizontal="center" vertical="center"/>
    </xf>
    <xf numFmtId="0" fontId="0" fillId="0" borderId="157" xfId="0" applyBorder="1" applyAlignment="1">
      <alignment vertical="center"/>
    </xf>
    <xf numFmtId="0" fontId="0" fillId="0" borderId="158" xfId="0" applyBorder="1" applyAlignment="1">
      <alignment vertical="center"/>
    </xf>
    <xf numFmtId="0" fontId="18" fillId="0" borderId="376" xfId="0" applyFont="1" applyBorder="1" applyAlignment="1">
      <alignment vertical="center" wrapText="1"/>
    </xf>
    <xf numFmtId="0" fontId="18" fillId="0" borderId="377" xfId="0" applyFont="1" applyBorder="1" applyAlignment="1">
      <alignment vertical="center" wrapText="1"/>
    </xf>
    <xf numFmtId="0" fontId="18" fillId="0" borderId="378" xfId="0" applyFont="1" applyBorder="1" applyAlignment="1">
      <alignment vertical="center" wrapText="1"/>
    </xf>
    <xf numFmtId="0" fontId="18" fillId="0" borderId="379" xfId="0" applyFont="1" applyBorder="1" applyAlignment="1">
      <alignment vertical="center" wrapText="1"/>
    </xf>
    <xf numFmtId="0" fontId="18" fillId="0" borderId="380" xfId="0" applyFont="1" applyBorder="1" applyAlignment="1">
      <alignment vertical="center" wrapText="1"/>
    </xf>
    <xf numFmtId="0" fontId="18" fillId="0" borderId="381" xfId="0" applyFont="1" applyBorder="1" applyAlignment="1">
      <alignment vertical="center" wrapText="1"/>
    </xf>
    <xf numFmtId="0" fontId="27" fillId="0" borderId="159" xfId="0" applyFont="1" applyBorder="1" applyAlignment="1">
      <alignment horizontal="center"/>
    </xf>
    <xf numFmtId="0" fontId="27" fillId="0" borderId="160" xfId="0" applyFont="1" applyBorder="1" applyAlignment="1">
      <alignment horizontal="center"/>
    </xf>
    <xf numFmtId="0" fontId="27" fillId="0" borderId="161" xfId="0" applyFont="1" applyBorder="1" applyAlignment="1">
      <alignment horizontal="center"/>
    </xf>
    <xf numFmtId="0" fontId="27" fillId="0" borderId="0" xfId="0" applyNumberFormat="1" applyFont="1" applyBorder="1" applyAlignment="1">
      <alignment horizontal="left" vertical="top" wrapText="1" indent="1"/>
    </xf>
    <xf numFmtId="0" fontId="0" fillId="0" borderId="0" xfId="0" applyBorder="1" applyAlignment="1">
      <alignment horizontal="left" vertical="top" wrapText="1" indent="1"/>
    </xf>
    <xf numFmtId="0" fontId="0" fillId="0" borderId="3" xfId="0" applyBorder="1" applyAlignment="1">
      <alignment horizontal="left" vertical="top" wrapText="1" indent="1"/>
    </xf>
    <xf numFmtId="0" fontId="27" fillId="0" borderId="0" xfId="0" applyNumberFormat="1" applyFont="1" applyBorder="1" applyAlignment="1">
      <alignment horizontal="left" wrapText="1" indent="1"/>
    </xf>
    <xf numFmtId="0" fontId="0" fillId="0" borderId="0" xfId="0" applyBorder="1" applyAlignment="1">
      <alignment horizontal="left" wrapText="1" indent="1"/>
    </xf>
    <xf numFmtId="0" fontId="0" fillId="0" borderId="3" xfId="0" applyBorder="1" applyAlignment="1">
      <alignment horizontal="left" wrapText="1" indent="1"/>
    </xf>
    <xf numFmtId="0" fontId="27" fillId="0" borderId="0" xfId="0" applyFont="1" applyBorder="1" applyAlignment="1">
      <alignment horizontal="left" vertical="top" wrapText="1" indent="1"/>
    </xf>
    <xf numFmtId="0" fontId="0" fillId="0" borderId="161" xfId="0" applyBorder="1" applyAlignment="1">
      <alignment horizontal="center"/>
    </xf>
    <xf numFmtId="0" fontId="10" fillId="2" borderId="382" xfId="0" applyFont="1" applyFill="1" applyBorder="1" applyAlignment="1">
      <alignment horizontal="center" vertical="center"/>
    </xf>
    <xf numFmtId="0" fontId="0" fillId="0" borderId="383" xfId="0" applyBorder="1" applyAlignment="1">
      <alignment vertical="center"/>
    </xf>
    <xf numFmtId="0" fontId="0" fillId="0" borderId="384" xfId="0" applyBorder="1" applyAlignment="1">
      <alignment vertical="center"/>
    </xf>
    <xf numFmtId="0" fontId="0" fillId="0" borderId="245" xfId="0" applyBorder="1" applyAlignment="1">
      <alignment vertical="center"/>
    </xf>
    <xf numFmtId="0" fontId="0" fillId="0" borderId="0" xfId="0" applyBorder="1" applyAlignment="1">
      <alignment vertical="center"/>
    </xf>
    <xf numFmtId="0" fontId="0" fillId="0" borderId="385" xfId="0" applyBorder="1" applyAlignment="1">
      <alignment vertical="center"/>
    </xf>
    <xf numFmtId="0" fontId="3" fillId="13" borderId="408" xfId="0" applyFont="1" applyFill="1" applyBorder="1" applyAlignment="1">
      <alignment horizontal="center" vertical="center"/>
    </xf>
    <xf numFmtId="0" fontId="3" fillId="13" borderId="409" xfId="0" applyFont="1" applyFill="1" applyBorder="1" applyAlignment="1">
      <alignment horizontal="center" vertical="center"/>
    </xf>
    <xf numFmtId="0" fontId="3" fillId="13" borderId="410" xfId="0" applyFont="1" applyFill="1" applyBorder="1" applyAlignment="1">
      <alignment horizontal="center" vertical="center"/>
    </xf>
    <xf numFmtId="0" fontId="0" fillId="2" borderId="133" xfId="0" applyFill="1" applyBorder="1" applyAlignment="1">
      <alignment vertical="center"/>
    </xf>
    <xf numFmtId="0" fontId="0" fillId="2" borderId="61" xfId="0" applyFill="1" applyBorder="1" applyAlignment="1">
      <alignment vertical="center"/>
    </xf>
    <xf numFmtId="0" fontId="0" fillId="2" borderId="136" xfId="0" applyFill="1" applyBorder="1" applyAlignment="1">
      <alignment vertical="center"/>
    </xf>
  </cellXfs>
  <cellStyles count="2">
    <cellStyle name="Hyperlink" xfId="1" builtinId="8"/>
    <cellStyle name="Normal" xfId="0" builtinId="0"/>
  </cellStyles>
  <dxfs count="0"/>
  <tableStyles count="0" defaultTableStyle="TableStyleMedium9" defaultPivotStyle="PivotStyleLight16"/>
  <colors>
    <mruColors>
      <color rgb="FFFFFF99"/>
      <color rgb="FFFF0066"/>
      <color rgb="FFC050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_rels/chart10.xml.rels><?xml version="1.0" encoding="UTF-8" standalone="yes"?>
<Relationships xmlns="http://schemas.openxmlformats.org/package/2006/relationships"><Relationship Id="rId1" Type="http://schemas.openxmlformats.org/officeDocument/2006/relationships/image" Target="../media/image9.png"/></Relationships>
</file>

<file path=xl/charts/_rels/chart11.xml.rels><?xml version="1.0" encoding="UTF-8" standalone="yes"?>
<Relationships xmlns="http://schemas.openxmlformats.org/package/2006/relationships"><Relationship Id="rId1" Type="http://schemas.openxmlformats.org/officeDocument/2006/relationships/image" Target="../media/image10.jpeg"/></Relationships>
</file>

<file path=xl/charts/_rels/chart12.xml.rels><?xml version="1.0" encoding="UTF-8" standalone="yes"?>
<Relationships xmlns="http://schemas.openxmlformats.org/package/2006/relationships"><Relationship Id="rId1" Type="http://schemas.openxmlformats.org/officeDocument/2006/relationships/image" Target="../media/image11.jpeg"/></Relationships>
</file>

<file path=xl/charts/_rels/chart13.xml.rels><?xml version="1.0" encoding="UTF-8" standalone="yes"?>
<Relationships xmlns="http://schemas.openxmlformats.org/package/2006/relationships"><Relationship Id="rId1" Type="http://schemas.openxmlformats.org/officeDocument/2006/relationships/image" Target="../media/image4.png"/></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image" Target="../media/image4.png"/></Relationships>
</file>

<file path=xl/charts/_rels/chart19.xml.rels><?xml version="1.0" encoding="UTF-8" standalone="yes"?>
<Relationships xmlns="http://schemas.openxmlformats.org/package/2006/relationships"><Relationship Id="rId1" Type="http://schemas.openxmlformats.org/officeDocument/2006/relationships/image" Target="../media/image12.jpe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_rels/chart3.xml.rels><?xml version="1.0" encoding="UTF-8" standalone="yes"?>
<Relationships xmlns="http://schemas.openxmlformats.org/package/2006/relationships"><Relationship Id="rId1" Type="http://schemas.openxmlformats.org/officeDocument/2006/relationships/image" Target="../media/image3.png"/></Relationships>
</file>

<file path=xl/charts/_rels/chart5.xml.rels><?xml version="1.0" encoding="UTF-8" standalone="yes"?>
<Relationships xmlns="http://schemas.openxmlformats.org/package/2006/relationships"><Relationship Id="rId1" Type="http://schemas.openxmlformats.org/officeDocument/2006/relationships/image" Target="../media/image4.png"/></Relationships>
</file>

<file path=xl/charts/_rels/chart6.xml.rels><?xml version="1.0" encoding="UTF-8" standalone="yes"?>
<Relationships xmlns="http://schemas.openxmlformats.org/package/2006/relationships"><Relationship Id="rId1" Type="http://schemas.openxmlformats.org/officeDocument/2006/relationships/image" Target="../media/image5.png"/></Relationships>
</file>

<file path=xl/charts/_rels/chart7.xml.rels><?xml version="1.0" encoding="UTF-8" standalone="yes"?>
<Relationships xmlns="http://schemas.openxmlformats.org/package/2006/relationships"><Relationship Id="rId1" Type="http://schemas.openxmlformats.org/officeDocument/2006/relationships/image" Target="../media/image6.jpeg"/></Relationships>
</file>

<file path=xl/charts/_rels/chart8.xml.rels><?xml version="1.0" encoding="UTF-8" standalone="yes"?>
<Relationships xmlns="http://schemas.openxmlformats.org/package/2006/relationships"><Relationship Id="rId1" Type="http://schemas.openxmlformats.org/officeDocument/2006/relationships/image" Target="../media/image7.jpeg"/></Relationships>
</file>

<file path=xl/charts/_rels/chart9.xml.rels><?xml version="1.0" encoding="UTF-8" standalone="yes"?>
<Relationships xmlns="http://schemas.openxmlformats.org/package/2006/relationships"><Relationship Id="rId1" Type="http://schemas.openxmlformats.org/officeDocument/2006/relationships/image" Target="../media/image8.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"ALL"  TORNADOES BY YEAR
Amarillo NWS CWA</a:t>
            </a:r>
          </a:p>
        </c:rich>
      </c:tx>
      <c:layout>
        <c:manualLayout>
          <c:xMode val="edge"/>
          <c:yMode val="edge"/>
          <c:x val="0.33805726556907761"/>
          <c:y val="2.6385158768981551E-2"/>
        </c:manualLayout>
      </c:layout>
      <c:overlay val="0"/>
      <c:spPr>
        <a:noFill/>
        <a:ln w="38100">
          <a:solidFill>
            <a:srgbClr val="FF0000"/>
          </a:solidFill>
          <a:prstDash val="solid"/>
        </a:ln>
      </c:spPr>
    </c:title>
    <c:autoTitleDeleted val="0"/>
    <c:plotArea>
      <c:layout>
        <c:manualLayout>
          <c:layoutTarget val="inner"/>
          <c:xMode val="edge"/>
          <c:yMode val="edge"/>
          <c:x val="7.9144476258649524E-2"/>
          <c:y val="0.13588390501319261"/>
          <c:w val="0.8940292293008838"/>
          <c:h val="0.79419525065963215"/>
        </c:manualLayout>
      </c:layout>
      <c:lineChart>
        <c:grouping val="standard"/>
        <c:varyColors val="0"/>
        <c:ser>
          <c:idx val="0"/>
          <c:order val="0"/>
          <c:tx>
            <c:v>Annual Total</c:v>
          </c:tx>
          <c:spPr>
            <a:ln w="25400">
              <a:solidFill>
                <a:srgbClr val="FFFFFF"/>
              </a:solidFill>
              <a:prstDash val="solid"/>
            </a:ln>
          </c:spPr>
          <c:marker>
            <c:symbol val="diamond"/>
            <c:size val="7"/>
            <c:spPr>
              <a:solidFill>
                <a:srgbClr val="000080"/>
              </a:solidFill>
              <a:ln>
                <a:solidFill>
                  <a:srgbClr val="000080"/>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Tornadoes'!$I$12:$I$87</c:f>
              <c:numCache>
                <c:formatCode>General</c:formatCode>
                <c:ptCount val="76"/>
                <c:pt idx="0">
                  <c:v>4</c:v>
                </c:pt>
                <c:pt idx="1">
                  <c:v>10</c:v>
                </c:pt>
                <c:pt idx="2">
                  <c:v>1</c:v>
                </c:pt>
                <c:pt idx="3">
                  <c:v>2</c:v>
                </c:pt>
                <c:pt idx="4">
                  <c:v>2</c:v>
                </c:pt>
                <c:pt idx="5">
                  <c:v>18</c:v>
                </c:pt>
                <c:pt idx="6">
                  <c:v>2</c:v>
                </c:pt>
                <c:pt idx="7">
                  <c:v>10</c:v>
                </c:pt>
                <c:pt idx="8">
                  <c:v>11</c:v>
                </c:pt>
                <c:pt idx="9">
                  <c:v>6</c:v>
                </c:pt>
                <c:pt idx="10">
                  <c:v>13</c:v>
                </c:pt>
                <c:pt idx="11">
                  <c:v>15</c:v>
                </c:pt>
                <c:pt idx="12">
                  <c:v>26</c:v>
                </c:pt>
                <c:pt idx="13">
                  <c:v>5</c:v>
                </c:pt>
                <c:pt idx="14">
                  <c:v>4</c:v>
                </c:pt>
                <c:pt idx="15">
                  <c:v>12</c:v>
                </c:pt>
                <c:pt idx="16">
                  <c:v>12</c:v>
                </c:pt>
                <c:pt idx="17">
                  <c:v>28</c:v>
                </c:pt>
                <c:pt idx="18">
                  <c:v>22</c:v>
                </c:pt>
                <c:pt idx="19">
                  <c:v>16</c:v>
                </c:pt>
                <c:pt idx="20">
                  <c:v>6</c:v>
                </c:pt>
                <c:pt idx="21">
                  <c:v>39</c:v>
                </c:pt>
                <c:pt idx="22">
                  <c:v>19</c:v>
                </c:pt>
                <c:pt idx="23">
                  <c:v>8</c:v>
                </c:pt>
                <c:pt idx="24">
                  <c:v>13</c:v>
                </c:pt>
                <c:pt idx="25">
                  <c:v>16</c:v>
                </c:pt>
                <c:pt idx="26">
                  <c:v>10</c:v>
                </c:pt>
                <c:pt idx="27">
                  <c:v>21</c:v>
                </c:pt>
                <c:pt idx="28">
                  <c:v>16</c:v>
                </c:pt>
                <c:pt idx="29">
                  <c:v>11</c:v>
                </c:pt>
                <c:pt idx="30">
                  <c:v>13</c:v>
                </c:pt>
                <c:pt idx="31">
                  <c:v>14</c:v>
                </c:pt>
                <c:pt idx="32">
                  <c:v>36</c:v>
                </c:pt>
                <c:pt idx="33">
                  <c:v>14</c:v>
                </c:pt>
                <c:pt idx="34">
                  <c:v>8</c:v>
                </c:pt>
                <c:pt idx="35">
                  <c:v>3</c:v>
                </c:pt>
                <c:pt idx="36">
                  <c:v>16</c:v>
                </c:pt>
                <c:pt idx="37">
                  <c:v>32</c:v>
                </c:pt>
                <c:pt idx="38">
                  <c:v>4</c:v>
                </c:pt>
                <c:pt idx="39">
                  <c:v>32</c:v>
                </c:pt>
                <c:pt idx="40">
                  <c:v>38</c:v>
                </c:pt>
                <c:pt idx="41">
                  <c:v>21</c:v>
                </c:pt>
                <c:pt idx="42">
                  <c:v>19</c:v>
                </c:pt>
                <c:pt idx="43">
                  <c:v>18</c:v>
                </c:pt>
                <c:pt idx="44">
                  <c:v>5</c:v>
                </c:pt>
                <c:pt idx="45">
                  <c:v>41</c:v>
                </c:pt>
                <c:pt idx="46">
                  <c:v>35</c:v>
                </c:pt>
                <c:pt idx="47">
                  <c:v>29</c:v>
                </c:pt>
                <c:pt idx="48">
                  <c:v>2</c:v>
                </c:pt>
                <c:pt idx="49">
                  <c:v>25</c:v>
                </c:pt>
                <c:pt idx="50">
                  <c:v>8</c:v>
                </c:pt>
                <c:pt idx="51">
                  <c:v>20</c:v>
                </c:pt>
                <c:pt idx="52">
                  <c:v>22</c:v>
                </c:pt>
                <c:pt idx="53">
                  <c:v>33</c:v>
                </c:pt>
                <c:pt idx="54">
                  <c:v>14</c:v>
                </c:pt>
                <c:pt idx="55">
                  <c:v>15</c:v>
                </c:pt>
                <c:pt idx="56">
                  <c:v>13</c:v>
                </c:pt>
                <c:pt idx="57">
                  <c:v>58</c:v>
                </c:pt>
                <c:pt idx="58">
                  <c:v>11</c:v>
                </c:pt>
                <c:pt idx="59">
                  <c:v>13</c:v>
                </c:pt>
                <c:pt idx="60">
                  <c:v>38</c:v>
                </c:pt>
                <c:pt idx="61">
                  <c:v>4</c:v>
                </c:pt>
                <c:pt idx="62">
                  <c:v>6</c:v>
                </c:pt>
                <c:pt idx="63">
                  <c:v>7</c:v>
                </c:pt>
                <c:pt idx="64">
                  <c:v>12</c:v>
                </c:pt>
                <c:pt idx="65">
                  <c:v>35</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Tornadoes'!$L$12:$L$87</c:f>
              <c:numCache>
                <c:formatCode>0.0</c:formatCode>
                <c:ptCount val="76"/>
                <c:pt idx="0">
                  <c:v>4</c:v>
                </c:pt>
                <c:pt idx="1">
                  <c:v>7</c:v>
                </c:pt>
                <c:pt idx="2">
                  <c:v>5</c:v>
                </c:pt>
                <c:pt idx="3">
                  <c:v>4.25</c:v>
                </c:pt>
                <c:pt idx="4">
                  <c:v>3.8</c:v>
                </c:pt>
                <c:pt idx="5">
                  <c:v>6.166666666666667</c:v>
                </c:pt>
                <c:pt idx="6">
                  <c:v>5.5714285714285712</c:v>
                </c:pt>
                <c:pt idx="7">
                  <c:v>6.125</c:v>
                </c:pt>
                <c:pt idx="8">
                  <c:v>6.666666666666667</c:v>
                </c:pt>
                <c:pt idx="9">
                  <c:v>6.6</c:v>
                </c:pt>
                <c:pt idx="10">
                  <c:v>7.1818181818181817</c:v>
                </c:pt>
                <c:pt idx="11">
                  <c:v>7.833333333333333</c:v>
                </c:pt>
                <c:pt idx="12">
                  <c:v>9.2307692307692299</c:v>
                </c:pt>
                <c:pt idx="13">
                  <c:v>8.9285714285714288</c:v>
                </c:pt>
                <c:pt idx="14">
                  <c:v>8.6</c:v>
                </c:pt>
                <c:pt idx="15">
                  <c:v>8.8125</c:v>
                </c:pt>
                <c:pt idx="16">
                  <c:v>9</c:v>
                </c:pt>
                <c:pt idx="17">
                  <c:v>10.055555555555555</c:v>
                </c:pt>
                <c:pt idx="18">
                  <c:v>10.684210526315789</c:v>
                </c:pt>
                <c:pt idx="19">
                  <c:v>10.95</c:v>
                </c:pt>
                <c:pt idx="20">
                  <c:v>10.714285714285714</c:v>
                </c:pt>
                <c:pt idx="21">
                  <c:v>12</c:v>
                </c:pt>
                <c:pt idx="22">
                  <c:v>12.304347826086957</c:v>
                </c:pt>
                <c:pt idx="23">
                  <c:v>12.125</c:v>
                </c:pt>
                <c:pt idx="24">
                  <c:v>12.16</c:v>
                </c:pt>
                <c:pt idx="25">
                  <c:v>12.307692307692308</c:v>
                </c:pt>
                <c:pt idx="26">
                  <c:v>12.222222222222221</c:v>
                </c:pt>
                <c:pt idx="27">
                  <c:v>12.535714285714286</c:v>
                </c:pt>
                <c:pt idx="28">
                  <c:v>12.655172413793103</c:v>
                </c:pt>
                <c:pt idx="29">
                  <c:v>12.6</c:v>
                </c:pt>
                <c:pt idx="30">
                  <c:v>12.612903225806452</c:v>
                </c:pt>
                <c:pt idx="31">
                  <c:v>12.65625</c:v>
                </c:pt>
                <c:pt idx="32">
                  <c:v>13.363636363636363</c:v>
                </c:pt>
                <c:pt idx="33">
                  <c:v>13.382352941176471</c:v>
                </c:pt>
                <c:pt idx="34">
                  <c:v>13.228571428571428</c:v>
                </c:pt>
                <c:pt idx="35">
                  <c:v>12.944444444444445</c:v>
                </c:pt>
                <c:pt idx="36">
                  <c:v>13.027027027027026</c:v>
                </c:pt>
                <c:pt idx="37">
                  <c:v>13.526315789473685</c:v>
                </c:pt>
                <c:pt idx="38">
                  <c:v>13.282051282051283</c:v>
                </c:pt>
                <c:pt idx="39">
                  <c:v>13.75</c:v>
                </c:pt>
                <c:pt idx="40">
                  <c:v>14.341463414634147</c:v>
                </c:pt>
                <c:pt idx="41">
                  <c:v>14.5</c:v>
                </c:pt>
                <c:pt idx="42">
                  <c:v>14.604651162790697</c:v>
                </c:pt>
                <c:pt idx="43">
                  <c:v>14.681818181818182</c:v>
                </c:pt>
                <c:pt idx="44">
                  <c:v>14.466666666666667</c:v>
                </c:pt>
                <c:pt idx="45">
                  <c:v>15.043478260869565</c:v>
                </c:pt>
                <c:pt idx="46">
                  <c:v>15.468085106382979</c:v>
                </c:pt>
                <c:pt idx="47">
                  <c:v>15.75</c:v>
                </c:pt>
                <c:pt idx="48">
                  <c:v>15.469387755102041</c:v>
                </c:pt>
                <c:pt idx="49">
                  <c:v>15.66</c:v>
                </c:pt>
                <c:pt idx="50">
                  <c:v>15.509803921568627</c:v>
                </c:pt>
                <c:pt idx="51">
                  <c:v>15.596153846153847</c:v>
                </c:pt>
                <c:pt idx="52">
                  <c:v>15.716981132075471</c:v>
                </c:pt>
                <c:pt idx="53">
                  <c:v>16.037037037037038</c:v>
                </c:pt>
                <c:pt idx="54">
                  <c:v>16</c:v>
                </c:pt>
                <c:pt idx="55">
                  <c:v>15.982142857142858</c:v>
                </c:pt>
                <c:pt idx="56">
                  <c:v>15.929824561403509</c:v>
                </c:pt>
                <c:pt idx="57">
                  <c:v>16.655172413793103</c:v>
                </c:pt>
                <c:pt idx="58">
                  <c:v>16.559322033898304</c:v>
                </c:pt>
                <c:pt idx="59">
                  <c:v>16.5</c:v>
                </c:pt>
                <c:pt idx="60">
                  <c:v>16.852459016393443</c:v>
                </c:pt>
                <c:pt idx="61">
                  <c:v>16.64516129032258</c:v>
                </c:pt>
                <c:pt idx="62">
                  <c:v>16.476190476190474</c:v>
                </c:pt>
                <c:pt idx="63">
                  <c:v>16.328125</c:v>
                </c:pt>
                <c:pt idx="64">
                  <c:v>16.261538461538461</c:v>
                </c:pt>
                <c:pt idx="65">
                  <c:v>16.545454545454547</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06125952"/>
        <c:axId val="106160896"/>
      </c:lineChart>
      <c:catAx>
        <c:axId val="106125952"/>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6160896"/>
        <c:crosses val="autoZero"/>
        <c:auto val="1"/>
        <c:lblAlgn val="ctr"/>
        <c:lblOffset val="100"/>
        <c:tickLblSkip val="5"/>
        <c:tickMarkSkip val="1"/>
        <c:noMultiLvlLbl val="0"/>
      </c:catAx>
      <c:valAx>
        <c:axId val="10616089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4543068480083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6125952"/>
        <c:crosses val="autoZero"/>
        <c:crossBetween val="midCat"/>
      </c:valAx>
      <c:spPr>
        <a:noFill/>
        <a:ln w="3175">
          <a:solidFill>
            <a:srgbClr val="000000"/>
          </a:solidFill>
          <a:prstDash val="solid"/>
        </a:ln>
      </c:spPr>
    </c:plotArea>
    <c:legend>
      <c:legendPos val="t"/>
      <c:layout>
        <c:manualLayout>
          <c:xMode val="edge"/>
          <c:yMode val="edge"/>
          <c:x val="0.72816463851109658"/>
          <c:y val="7.9154634728775316E-3"/>
          <c:w val="0.22281651157241736"/>
          <c:h val="8.5751976393732651E-2"/>
        </c:manualLayout>
      </c:layout>
      <c:overlay val="0"/>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F2 / EF2  TORNADOES BY YEAR
Amarillo NWS CWA</a:t>
            </a:r>
          </a:p>
        </c:rich>
      </c:tx>
      <c:layout>
        <c:manualLayout>
          <c:xMode val="edge"/>
          <c:yMode val="edge"/>
          <c:x val="0.34114939252502929"/>
          <c:y val="1.8385301837270343E-2"/>
        </c:manualLayout>
      </c:layout>
      <c:overlay val="0"/>
      <c:spPr>
        <a:noFill/>
        <a:ln w="38100">
          <a:solidFill>
            <a:srgbClr val="993366"/>
          </a:solidFill>
          <a:prstDash val="solid"/>
        </a:ln>
      </c:spPr>
    </c:title>
    <c:autoTitleDeleted val="0"/>
    <c:plotArea>
      <c:layout>
        <c:manualLayout>
          <c:layoutTarget val="inner"/>
          <c:xMode val="edge"/>
          <c:yMode val="edge"/>
          <c:x val="6.4582487143858364E-2"/>
          <c:y val="0.12796833773087118"/>
          <c:w val="0.90813185116566308"/>
          <c:h val="0.79419525065963215"/>
        </c:manualLayout>
      </c:layout>
      <c:lineChart>
        <c:grouping val="standard"/>
        <c:varyColors val="0"/>
        <c:ser>
          <c:idx val="0"/>
          <c:order val="0"/>
          <c:tx>
            <c:v>Annual Total</c:v>
          </c:tx>
          <c:spPr>
            <a:ln w="25400">
              <a:solidFill>
                <a:srgbClr val="FFFFFF"/>
              </a:solidFill>
              <a:prstDash val="solid"/>
            </a:ln>
          </c:spPr>
          <c:marker>
            <c:symbol val="plus"/>
            <c:size val="7"/>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Tornadoes'!$E$12:$E$87</c:f>
              <c:numCache>
                <c:formatCode>0</c:formatCode>
                <c:ptCount val="76"/>
                <c:pt idx="0">
                  <c:v>1</c:v>
                </c:pt>
                <c:pt idx="1">
                  <c:v>3</c:v>
                </c:pt>
                <c:pt idx="2">
                  <c:v>0</c:v>
                </c:pt>
                <c:pt idx="3">
                  <c:v>0</c:v>
                </c:pt>
                <c:pt idx="4">
                  <c:v>0</c:v>
                </c:pt>
                <c:pt idx="5">
                  <c:v>1</c:v>
                </c:pt>
                <c:pt idx="6">
                  <c:v>0</c:v>
                </c:pt>
                <c:pt idx="7">
                  <c:v>3</c:v>
                </c:pt>
                <c:pt idx="8">
                  <c:v>0</c:v>
                </c:pt>
                <c:pt idx="9">
                  <c:v>0</c:v>
                </c:pt>
                <c:pt idx="10">
                  <c:v>1</c:v>
                </c:pt>
                <c:pt idx="11">
                  <c:v>5</c:v>
                </c:pt>
                <c:pt idx="12">
                  <c:v>4</c:v>
                </c:pt>
                <c:pt idx="13">
                  <c:v>1</c:v>
                </c:pt>
                <c:pt idx="14">
                  <c:v>1</c:v>
                </c:pt>
                <c:pt idx="15">
                  <c:v>4</c:v>
                </c:pt>
                <c:pt idx="16">
                  <c:v>1</c:v>
                </c:pt>
                <c:pt idx="17">
                  <c:v>7</c:v>
                </c:pt>
                <c:pt idx="18">
                  <c:v>2</c:v>
                </c:pt>
                <c:pt idx="19">
                  <c:v>2</c:v>
                </c:pt>
                <c:pt idx="20">
                  <c:v>1</c:v>
                </c:pt>
                <c:pt idx="21">
                  <c:v>17</c:v>
                </c:pt>
                <c:pt idx="22">
                  <c:v>3</c:v>
                </c:pt>
                <c:pt idx="23">
                  <c:v>4</c:v>
                </c:pt>
                <c:pt idx="24">
                  <c:v>1</c:v>
                </c:pt>
                <c:pt idx="25">
                  <c:v>1</c:v>
                </c:pt>
                <c:pt idx="26">
                  <c:v>0</c:v>
                </c:pt>
                <c:pt idx="27">
                  <c:v>2</c:v>
                </c:pt>
                <c:pt idx="28">
                  <c:v>1</c:v>
                </c:pt>
                <c:pt idx="29">
                  <c:v>0</c:v>
                </c:pt>
                <c:pt idx="30">
                  <c:v>3</c:v>
                </c:pt>
                <c:pt idx="31">
                  <c:v>1</c:v>
                </c:pt>
                <c:pt idx="32">
                  <c:v>5</c:v>
                </c:pt>
                <c:pt idx="33">
                  <c:v>2</c:v>
                </c:pt>
                <c:pt idx="34">
                  <c:v>0</c:v>
                </c:pt>
                <c:pt idx="35">
                  <c:v>0</c:v>
                </c:pt>
                <c:pt idx="36">
                  <c:v>1</c:v>
                </c:pt>
                <c:pt idx="37">
                  <c:v>8</c:v>
                </c:pt>
                <c:pt idx="38">
                  <c:v>1</c:v>
                </c:pt>
                <c:pt idx="39">
                  <c:v>2</c:v>
                </c:pt>
                <c:pt idx="40">
                  <c:v>4</c:v>
                </c:pt>
                <c:pt idx="41">
                  <c:v>0</c:v>
                </c:pt>
                <c:pt idx="42">
                  <c:v>1</c:v>
                </c:pt>
                <c:pt idx="43">
                  <c:v>0</c:v>
                </c:pt>
                <c:pt idx="44">
                  <c:v>0</c:v>
                </c:pt>
                <c:pt idx="45">
                  <c:v>5</c:v>
                </c:pt>
                <c:pt idx="46">
                  <c:v>1</c:v>
                </c:pt>
                <c:pt idx="47">
                  <c:v>0</c:v>
                </c:pt>
                <c:pt idx="48">
                  <c:v>0</c:v>
                </c:pt>
                <c:pt idx="49">
                  <c:v>0</c:v>
                </c:pt>
                <c:pt idx="50">
                  <c:v>0</c:v>
                </c:pt>
                <c:pt idx="51">
                  <c:v>3</c:v>
                </c:pt>
                <c:pt idx="52">
                  <c:v>1</c:v>
                </c:pt>
                <c:pt idx="53">
                  <c:v>1</c:v>
                </c:pt>
                <c:pt idx="54">
                  <c:v>0</c:v>
                </c:pt>
                <c:pt idx="55">
                  <c:v>0</c:v>
                </c:pt>
                <c:pt idx="56">
                  <c:v>0</c:v>
                </c:pt>
                <c:pt idx="57">
                  <c:v>10</c:v>
                </c:pt>
                <c:pt idx="58">
                  <c:v>1</c:v>
                </c:pt>
                <c:pt idx="59">
                  <c:v>1</c:v>
                </c:pt>
                <c:pt idx="60">
                  <c:v>1</c:v>
                </c:pt>
                <c:pt idx="61">
                  <c:v>0</c:v>
                </c:pt>
                <c:pt idx="62">
                  <c:v>0</c:v>
                </c:pt>
                <c:pt idx="63">
                  <c:v>0</c:v>
                </c:pt>
                <c:pt idx="64">
                  <c:v>0</c:v>
                </c:pt>
                <c:pt idx="65">
                  <c:v>2</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FF00"/>
              </a:solidFill>
              <a:ln>
                <a:solidFill>
                  <a:srgbClr val="FFFF00"/>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Tornadoes'!$R$12:$R$87</c:f>
              <c:numCache>
                <c:formatCode>0.0</c:formatCode>
                <c:ptCount val="76"/>
                <c:pt idx="0">
                  <c:v>1</c:v>
                </c:pt>
                <c:pt idx="1">
                  <c:v>2</c:v>
                </c:pt>
                <c:pt idx="2">
                  <c:v>1.3333333333333333</c:v>
                </c:pt>
                <c:pt idx="3">
                  <c:v>1</c:v>
                </c:pt>
                <c:pt idx="4">
                  <c:v>0.8</c:v>
                </c:pt>
                <c:pt idx="5">
                  <c:v>0.83333333333333337</c:v>
                </c:pt>
                <c:pt idx="6">
                  <c:v>0.7142857142857143</c:v>
                </c:pt>
                <c:pt idx="7">
                  <c:v>1</c:v>
                </c:pt>
                <c:pt idx="8">
                  <c:v>0.88888888888888884</c:v>
                </c:pt>
                <c:pt idx="9">
                  <c:v>0.8</c:v>
                </c:pt>
                <c:pt idx="10">
                  <c:v>0.81818181818181823</c:v>
                </c:pt>
                <c:pt idx="11">
                  <c:v>1.1666666666666667</c:v>
                </c:pt>
                <c:pt idx="12">
                  <c:v>1.3846153846153846</c:v>
                </c:pt>
                <c:pt idx="13">
                  <c:v>1.3571428571428572</c:v>
                </c:pt>
                <c:pt idx="14">
                  <c:v>1.3333333333333333</c:v>
                </c:pt>
                <c:pt idx="15">
                  <c:v>1.5</c:v>
                </c:pt>
                <c:pt idx="16">
                  <c:v>1.4705882352941178</c:v>
                </c:pt>
                <c:pt idx="17">
                  <c:v>1.7777777777777777</c:v>
                </c:pt>
                <c:pt idx="18">
                  <c:v>1.7894736842105263</c:v>
                </c:pt>
                <c:pt idx="19">
                  <c:v>1.8</c:v>
                </c:pt>
                <c:pt idx="20">
                  <c:v>1.7619047619047619</c:v>
                </c:pt>
                <c:pt idx="21">
                  <c:v>2.4545454545454546</c:v>
                </c:pt>
                <c:pt idx="22">
                  <c:v>2.4782608695652173</c:v>
                </c:pt>
                <c:pt idx="23">
                  <c:v>2.5416666666666665</c:v>
                </c:pt>
                <c:pt idx="24">
                  <c:v>2.48</c:v>
                </c:pt>
                <c:pt idx="25">
                  <c:v>2.4230769230769229</c:v>
                </c:pt>
                <c:pt idx="26">
                  <c:v>2.3333333333333335</c:v>
                </c:pt>
                <c:pt idx="27">
                  <c:v>2.3214285714285716</c:v>
                </c:pt>
                <c:pt idx="28">
                  <c:v>2.2758620689655173</c:v>
                </c:pt>
                <c:pt idx="29">
                  <c:v>2.2000000000000002</c:v>
                </c:pt>
                <c:pt idx="30">
                  <c:v>2.225806451612903</c:v>
                </c:pt>
                <c:pt idx="31">
                  <c:v>2.1875</c:v>
                </c:pt>
                <c:pt idx="32">
                  <c:v>2.2727272727272729</c:v>
                </c:pt>
                <c:pt idx="33">
                  <c:v>2.2647058823529411</c:v>
                </c:pt>
                <c:pt idx="34">
                  <c:v>2.2000000000000002</c:v>
                </c:pt>
                <c:pt idx="35">
                  <c:v>2.1388888888888888</c:v>
                </c:pt>
                <c:pt idx="36">
                  <c:v>2.1081081081081079</c:v>
                </c:pt>
                <c:pt idx="37">
                  <c:v>2.263157894736842</c:v>
                </c:pt>
                <c:pt idx="38">
                  <c:v>2.2307692307692308</c:v>
                </c:pt>
                <c:pt idx="39">
                  <c:v>2.2250000000000001</c:v>
                </c:pt>
                <c:pt idx="40">
                  <c:v>2.2682926829268291</c:v>
                </c:pt>
                <c:pt idx="41">
                  <c:v>2.2142857142857144</c:v>
                </c:pt>
                <c:pt idx="42">
                  <c:v>2.1860465116279069</c:v>
                </c:pt>
                <c:pt idx="43">
                  <c:v>2.1363636363636362</c:v>
                </c:pt>
                <c:pt idx="44">
                  <c:v>2.088888888888889</c:v>
                </c:pt>
                <c:pt idx="45">
                  <c:v>2.152173913043478</c:v>
                </c:pt>
                <c:pt idx="46">
                  <c:v>2.1276595744680851</c:v>
                </c:pt>
                <c:pt idx="47">
                  <c:v>2.0833333333333335</c:v>
                </c:pt>
                <c:pt idx="48">
                  <c:v>2.0408163265306123</c:v>
                </c:pt>
                <c:pt idx="49">
                  <c:v>2</c:v>
                </c:pt>
                <c:pt idx="50">
                  <c:v>1.9607843137254901</c:v>
                </c:pt>
                <c:pt idx="51">
                  <c:v>1.9807692307692308</c:v>
                </c:pt>
                <c:pt idx="52">
                  <c:v>1.9622641509433962</c:v>
                </c:pt>
                <c:pt idx="53">
                  <c:v>1.9444444444444444</c:v>
                </c:pt>
                <c:pt idx="54">
                  <c:v>1.9090909090909092</c:v>
                </c:pt>
                <c:pt idx="55">
                  <c:v>1.875</c:v>
                </c:pt>
                <c:pt idx="56">
                  <c:v>1.8421052631578947</c:v>
                </c:pt>
                <c:pt idx="57">
                  <c:v>1.9827586206896552</c:v>
                </c:pt>
                <c:pt idx="58">
                  <c:v>1.9661016949152543</c:v>
                </c:pt>
                <c:pt idx="59">
                  <c:v>1.95</c:v>
                </c:pt>
                <c:pt idx="60">
                  <c:v>1.9344262295081966</c:v>
                </c:pt>
                <c:pt idx="61">
                  <c:v>1.903225806451613</c:v>
                </c:pt>
                <c:pt idx="62">
                  <c:v>1.873015873015873</c:v>
                </c:pt>
                <c:pt idx="63">
                  <c:v>1.84375</c:v>
                </c:pt>
                <c:pt idx="64">
                  <c:v>1.8153846153846154</c:v>
                </c:pt>
                <c:pt idx="65">
                  <c:v>1.8181818181818181</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10093056"/>
        <c:axId val="110094976"/>
      </c:lineChart>
      <c:catAx>
        <c:axId val="110093056"/>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10094976"/>
        <c:crosses val="autoZero"/>
        <c:auto val="1"/>
        <c:lblAlgn val="ctr"/>
        <c:lblOffset val="100"/>
        <c:tickLblSkip val="5"/>
        <c:tickMarkSkip val="1"/>
        <c:noMultiLvlLbl val="0"/>
      </c:catAx>
      <c:valAx>
        <c:axId val="11009497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603757675182E-3"/>
              <c:y val="0.38918215223097186"/>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10093056"/>
        <c:crosses val="autoZero"/>
        <c:crossBetween val="midCat"/>
      </c:valAx>
      <c:spPr>
        <a:noFill/>
        <a:ln w="3175">
          <a:solidFill>
            <a:srgbClr val="000000"/>
          </a:solidFill>
          <a:prstDash val="solid"/>
        </a:ln>
      </c:spPr>
    </c:plotArea>
    <c:legend>
      <c:legendPos val="t"/>
      <c:layout>
        <c:manualLayout>
          <c:xMode val="edge"/>
          <c:yMode val="edge"/>
          <c:x val="0.72370826949798694"/>
          <c:y val="7.9155905511811113E-3"/>
          <c:w val="0.222816593627154"/>
          <c:h val="8.5752020997375528E-2"/>
        </c:manualLayout>
      </c:layout>
      <c:overlay val="0"/>
      <c:spPr>
        <a:no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F3 / EF3 TORNADOES BY YEAR
Amarillo NWS CWA</a:t>
            </a:r>
          </a:p>
        </c:rich>
      </c:tx>
      <c:layout>
        <c:manualLayout>
          <c:xMode val="edge"/>
          <c:yMode val="edge"/>
          <c:x val="0.34156711682322344"/>
          <c:y val="2.631580052493444E-2"/>
        </c:manualLayout>
      </c:layout>
      <c:overlay val="0"/>
      <c:spPr>
        <a:noFill/>
        <a:ln w="38100">
          <a:solidFill>
            <a:srgbClr val="FFCC99"/>
          </a:solidFill>
          <a:prstDash val="solid"/>
        </a:ln>
      </c:spPr>
    </c:title>
    <c:autoTitleDeleted val="0"/>
    <c:plotArea>
      <c:layout>
        <c:manualLayout>
          <c:layoutTarget val="inner"/>
          <c:xMode val="edge"/>
          <c:yMode val="edge"/>
          <c:x val="8.1817428894033067E-2"/>
          <c:y val="0.14078956413803206"/>
          <c:w val="0.89043648204587367"/>
          <c:h val="0.79342156238535821"/>
        </c:manualLayout>
      </c:layout>
      <c:lineChart>
        <c:grouping val="standard"/>
        <c:varyColors val="0"/>
        <c:ser>
          <c:idx val="0"/>
          <c:order val="0"/>
          <c:tx>
            <c:v>Annual Total</c:v>
          </c:tx>
          <c:spPr>
            <a:ln w="25400">
              <a:solidFill>
                <a:srgbClr val="FFFFFF"/>
              </a:solidFill>
              <a:prstDash val="solid"/>
            </a:ln>
          </c:spPr>
          <c:marker>
            <c:symbol val="triangle"/>
            <c:size val="9"/>
            <c:spPr>
              <a:solidFill>
                <a:srgbClr val="FF0000"/>
              </a:solidFill>
              <a:ln>
                <a:solidFill>
                  <a:srgbClr val="FFFF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Tornadoes'!$F$12:$F$87</c:f>
              <c:numCache>
                <c:formatCode>0</c:formatCode>
                <c:ptCount val="76"/>
                <c:pt idx="0">
                  <c:v>0</c:v>
                </c:pt>
                <c:pt idx="1">
                  <c:v>1</c:v>
                </c:pt>
                <c:pt idx="2">
                  <c:v>0</c:v>
                </c:pt>
                <c:pt idx="3">
                  <c:v>0</c:v>
                </c:pt>
                <c:pt idx="4">
                  <c:v>0</c:v>
                </c:pt>
                <c:pt idx="5">
                  <c:v>2</c:v>
                </c:pt>
                <c:pt idx="6">
                  <c:v>0</c:v>
                </c:pt>
                <c:pt idx="7">
                  <c:v>1</c:v>
                </c:pt>
                <c:pt idx="8">
                  <c:v>0</c:v>
                </c:pt>
                <c:pt idx="9">
                  <c:v>0</c:v>
                </c:pt>
                <c:pt idx="10">
                  <c:v>0</c:v>
                </c:pt>
                <c:pt idx="11">
                  <c:v>0</c:v>
                </c:pt>
                <c:pt idx="12">
                  <c:v>1</c:v>
                </c:pt>
                <c:pt idx="13">
                  <c:v>1</c:v>
                </c:pt>
                <c:pt idx="14">
                  <c:v>0</c:v>
                </c:pt>
                <c:pt idx="15">
                  <c:v>2</c:v>
                </c:pt>
                <c:pt idx="16">
                  <c:v>0</c:v>
                </c:pt>
                <c:pt idx="17">
                  <c:v>1</c:v>
                </c:pt>
                <c:pt idx="18">
                  <c:v>1</c:v>
                </c:pt>
                <c:pt idx="19">
                  <c:v>0</c:v>
                </c:pt>
                <c:pt idx="20">
                  <c:v>0</c:v>
                </c:pt>
                <c:pt idx="21">
                  <c:v>3</c:v>
                </c:pt>
                <c:pt idx="22">
                  <c:v>0</c:v>
                </c:pt>
                <c:pt idx="23">
                  <c:v>0</c:v>
                </c:pt>
                <c:pt idx="24">
                  <c:v>0</c:v>
                </c:pt>
                <c:pt idx="25">
                  <c:v>1</c:v>
                </c:pt>
                <c:pt idx="26">
                  <c:v>0</c:v>
                </c:pt>
                <c:pt idx="27">
                  <c:v>2</c:v>
                </c:pt>
                <c:pt idx="28">
                  <c:v>1</c:v>
                </c:pt>
                <c:pt idx="29">
                  <c:v>0</c:v>
                </c:pt>
                <c:pt idx="30">
                  <c:v>0</c:v>
                </c:pt>
                <c:pt idx="31">
                  <c:v>0</c:v>
                </c:pt>
                <c:pt idx="32">
                  <c:v>4</c:v>
                </c:pt>
                <c:pt idx="33">
                  <c:v>0</c:v>
                </c:pt>
                <c:pt idx="34">
                  <c:v>0</c:v>
                </c:pt>
                <c:pt idx="35">
                  <c:v>0</c:v>
                </c:pt>
                <c:pt idx="36">
                  <c:v>1</c:v>
                </c:pt>
                <c:pt idx="37">
                  <c:v>3</c:v>
                </c:pt>
                <c:pt idx="38">
                  <c:v>0</c:v>
                </c:pt>
                <c:pt idx="39">
                  <c:v>0</c:v>
                </c:pt>
                <c:pt idx="40">
                  <c:v>1</c:v>
                </c:pt>
                <c:pt idx="41">
                  <c:v>1</c:v>
                </c:pt>
                <c:pt idx="42">
                  <c:v>1</c:v>
                </c:pt>
                <c:pt idx="43">
                  <c:v>2</c:v>
                </c:pt>
                <c:pt idx="44">
                  <c:v>0</c:v>
                </c:pt>
                <c:pt idx="45">
                  <c:v>0</c:v>
                </c:pt>
                <c:pt idx="46">
                  <c:v>0</c:v>
                </c:pt>
                <c:pt idx="47">
                  <c:v>1</c:v>
                </c:pt>
                <c:pt idx="48">
                  <c:v>0</c:v>
                </c:pt>
                <c:pt idx="49">
                  <c:v>0</c:v>
                </c:pt>
                <c:pt idx="50">
                  <c:v>0</c:v>
                </c:pt>
                <c:pt idx="51">
                  <c:v>1</c:v>
                </c:pt>
                <c:pt idx="52">
                  <c:v>0</c:v>
                </c:pt>
                <c:pt idx="53">
                  <c:v>0</c:v>
                </c:pt>
                <c:pt idx="54">
                  <c:v>0</c:v>
                </c:pt>
                <c:pt idx="55">
                  <c:v>0</c:v>
                </c:pt>
                <c:pt idx="56">
                  <c:v>0</c:v>
                </c:pt>
                <c:pt idx="57">
                  <c:v>3</c:v>
                </c:pt>
                <c:pt idx="58">
                  <c:v>0</c:v>
                </c:pt>
                <c:pt idx="59">
                  <c:v>0</c:v>
                </c:pt>
                <c:pt idx="60">
                  <c:v>0</c:v>
                </c:pt>
                <c:pt idx="61">
                  <c:v>0</c:v>
                </c:pt>
                <c:pt idx="62">
                  <c:v>0</c:v>
                </c:pt>
                <c:pt idx="63">
                  <c:v>0</c:v>
                </c:pt>
                <c:pt idx="64">
                  <c:v>0</c:v>
                </c:pt>
                <c:pt idx="65">
                  <c:v>2</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Tornadoes'!$T$12:$T$87</c:f>
              <c:numCache>
                <c:formatCode>0.0</c:formatCode>
                <c:ptCount val="76"/>
                <c:pt idx="0">
                  <c:v>0</c:v>
                </c:pt>
                <c:pt idx="1">
                  <c:v>0.5</c:v>
                </c:pt>
                <c:pt idx="2">
                  <c:v>0.33333333333333331</c:v>
                </c:pt>
                <c:pt idx="3">
                  <c:v>0.25</c:v>
                </c:pt>
                <c:pt idx="4">
                  <c:v>0.2</c:v>
                </c:pt>
                <c:pt idx="5">
                  <c:v>0.5</c:v>
                </c:pt>
                <c:pt idx="6">
                  <c:v>0.42857142857142855</c:v>
                </c:pt>
                <c:pt idx="7">
                  <c:v>0.5</c:v>
                </c:pt>
                <c:pt idx="8">
                  <c:v>0.44444444444444442</c:v>
                </c:pt>
                <c:pt idx="9">
                  <c:v>0.4</c:v>
                </c:pt>
                <c:pt idx="10">
                  <c:v>0.36363636363636365</c:v>
                </c:pt>
                <c:pt idx="11">
                  <c:v>0.33333333333333331</c:v>
                </c:pt>
                <c:pt idx="12">
                  <c:v>0.38461538461538464</c:v>
                </c:pt>
                <c:pt idx="13">
                  <c:v>0.42857142857142855</c:v>
                </c:pt>
                <c:pt idx="14">
                  <c:v>0.4</c:v>
                </c:pt>
                <c:pt idx="15">
                  <c:v>0.5</c:v>
                </c:pt>
                <c:pt idx="16">
                  <c:v>0.47058823529411764</c:v>
                </c:pt>
                <c:pt idx="17">
                  <c:v>0.5</c:v>
                </c:pt>
                <c:pt idx="18">
                  <c:v>0.52631578947368418</c:v>
                </c:pt>
                <c:pt idx="19">
                  <c:v>0.5</c:v>
                </c:pt>
                <c:pt idx="20">
                  <c:v>0.47619047619047616</c:v>
                </c:pt>
                <c:pt idx="21">
                  <c:v>0.59090909090909094</c:v>
                </c:pt>
                <c:pt idx="22">
                  <c:v>0.56521739130434778</c:v>
                </c:pt>
                <c:pt idx="23">
                  <c:v>0.54166666666666663</c:v>
                </c:pt>
                <c:pt idx="24">
                  <c:v>0.52</c:v>
                </c:pt>
                <c:pt idx="25">
                  <c:v>0.53846153846153844</c:v>
                </c:pt>
                <c:pt idx="26">
                  <c:v>0.51851851851851849</c:v>
                </c:pt>
                <c:pt idx="27">
                  <c:v>0.5714285714285714</c:v>
                </c:pt>
                <c:pt idx="28">
                  <c:v>0.58620689655172409</c:v>
                </c:pt>
                <c:pt idx="29">
                  <c:v>0.56666666666666665</c:v>
                </c:pt>
                <c:pt idx="30">
                  <c:v>0.54838709677419351</c:v>
                </c:pt>
                <c:pt idx="31">
                  <c:v>0.53125</c:v>
                </c:pt>
                <c:pt idx="32">
                  <c:v>0.63636363636363635</c:v>
                </c:pt>
                <c:pt idx="33">
                  <c:v>0.61764705882352944</c:v>
                </c:pt>
                <c:pt idx="34">
                  <c:v>0.6</c:v>
                </c:pt>
                <c:pt idx="35">
                  <c:v>0.58333333333333337</c:v>
                </c:pt>
                <c:pt idx="36">
                  <c:v>0.59459459459459463</c:v>
                </c:pt>
                <c:pt idx="37">
                  <c:v>0.65789473684210531</c:v>
                </c:pt>
                <c:pt idx="38">
                  <c:v>0.64102564102564108</c:v>
                </c:pt>
                <c:pt idx="39">
                  <c:v>0.625</c:v>
                </c:pt>
                <c:pt idx="40">
                  <c:v>0.63414634146341464</c:v>
                </c:pt>
                <c:pt idx="41">
                  <c:v>0.6428571428571429</c:v>
                </c:pt>
                <c:pt idx="42">
                  <c:v>0.65116279069767447</c:v>
                </c:pt>
                <c:pt idx="43">
                  <c:v>0.68181818181818177</c:v>
                </c:pt>
                <c:pt idx="44">
                  <c:v>0.66666666666666663</c:v>
                </c:pt>
                <c:pt idx="45">
                  <c:v>0.65217391304347827</c:v>
                </c:pt>
                <c:pt idx="46">
                  <c:v>0.63829787234042556</c:v>
                </c:pt>
                <c:pt idx="47">
                  <c:v>0.64583333333333337</c:v>
                </c:pt>
                <c:pt idx="48">
                  <c:v>0.63265306122448983</c:v>
                </c:pt>
                <c:pt idx="49">
                  <c:v>0.62</c:v>
                </c:pt>
                <c:pt idx="50">
                  <c:v>0.60784313725490191</c:v>
                </c:pt>
                <c:pt idx="51">
                  <c:v>0.61538461538461542</c:v>
                </c:pt>
                <c:pt idx="52">
                  <c:v>0.60377358490566035</c:v>
                </c:pt>
                <c:pt idx="53">
                  <c:v>0.59259259259259256</c:v>
                </c:pt>
                <c:pt idx="54">
                  <c:v>0.58181818181818179</c:v>
                </c:pt>
                <c:pt idx="55">
                  <c:v>0.5714285714285714</c:v>
                </c:pt>
                <c:pt idx="56">
                  <c:v>0.56140350877192979</c:v>
                </c:pt>
                <c:pt idx="57">
                  <c:v>0.60344827586206895</c:v>
                </c:pt>
                <c:pt idx="58">
                  <c:v>0.59322033898305082</c:v>
                </c:pt>
                <c:pt idx="59">
                  <c:v>0.58333333333333337</c:v>
                </c:pt>
                <c:pt idx="60">
                  <c:v>0.57377049180327866</c:v>
                </c:pt>
                <c:pt idx="61">
                  <c:v>0.56451612903225812</c:v>
                </c:pt>
                <c:pt idx="62">
                  <c:v>0.55555555555555558</c:v>
                </c:pt>
                <c:pt idx="63">
                  <c:v>0.546875</c:v>
                </c:pt>
                <c:pt idx="64">
                  <c:v>0.53846153846153844</c:v>
                </c:pt>
                <c:pt idx="65">
                  <c:v>0.56060606060606055</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09981056"/>
        <c:axId val="110007808"/>
      </c:lineChart>
      <c:catAx>
        <c:axId val="109981056"/>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10007808"/>
        <c:crosses val="autoZero"/>
        <c:auto val="1"/>
        <c:lblAlgn val="ctr"/>
        <c:lblOffset val="100"/>
        <c:tickLblSkip val="5"/>
        <c:tickMarkSkip val="1"/>
        <c:noMultiLvlLbl val="0"/>
      </c:catAx>
      <c:valAx>
        <c:axId val="110007808"/>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604526590816427E-3"/>
              <c:y val="0.4013161154855648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981056"/>
        <c:crosses val="autoZero"/>
        <c:crossBetween val="midCat"/>
      </c:valAx>
      <c:spPr>
        <a:noFill/>
        <a:ln w="3175">
          <a:solidFill>
            <a:srgbClr val="000000"/>
          </a:solidFill>
          <a:prstDash val="solid"/>
        </a:ln>
      </c:spPr>
    </c:plotArea>
    <c:legend>
      <c:legendPos val="t"/>
      <c:layout>
        <c:manualLayout>
          <c:xMode val="edge"/>
          <c:yMode val="edge"/>
          <c:x val="0.72167704916567665"/>
          <c:y val="7.8948031496062984E-3"/>
          <c:w val="0.22569127780707321"/>
          <c:h val="8.5526299212598508E-2"/>
        </c:manualLayout>
      </c:layout>
      <c:overlay val="0"/>
      <c:spPr>
        <a:noFill/>
        <a:ln w="3175">
          <a:solidFill>
            <a:srgbClr val="FF8080"/>
          </a:solidFill>
          <a:prstDash val="solid"/>
        </a:ln>
      </c:spPr>
      <c:txPr>
        <a:bodyPr/>
        <a:lstStyle/>
        <a:p>
          <a:pPr>
            <a:defRPr sz="1200" b="0" i="0" u="none" strike="noStrike" baseline="0">
              <a:solidFill>
                <a:srgbClr val="FFFFFF"/>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US" sz="1400"/>
              <a:t>F4 / EF4 TORNADOES BY YEAR
Amarillo NWS CWA</a:t>
            </a:r>
          </a:p>
        </c:rich>
      </c:tx>
      <c:layout>
        <c:manualLayout>
          <c:xMode val="edge"/>
          <c:yMode val="edge"/>
          <c:x val="0.33702682170404241"/>
          <c:y val="2.6385158768981551E-2"/>
        </c:manualLayout>
      </c:layout>
      <c:overlay val="0"/>
      <c:spPr>
        <a:noFill/>
        <a:ln w="38100">
          <a:solidFill>
            <a:srgbClr val="00FFFF"/>
          </a:solidFill>
          <a:prstDash val="solid"/>
        </a:ln>
      </c:spPr>
    </c:title>
    <c:autoTitleDeleted val="0"/>
    <c:plotArea>
      <c:layout>
        <c:manualLayout>
          <c:layoutTarget val="inner"/>
          <c:xMode val="edge"/>
          <c:yMode val="edge"/>
          <c:x val="6.776587092334245E-2"/>
          <c:y val="0.13588390501319261"/>
          <c:w val="0.90227330550763907"/>
          <c:h val="0.79419525065963215"/>
        </c:manualLayout>
      </c:layout>
      <c:lineChart>
        <c:grouping val="standard"/>
        <c:varyColors val="0"/>
        <c:ser>
          <c:idx val="0"/>
          <c:order val="0"/>
          <c:tx>
            <c:v>Annual Total</c:v>
          </c:tx>
          <c:spPr>
            <a:ln w="25400">
              <a:solidFill>
                <a:srgbClr val="FFFFFF"/>
              </a:solidFill>
              <a:prstDash val="solid"/>
            </a:ln>
          </c:spPr>
          <c:marker>
            <c:symbol val="circle"/>
            <c:size val="9"/>
            <c:spPr>
              <a:solidFill>
                <a:srgbClr val="FFFF00"/>
              </a:solidFill>
              <a:ln>
                <a:solidFill>
                  <a:srgbClr val="FF0000"/>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Tornadoes'!$G$12:$G$87</c:f>
              <c:numCache>
                <c:formatCode>0</c:formatCode>
                <c:ptCount val="76"/>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c:v>
                </c:pt>
                <c:pt idx="21">
                  <c:v>2</c:v>
                </c:pt>
                <c:pt idx="22">
                  <c:v>0</c:v>
                </c:pt>
                <c:pt idx="23">
                  <c:v>0</c:v>
                </c:pt>
                <c:pt idx="24">
                  <c:v>0</c:v>
                </c:pt>
                <c:pt idx="25">
                  <c:v>0</c:v>
                </c:pt>
                <c:pt idx="26">
                  <c:v>0</c:v>
                </c:pt>
                <c:pt idx="27">
                  <c:v>1</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1</c:v>
                </c:pt>
                <c:pt idx="43">
                  <c:v>0</c:v>
                </c:pt>
                <c:pt idx="44">
                  <c:v>0</c:v>
                </c:pt>
                <c:pt idx="45">
                  <c:v>3</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Tornadoes'!$V$12:$V$87</c:f>
              <c:numCache>
                <c:formatCode>0.0</c:formatCode>
                <c:ptCount val="76"/>
                <c:pt idx="0">
                  <c:v>0</c:v>
                </c:pt>
                <c:pt idx="1">
                  <c:v>0</c:v>
                </c:pt>
                <c:pt idx="2">
                  <c:v>0</c:v>
                </c:pt>
                <c:pt idx="3">
                  <c:v>0</c:v>
                </c:pt>
                <c:pt idx="4">
                  <c:v>0</c:v>
                </c:pt>
                <c:pt idx="5">
                  <c:v>0.16666666666666666</c:v>
                </c:pt>
                <c:pt idx="6">
                  <c:v>0.14285714285714285</c:v>
                </c:pt>
                <c:pt idx="7">
                  <c:v>0.125</c:v>
                </c:pt>
                <c:pt idx="8">
                  <c:v>0.1111111111111111</c:v>
                </c:pt>
                <c:pt idx="9">
                  <c:v>0.1</c:v>
                </c:pt>
                <c:pt idx="10">
                  <c:v>9.0909090909090912E-2</c:v>
                </c:pt>
                <c:pt idx="11">
                  <c:v>8.3333333333333329E-2</c:v>
                </c:pt>
                <c:pt idx="12">
                  <c:v>7.6923076923076927E-2</c:v>
                </c:pt>
                <c:pt idx="13">
                  <c:v>7.1428571428571425E-2</c:v>
                </c:pt>
                <c:pt idx="14">
                  <c:v>6.6666666666666666E-2</c:v>
                </c:pt>
                <c:pt idx="15">
                  <c:v>6.25E-2</c:v>
                </c:pt>
                <c:pt idx="16">
                  <c:v>5.8823529411764705E-2</c:v>
                </c:pt>
                <c:pt idx="17">
                  <c:v>5.5555555555555552E-2</c:v>
                </c:pt>
                <c:pt idx="18">
                  <c:v>5.2631578947368418E-2</c:v>
                </c:pt>
                <c:pt idx="19">
                  <c:v>0.05</c:v>
                </c:pt>
                <c:pt idx="20">
                  <c:v>0.19047619047619047</c:v>
                </c:pt>
                <c:pt idx="21">
                  <c:v>0.27272727272727271</c:v>
                </c:pt>
                <c:pt idx="22">
                  <c:v>0.2608695652173913</c:v>
                </c:pt>
                <c:pt idx="23">
                  <c:v>0.25</c:v>
                </c:pt>
                <c:pt idx="24">
                  <c:v>0.24</c:v>
                </c:pt>
                <c:pt idx="25">
                  <c:v>0.23076923076923078</c:v>
                </c:pt>
                <c:pt idx="26">
                  <c:v>0.22222222222222221</c:v>
                </c:pt>
                <c:pt idx="27">
                  <c:v>0.25</c:v>
                </c:pt>
                <c:pt idx="28">
                  <c:v>0.2413793103448276</c:v>
                </c:pt>
                <c:pt idx="29">
                  <c:v>0.23333333333333334</c:v>
                </c:pt>
                <c:pt idx="30">
                  <c:v>0.22580645161290322</c:v>
                </c:pt>
                <c:pt idx="31">
                  <c:v>0.21875</c:v>
                </c:pt>
                <c:pt idx="32">
                  <c:v>0.24242424242424243</c:v>
                </c:pt>
                <c:pt idx="33">
                  <c:v>0.23529411764705882</c:v>
                </c:pt>
                <c:pt idx="34">
                  <c:v>0.22857142857142856</c:v>
                </c:pt>
                <c:pt idx="35">
                  <c:v>0.22222222222222221</c:v>
                </c:pt>
                <c:pt idx="36">
                  <c:v>0.21621621621621623</c:v>
                </c:pt>
                <c:pt idx="37">
                  <c:v>0.21052631578947367</c:v>
                </c:pt>
                <c:pt idx="38">
                  <c:v>0.20512820512820512</c:v>
                </c:pt>
                <c:pt idx="39">
                  <c:v>0.2</c:v>
                </c:pt>
                <c:pt idx="40">
                  <c:v>0.1951219512195122</c:v>
                </c:pt>
                <c:pt idx="41">
                  <c:v>0.19047619047619047</c:v>
                </c:pt>
                <c:pt idx="42">
                  <c:v>0.20930232558139536</c:v>
                </c:pt>
                <c:pt idx="43">
                  <c:v>0.20454545454545456</c:v>
                </c:pt>
                <c:pt idx="44">
                  <c:v>0.2</c:v>
                </c:pt>
                <c:pt idx="45">
                  <c:v>0.2608695652173913</c:v>
                </c:pt>
                <c:pt idx="46">
                  <c:v>0.25531914893617019</c:v>
                </c:pt>
                <c:pt idx="47">
                  <c:v>0.25</c:v>
                </c:pt>
                <c:pt idx="48">
                  <c:v>0.24489795918367346</c:v>
                </c:pt>
                <c:pt idx="49">
                  <c:v>0.24</c:v>
                </c:pt>
                <c:pt idx="50">
                  <c:v>0.23529411764705882</c:v>
                </c:pt>
                <c:pt idx="51">
                  <c:v>0.23076923076923078</c:v>
                </c:pt>
                <c:pt idx="52">
                  <c:v>0.22641509433962265</c:v>
                </c:pt>
                <c:pt idx="53">
                  <c:v>0.22222222222222221</c:v>
                </c:pt>
                <c:pt idx="54">
                  <c:v>0.21818181818181817</c:v>
                </c:pt>
                <c:pt idx="55">
                  <c:v>0.21428571428571427</c:v>
                </c:pt>
                <c:pt idx="56">
                  <c:v>0.21052631578947367</c:v>
                </c:pt>
                <c:pt idx="57">
                  <c:v>0.20689655172413793</c:v>
                </c:pt>
                <c:pt idx="58">
                  <c:v>0.20338983050847459</c:v>
                </c:pt>
                <c:pt idx="59">
                  <c:v>0.2</c:v>
                </c:pt>
                <c:pt idx="60">
                  <c:v>0.19672131147540983</c:v>
                </c:pt>
                <c:pt idx="61">
                  <c:v>0.19354838709677419</c:v>
                </c:pt>
                <c:pt idx="62">
                  <c:v>0.19047619047619047</c:v>
                </c:pt>
                <c:pt idx="63">
                  <c:v>0.1875</c:v>
                </c:pt>
                <c:pt idx="64">
                  <c:v>0.18461538461538463</c:v>
                </c:pt>
                <c:pt idx="65">
                  <c:v>0.18181818181818182</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09725952"/>
        <c:axId val="109732224"/>
      </c:lineChart>
      <c:catAx>
        <c:axId val="109725952"/>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732224"/>
        <c:crosses val="autoZero"/>
        <c:auto val="1"/>
        <c:lblAlgn val="ctr"/>
        <c:lblOffset val="100"/>
        <c:tickLblSkip val="5"/>
        <c:tickMarkSkip val="1"/>
        <c:noMultiLvlLbl val="0"/>
      </c:catAx>
      <c:valAx>
        <c:axId val="109732224"/>
        <c:scaling>
          <c:orientation val="minMax"/>
        </c:scaling>
        <c:delete val="0"/>
        <c:axPos val="l"/>
        <c:majorGridlines>
          <c:spPr>
            <a:ln w="3175">
              <a:solidFill>
                <a:srgbClr val="C0C0C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604526590816427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725952"/>
        <c:crosses val="autoZero"/>
        <c:crossBetween val="midCat"/>
      </c:valAx>
      <c:spPr>
        <a:noFill/>
        <a:ln w="3175">
          <a:solidFill>
            <a:srgbClr val="FFFFFF"/>
          </a:solidFill>
          <a:prstDash val="solid"/>
        </a:ln>
      </c:spPr>
    </c:plotArea>
    <c:legend>
      <c:legendPos val="t"/>
      <c:layout>
        <c:manualLayout>
          <c:xMode val="edge"/>
          <c:yMode val="edge"/>
          <c:x val="0.7225691396974927"/>
          <c:y val="7.9154634728775316E-3"/>
          <c:w val="0.22569127780707321"/>
          <c:h val="8.5751976393732651E-2"/>
        </c:manualLayout>
      </c:layout>
      <c:overlay val="0"/>
      <c:spPr>
        <a:noFill/>
        <a:ln w="3175">
          <a:solidFill>
            <a:srgbClr val="FF0000"/>
          </a:solidFill>
          <a:prstDash val="solid"/>
        </a:ln>
      </c:spPr>
      <c:txPr>
        <a:bodyPr/>
        <a:lstStyle/>
        <a:p>
          <a:pPr>
            <a:defRPr sz="1200" b="0" i="0" u="none" strike="noStrike" baseline="0">
              <a:solidFill>
                <a:srgbClr val="FFFF99"/>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FF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VIOLENT</a:t>
            </a:r>
            <a:r>
              <a:rPr lang="en-US" sz="1400" baseline="0"/>
              <a:t> </a:t>
            </a:r>
            <a:r>
              <a:rPr lang="en-US" sz="1400"/>
              <a:t>TORNADOES BY HOUR
Amarillo NWS CWA</a:t>
            </a:r>
          </a:p>
        </c:rich>
      </c:tx>
      <c:layout>
        <c:manualLayout>
          <c:xMode val="edge"/>
          <c:yMode val="edge"/>
          <c:x val="0.27966616160361718"/>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25"/>
          <c:w val="0.83276152719779961"/>
          <c:h val="0.55325914149443567"/>
        </c:manualLayout>
      </c:layout>
      <c:barChart>
        <c:barDir val="col"/>
        <c:grouping val="clustered"/>
        <c:varyColors val="0"/>
        <c:ser>
          <c:idx val="0"/>
          <c:order val="0"/>
          <c:spPr>
            <a:solidFill>
              <a:srgbClr val="00B0F0"/>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Graphs!$A$408:$A$431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Graphs!$C$408:$C$431</c:f>
              <c:numCache>
                <c:formatCode>0.0%</c:formatCode>
                <c:ptCount val="24"/>
                <c:pt idx="0">
                  <c:v>0</c:v>
                </c:pt>
                <c:pt idx="1">
                  <c:v>8.3333333333333329E-2</c:v>
                </c:pt>
                <c:pt idx="2">
                  <c:v>0</c:v>
                </c:pt>
                <c:pt idx="3">
                  <c:v>0</c:v>
                </c:pt>
                <c:pt idx="4">
                  <c:v>0</c:v>
                </c:pt>
                <c:pt idx="5">
                  <c:v>0</c:v>
                </c:pt>
                <c:pt idx="6">
                  <c:v>0</c:v>
                </c:pt>
                <c:pt idx="7">
                  <c:v>0</c:v>
                </c:pt>
                <c:pt idx="8">
                  <c:v>0</c:v>
                </c:pt>
                <c:pt idx="9">
                  <c:v>0</c:v>
                </c:pt>
                <c:pt idx="10">
                  <c:v>0</c:v>
                </c:pt>
                <c:pt idx="11">
                  <c:v>0</c:v>
                </c:pt>
                <c:pt idx="12">
                  <c:v>0</c:v>
                </c:pt>
                <c:pt idx="13">
                  <c:v>8.3333333333333329E-2</c:v>
                </c:pt>
                <c:pt idx="14">
                  <c:v>0</c:v>
                </c:pt>
                <c:pt idx="15">
                  <c:v>0.16666666666666666</c:v>
                </c:pt>
                <c:pt idx="16">
                  <c:v>0</c:v>
                </c:pt>
                <c:pt idx="17">
                  <c:v>0.16666666666666666</c:v>
                </c:pt>
                <c:pt idx="18">
                  <c:v>0.16666666666666666</c:v>
                </c:pt>
                <c:pt idx="19">
                  <c:v>0</c:v>
                </c:pt>
                <c:pt idx="20">
                  <c:v>8.3333333333333329E-2</c:v>
                </c:pt>
                <c:pt idx="21">
                  <c:v>0</c:v>
                </c:pt>
                <c:pt idx="22">
                  <c:v>8.3333333333333329E-2</c:v>
                </c:pt>
                <c:pt idx="23">
                  <c:v>0.16666666666666666</c:v>
                </c:pt>
              </c:numCache>
            </c:numRef>
          </c:val>
        </c:ser>
        <c:dLbls>
          <c:showLegendKey val="0"/>
          <c:showVal val="1"/>
          <c:showCatName val="0"/>
          <c:showSerName val="0"/>
          <c:showPercent val="0"/>
          <c:showBubbleSize val="0"/>
        </c:dLbls>
        <c:gapWidth val="150"/>
        <c:axId val="109769088"/>
        <c:axId val="109772160"/>
      </c:barChart>
      <c:catAx>
        <c:axId val="109769088"/>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8627553259312573"/>
              <c:y val="0.91705655339927661"/>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09772160"/>
        <c:crosses val="autoZero"/>
        <c:auto val="1"/>
        <c:lblAlgn val="ctr"/>
        <c:lblOffset val="100"/>
        <c:tickLblSkip val="1"/>
        <c:tickMarkSkip val="1"/>
        <c:noMultiLvlLbl val="0"/>
      </c:catAx>
      <c:valAx>
        <c:axId val="109772160"/>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7105965482804134"/>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769088"/>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STRONG TORNADOES BY HOUR
Amarillo NWS CWA</a:t>
            </a:r>
          </a:p>
        </c:rich>
      </c:tx>
      <c:layout>
        <c:manualLayout>
          <c:xMode val="edge"/>
          <c:yMode val="edge"/>
          <c:x val="0.27546006276029422"/>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31"/>
          <c:w val="0.83276152719779961"/>
          <c:h val="0.55325914149443567"/>
        </c:manualLayout>
      </c:layout>
      <c:barChart>
        <c:barDir val="col"/>
        <c:grouping val="clustered"/>
        <c:varyColors val="0"/>
        <c:ser>
          <c:idx val="0"/>
          <c:order val="0"/>
          <c:spPr>
            <a:solidFill>
              <a:schemeClr val="accent6">
                <a:lumMod val="75000"/>
              </a:schemeClr>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Graphs!$A$438:$A$461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Graphs!$C$438:$C$461</c:f>
              <c:numCache>
                <c:formatCode>0.0%</c:formatCode>
                <c:ptCount val="24"/>
                <c:pt idx="0">
                  <c:v>3.1847133757961783E-2</c:v>
                </c:pt>
                <c:pt idx="1">
                  <c:v>6.369426751592357E-3</c:v>
                </c:pt>
                <c:pt idx="2">
                  <c:v>0</c:v>
                </c:pt>
                <c:pt idx="3">
                  <c:v>6.369426751592357E-3</c:v>
                </c:pt>
                <c:pt idx="4">
                  <c:v>0</c:v>
                </c:pt>
                <c:pt idx="5">
                  <c:v>0</c:v>
                </c:pt>
                <c:pt idx="6">
                  <c:v>0</c:v>
                </c:pt>
                <c:pt idx="7">
                  <c:v>0</c:v>
                </c:pt>
                <c:pt idx="8">
                  <c:v>0</c:v>
                </c:pt>
                <c:pt idx="9">
                  <c:v>0</c:v>
                </c:pt>
                <c:pt idx="10">
                  <c:v>0</c:v>
                </c:pt>
                <c:pt idx="11">
                  <c:v>0</c:v>
                </c:pt>
                <c:pt idx="12">
                  <c:v>0</c:v>
                </c:pt>
                <c:pt idx="13">
                  <c:v>6.369426751592357E-3</c:v>
                </c:pt>
                <c:pt idx="14">
                  <c:v>1.2738853503184714E-2</c:v>
                </c:pt>
                <c:pt idx="15">
                  <c:v>5.0955414012738856E-2</c:v>
                </c:pt>
                <c:pt idx="16">
                  <c:v>0.13375796178343949</c:v>
                </c:pt>
                <c:pt idx="17">
                  <c:v>0.17197452229299362</c:v>
                </c:pt>
                <c:pt idx="18">
                  <c:v>0.22292993630573249</c:v>
                </c:pt>
                <c:pt idx="19">
                  <c:v>0.13375796178343949</c:v>
                </c:pt>
                <c:pt idx="20">
                  <c:v>9.5541401273885357E-2</c:v>
                </c:pt>
                <c:pt idx="21">
                  <c:v>7.0063694267515922E-2</c:v>
                </c:pt>
                <c:pt idx="22">
                  <c:v>3.8216560509554139E-2</c:v>
                </c:pt>
                <c:pt idx="23">
                  <c:v>1.9108280254777069E-2</c:v>
                </c:pt>
              </c:numCache>
            </c:numRef>
          </c:val>
        </c:ser>
        <c:dLbls>
          <c:showLegendKey val="0"/>
          <c:showVal val="1"/>
          <c:showCatName val="0"/>
          <c:showSerName val="0"/>
          <c:showPercent val="0"/>
          <c:showBubbleSize val="0"/>
        </c:dLbls>
        <c:gapWidth val="150"/>
        <c:axId val="109795968"/>
        <c:axId val="109815680"/>
      </c:barChart>
      <c:catAx>
        <c:axId val="109795968"/>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9255487385843416"/>
              <c:y val="0.9221553424368810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09815680"/>
        <c:crosses val="autoZero"/>
        <c:auto val="1"/>
        <c:lblAlgn val="ctr"/>
        <c:lblOffset val="100"/>
        <c:tickLblSkip val="1"/>
        <c:tickMarkSkip val="1"/>
        <c:noMultiLvlLbl val="0"/>
      </c:catAx>
      <c:valAx>
        <c:axId val="109815680"/>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7615844386564564"/>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795968"/>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WEAK TORNADOES BY HOUR
Amarillo NWS CWA</a:t>
            </a:r>
          </a:p>
        </c:rich>
      </c:tx>
      <c:layout>
        <c:manualLayout>
          <c:xMode val="edge"/>
          <c:yMode val="edge"/>
          <c:x val="0.29438750755524756"/>
          <c:y val="3.1796570361783176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36"/>
          <c:w val="0.83276152719779961"/>
          <c:h val="0.55325914149443567"/>
        </c:manualLayout>
      </c:layout>
      <c:barChart>
        <c:barDir val="col"/>
        <c:grouping val="clustered"/>
        <c:varyColors val="0"/>
        <c:ser>
          <c:idx val="0"/>
          <c:order val="0"/>
          <c:spPr>
            <a:solidFill>
              <a:srgbClr val="FF3399"/>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Graphs!$A$468:$A$491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Graphs!$C$468:$C$491</c:f>
              <c:numCache>
                <c:formatCode>0.0%</c:formatCode>
                <c:ptCount val="24"/>
                <c:pt idx="0">
                  <c:v>1.1917659804983749E-2</c:v>
                </c:pt>
                <c:pt idx="1">
                  <c:v>8.6673889490790895E-3</c:v>
                </c:pt>
                <c:pt idx="2">
                  <c:v>5.4171180931744311E-3</c:v>
                </c:pt>
                <c:pt idx="3">
                  <c:v>2.1668472372697724E-3</c:v>
                </c:pt>
                <c:pt idx="4">
                  <c:v>1.0834236186348862E-3</c:v>
                </c:pt>
                <c:pt idx="5">
                  <c:v>0</c:v>
                </c:pt>
                <c:pt idx="6">
                  <c:v>1.0834236186348862E-3</c:v>
                </c:pt>
                <c:pt idx="7">
                  <c:v>2.1668472372697724E-3</c:v>
                </c:pt>
                <c:pt idx="8">
                  <c:v>2.1668472372697724E-3</c:v>
                </c:pt>
                <c:pt idx="9">
                  <c:v>2.1668472372697724E-3</c:v>
                </c:pt>
                <c:pt idx="10">
                  <c:v>0</c:v>
                </c:pt>
                <c:pt idx="11">
                  <c:v>2.1668472372697724E-3</c:v>
                </c:pt>
                <c:pt idx="12">
                  <c:v>1.1917659804983749E-2</c:v>
                </c:pt>
                <c:pt idx="13">
                  <c:v>2.4918743228602384E-2</c:v>
                </c:pt>
                <c:pt idx="14">
                  <c:v>4.6587215601300108E-2</c:v>
                </c:pt>
                <c:pt idx="15">
                  <c:v>7.8006500541711807E-2</c:v>
                </c:pt>
                <c:pt idx="16">
                  <c:v>0.13867822318526543</c:v>
                </c:pt>
                <c:pt idx="17">
                  <c:v>0.16359696641386781</c:v>
                </c:pt>
                <c:pt idx="18">
                  <c:v>0.16143011917659805</c:v>
                </c:pt>
                <c:pt idx="19">
                  <c:v>0.15492957746478872</c:v>
                </c:pt>
                <c:pt idx="20">
                  <c:v>8.6673889490790898E-2</c:v>
                </c:pt>
                <c:pt idx="21">
                  <c:v>4.2253521126760563E-2</c:v>
                </c:pt>
                <c:pt idx="22">
                  <c:v>2.4918743228602384E-2</c:v>
                </c:pt>
                <c:pt idx="23">
                  <c:v>2.7085590465872156E-2</c:v>
                </c:pt>
              </c:numCache>
            </c:numRef>
          </c:val>
        </c:ser>
        <c:dLbls>
          <c:showLegendKey val="0"/>
          <c:showVal val="1"/>
          <c:showCatName val="0"/>
          <c:showSerName val="0"/>
          <c:showPercent val="0"/>
          <c:showBubbleSize val="0"/>
        </c:dLbls>
        <c:gapWidth val="150"/>
        <c:axId val="109925504"/>
        <c:axId val="109932928"/>
      </c:barChart>
      <c:catAx>
        <c:axId val="109925504"/>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9255487385843416"/>
              <c:y val="0.9247047369556827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09932928"/>
        <c:crosses val="autoZero"/>
        <c:auto val="1"/>
        <c:lblAlgn val="ctr"/>
        <c:lblOffset val="100"/>
        <c:tickLblSkip val="1"/>
        <c:tickMarkSkip val="1"/>
        <c:noMultiLvlLbl val="0"/>
      </c:catAx>
      <c:valAx>
        <c:axId val="109932928"/>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9.2464624887188783E-3"/>
              <c:y val="0.28380662742205115"/>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925504"/>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Date of First Tornado (1950 to 2015)</a:t>
            </a:r>
          </a:p>
        </c:rich>
      </c:tx>
      <c:layout/>
      <c:overlay val="0"/>
    </c:title>
    <c:autoTitleDeleted val="0"/>
    <c:plotArea>
      <c:layout/>
      <c:barChart>
        <c:barDir val="col"/>
        <c:grouping val="clustered"/>
        <c:varyColors val="0"/>
        <c:ser>
          <c:idx val="0"/>
          <c:order val="0"/>
          <c:spPr>
            <a:gradFill flip="none" rotWithShape="1">
              <a:gsLst>
                <a:gs pos="0">
                  <a:srgbClr val="000082"/>
                </a:gs>
                <a:gs pos="30000">
                  <a:srgbClr val="66008F"/>
                </a:gs>
                <a:gs pos="64999">
                  <a:srgbClr val="BA0066"/>
                </a:gs>
                <a:gs pos="89999">
                  <a:srgbClr val="FF0000"/>
                </a:gs>
                <a:gs pos="100000">
                  <a:srgbClr val="FF8200"/>
                </a:gs>
              </a:gsLst>
              <a:lin ang="0" scaled="1"/>
              <a:tileRect/>
            </a:gradFill>
          </c:spPr>
          <c:invertIfNegative val="0"/>
          <c:dLbls>
            <c:showLegendKey val="0"/>
            <c:showVal val="1"/>
            <c:showCatName val="0"/>
            <c:showSerName val="0"/>
            <c:showPercent val="0"/>
            <c:showBubbleSize val="0"/>
            <c:showLeaderLines val="0"/>
          </c:dLbls>
          <c:cat>
            <c:strRef>
              <c:f>'First Tornado'!$D$2:$AM$2</c:f>
              <c:strCache>
                <c:ptCount val="36"/>
                <c:pt idx="0">
                  <c:v>Jan 1-10</c:v>
                </c:pt>
                <c:pt idx="1">
                  <c:v>Jan 11-20</c:v>
                </c:pt>
                <c:pt idx="2">
                  <c:v>Jan 21-31</c:v>
                </c:pt>
                <c:pt idx="3">
                  <c:v>Feb 1-10</c:v>
                </c:pt>
                <c:pt idx="4">
                  <c:v>Feb 11-20</c:v>
                </c:pt>
                <c:pt idx="5">
                  <c:v>Feb 21-28</c:v>
                </c:pt>
                <c:pt idx="6">
                  <c:v>Mar 1-10</c:v>
                </c:pt>
                <c:pt idx="7">
                  <c:v>Mar 11-20</c:v>
                </c:pt>
                <c:pt idx="8">
                  <c:v>Mar 21-31</c:v>
                </c:pt>
                <c:pt idx="9">
                  <c:v>Apr 1-10</c:v>
                </c:pt>
                <c:pt idx="10">
                  <c:v>Apr 11-20</c:v>
                </c:pt>
                <c:pt idx="11">
                  <c:v>Apr 21-30</c:v>
                </c:pt>
                <c:pt idx="12">
                  <c:v>May 1-10</c:v>
                </c:pt>
                <c:pt idx="13">
                  <c:v>May 11-20</c:v>
                </c:pt>
                <c:pt idx="14">
                  <c:v>May 21-31</c:v>
                </c:pt>
                <c:pt idx="15">
                  <c:v>Jun 1-10</c:v>
                </c:pt>
                <c:pt idx="16">
                  <c:v>Jun 11-20</c:v>
                </c:pt>
                <c:pt idx="17">
                  <c:v>Jun 21-30</c:v>
                </c:pt>
                <c:pt idx="18">
                  <c:v>Jul 1-10</c:v>
                </c:pt>
                <c:pt idx="19">
                  <c:v>Jul 11-20</c:v>
                </c:pt>
                <c:pt idx="20">
                  <c:v>Jul 21-31</c:v>
                </c:pt>
                <c:pt idx="21">
                  <c:v>Aug 1-10</c:v>
                </c:pt>
                <c:pt idx="22">
                  <c:v>Aug 11-20</c:v>
                </c:pt>
                <c:pt idx="23">
                  <c:v>Aug 21-31</c:v>
                </c:pt>
                <c:pt idx="24">
                  <c:v>Sep 1-10</c:v>
                </c:pt>
                <c:pt idx="25">
                  <c:v>Sep 11-20</c:v>
                </c:pt>
                <c:pt idx="26">
                  <c:v>Sep 21-30</c:v>
                </c:pt>
                <c:pt idx="27">
                  <c:v>Oct 1-10</c:v>
                </c:pt>
                <c:pt idx="28">
                  <c:v>Oct 11-20</c:v>
                </c:pt>
                <c:pt idx="29">
                  <c:v>Oct 21-31</c:v>
                </c:pt>
                <c:pt idx="30">
                  <c:v>Nov 1-10</c:v>
                </c:pt>
                <c:pt idx="31">
                  <c:v>Nov 11-20</c:v>
                </c:pt>
                <c:pt idx="32">
                  <c:v>Nov 21-30</c:v>
                </c:pt>
                <c:pt idx="33">
                  <c:v>Dec 1-10</c:v>
                </c:pt>
                <c:pt idx="34">
                  <c:v>Dec 11-20</c:v>
                </c:pt>
                <c:pt idx="35">
                  <c:v>Dec 21-31</c:v>
                </c:pt>
              </c:strCache>
            </c:strRef>
          </c:cat>
          <c:val>
            <c:numRef>
              <c:f>'First Tornado'!$D$83:$AM$83</c:f>
              <c:numCache>
                <c:formatCode>General</c:formatCode>
                <c:ptCount val="36"/>
                <c:pt idx="0">
                  <c:v>0</c:v>
                </c:pt>
                <c:pt idx="1">
                  <c:v>0</c:v>
                </c:pt>
                <c:pt idx="2">
                  <c:v>0</c:v>
                </c:pt>
                <c:pt idx="3">
                  <c:v>1</c:v>
                </c:pt>
                <c:pt idx="4">
                  <c:v>0</c:v>
                </c:pt>
                <c:pt idx="5">
                  <c:v>2</c:v>
                </c:pt>
                <c:pt idx="6">
                  <c:v>3</c:v>
                </c:pt>
                <c:pt idx="7">
                  <c:v>3</c:v>
                </c:pt>
                <c:pt idx="8">
                  <c:v>5</c:v>
                </c:pt>
                <c:pt idx="9">
                  <c:v>3</c:v>
                </c:pt>
                <c:pt idx="10">
                  <c:v>11</c:v>
                </c:pt>
                <c:pt idx="11">
                  <c:v>10</c:v>
                </c:pt>
                <c:pt idx="12">
                  <c:v>14</c:v>
                </c:pt>
                <c:pt idx="13">
                  <c:v>2</c:v>
                </c:pt>
                <c:pt idx="14">
                  <c:v>3</c:v>
                </c:pt>
                <c:pt idx="15">
                  <c:v>3</c:v>
                </c:pt>
                <c:pt idx="16">
                  <c:v>3</c:v>
                </c:pt>
                <c:pt idx="17">
                  <c:v>1</c:v>
                </c:pt>
                <c:pt idx="18">
                  <c:v>0</c:v>
                </c:pt>
                <c:pt idx="19">
                  <c:v>1</c:v>
                </c:pt>
                <c:pt idx="20">
                  <c:v>0</c:v>
                </c:pt>
                <c:pt idx="21">
                  <c:v>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er>
        <c:dLbls>
          <c:showLegendKey val="0"/>
          <c:showVal val="0"/>
          <c:showCatName val="0"/>
          <c:showSerName val="0"/>
          <c:showPercent val="0"/>
          <c:showBubbleSize val="0"/>
        </c:dLbls>
        <c:gapWidth val="60"/>
        <c:overlap val="68"/>
        <c:axId val="110199936"/>
        <c:axId val="110201472"/>
      </c:barChart>
      <c:catAx>
        <c:axId val="110199936"/>
        <c:scaling>
          <c:orientation val="minMax"/>
        </c:scaling>
        <c:delete val="0"/>
        <c:axPos val="b"/>
        <c:majorTickMark val="none"/>
        <c:minorTickMark val="none"/>
        <c:tickLblPos val="nextTo"/>
        <c:crossAx val="110201472"/>
        <c:crosses val="autoZero"/>
        <c:auto val="1"/>
        <c:lblAlgn val="ctr"/>
        <c:lblOffset val="100"/>
        <c:noMultiLvlLbl val="0"/>
      </c:catAx>
      <c:valAx>
        <c:axId val="110201472"/>
        <c:scaling>
          <c:orientation val="minMax"/>
        </c:scaling>
        <c:delete val="0"/>
        <c:axPos val="l"/>
        <c:majorGridlines/>
        <c:numFmt formatCode="General" sourceLinked="1"/>
        <c:majorTickMark val="none"/>
        <c:minorTickMark val="none"/>
        <c:tickLblPos val="nextTo"/>
        <c:crossAx val="110199936"/>
        <c:crosses val="autoZero"/>
        <c:crossBetween val="between"/>
      </c:valAx>
    </c:plotArea>
    <c:plotVisOnly val="1"/>
    <c:dispBlanksAs val="gap"/>
    <c:showDLblsOverMax val="0"/>
  </c:chart>
  <c:spPr>
    <a:ln w="38100" cap="flat">
      <a:solidFill>
        <a:srgbClr val="FFFF00"/>
      </a:solidFill>
    </a:ln>
  </c:spPr>
  <c:printSettings>
    <c:headerFooter/>
    <c:pageMargins b="0.750000000000001" l="0.70000000000000062" r="0.70000000000000062" t="0.750000000000001"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en-US"/>
              <a:t>Percent of Years - First Tornado On or Before Date (1950 to 2015)</a:t>
            </a:r>
          </a:p>
        </c:rich>
      </c:tx>
      <c:layout/>
      <c:overlay val="0"/>
    </c:title>
    <c:autoTitleDeleted val="0"/>
    <c:plotArea>
      <c:layout/>
      <c:barChart>
        <c:barDir val="col"/>
        <c:grouping val="clustered"/>
        <c:varyColors val="0"/>
        <c:ser>
          <c:idx val="0"/>
          <c:order val="0"/>
          <c:spPr>
            <a:solidFill>
              <a:srgbClr val="FF0066"/>
            </a:solidFill>
          </c:spPr>
          <c:invertIfNegative val="0"/>
          <c:dLbls>
            <c:txPr>
              <a:bodyPr/>
              <a:lstStyle/>
              <a:p>
                <a:pPr>
                  <a:defRPr sz="900" baseline="0"/>
                </a:pPr>
                <a:endParaRPr lang="en-US"/>
              </a:p>
            </c:txPr>
            <c:showLegendKey val="0"/>
            <c:showVal val="1"/>
            <c:showCatName val="0"/>
            <c:showSerName val="0"/>
            <c:showPercent val="0"/>
            <c:showBubbleSize val="0"/>
            <c:showLeaderLines val="0"/>
          </c:dLbls>
          <c:cat>
            <c:strRef>
              <c:f>'First Tornado'!$D$2:$AM$2</c:f>
              <c:strCache>
                <c:ptCount val="36"/>
                <c:pt idx="0">
                  <c:v>Jan 1-10</c:v>
                </c:pt>
                <c:pt idx="1">
                  <c:v>Jan 11-20</c:v>
                </c:pt>
                <c:pt idx="2">
                  <c:v>Jan 21-31</c:v>
                </c:pt>
                <c:pt idx="3">
                  <c:v>Feb 1-10</c:v>
                </c:pt>
                <c:pt idx="4">
                  <c:v>Feb 11-20</c:v>
                </c:pt>
                <c:pt idx="5">
                  <c:v>Feb 21-28</c:v>
                </c:pt>
                <c:pt idx="6">
                  <c:v>Mar 1-10</c:v>
                </c:pt>
                <c:pt idx="7">
                  <c:v>Mar 11-20</c:v>
                </c:pt>
                <c:pt idx="8">
                  <c:v>Mar 21-31</c:v>
                </c:pt>
                <c:pt idx="9">
                  <c:v>Apr 1-10</c:v>
                </c:pt>
                <c:pt idx="10">
                  <c:v>Apr 11-20</c:v>
                </c:pt>
                <c:pt idx="11">
                  <c:v>Apr 21-30</c:v>
                </c:pt>
                <c:pt idx="12">
                  <c:v>May 1-10</c:v>
                </c:pt>
                <c:pt idx="13">
                  <c:v>May 11-20</c:v>
                </c:pt>
                <c:pt idx="14">
                  <c:v>May 21-31</c:v>
                </c:pt>
                <c:pt idx="15">
                  <c:v>Jun 1-10</c:v>
                </c:pt>
                <c:pt idx="16">
                  <c:v>Jun 11-20</c:v>
                </c:pt>
                <c:pt idx="17">
                  <c:v>Jun 21-30</c:v>
                </c:pt>
                <c:pt idx="18">
                  <c:v>Jul 1-10</c:v>
                </c:pt>
                <c:pt idx="19">
                  <c:v>Jul 11-20</c:v>
                </c:pt>
                <c:pt idx="20">
                  <c:v>Jul 21-31</c:v>
                </c:pt>
                <c:pt idx="21">
                  <c:v>Aug 1-10</c:v>
                </c:pt>
                <c:pt idx="22">
                  <c:v>Aug 11-20</c:v>
                </c:pt>
                <c:pt idx="23">
                  <c:v>Aug 21-31</c:v>
                </c:pt>
                <c:pt idx="24">
                  <c:v>Sep 1-10</c:v>
                </c:pt>
                <c:pt idx="25">
                  <c:v>Sep 11-20</c:v>
                </c:pt>
                <c:pt idx="26">
                  <c:v>Sep 21-30</c:v>
                </c:pt>
                <c:pt idx="27">
                  <c:v>Oct 1-10</c:v>
                </c:pt>
                <c:pt idx="28">
                  <c:v>Oct 11-20</c:v>
                </c:pt>
                <c:pt idx="29">
                  <c:v>Oct 21-31</c:v>
                </c:pt>
                <c:pt idx="30">
                  <c:v>Nov 1-10</c:v>
                </c:pt>
                <c:pt idx="31">
                  <c:v>Nov 11-20</c:v>
                </c:pt>
                <c:pt idx="32">
                  <c:v>Nov 21-30</c:v>
                </c:pt>
                <c:pt idx="33">
                  <c:v>Dec 1-10</c:v>
                </c:pt>
                <c:pt idx="34">
                  <c:v>Dec 11-20</c:v>
                </c:pt>
                <c:pt idx="35">
                  <c:v>Dec 21-31</c:v>
                </c:pt>
              </c:strCache>
            </c:strRef>
          </c:cat>
          <c:val>
            <c:numRef>
              <c:f>'First Tornado'!$D$85:$AM$85</c:f>
              <c:numCache>
                <c:formatCode>0</c:formatCode>
                <c:ptCount val="36"/>
                <c:pt idx="0">
                  <c:v>0</c:v>
                </c:pt>
                <c:pt idx="1">
                  <c:v>0</c:v>
                </c:pt>
                <c:pt idx="2">
                  <c:v>0</c:v>
                </c:pt>
                <c:pt idx="3">
                  <c:v>1.5151515151515151</c:v>
                </c:pt>
                <c:pt idx="4">
                  <c:v>1.5151515151515151</c:v>
                </c:pt>
                <c:pt idx="5">
                  <c:v>4.5454545454545459</c:v>
                </c:pt>
                <c:pt idx="6">
                  <c:v>9.0909090909090917</c:v>
                </c:pt>
                <c:pt idx="7">
                  <c:v>13.636363636363635</c:v>
                </c:pt>
                <c:pt idx="8">
                  <c:v>21.212121212121211</c:v>
                </c:pt>
                <c:pt idx="9">
                  <c:v>25.757575757575758</c:v>
                </c:pt>
                <c:pt idx="10">
                  <c:v>42.424242424242422</c:v>
                </c:pt>
                <c:pt idx="11">
                  <c:v>57.575757575757578</c:v>
                </c:pt>
                <c:pt idx="12">
                  <c:v>78.787878787878782</c:v>
                </c:pt>
                <c:pt idx="13">
                  <c:v>81.818181818181827</c:v>
                </c:pt>
                <c:pt idx="14">
                  <c:v>86.36363636363636</c:v>
                </c:pt>
                <c:pt idx="15">
                  <c:v>90.909090909090907</c:v>
                </c:pt>
                <c:pt idx="16">
                  <c:v>95.454545454545453</c:v>
                </c:pt>
                <c:pt idx="17">
                  <c:v>96.969696969696969</c:v>
                </c:pt>
                <c:pt idx="18">
                  <c:v>96.969696969696969</c:v>
                </c:pt>
                <c:pt idx="19">
                  <c:v>98.484848484848484</c:v>
                </c:pt>
                <c:pt idx="20">
                  <c:v>98.484848484848484</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er>
        <c:dLbls>
          <c:showLegendKey val="0"/>
          <c:showVal val="0"/>
          <c:showCatName val="0"/>
          <c:showSerName val="0"/>
          <c:showPercent val="0"/>
          <c:showBubbleSize val="0"/>
        </c:dLbls>
        <c:gapWidth val="88"/>
        <c:axId val="110230144"/>
        <c:axId val="110588288"/>
      </c:barChart>
      <c:catAx>
        <c:axId val="110230144"/>
        <c:scaling>
          <c:orientation val="minMax"/>
        </c:scaling>
        <c:delete val="0"/>
        <c:axPos val="b"/>
        <c:majorTickMark val="none"/>
        <c:minorTickMark val="none"/>
        <c:tickLblPos val="nextTo"/>
        <c:crossAx val="110588288"/>
        <c:crosses val="autoZero"/>
        <c:auto val="1"/>
        <c:lblAlgn val="ctr"/>
        <c:lblOffset val="100"/>
        <c:noMultiLvlLbl val="0"/>
      </c:catAx>
      <c:valAx>
        <c:axId val="110588288"/>
        <c:scaling>
          <c:orientation val="minMax"/>
        </c:scaling>
        <c:delete val="0"/>
        <c:axPos val="l"/>
        <c:majorGridlines/>
        <c:numFmt formatCode="0" sourceLinked="1"/>
        <c:majorTickMark val="none"/>
        <c:minorTickMark val="none"/>
        <c:tickLblPos val="nextTo"/>
        <c:crossAx val="110230144"/>
        <c:crosses val="autoZero"/>
        <c:crossBetween val="between"/>
      </c:valAx>
    </c:plotArea>
    <c:plotVisOnly val="1"/>
    <c:dispBlanksAs val="gap"/>
    <c:showDLblsOverMax val="0"/>
  </c:chart>
  <c:spPr>
    <a:ln w="38100">
      <a:solidFill>
        <a:srgbClr val="7030A0"/>
      </a:solidFill>
    </a:ln>
  </c:sp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Annual Tornado Distribution</a:t>
            </a:r>
          </a:p>
        </c:rich>
      </c:tx>
      <c:layout/>
      <c:overlay val="0"/>
    </c:title>
    <c:autoTitleDeleted val="0"/>
    <c:plotArea>
      <c:layout>
        <c:manualLayout>
          <c:layoutTarget val="inner"/>
          <c:xMode val="edge"/>
          <c:yMode val="edge"/>
          <c:x val="6.5858933126317076E-2"/>
          <c:y val="0.10342595885191785"/>
          <c:w val="0.92005655983142842"/>
          <c:h val="0.75542981965964084"/>
        </c:manualLayout>
      </c:layout>
      <c:barChart>
        <c:barDir val="col"/>
        <c:grouping val="clustered"/>
        <c:varyColors val="0"/>
        <c:ser>
          <c:idx val="0"/>
          <c:order val="0"/>
          <c:spPr>
            <a:solidFill>
              <a:srgbClr val="66FF33"/>
            </a:solidFill>
          </c:spPr>
          <c:invertIfNegative val="0"/>
          <c:val>
            <c:numRef>
              <c:f>'Tornado Segment Distribution'!$C$130:$C$199</c:f>
              <c:numCache>
                <c:formatCode>General</c:formatCode>
                <c:ptCount val="70"/>
                <c:pt idx="0">
                  <c:v>1</c:v>
                </c:pt>
                <c:pt idx="1">
                  <c:v>4</c:v>
                </c:pt>
                <c:pt idx="2">
                  <c:v>1</c:v>
                </c:pt>
                <c:pt idx="3">
                  <c:v>4</c:v>
                </c:pt>
                <c:pt idx="4">
                  <c:v>2</c:v>
                </c:pt>
                <c:pt idx="5">
                  <c:v>3</c:v>
                </c:pt>
                <c:pt idx="6">
                  <c:v>1</c:v>
                </c:pt>
                <c:pt idx="7">
                  <c:v>3</c:v>
                </c:pt>
                <c:pt idx="8">
                  <c:v>0</c:v>
                </c:pt>
                <c:pt idx="9">
                  <c:v>3</c:v>
                </c:pt>
                <c:pt idx="10">
                  <c:v>3</c:v>
                </c:pt>
                <c:pt idx="11">
                  <c:v>3</c:v>
                </c:pt>
                <c:pt idx="12">
                  <c:v>5</c:v>
                </c:pt>
                <c:pt idx="13">
                  <c:v>3</c:v>
                </c:pt>
                <c:pt idx="14">
                  <c:v>2</c:v>
                </c:pt>
                <c:pt idx="15">
                  <c:v>4</c:v>
                </c:pt>
                <c:pt idx="16">
                  <c:v>0</c:v>
                </c:pt>
                <c:pt idx="17">
                  <c:v>2</c:v>
                </c:pt>
                <c:pt idx="18">
                  <c:v>2</c:v>
                </c:pt>
                <c:pt idx="19">
                  <c:v>1</c:v>
                </c:pt>
                <c:pt idx="20">
                  <c:v>2</c:v>
                </c:pt>
                <c:pt idx="21">
                  <c:v>2</c:v>
                </c:pt>
                <c:pt idx="22">
                  <c:v>0</c:v>
                </c:pt>
                <c:pt idx="23">
                  <c:v>0</c:v>
                </c:pt>
                <c:pt idx="24">
                  <c:v>1</c:v>
                </c:pt>
                <c:pt idx="25">
                  <c:v>1</c:v>
                </c:pt>
                <c:pt idx="26">
                  <c:v>0</c:v>
                </c:pt>
                <c:pt idx="27">
                  <c:v>1</c:v>
                </c:pt>
                <c:pt idx="28">
                  <c:v>1</c:v>
                </c:pt>
                <c:pt idx="29">
                  <c:v>0</c:v>
                </c:pt>
                <c:pt idx="30">
                  <c:v>0</c:v>
                </c:pt>
                <c:pt idx="31">
                  <c:v>2</c:v>
                </c:pt>
                <c:pt idx="32">
                  <c:v>1</c:v>
                </c:pt>
                <c:pt idx="33">
                  <c:v>0</c:v>
                </c:pt>
                <c:pt idx="34">
                  <c:v>2</c:v>
                </c:pt>
                <c:pt idx="35">
                  <c:v>1</c:v>
                </c:pt>
                <c:pt idx="36">
                  <c:v>0</c:v>
                </c:pt>
                <c:pt idx="37">
                  <c:v>2</c:v>
                </c:pt>
                <c:pt idx="38">
                  <c:v>1</c:v>
                </c:pt>
                <c:pt idx="39">
                  <c:v>0</c:v>
                </c:pt>
                <c:pt idx="40">
                  <c:v>1</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0</c:v>
                </c:pt>
                <c:pt idx="59">
                  <c:v>0</c:v>
                </c:pt>
                <c:pt idx="60">
                  <c:v>0</c:v>
                </c:pt>
                <c:pt idx="61">
                  <c:v>0</c:v>
                </c:pt>
                <c:pt idx="62">
                  <c:v>0</c:v>
                </c:pt>
                <c:pt idx="63">
                  <c:v>0</c:v>
                </c:pt>
                <c:pt idx="64">
                  <c:v>0</c:v>
                </c:pt>
                <c:pt idx="65">
                  <c:v>0</c:v>
                </c:pt>
                <c:pt idx="66">
                  <c:v>0</c:v>
                </c:pt>
                <c:pt idx="67">
                  <c:v>0</c:v>
                </c:pt>
                <c:pt idx="68">
                  <c:v>0</c:v>
                </c:pt>
                <c:pt idx="69">
                  <c:v>0</c:v>
                </c:pt>
              </c:numCache>
            </c:numRef>
          </c:val>
        </c:ser>
        <c:dLbls>
          <c:showLegendKey val="0"/>
          <c:showVal val="0"/>
          <c:showCatName val="0"/>
          <c:showSerName val="0"/>
          <c:showPercent val="0"/>
          <c:showBubbleSize val="0"/>
        </c:dLbls>
        <c:gapWidth val="150"/>
        <c:axId val="110444928"/>
        <c:axId val="110446848"/>
      </c:barChart>
      <c:catAx>
        <c:axId val="110444928"/>
        <c:scaling>
          <c:orientation val="minMax"/>
        </c:scaling>
        <c:delete val="0"/>
        <c:axPos val="b"/>
        <c:title>
          <c:tx>
            <c:rich>
              <a:bodyPr/>
              <a:lstStyle/>
              <a:p>
                <a:pPr>
                  <a:defRPr/>
                </a:pPr>
                <a:r>
                  <a:rPr lang="en-US" sz="1400" b="1"/>
                  <a:t>Annual</a:t>
                </a:r>
                <a:r>
                  <a:rPr lang="en-US" sz="1400" b="1" baseline="0"/>
                  <a:t> Number of Tornado Events</a:t>
                </a:r>
                <a:endParaRPr lang="en-US" sz="1400" b="1"/>
              </a:p>
            </c:rich>
          </c:tx>
          <c:layout/>
          <c:overlay val="0"/>
        </c:title>
        <c:numFmt formatCode="General" sourceLinked="1"/>
        <c:majorTickMark val="cross"/>
        <c:minorTickMark val="none"/>
        <c:tickLblPos val="nextTo"/>
        <c:spPr>
          <a:solidFill>
            <a:sysClr val="window" lastClr="FFFFFF"/>
          </a:solidFill>
          <a:ln>
            <a:solidFill>
              <a:schemeClr val="accent1"/>
            </a:solidFill>
          </a:ln>
        </c:spPr>
        <c:txPr>
          <a:bodyPr/>
          <a:lstStyle/>
          <a:p>
            <a:pPr>
              <a:defRPr sz="800" baseline="0">
                <a:solidFill>
                  <a:sysClr val="windowText" lastClr="000000"/>
                </a:solidFill>
              </a:defRPr>
            </a:pPr>
            <a:endParaRPr lang="en-US"/>
          </a:p>
        </c:txPr>
        <c:crossAx val="110446848"/>
        <c:crosses val="autoZero"/>
        <c:auto val="1"/>
        <c:lblAlgn val="ctr"/>
        <c:lblOffset val="10"/>
        <c:noMultiLvlLbl val="0"/>
      </c:catAx>
      <c:valAx>
        <c:axId val="110446848"/>
        <c:scaling>
          <c:orientation val="minMax"/>
        </c:scaling>
        <c:delete val="0"/>
        <c:axPos val="l"/>
        <c:majorGridlines/>
        <c:title>
          <c:tx>
            <c:rich>
              <a:bodyPr rot="-5400000" vert="horz"/>
              <a:lstStyle/>
              <a:p>
                <a:pPr>
                  <a:defRPr sz="1400"/>
                </a:pPr>
                <a:r>
                  <a:rPr lang="en-US" sz="1400"/>
                  <a:t>Number</a:t>
                </a:r>
                <a:r>
                  <a:rPr lang="en-US" sz="1400" baseline="0"/>
                  <a:t> of Times Annual Number Occurred</a:t>
                </a:r>
              </a:p>
            </c:rich>
          </c:tx>
          <c:layout/>
          <c:overlay val="0"/>
        </c:title>
        <c:numFmt formatCode="General" sourceLinked="1"/>
        <c:majorTickMark val="out"/>
        <c:minorTickMark val="none"/>
        <c:tickLblPos val="nextTo"/>
        <c:crossAx val="110444928"/>
        <c:crosses val="autoZero"/>
        <c:crossBetween val="between"/>
      </c:valAx>
      <c:spPr>
        <a:solidFill>
          <a:schemeClr val="tx1"/>
        </a:solidFill>
      </c:spPr>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64907651715041"/>
          <c:y val="5.8455114822547033E-2"/>
          <c:w val="0.68073878627968365"/>
          <c:h val="0.89561586638831014"/>
        </c:manualLayout>
      </c:layout>
      <c:scatterChart>
        <c:scatterStyle val="lineMarker"/>
        <c:varyColors val="0"/>
        <c:ser>
          <c:idx val="0"/>
          <c:order val="0"/>
          <c:spPr>
            <a:ln w="28575">
              <a:noFill/>
            </a:ln>
          </c:spPr>
          <c:trendline>
            <c:spPr>
              <a:ln w="63500">
                <a:solidFill>
                  <a:srgbClr val="FF0000"/>
                </a:solidFill>
              </a:ln>
            </c:spPr>
            <c:trendlineType val="exp"/>
            <c:dispRSqr val="1"/>
            <c:dispEq val="1"/>
            <c:trendlineLbl>
              <c:layout>
                <c:manualLayout>
                  <c:x val="0.30700644491151752"/>
                  <c:y val="-0.32344462161436588"/>
                </c:manualLayout>
              </c:layout>
              <c:tx>
                <c:rich>
                  <a:bodyPr/>
                  <a:lstStyle/>
                  <a:p>
                    <a:pPr>
                      <a:defRPr/>
                    </a:pPr>
                    <a:r>
                      <a:rPr lang="en-US"/>
                      <a:t>y = 0.0072e-0.041x
R² = 0.9712</a:t>
                    </a:r>
                  </a:p>
                </c:rich>
              </c:tx>
              <c:numFmt formatCode="General" sourceLinked="0"/>
            </c:trendlineLbl>
          </c:trendline>
          <c:xVal>
            <c:numRef>
              <c:f>'Tornado Model'!$C$112:$C$117</c:f>
              <c:numCache>
                <c:formatCode>General</c:formatCode>
                <c:ptCount val="6"/>
                <c:pt idx="0">
                  <c:v>65</c:v>
                </c:pt>
                <c:pt idx="1">
                  <c:v>86</c:v>
                </c:pt>
                <c:pt idx="2">
                  <c:v>111</c:v>
                </c:pt>
                <c:pt idx="3">
                  <c:v>136</c:v>
                </c:pt>
                <c:pt idx="4">
                  <c:v>166</c:v>
                </c:pt>
                <c:pt idx="5">
                  <c:v>200</c:v>
                </c:pt>
              </c:numCache>
            </c:numRef>
          </c:xVal>
          <c:yVal>
            <c:numRef>
              <c:f>'Tornado Model'!$D$112:$D$117</c:f>
              <c:numCache>
                <c:formatCode>0.00E+00</c:formatCode>
                <c:ptCount val="6"/>
                <c:pt idx="0">
                  <c:v>3.9177990813470289E-4</c:v>
                </c:pt>
                <c:pt idx="1">
                  <c:v>1.7692274268969629E-4</c:v>
                </c:pt>
                <c:pt idx="2">
                  <c:v>8.5086692158797215E-5</c:v>
                </c:pt>
                <c:pt idx="3">
                  <c:v>2.8720692979171817E-5</c:v>
                </c:pt>
                <c:pt idx="4">
                  <c:v>1.0796440913742425E-5</c:v>
                </c:pt>
                <c:pt idx="5">
                  <c:v>1.0251351090196884E-6</c:v>
                </c:pt>
              </c:numCache>
            </c:numRef>
          </c:yVal>
          <c:smooth val="0"/>
        </c:ser>
        <c:dLbls>
          <c:showLegendKey val="0"/>
          <c:showVal val="0"/>
          <c:showCatName val="0"/>
          <c:showSerName val="0"/>
          <c:showPercent val="0"/>
          <c:showBubbleSize val="0"/>
        </c:dLbls>
        <c:axId val="110690304"/>
        <c:axId val="110691840"/>
      </c:scatterChart>
      <c:valAx>
        <c:axId val="110690304"/>
        <c:scaling>
          <c:orientation val="minMax"/>
        </c:scaling>
        <c:delete val="0"/>
        <c:axPos val="b"/>
        <c:numFmt formatCode="General" sourceLinked="1"/>
        <c:majorTickMark val="out"/>
        <c:minorTickMark val="none"/>
        <c:tickLblPos val="high"/>
        <c:spPr>
          <a:ln w="50800">
            <a:solidFill>
              <a:srgbClr val="002060"/>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10691840"/>
        <c:crosses val="autoZero"/>
        <c:crossBetween val="midCat"/>
      </c:valAx>
      <c:valAx>
        <c:axId val="110691840"/>
        <c:scaling>
          <c:logBase val="10"/>
          <c:orientation val="minMax"/>
          <c:max val="1.0000000000000024E-3"/>
          <c:min val="1.0000000000000031E-6"/>
        </c:scaling>
        <c:delete val="0"/>
        <c:axPos val="l"/>
        <c:majorGridlines>
          <c:spPr>
            <a:ln w="19050">
              <a:solidFill>
                <a:srgbClr val="0070C0"/>
              </a:solidFill>
            </a:ln>
          </c:spPr>
        </c:majorGridlines>
        <c:numFmt formatCode="0.00E+00" sourceLinked="1"/>
        <c:majorTickMark val="out"/>
        <c:minorTickMark val="none"/>
        <c:tickLblPos val="nextTo"/>
        <c:spPr>
          <a:ln w="50800">
            <a:solidFill>
              <a:srgbClr val="002060"/>
            </a:solidFill>
          </a:ln>
        </c:spPr>
        <c:crossAx val="11069030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cmpd="thickThin"/>
  </c:spPr>
  <c:txPr>
    <a:bodyPr/>
    <a:lstStyle/>
    <a:p>
      <a:pPr>
        <a:defRPr baseline="0"/>
      </a:pPr>
      <a:endParaRPr lang="en-US"/>
    </a:p>
  </c:tx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0" i="0" u="none" strike="noStrike" baseline="0">
                <a:solidFill>
                  <a:srgbClr val="CCFFFF"/>
                </a:solidFill>
                <a:latin typeface="Arial"/>
                <a:ea typeface="Arial"/>
                <a:cs typeface="Arial"/>
              </a:defRPr>
            </a:pPr>
            <a:r>
              <a:rPr lang="en-US" sz="1400"/>
              <a:t>TORNADOES BY CATEGORY
Amarillo NWS CWA</a:t>
            </a:r>
          </a:p>
        </c:rich>
      </c:tx>
      <c:layout>
        <c:manualLayout>
          <c:xMode val="edge"/>
          <c:yMode val="edge"/>
          <c:x val="0.35965840797521587"/>
          <c:y val="2.5458267716535452E-2"/>
        </c:manualLayout>
      </c:layout>
      <c:overlay val="0"/>
      <c:spPr>
        <a:noFill/>
        <a:ln w="38100">
          <a:solidFill>
            <a:srgbClr val="FFCC00"/>
          </a:solidFill>
          <a:prstDash val="solid"/>
        </a:ln>
      </c:spPr>
    </c:title>
    <c:autoTitleDeleted val="0"/>
    <c:plotArea>
      <c:layout>
        <c:manualLayout>
          <c:layoutTarget val="inner"/>
          <c:xMode val="edge"/>
          <c:yMode val="edge"/>
          <c:x val="8.5682074408117079E-2"/>
          <c:y val="0.23"/>
          <c:w val="0.90529875986471253"/>
          <c:h val="0.63200000000000112"/>
        </c:manualLayout>
      </c:layout>
      <c:barChart>
        <c:barDir val="col"/>
        <c:grouping val="clustered"/>
        <c:varyColors val="0"/>
        <c:ser>
          <c:idx val="0"/>
          <c:order val="0"/>
          <c:tx>
            <c:v/>
          </c:tx>
          <c:spPr>
            <a:solidFill>
              <a:srgbClr val="9999FF"/>
            </a:solidFill>
            <a:ln w="25400">
              <a:solidFill>
                <a:schemeClr val="tx1"/>
              </a:solidFill>
            </a:ln>
            <a:scene3d>
              <a:camera prst="orthographicFront"/>
              <a:lightRig rig="threePt" dir="t"/>
            </a:scene3d>
            <a:sp3d prstMaterial="dkEdge"/>
          </c:spPr>
          <c:invertIfNegative val="0"/>
          <c:dPt>
            <c:idx val="0"/>
            <c:invertIfNegative val="0"/>
            <c:bubble3D val="0"/>
            <c:spPr>
              <a:solidFill>
                <a:srgbClr val="FF0000"/>
              </a:solidFill>
              <a:ln w="12700">
                <a:solidFill>
                  <a:schemeClr val="tx1"/>
                </a:solidFill>
                <a:prstDash val="solid"/>
              </a:ln>
              <a:scene3d>
                <a:camera prst="orthographicFront"/>
                <a:lightRig rig="threePt" dir="t"/>
              </a:scene3d>
              <a:sp3d prstMaterial="dkEdge"/>
            </c:spPr>
          </c:dPt>
          <c:dPt>
            <c:idx val="1"/>
            <c:invertIfNegative val="0"/>
            <c:bubble3D val="0"/>
            <c:spPr>
              <a:solidFill>
                <a:srgbClr val="00FF00"/>
              </a:solidFill>
              <a:ln w="12700">
                <a:solidFill>
                  <a:schemeClr val="tx1"/>
                </a:solidFill>
                <a:prstDash val="solid"/>
              </a:ln>
              <a:scene3d>
                <a:camera prst="orthographicFront"/>
                <a:lightRig rig="threePt" dir="t"/>
              </a:scene3d>
              <a:sp3d prstMaterial="dkEdge"/>
            </c:spPr>
          </c:dPt>
          <c:dPt>
            <c:idx val="2"/>
            <c:invertIfNegative val="0"/>
            <c:bubble3D val="0"/>
            <c:spPr>
              <a:solidFill>
                <a:srgbClr val="0000FF"/>
              </a:solidFill>
              <a:ln w="12700">
                <a:solidFill>
                  <a:schemeClr val="tx1"/>
                </a:solidFill>
                <a:prstDash val="solid"/>
              </a:ln>
              <a:scene3d>
                <a:camera prst="orthographicFront"/>
                <a:lightRig rig="threePt" dir="t"/>
              </a:scene3d>
              <a:sp3d prstMaterial="dkEdge"/>
            </c:spPr>
          </c:dPt>
          <c:dPt>
            <c:idx val="3"/>
            <c:invertIfNegative val="0"/>
            <c:bubble3D val="0"/>
            <c:spPr>
              <a:solidFill>
                <a:srgbClr val="FFFF00"/>
              </a:solidFill>
              <a:ln w="12700">
                <a:solidFill>
                  <a:schemeClr val="tx1"/>
                </a:solidFill>
                <a:prstDash val="solid"/>
              </a:ln>
              <a:scene3d>
                <a:camera prst="orthographicFront"/>
                <a:lightRig rig="threePt" dir="t"/>
              </a:scene3d>
              <a:sp3d prstMaterial="dkEdge"/>
            </c:spPr>
          </c:dPt>
          <c:dPt>
            <c:idx val="4"/>
            <c:invertIfNegative val="0"/>
            <c:bubble3D val="0"/>
            <c:spPr>
              <a:solidFill>
                <a:srgbClr val="FF00FF"/>
              </a:solidFill>
              <a:ln w="12700">
                <a:solidFill>
                  <a:schemeClr val="tx1"/>
                </a:solidFill>
                <a:prstDash val="solid"/>
              </a:ln>
              <a:scene3d>
                <a:camera prst="orthographicFront"/>
                <a:lightRig rig="threePt" dir="t"/>
              </a:scene3d>
              <a:sp3d prstMaterial="dkEdge"/>
            </c:spPr>
          </c:dPt>
          <c:dPt>
            <c:idx val="5"/>
            <c:invertIfNegative val="0"/>
            <c:bubble3D val="0"/>
            <c:spPr>
              <a:solidFill>
                <a:srgbClr val="00FFFF"/>
              </a:solidFill>
              <a:ln w="12700">
                <a:solidFill>
                  <a:schemeClr val="tx1"/>
                </a:solidFill>
                <a:prstDash val="solid"/>
              </a:ln>
              <a:scene3d>
                <a:camera prst="orthographicFront"/>
                <a:lightRig rig="threePt" dir="t"/>
              </a:scene3d>
              <a:sp3d prstMaterial="dkEdge"/>
            </c:spPr>
          </c:dPt>
          <c:dLbls>
            <c:spPr>
              <a:noFill/>
              <a:ln w="25400">
                <a:noFill/>
              </a:ln>
              <a:scene3d>
                <a:camera prst="orthographicFront"/>
                <a:lightRig rig="threePt" dir="t"/>
              </a:scene3d>
              <a:sp3d>
                <a:bevelT prst="relaxedInset"/>
              </a:sp3d>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Graphs!$A$260:$A$265</c:f>
              <c:strCache>
                <c:ptCount val="6"/>
                <c:pt idx="0">
                  <c:v>F0 / EF0</c:v>
                </c:pt>
                <c:pt idx="1">
                  <c:v>F1 / EF1</c:v>
                </c:pt>
                <c:pt idx="2">
                  <c:v>F2 / EF2</c:v>
                </c:pt>
                <c:pt idx="3">
                  <c:v>F3 / EF3</c:v>
                </c:pt>
                <c:pt idx="4">
                  <c:v>F4 / EF4</c:v>
                </c:pt>
                <c:pt idx="5">
                  <c:v>F5 / EF5</c:v>
                </c:pt>
              </c:strCache>
            </c:strRef>
          </c:cat>
          <c:val>
            <c:numRef>
              <c:f>Graphs!$B$260:$B$265</c:f>
              <c:numCache>
                <c:formatCode>0.0%</c:formatCode>
                <c:ptCount val="6"/>
                <c:pt idx="0">
                  <c:v>0.63186813186813184</c:v>
                </c:pt>
                <c:pt idx="1">
                  <c:v>0.21336996336996336</c:v>
                </c:pt>
                <c:pt idx="2">
                  <c:v>0.10989010989010989</c:v>
                </c:pt>
                <c:pt idx="3">
                  <c:v>3.388278388278388E-2</c:v>
                </c:pt>
                <c:pt idx="4">
                  <c:v>1.098901098901099E-2</c:v>
                </c:pt>
                <c:pt idx="5">
                  <c:v>0</c:v>
                </c:pt>
              </c:numCache>
            </c:numRef>
          </c:val>
        </c:ser>
        <c:dLbls>
          <c:showLegendKey val="0"/>
          <c:showVal val="1"/>
          <c:showCatName val="0"/>
          <c:showSerName val="0"/>
          <c:showPercent val="0"/>
          <c:showBubbleSize val="0"/>
        </c:dLbls>
        <c:gapWidth val="150"/>
        <c:axId val="106250624"/>
        <c:axId val="106260352"/>
      </c:barChart>
      <c:catAx>
        <c:axId val="106250624"/>
        <c:scaling>
          <c:orientation val="minMax"/>
        </c:scaling>
        <c:delete val="0"/>
        <c:axPos val="b"/>
        <c:title>
          <c:tx>
            <c:rich>
              <a:bodyPr/>
              <a:lstStyle/>
              <a:p>
                <a:pPr>
                  <a:defRPr sz="1400" b="1" i="0" u="none" strike="noStrike" baseline="0">
                    <a:solidFill>
                      <a:srgbClr val="00FFFF"/>
                    </a:solidFill>
                    <a:latin typeface="Arial"/>
                    <a:ea typeface="Arial"/>
                    <a:cs typeface="Arial"/>
                  </a:defRPr>
                </a:pPr>
                <a:r>
                  <a:rPr lang="en-US" sz="1400"/>
                  <a:t>Category</a:t>
                </a:r>
              </a:p>
            </c:rich>
          </c:tx>
          <c:layout>
            <c:manualLayout>
              <c:xMode val="edge"/>
              <c:yMode val="edge"/>
              <c:x val="0.48436151230814356"/>
              <c:y val="0.93281322834645652"/>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0" vert="horz"/>
          <a:lstStyle/>
          <a:p>
            <a:pPr>
              <a:defRPr sz="1400" b="1" i="0" u="none" strike="noStrike" baseline="0">
                <a:solidFill>
                  <a:srgbClr val="FFFFFF"/>
                </a:solidFill>
                <a:latin typeface="Arial"/>
                <a:ea typeface="Arial"/>
                <a:cs typeface="Arial"/>
              </a:defRPr>
            </a:pPr>
            <a:endParaRPr lang="en-US"/>
          </a:p>
        </c:txPr>
        <c:crossAx val="106260352"/>
        <c:crosses val="autoZero"/>
        <c:auto val="1"/>
        <c:lblAlgn val="ctr"/>
        <c:lblOffset val="100"/>
        <c:tickLblSkip val="1"/>
        <c:tickMarkSkip val="1"/>
        <c:noMultiLvlLbl val="0"/>
      </c:catAx>
      <c:valAx>
        <c:axId val="106260352"/>
        <c:scaling>
          <c:orientation val="minMax"/>
        </c:scaling>
        <c:delete val="0"/>
        <c:axPos val="l"/>
        <c:numFmt formatCode="0.0%" sourceLinked="1"/>
        <c:majorTickMark val="out"/>
        <c:minorTickMark val="none"/>
        <c:tickLblPos val="nextTo"/>
        <c:spPr>
          <a:ln w="25400">
            <a:solidFill>
              <a:srgbClr val="FFFFFF"/>
            </a:solidFill>
            <a:prstDash val="solid"/>
          </a:ln>
        </c:spPr>
        <c:txPr>
          <a:bodyPr rot="0" vert="horz"/>
          <a:lstStyle/>
          <a:p>
            <a:pPr>
              <a:defRPr sz="1400" b="1" i="0" u="none" strike="noStrike" baseline="0">
                <a:solidFill>
                  <a:srgbClr val="FFFFFF"/>
                </a:solidFill>
                <a:latin typeface="Arial"/>
                <a:ea typeface="Arial"/>
                <a:cs typeface="Arial"/>
              </a:defRPr>
            </a:pPr>
            <a:endParaRPr lang="en-US"/>
          </a:p>
        </c:txPr>
        <c:crossAx val="106250624"/>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9525">
      <a:noFill/>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Width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8.2500924898261205E-2"/>
          <c:y val="0.10584113641200256"/>
          <c:w val="0.87791342952275253"/>
          <c:h val="0.78812300489465847"/>
        </c:manualLayout>
      </c:layout>
      <c:scatterChart>
        <c:scatterStyle val="lineMarker"/>
        <c:varyColors val="0"/>
        <c:ser>
          <c:idx val="0"/>
          <c:order val="0"/>
          <c:spPr>
            <a:ln w="12700">
              <a:solidFill>
                <a:srgbClr val="000099"/>
              </a:solidFill>
            </a:ln>
          </c:spPr>
          <c:marker>
            <c:spPr>
              <a:solidFill>
                <a:srgbClr val="000099"/>
              </a:solidFill>
              <a:ln>
                <a:solidFill>
                  <a:srgbClr val="000099"/>
                </a:solidFill>
              </a:ln>
            </c:spPr>
          </c:marker>
          <c:xVal>
            <c:numRef>
              <c:f>'F0 - EF0 Analysis'!$F$12:$F$810</c:f>
              <c:numCache>
                <c:formatCode>General</c:formatCode>
                <c:ptCount val="799"/>
                <c:pt idx="0">
                  <c:v>-3.1875734310256396</c:v>
                </c:pt>
                <c:pt idx="1">
                  <c:v>-2.8549647423990137</c:v>
                </c:pt>
                <c:pt idx="2">
                  <c:v>-2.6886759866657117</c:v>
                </c:pt>
                <c:pt idx="3">
                  <c:v>-2.5743438231658744</c:v>
                </c:pt>
                <c:pt idx="4">
                  <c:v>-2.4861739822460107</c:v>
                </c:pt>
                <c:pt idx="5">
                  <c:v>-2.4139201053449368</c:v>
                </c:pt>
                <c:pt idx="6">
                  <c:v>-2.3524267483609087</c:v>
                </c:pt>
                <c:pt idx="7">
                  <c:v>-2.2987207153509432</c:v>
                </c:pt>
                <c:pt idx="8">
                  <c:v>-2.2509256965027937</c:v>
                </c:pt>
                <c:pt idx="9">
                  <c:v>-2.2077789754764168</c:v>
                </c:pt>
                <c:pt idx="10">
                  <c:v>-2.1683886988543013</c:v>
                </c:pt>
                <c:pt idx="11">
                  <c:v>-2.1321007465617647</c:v>
                </c:pt>
                <c:pt idx="12">
                  <c:v>-2.0984206155569258</c:v>
                </c:pt>
                <c:pt idx="13">
                  <c:v>-2.0669650622440634</c:v>
                </c:pt>
                <c:pt idx="14">
                  <c:v>-2.0374308332073285</c:v>
                </c:pt>
                <c:pt idx="15">
                  <c:v>-2.0095737001013063</c:v>
                </c:pt>
                <c:pt idx="16">
                  <c:v>-1.9831939666186722</c:v>
                </c:pt>
                <c:pt idx="17">
                  <c:v>-1.9581261837069068</c:v>
                </c:pt>
                <c:pt idx="18">
                  <c:v>-1.9342316836414377</c:v>
                </c:pt>
                <c:pt idx="19">
                  <c:v>-1.9113930517135458</c:v>
                </c:pt>
                <c:pt idx="20">
                  <c:v>-1.8895099603334302</c:v>
                </c:pt>
                <c:pt idx="21">
                  <c:v>-1.8684959805154611</c:v>
                </c:pt>
                <c:pt idx="22">
                  <c:v>-1.848276107177099</c:v>
                </c:pt>
                <c:pt idx="23">
                  <c:v>-1.8287848141880285</c:v>
                </c:pt>
                <c:pt idx="24">
                  <c:v>-1.8099645082991047</c:v>
                </c:pt>
                <c:pt idx="25">
                  <c:v>-1.7917642873785156</c:v>
                </c:pt>
                <c:pt idx="26">
                  <c:v>-1.7741389335977533</c:v>
                </c:pt>
                <c:pt idx="27">
                  <c:v>-1.7570480900132046</c:v>
                </c:pt>
                <c:pt idx="28">
                  <c:v>-1.7404555817471701</c:v>
                </c:pt>
                <c:pt idx="29">
                  <c:v>-1.7243288522400049</c:v>
                </c:pt>
                <c:pt idx="30">
                  <c:v>-1.7086384918626099</c:v>
                </c:pt>
                <c:pt idx="31">
                  <c:v>-1.6933578412519459</c:v>
                </c:pt>
                <c:pt idx="32">
                  <c:v>-1.6784626555485749</c:v>
                </c:pt>
                <c:pt idx="33">
                  <c:v>-1.6639308186147159</c:v>
                </c:pt>
                <c:pt idx="34">
                  <c:v>-1.6497420985347986</c:v>
                </c:pt>
                <c:pt idx="35">
                  <c:v>-1.6358779374204708</c:v>
                </c:pt>
                <c:pt idx="36">
                  <c:v>-1.6223212698834055</c:v>
                </c:pt>
                <c:pt idx="37">
                  <c:v>-1.6090563655933106</c:v>
                </c:pt>
                <c:pt idx="38">
                  <c:v>-1.5960686921729099</c:v>
                </c:pt>
                <c:pt idx="39">
                  <c:v>-1.5833447953464825</c:v>
                </c:pt>
                <c:pt idx="40">
                  <c:v>-1.5708721937917547</c:v>
                </c:pt>
                <c:pt idx="41">
                  <c:v>-1.5586392865751206</c:v>
                </c:pt>
                <c:pt idx="42">
                  <c:v>-1.54663527139923</c:v>
                </c:pt>
                <c:pt idx="43">
                  <c:v>-1.5348500721767944</c:v>
                </c:pt>
                <c:pt idx="44">
                  <c:v>-1.5232742746779584</c:v>
                </c:pt>
                <c:pt idx="45">
                  <c:v>-1.511899069191067</c:v>
                </c:pt>
                <c:pt idx="46">
                  <c:v>-1.5007161992959652</c:v>
                </c:pt>
                <c:pt idx="47">
                  <c:v>-1.4897179159814617</c:v>
                </c:pt>
                <c:pt idx="48">
                  <c:v>-1.4788969364492288</c:v>
                </c:pt>
                <c:pt idx="49">
                  <c:v>-1.4682464070391821</c:v>
                </c:pt>
                <c:pt idx="50">
                  <c:v>-1.457759869789466</c:v>
                </c:pt>
                <c:pt idx="51">
                  <c:v>-1.4474312322101401</c:v>
                </c:pt>
                <c:pt idx="52">
                  <c:v>-1.4372547399055966</c:v>
                </c:pt>
                <c:pt idx="53">
                  <c:v>-1.4272249517282989</c:v>
                </c:pt>
                <c:pt idx="54">
                  <c:v>-1.4173367171870725</c:v>
                </c:pt>
                <c:pt idx="55">
                  <c:v>-1.4075851558679084</c:v>
                </c:pt>
                <c:pt idx="56">
                  <c:v>-1.3979656386550985</c:v>
                </c:pt>
                <c:pt idx="57">
                  <c:v>-1.3884737705662995</c:v>
                </c:pt>
                <c:pt idx="58">
                  <c:v>-1.3791053750371944</c:v>
                </c:pt>
                <c:pt idx="59">
                  <c:v>-1.3698564795107979</c:v>
                </c:pt>
                <c:pt idx="60">
                  <c:v>-1.3607233022030081</c:v>
                </c:pt>
                <c:pt idx="61">
                  <c:v>-1.3517022399306602</c:v>
                </c:pt>
                <c:pt idx="62">
                  <c:v>-1.3427898569009069</c:v>
                </c:pt>
                <c:pt idx="63">
                  <c:v>-1.3339828743718865</c:v>
                </c:pt>
                <c:pt idx="64">
                  <c:v>-1.3252781611043922</c:v>
                </c:pt>
                <c:pt idx="65">
                  <c:v>-1.3166727245326566</c:v>
                </c:pt>
                <c:pt idx="66">
                  <c:v>-1.3081637025900652</c:v>
                </c:pt>
                <c:pt idx="67">
                  <c:v>-1.2997483561320435</c:v>
                </c:pt>
                <c:pt idx="68">
                  <c:v>-1.2914240619043673</c:v>
                </c:pt>
                <c:pt idx="69">
                  <c:v>-1.2831883060102467</c:v>
                </c:pt>
                <c:pt idx="70">
                  <c:v>-1.2750386778341529</c:v>
                </c:pt>
                <c:pt idx="71">
                  <c:v>-1.2669728643844393</c:v>
                </c:pt>
                <c:pt idx="72">
                  <c:v>-1.2589886450204808</c:v>
                </c:pt>
                <c:pt idx="73">
                  <c:v>-1.2510838865332123</c:v>
                </c:pt>
                <c:pt idx="74">
                  <c:v>-1.243256538550962</c:v>
                </c:pt>
                <c:pt idx="75">
                  <c:v>-1.2355046292449556</c:v>
                </c:pt>
                <c:pt idx="76">
                  <c:v>-1.2278262613112725</c:v>
                </c:pt>
                <c:pt idx="77">
                  <c:v>-1.2202196082080596</c:v>
                </c:pt>
                <c:pt idx="78">
                  <c:v>-1.2126829106287236</c:v>
                </c:pt>
                <c:pt idx="79">
                  <c:v>-1.2052144731934824</c:v>
                </c:pt>
                <c:pt idx="80">
                  <c:v>-1.1978126613431899</c:v>
                </c:pt>
                <c:pt idx="81">
                  <c:v>-1.1904758984207013</c:v>
                </c:pt>
                <c:pt idx="82">
                  <c:v>-1.1832026629263122</c:v>
                </c:pt>
                <c:pt idx="83">
                  <c:v>-1.1759914859348912</c:v>
                </c:pt>
                <c:pt idx="84">
                  <c:v>-1.1688409486633706</c:v>
                </c:pt>
                <c:pt idx="85">
                  <c:v>-1.1617496801781668</c:v>
                </c:pt>
                <c:pt idx="86">
                  <c:v>-1.1547163552329431</c:v>
                </c:pt>
                <c:pt idx="87">
                  <c:v>-1.1477396922278675</c:v>
                </c:pt>
                <c:pt idx="88">
                  <c:v>-1.1408184512822599</c:v>
                </c:pt>
                <c:pt idx="89">
                  <c:v>-1.1339514324130875</c:v>
                </c:pt>
                <c:pt idx="90">
                  <c:v>-1.1271374738124025</c:v>
                </c:pt>
                <c:pt idx="91">
                  <c:v>-1.1203754502173011</c:v>
                </c:pt>
                <c:pt idx="92">
                  <c:v>-1.1136642713664795</c:v>
                </c:pt>
                <c:pt idx="93">
                  <c:v>-1.107002880537908</c:v>
                </c:pt>
                <c:pt idx="94">
                  <c:v>-1.1003902531625298</c:v>
                </c:pt>
                <c:pt idx="95">
                  <c:v>-1.0938253955092727</c:v>
                </c:pt>
                <c:pt idx="96">
                  <c:v>-1.0873073434369978</c:v>
                </c:pt>
                <c:pt idx="97">
                  <c:v>-1.0808351612093157</c:v>
                </c:pt>
                <c:pt idx="98">
                  <c:v>-1.0744079403685023</c:v>
                </c:pt>
                <c:pt idx="99">
                  <c:v>-1.0680247986649782</c:v>
                </c:pt>
                <c:pt idx="100">
                  <c:v>-1.0616848790390976</c:v>
                </c:pt>
                <c:pt idx="101">
                  <c:v>-1.055387348652183</c:v>
                </c:pt>
                <c:pt idx="102">
                  <c:v>-1.0491313979639725</c:v>
                </c:pt>
                <c:pt idx="103">
                  <c:v>-1.0429162398538112</c:v>
                </c:pt>
                <c:pt idx="104">
                  <c:v>-1.0367411087831122</c:v>
                </c:pt>
                <c:pt idx="105">
                  <c:v>-1.0306052599968247</c:v>
                </c:pt>
                <c:pt idx="106">
                  <c:v>-1.0245079687615979</c:v>
                </c:pt>
                <c:pt idx="107">
                  <c:v>-1.0184485296388301</c:v>
                </c:pt>
                <c:pt idx="108">
                  <c:v>-1.0124262557905093</c:v>
                </c:pt>
                <c:pt idx="109">
                  <c:v>-1.0064404783161693</c:v>
                </c:pt>
                <c:pt idx="110">
                  <c:v>-1.0004905456193149</c:v>
                </c:pt>
                <c:pt idx="111">
                  <c:v>-0.99457582280166557</c:v>
                </c:pt>
                <c:pt idx="112">
                  <c:v>-0.98869569108384014</c:v>
                </c:pt>
                <c:pt idx="113">
                  <c:v>-0.98284954725105422</c:v>
                </c:pt>
                <c:pt idx="114">
                  <c:v>-0.97703680312256092</c:v>
                </c:pt>
                <c:pt idx="115">
                  <c:v>-0.97125688504362606</c:v>
                </c:pt>
                <c:pt idx="116">
                  <c:v>-0.96550923339883943</c:v>
                </c:pt>
                <c:pt idx="117">
                  <c:v>-0.95979330214578895</c:v>
                </c:pt>
                <c:pt idx="118">
                  <c:v>-0.95410855836795683</c:v>
                </c:pt>
                <c:pt idx="119">
                  <c:v>-0.94845448184602876</c:v>
                </c:pt>
                <c:pt idx="120">
                  <c:v>-0.94283056464655479</c:v>
                </c:pt>
                <c:pt idx="121">
                  <c:v>-0.93723631072726121</c:v>
                </c:pt>
                <c:pt idx="122">
                  <c:v>-0.93167123555812814</c:v>
                </c:pt>
                <c:pt idx="123">
                  <c:v>-0.92613486575748438</c:v>
                </c:pt>
                <c:pt idx="124">
                  <c:v>-0.92062673874243972</c:v>
                </c:pt>
                <c:pt idx="125">
                  <c:v>-0.91514640239295164</c:v>
                </c:pt>
                <c:pt idx="126">
                  <c:v>-0.90969341472890075</c:v>
                </c:pt>
                <c:pt idx="127">
                  <c:v>-0.90426734359956884</c:v>
                </c:pt>
                <c:pt idx="128">
                  <c:v>-0.89886776638494181</c:v>
                </c:pt>
                <c:pt idx="129">
                  <c:v>-0.89349426970832468</c:v>
                </c:pt>
                <c:pt idx="130">
                  <c:v>-0.88814644915971153</c:v>
                </c:pt>
                <c:pt idx="131">
                  <c:v>-0.88282390902947927</c:v>
                </c:pt>
                <c:pt idx="132">
                  <c:v>-0.87752626205190132</c:v>
                </c:pt>
                <c:pt idx="133">
                  <c:v>-0.87225312915806497</c:v>
                </c:pt>
                <c:pt idx="134">
                  <c:v>-0.86700413923779085</c:v>
                </c:pt>
                <c:pt idx="135">
                  <c:v>-0.86177892891013907</c:v>
                </c:pt>
                <c:pt idx="136">
                  <c:v>-0.85657714230213899</c:v>
                </c:pt>
                <c:pt idx="137">
                  <c:v>-0.85139843083539857</c:v>
                </c:pt>
                <c:pt idx="138">
                  <c:v>-0.84624245302025092</c:v>
                </c:pt>
                <c:pt idx="139">
                  <c:v>-0.84110887425710845</c:v>
                </c:pt>
                <c:pt idx="140">
                  <c:v>-0.83599736664473989</c:v>
                </c:pt>
                <c:pt idx="141">
                  <c:v>-0.83090760879516901</c:v>
                </c:pt>
                <c:pt idx="142">
                  <c:v>-0.82583928565492504</c:v>
                </c:pt>
                <c:pt idx="143">
                  <c:v>-0.8207920883323806</c:v>
                </c:pt>
                <c:pt idx="144">
                  <c:v>-0.81576571393093433</c:v>
                </c:pt>
                <c:pt idx="145">
                  <c:v>-0.81075986538779188</c:v>
                </c:pt>
                <c:pt idx="146">
                  <c:v>-0.80577425131812597</c:v>
                </c:pt>
                <c:pt idx="147">
                  <c:v>-0.8008085858644014</c:v>
                </c:pt>
                <c:pt idx="148">
                  <c:v>-0.79586258855065695</c:v>
                </c:pt>
                <c:pt idx="149">
                  <c:v>-0.7909359841415402</c:v>
                </c:pt>
                <c:pt idx="150">
                  <c:v>-0.78602850250592737</c:v>
                </c:pt>
                <c:pt idx="151">
                  <c:v>-0.78113987848493915</c:v>
                </c:pt>
                <c:pt idx="152">
                  <c:v>-0.77626985176416885</c:v>
                </c:pt>
                <c:pt idx="153">
                  <c:v>-0.77141816674998875</c:v>
                </c:pt>
                <c:pt idx="154">
                  <c:v>-0.76658457244976175</c:v>
                </c:pt>
                <c:pt idx="155">
                  <c:v>-0.76176882235580157</c:v>
                </c:pt>
                <c:pt idx="156">
                  <c:v>-0.75697067433296861</c:v>
                </c:pt>
                <c:pt idx="157">
                  <c:v>-0.75218989050973062</c:v>
                </c:pt>
                <c:pt idx="158">
                  <c:v>-0.74742623717258982</c:v>
                </c:pt>
                <c:pt idx="159">
                  <c:v>-0.74267948466372624</c:v>
                </c:pt>
                <c:pt idx="160">
                  <c:v>-0.73794940728176173</c:v>
                </c:pt>
                <c:pt idx="161">
                  <c:v>-0.73323578318551175</c:v>
                </c:pt>
                <c:pt idx="162">
                  <c:v>-0.72853839430062861</c:v>
                </c:pt>
                <c:pt idx="163">
                  <c:v>-0.7238570262290237</c:v>
                </c:pt>
                <c:pt idx="164">
                  <c:v>-0.71919146816097901</c:v>
                </c:pt>
                <c:pt idx="165">
                  <c:v>-0.7145415127898378</c:v>
                </c:pt>
                <c:pt idx="166">
                  <c:v>-0.70990695622919808</c:v>
                </c:pt>
                <c:pt idx="167">
                  <c:v>-0.70528759793250428</c:v>
                </c:pt>
                <c:pt idx="168">
                  <c:v>-0.70068324061497589</c:v>
                </c:pt>
                <c:pt idx="169">
                  <c:v>-0.6960936901777649</c:v>
                </c:pt>
                <c:pt idx="170">
                  <c:v>-0.69151875563428244</c:v>
                </c:pt>
                <c:pt idx="171">
                  <c:v>-0.68695824903861946</c:v>
                </c:pt>
                <c:pt idx="172">
                  <c:v>-0.68241198541597936</c:v>
                </c:pt>
                <c:pt idx="173">
                  <c:v>-0.67787978269506355</c:v>
                </c:pt>
                <c:pt idx="174">
                  <c:v>-0.67336146164234179</c:v>
                </c:pt>
                <c:pt idx="175">
                  <c:v>-0.66885684579813953</c:v>
                </c:pt>
                <c:pt idx="176">
                  <c:v>-0.66436576141448844</c:v>
                </c:pt>
                <c:pt idx="177">
                  <c:v>-0.65988803739467305</c:v>
                </c:pt>
                <c:pt idx="178">
                  <c:v>-0.65542350523442661</c:v>
                </c:pt>
                <c:pt idx="179">
                  <c:v>-0.65097199896471547</c:v>
                </c:pt>
                <c:pt idx="180">
                  <c:v>-0.64653335509605969</c:v>
                </c:pt>
                <c:pt idx="181">
                  <c:v>-0.64210741256434611</c:v>
                </c:pt>
                <c:pt idx="182">
                  <c:v>-0.6376940126780779</c:v>
                </c:pt>
                <c:pt idx="183">
                  <c:v>-0.63329299906701975</c:v>
                </c:pt>
                <c:pt idx="184">
                  <c:v>-0.62890421763218984</c:v>
                </c:pt>
                <c:pt idx="185">
                  <c:v>-0.62452751649716276</c:v>
                </c:pt>
                <c:pt idx="186">
                  <c:v>-0.62016274596063059</c:v>
                </c:pt>
                <c:pt idx="187">
                  <c:v>-0.61580975845019326</c:v>
                </c:pt>
                <c:pt idx="188">
                  <c:v>-0.61146840847733341</c:v>
                </c:pt>
                <c:pt idx="189">
                  <c:v>-0.60713855259354255</c:v>
                </c:pt>
                <c:pt idx="190">
                  <c:v>-0.60282004934755651</c:v>
                </c:pt>
                <c:pt idx="191">
                  <c:v>-0.59851275924367653</c:v>
                </c:pt>
                <c:pt idx="192">
                  <c:v>-0.5942165447011295</c:v>
                </c:pt>
                <c:pt idx="193">
                  <c:v>-0.58993127001444812</c:v>
                </c:pt>
                <c:pt idx="194">
                  <c:v>-0.585656801314831</c:v>
                </c:pt>
                <c:pt idx="195">
                  <c:v>-0.58139300653245585</c:v>
                </c:pt>
                <c:pt idx="196">
                  <c:v>-0.57713975535972051</c:v>
                </c:pt>
                <c:pt idx="197">
                  <c:v>-0.57289691921537711</c:v>
                </c:pt>
                <c:pt idx="198">
                  <c:v>-0.56866437120954061</c:v>
                </c:pt>
                <c:pt idx="199">
                  <c:v>-0.56444198610953655</c:v>
                </c:pt>
                <c:pt idx="200">
                  <c:v>-0.56022964030657418</c:v>
                </c:pt>
                <c:pt idx="201">
                  <c:v>-0.55602721178320957</c:v>
                </c:pt>
                <c:pt idx="202">
                  <c:v>-0.55183458008158426</c:v>
                </c:pt>
                <c:pt idx="203">
                  <c:v>-0.54765162627241204</c:v>
                </c:pt>
                <c:pt idx="204">
                  <c:v>-0.5434782329246941</c:v>
                </c:pt>
                <c:pt idx="205">
                  <c:v>-0.5393142840761399</c:v>
                </c:pt>
                <c:pt idx="206">
                  <c:v>-0.53515966520427649</c:v>
                </c:pt>
                <c:pt idx="207">
                  <c:v>-0.53101426319822265</c:v>
                </c:pt>
                <c:pt idx="208">
                  <c:v>-0.52687796633111206</c:v>
                </c:pt>
                <c:pt idx="209">
                  <c:v>-0.52275066423314531</c:v>
                </c:pt>
                <c:pt idx="210">
                  <c:v>-0.51863224786525508</c:v>
                </c:pt>
                <c:pt idx="211">
                  <c:v>-0.51452260949336326</c:v>
                </c:pt>
                <c:pt idx="212">
                  <c:v>-0.51042164266321888</c:v>
                </c:pt>
                <c:pt idx="213">
                  <c:v>-0.50632924217579522</c:v>
                </c:pt>
                <c:pt idx="214">
                  <c:v>-0.50224530406323542</c:v>
                </c:pt>
                <c:pt idx="215">
                  <c:v>-0.49816972556532685</c:v>
                </c:pt>
                <c:pt idx="216">
                  <c:v>-0.49410240510649461</c:v>
                </c:pt>
                <c:pt idx="217">
                  <c:v>-0.49004324227329482</c:v>
                </c:pt>
                <c:pt idx="218">
                  <c:v>-0.48599213779239869</c:v>
                </c:pt>
                <c:pt idx="219">
                  <c:v>-0.48194899350904996</c:v>
                </c:pt>
                <c:pt idx="220">
                  <c:v>-0.47791371236598729</c:v>
                </c:pt>
                <c:pt idx="221">
                  <c:v>-0.4738861983828131</c:v>
                </c:pt>
                <c:pt idx="222">
                  <c:v>-0.46986635663580567</c:v>
                </c:pt>
                <c:pt idx="223">
                  <c:v>-0.4658540932381508</c:v>
                </c:pt>
                <c:pt idx="224">
                  <c:v>-0.46184931532059442</c:v>
                </c:pt>
                <c:pt idx="225">
                  <c:v>-0.45785193101249505</c:v>
                </c:pt>
                <c:pt idx="226">
                  <c:v>-0.45386184942327196</c:v>
                </c:pt>
                <c:pt idx="227">
                  <c:v>-0.44987898062423393</c:v>
                </c:pt>
                <c:pt idx="228">
                  <c:v>-0.44590323563078288</c:v>
                </c:pt>
                <c:pt idx="229">
                  <c:v>-0.44193452638497843</c:v>
                </c:pt>
                <c:pt idx="230">
                  <c:v>-0.43797276573845845</c:v>
                </c:pt>
                <c:pt idx="231">
                  <c:v>-0.4340178674357012</c:v>
                </c:pt>
                <c:pt idx="232">
                  <c:v>-0.43006974609762599</c:v>
                </c:pt>
                <c:pt idx="233">
                  <c:v>-0.42612831720551725</c:v>
                </c:pt>
                <c:pt idx="234">
                  <c:v>-0.42219349708526982</c:v>
                </c:pt>
                <c:pt idx="235">
                  <c:v>-0.41826520289194324</c:v>
                </c:pt>
                <c:pt idx="236">
                  <c:v>-0.41434335259461857</c:v>
                </c:pt>
                <c:pt idx="237">
                  <c:v>-0.41042786496154893</c:v>
                </c:pt>
                <c:pt idx="238">
                  <c:v>-0.4065186595455999</c:v>
                </c:pt>
                <c:pt idx="239">
                  <c:v>-0.40261565666996529</c:v>
                </c:pt>
                <c:pt idx="240">
                  <c:v>-0.39871877741416106</c:v>
                </c:pt>
                <c:pt idx="241">
                  <c:v>-0.3948279436002799</c:v>
                </c:pt>
                <c:pt idx="242">
                  <c:v>-0.39094307777950976</c:v>
                </c:pt>
                <c:pt idx="243">
                  <c:v>-0.38706410321890156</c:v>
                </c:pt>
                <c:pt idx="244">
                  <c:v>-0.38319094388838582</c:v>
                </c:pt>
                <c:pt idx="245">
                  <c:v>-0.37932352444802764</c:v>
                </c:pt>
                <c:pt idx="246">
                  <c:v>-0.37546177023551847</c:v>
                </c:pt>
                <c:pt idx="247">
                  <c:v>-0.37160560725389336</c:v>
                </c:pt>
                <c:pt idx="248">
                  <c:v>-0.36775496215947456</c:v>
                </c:pt>
                <c:pt idx="249">
                  <c:v>-0.36390976225002952</c:v>
                </c:pt>
                <c:pt idx="250">
                  <c:v>-0.36006993545314314</c:v>
                </c:pt>
                <c:pt idx="251">
                  <c:v>-0.35623541031479528</c:v>
                </c:pt>
                <c:pt idx="252">
                  <c:v>-0.35240611598814231</c:v>
                </c:pt>
                <c:pt idx="253">
                  <c:v>-0.34858198222249215</c:v>
                </c:pt>
                <c:pt idx="254">
                  <c:v>-0.34476293935247532</c:v>
                </c:pt>
                <c:pt idx="255">
                  <c:v>-0.34094891828739998</c:v>
                </c:pt>
                <c:pt idx="256">
                  <c:v>-0.33713985050079243</c:v>
                </c:pt>
                <c:pt idx="257">
                  <c:v>-0.33333566802011422</c:v>
                </c:pt>
                <c:pt idx="258">
                  <c:v>-0.32953630341665485</c:v>
                </c:pt>
                <c:pt idx="259">
                  <c:v>-0.32574168979559226</c:v>
                </c:pt>
                <c:pt idx="260">
                  <c:v>-0.3219517607862224</c:v>
                </c:pt>
                <c:pt idx="261">
                  <c:v>-0.31816645053234671</c:v>
                </c:pt>
                <c:pt idx="262">
                  <c:v>-0.31438569368282104</c:v>
                </c:pt>
                <c:pt idx="263">
                  <c:v>-0.31060942538225567</c:v>
                </c:pt>
                <c:pt idx="264">
                  <c:v>-0.30683758126186844</c:v>
                </c:pt>
                <c:pt idx="265">
                  <c:v>-0.30307009743048208</c:v>
                </c:pt>
                <c:pt idx="266">
                  <c:v>-0.29930691046566715</c:v>
                </c:pt>
                <c:pt idx="267">
                  <c:v>-0.29554795740502249</c:v>
                </c:pt>
                <c:pt idx="268">
                  <c:v>-0.29179317573759456</c:v>
                </c:pt>
                <c:pt idx="269">
                  <c:v>-0.28804250339542714</c:v>
                </c:pt>
                <c:pt idx="270">
                  <c:v>-0.28429587874524437</c:v>
                </c:pt>
                <c:pt idx="271">
                  <c:v>-0.28055324058025682</c:v>
                </c:pt>
                <c:pt idx="272">
                  <c:v>-0.27681452811209489</c:v>
                </c:pt>
                <c:pt idx="273">
                  <c:v>-0.273079680962861</c:v>
                </c:pt>
                <c:pt idx="274">
                  <c:v>-0.26934863915729951</c:v>
                </c:pt>
                <c:pt idx="275">
                  <c:v>-0.26562134311508367</c:v>
                </c:pt>
                <c:pt idx="276">
                  <c:v>-0.26189773364321228</c:v>
                </c:pt>
                <c:pt idx="277">
                  <c:v>-0.25817775192851888</c:v>
                </c:pt>
                <c:pt idx="278">
                  <c:v>-0.25446133953028466</c:v>
                </c:pt>
                <c:pt idx="279">
                  <c:v>-0.25074843837295846</c:v>
                </c:pt>
                <c:pt idx="280">
                  <c:v>-0.2470389907389772</c:v>
                </c:pt>
                <c:pt idx="281">
                  <c:v>-0.24333293926168637</c:v>
                </c:pt>
                <c:pt idx="282">
                  <c:v>-0.23963022691835631</c:v>
                </c:pt>
                <c:pt idx="283">
                  <c:v>-0.23593079702329492</c:v>
                </c:pt>
                <c:pt idx="284">
                  <c:v>-0.23223459322105058</c:v>
                </c:pt>
                <c:pt idx="285">
                  <c:v>-0.22854155947970722</c:v>
                </c:pt>
                <c:pt idx="286">
                  <c:v>-0.22485164008426486</c:v>
                </c:pt>
                <c:pt idx="287">
                  <c:v>-0.221164779630108</c:v>
                </c:pt>
                <c:pt idx="288">
                  <c:v>-0.21748092301655558</c:v>
                </c:pt>
                <c:pt idx="289">
                  <c:v>-0.21380001544049401</c:v>
                </c:pt>
                <c:pt idx="290">
                  <c:v>-0.21012200239008808</c:v>
                </c:pt>
                <c:pt idx="291">
                  <c:v>-0.20644682963857081</c:v>
                </c:pt>
                <c:pt idx="292">
                  <c:v>-0.20277444323810676</c:v>
                </c:pt>
                <c:pt idx="293">
                  <c:v>-0.19910478951373123</c:v>
                </c:pt>
                <c:pt idx="294">
                  <c:v>-0.19543781505735866</c:v>
                </c:pt>
                <c:pt idx="295">
                  <c:v>-0.1917734667218631</c:v>
                </c:pt>
                <c:pt idx="296">
                  <c:v>-0.18811169161522445</c:v>
                </c:pt>
                <c:pt idx="297">
                  <c:v>-0.1844524370947431</c:v>
                </c:pt>
                <c:pt idx="298">
                  <c:v>-0.1807956507613169</c:v>
                </c:pt>
                <c:pt idx="299">
                  <c:v>-0.17714128045378297</c:v>
                </c:pt>
                <c:pt idx="300">
                  <c:v>-0.1734892742433187</c:v>
                </c:pt>
                <c:pt idx="301">
                  <c:v>-0.16983958042790409</c:v>
                </c:pt>
                <c:pt idx="302">
                  <c:v>-0.16619214752683975</c:v>
                </c:pt>
                <c:pt idx="303">
                  <c:v>-0.1625469242753235</c:v>
                </c:pt>
                <c:pt idx="304">
                  <c:v>-0.15890385961907952</c:v>
                </c:pt>
                <c:pt idx="305">
                  <c:v>-0.15526290270904269</c:v>
                </c:pt>
                <c:pt idx="306">
                  <c:v>-0.1516240028960924</c:v>
                </c:pt>
                <c:pt idx="307">
                  <c:v>-0.14798710972583889</c:v>
                </c:pt>
                <c:pt idx="308">
                  <c:v>-0.14435217293345595</c:v>
                </c:pt>
                <c:pt idx="309">
                  <c:v>-0.14071914243856326</c:v>
                </c:pt>
                <c:pt idx="310">
                  <c:v>-0.13708796834015238</c:v>
                </c:pt>
                <c:pt idx="311">
                  <c:v>-0.13345860091155928</c:v>
                </c:pt>
                <c:pt idx="312">
                  <c:v>-0.12983099059547812</c:v>
                </c:pt>
                <c:pt idx="313">
                  <c:v>-0.12620508799901872</c:v>
                </c:pt>
                <c:pt idx="314">
                  <c:v>-0.12258084388880242</c:v>
                </c:pt>
                <c:pt idx="315">
                  <c:v>-0.11895820918609937</c:v>
                </c:pt>
                <c:pt idx="316">
                  <c:v>-0.11533713496200139</c:v>
                </c:pt>
                <c:pt idx="317">
                  <c:v>-0.1117175724326336</c:v>
                </c:pt>
                <c:pt idx="318">
                  <c:v>-0.10809947295439938</c:v>
                </c:pt>
                <c:pt idx="319">
                  <c:v>-0.10448278801926142</c:v>
                </c:pt>
                <c:pt idx="320">
                  <c:v>-0.1008674692500537</c:v>
                </c:pt>
                <c:pt idx="321">
                  <c:v>-9.7253468395827061E-2</c:v>
                </c:pt>
                <c:pt idx="322">
                  <c:v>-9.3640737327223486E-2</c:v>
                </c:pt>
                <c:pt idx="323">
                  <c:v>-9.0029228031881417E-2</c:v>
                </c:pt>
                <c:pt idx="324">
                  <c:v>-8.641889260986757E-2</c:v>
                </c:pt>
                <c:pt idx="325">
                  <c:v>-8.2809683269137416E-2</c:v>
                </c:pt>
                <c:pt idx="326">
                  <c:v>-7.9201552321019775E-2</c:v>
                </c:pt>
                <c:pt idx="327">
                  <c:v>-7.5594452175728147E-2</c:v>
                </c:pt>
                <c:pt idx="328">
                  <c:v>-7.1988335337893561E-2</c:v>
                </c:pt>
                <c:pt idx="329">
                  <c:v>-6.8383154402122046E-2</c:v>
                </c:pt>
                <c:pt idx="330">
                  <c:v>-6.4778862048571514E-2</c:v>
                </c:pt>
                <c:pt idx="331">
                  <c:v>-6.1175411038551106E-2</c:v>
                </c:pt>
                <c:pt idx="332">
                  <c:v>-5.757275421013755E-2</c:v>
                </c:pt>
                <c:pt idx="333">
                  <c:v>-5.3970844473812077E-2</c:v>
                </c:pt>
                <c:pt idx="334">
                  <c:v>-5.0369634808112261E-2</c:v>
                </c:pt>
                <c:pt idx="335">
                  <c:v>-4.6769078255302139E-2</c:v>
                </c:pt>
                <c:pt idx="336">
                  <c:v>-4.3169127917055197E-2</c:v>
                </c:pt>
                <c:pt idx="337">
                  <c:v>-3.9569736950153638E-2</c:v>
                </c:pt>
                <c:pt idx="338">
                  <c:v>-3.5970858562198442E-2</c:v>
                </c:pt>
                <c:pt idx="339">
                  <c:v>-3.2372446007333612E-2</c:v>
                </c:pt>
                <c:pt idx="340">
                  <c:v>-2.8774452581979137E-2</c:v>
                </c:pt>
                <c:pt idx="341">
                  <c:v>-2.517683162057625E-2</c:v>
                </c:pt>
                <c:pt idx="342">
                  <c:v>-2.1579536491339233E-2</c:v>
                </c:pt>
                <c:pt idx="343">
                  <c:v>-1.7982520592017562E-2</c:v>
                </c:pt>
                <c:pt idx="344">
                  <c:v>-1.4385737345662652E-2</c:v>
                </c:pt>
                <c:pt idx="345">
                  <c:v>-1.0789140196402829E-2</c:v>
                </c:pt>
                <c:pt idx="346">
                  <c:v>-7.1926826052210197E-3</c:v>
                </c:pt>
                <c:pt idx="347">
                  <c:v>-3.5963180457385959E-3</c:v>
                </c:pt>
                <c:pt idx="348">
                  <c:v>0</c:v>
                </c:pt>
                <c:pt idx="349">
                  <c:v>3.5963180457385959E-3</c:v>
                </c:pt>
                <c:pt idx="350">
                  <c:v>7.1926826052211594E-3</c:v>
                </c:pt>
                <c:pt idx="351">
                  <c:v>1.078914019640269E-2</c:v>
                </c:pt>
                <c:pt idx="352">
                  <c:v>1.4385737345662652E-2</c:v>
                </c:pt>
                <c:pt idx="353">
                  <c:v>1.7982520592017562E-2</c:v>
                </c:pt>
                <c:pt idx="354">
                  <c:v>2.1579536491339372E-2</c:v>
                </c:pt>
                <c:pt idx="355">
                  <c:v>2.5176831620576112E-2</c:v>
                </c:pt>
                <c:pt idx="356">
                  <c:v>2.8774452581979137E-2</c:v>
                </c:pt>
                <c:pt idx="357">
                  <c:v>3.2372446007333612E-2</c:v>
                </c:pt>
                <c:pt idx="358">
                  <c:v>3.5970858562198581E-2</c:v>
                </c:pt>
                <c:pt idx="359">
                  <c:v>3.9569736950153492E-2</c:v>
                </c:pt>
                <c:pt idx="360">
                  <c:v>4.3169127917055197E-2</c:v>
                </c:pt>
                <c:pt idx="361">
                  <c:v>4.6769078255302139E-2</c:v>
                </c:pt>
                <c:pt idx="362">
                  <c:v>5.03696348081124E-2</c:v>
                </c:pt>
                <c:pt idx="363">
                  <c:v>5.3970844473811931E-2</c:v>
                </c:pt>
                <c:pt idx="364">
                  <c:v>5.757275421013755E-2</c:v>
                </c:pt>
                <c:pt idx="365">
                  <c:v>6.1175411038551106E-2</c:v>
                </c:pt>
                <c:pt idx="366">
                  <c:v>6.4778862048571667E-2</c:v>
                </c:pt>
                <c:pt idx="367">
                  <c:v>6.8383154402121907E-2</c:v>
                </c:pt>
                <c:pt idx="368">
                  <c:v>7.1988335337893561E-2</c:v>
                </c:pt>
                <c:pt idx="369">
                  <c:v>7.5594452175728147E-2</c:v>
                </c:pt>
                <c:pt idx="370">
                  <c:v>7.9201552321019913E-2</c:v>
                </c:pt>
                <c:pt idx="371">
                  <c:v>8.2809683269137277E-2</c:v>
                </c:pt>
                <c:pt idx="372">
                  <c:v>8.641889260986757E-2</c:v>
                </c:pt>
                <c:pt idx="373">
                  <c:v>9.0029228031881417E-2</c:v>
                </c:pt>
                <c:pt idx="374">
                  <c:v>9.3640737327223611E-2</c:v>
                </c:pt>
                <c:pt idx="375">
                  <c:v>9.7253468395826922E-2</c:v>
                </c:pt>
                <c:pt idx="376">
                  <c:v>0.1008674692500537</c:v>
                </c:pt>
                <c:pt idx="377">
                  <c:v>0.10448278801926142</c:v>
                </c:pt>
                <c:pt idx="378">
                  <c:v>0.10809947295439951</c:v>
                </c:pt>
                <c:pt idx="379">
                  <c:v>0.11171757243263346</c:v>
                </c:pt>
                <c:pt idx="380">
                  <c:v>0.11533713496200139</c:v>
                </c:pt>
                <c:pt idx="381">
                  <c:v>0.11895820918609937</c:v>
                </c:pt>
                <c:pt idx="382">
                  <c:v>0.12258084388880255</c:v>
                </c:pt>
                <c:pt idx="383">
                  <c:v>0.12620508799901858</c:v>
                </c:pt>
                <c:pt idx="384">
                  <c:v>0.12983099059547812</c:v>
                </c:pt>
                <c:pt idx="385">
                  <c:v>0.13345860091155928</c:v>
                </c:pt>
                <c:pt idx="386">
                  <c:v>0.13708796834015252</c:v>
                </c:pt>
                <c:pt idx="387">
                  <c:v>0.14071914243856312</c:v>
                </c:pt>
                <c:pt idx="388">
                  <c:v>0.14435217293345595</c:v>
                </c:pt>
                <c:pt idx="389">
                  <c:v>0.14798710972583889</c:v>
                </c:pt>
                <c:pt idx="390">
                  <c:v>0.15162400289609254</c:v>
                </c:pt>
                <c:pt idx="391">
                  <c:v>0.15526290270904256</c:v>
                </c:pt>
                <c:pt idx="392">
                  <c:v>0.15890385961907952</c:v>
                </c:pt>
                <c:pt idx="393">
                  <c:v>0.1625469242753235</c:v>
                </c:pt>
                <c:pt idx="394">
                  <c:v>0.16619214752683986</c:v>
                </c:pt>
                <c:pt idx="395">
                  <c:v>0.16983958042790395</c:v>
                </c:pt>
                <c:pt idx="396">
                  <c:v>0.1734892742433187</c:v>
                </c:pt>
                <c:pt idx="397">
                  <c:v>0.17714128045378297</c:v>
                </c:pt>
                <c:pt idx="398">
                  <c:v>0.18079565076131701</c:v>
                </c:pt>
                <c:pt idx="399">
                  <c:v>0.18445243709474296</c:v>
                </c:pt>
                <c:pt idx="400">
                  <c:v>0.18811169161522445</c:v>
                </c:pt>
                <c:pt idx="401">
                  <c:v>0.1917734667218631</c:v>
                </c:pt>
                <c:pt idx="402">
                  <c:v>0.19543781505735883</c:v>
                </c:pt>
                <c:pt idx="403">
                  <c:v>0.19910478951373109</c:v>
                </c:pt>
                <c:pt idx="404">
                  <c:v>0.20277444323810676</c:v>
                </c:pt>
                <c:pt idx="405">
                  <c:v>0.20644682963857081</c:v>
                </c:pt>
                <c:pt idx="406">
                  <c:v>0.21012200239008824</c:v>
                </c:pt>
                <c:pt idx="407">
                  <c:v>0.2138000154404939</c:v>
                </c:pt>
                <c:pt idx="408">
                  <c:v>0.21748092301655558</c:v>
                </c:pt>
                <c:pt idx="409">
                  <c:v>0.221164779630108</c:v>
                </c:pt>
                <c:pt idx="410">
                  <c:v>0.22485164008426498</c:v>
                </c:pt>
                <c:pt idx="411">
                  <c:v>0.22854155947970711</c:v>
                </c:pt>
                <c:pt idx="412">
                  <c:v>0.23223459322105058</c:v>
                </c:pt>
                <c:pt idx="413">
                  <c:v>0.23593079702329492</c:v>
                </c:pt>
                <c:pt idx="414">
                  <c:v>0.23963022691835645</c:v>
                </c:pt>
                <c:pt idx="415">
                  <c:v>0.24333293926168623</c:v>
                </c:pt>
                <c:pt idx="416">
                  <c:v>0.2470389907389772</c:v>
                </c:pt>
                <c:pt idx="417">
                  <c:v>0.25074843837295846</c:v>
                </c:pt>
                <c:pt idx="418">
                  <c:v>0.25446133953028477</c:v>
                </c:pt>
                <c:pt idx="419">
                  <c:v>0.25817775192851883</c:v>
                </c:pt>
                <c:pt idx="420">
                  <c:v>0.26189773364321228</c:v>
                </c:pt>
                <c:pt idx="421">
                  <c:v>0.26562134311508367</c:v>
                </c:pt>
                <c:pt idx="422">
                  <c:v>0.26934863915729962</c:v>
                </c:pt>
                <c:pt idx="423">
                  <c:v>0.27307968096286084</c:v>
                </c:pt>
                <c:pt idx="424">
                  <c:v>0.27681452811209489</c:v>
                </c:pt>
                <c:pt idx="425">
                  <c:v>0.28055324058025682</c:v>
                </c:pt>
                <c:pt idx="426">
                  <c:v>0.28429587874524437</c:v>
                </c:pt>
                <c:pt idx="427">
                  <c:v>0.28804250339542731</c:v>
                </c:pt>
                <c:pt idx="428">
                  <c:v>0.29179317573759439</c:v>
                </c:pt>
                <c:pt idx="429">
                  <c:v>0.29554795740502249</c:v>
                </c:pt>
                <c:pt idx="430">
                  <c:v>0.29930691046566715</c:v>
                </c:pt>
                <c:pt idx="431">
                  <c:v>0.30307009743048224</c:v>
                </c:pt>
                <c:pt idx="432">
                  <c:v>0.30683758126186828</c:v>
                </c:pt>
                <c:pt idx="433">
                  <c:v>0.31060942538225567</c:v>
                </c:pt>
                <c:pt idx="434">
                  <c:v>0.31438569368282104</c:v>
                </c:pt>
                <c:pt idx="435">
                  <c:v>0.31816645053234688</c:v>
                </c:pt>
                <c:pt idx="436">
                  <c:v>0.32195176078622229</c:v>
                </c:pt>
                <c:pt idx="437">
                  <c:v>0.32574168979559226</c:v>
                </c:pt>
                <c:pt idx="438">
                  <c:v>0.32953630341665485</c:v>
                </c:pt>
                <c:pt idx="439">
                  <c:v>0.33333566802011438</c:v>
                </c:pt>
                <c:pt idx="440">
                  <c:v>0.33713985050079226</c:v>
                </c:pt>
                <c:pt idx="441">
                  <c:v>0.34094891828739998</c:v>
                </c:pt>
                <c:pt idx="442">
                  <c:v>0.34476293935247532</c:v>
                </c:pt>
                <c:pt idx="443">
                  <c:v>0.34858198222249237</c:v>
                </c:pt>
                <c:pt idx="444">
                  <c:v>0.3524061159881422</c:v>
                </c:pt>
                <c:pt idx="445">
                  <c:v>0.35623541031479528</c:v>
                </c:pt>
                <c:pt idx="446">
                  <c:v>0.36006993545314314</c:v>
                </c:pt>
                <c:pt idx="447">
                  <c:v>0.36390976225002963</c:v>
                </c:pt>
                <c:pt idx="448">
                  <c:v>0.3677549621594744</c:v>
                </c:pt>
                <c:pt idx="449">
                  <c:v>0.37160560725389336</c:v>
                </c:pt>
                <c:pt idx="450">
                  <c:v>0.37546177023551847</c:v>
                </c:pt>
                <c:pt idx="451">
                  <c:v>0.3793235244480278</c:v>
                </c:pt>
                <c:pt idx="452">
                  <c:v>0.38319094388838565</c:v>
                </c:pt>
                <c:pt idx="453">
                  <c:v>0.38706410321890156</c:v>
                </c:pt>
                <c:pt idx="454">
                  <c:v>0.39094307777950976</c:v>
                </c:pt>
                <c:pt idx="455">
                  <c:v>0.39482794360028001</c:v>
                </c:pt>
                <c:pt idx="456">
                  <c:v>0.39871877741416084</c:v>
                </c:pt>
                <c:pt idx="457">
                  <c:v>0.40261565666996529</c:v>
                </c:pt>
                <c:pt idx="458">
                  <c:v>0.4065186595455999</c:v>
                </c:pt>
                <c:pt idx="459">
                  <c:v>0.41042786496154915</c:v>
                </c:pt>
                <c:pt idx="460">
                  <c:v>0.41434335259461841</c:v>
                </c:pt>
                <c:pt idx="461">
                  <c:v>0.41826520289194324</c:v>
                </c:pt>
                <c:pt idx="462">
                  <c:v>0.42219349708526982</c:v>
                </c:pt>
                <c:pt idx="463">
                  <c:v>0.42612831720551736</c:v>
                </c:pt>
                <c:pt idx="464">
                  <c:v>0.43006974609762583</c:v>
                </c:pt>
                <c:pt idx="465">
                  <c:v>0.4340178674357012</c:v>
                </c:pt>
                <c:pt idx="466">
                  <c:v>0.43797276573845845</c:v>
                </c:pt>
                <c:pt idx="467">
                  <c:v>0.4419345263849786</c:v>
                </c:pt>
                <c:pt idx="468">
                  <c:v>0.44590323563078271</c:v>
                </c:pt>
                <c:pt idx="469">
                  <c:v>0.44987898062423393</c:v>
                </c:pt>
                <c:pt idx="470">
                  <c:v>0.45386184942327196</c:v>
                </c:pt>
                <c:pt idx="471">
                  <c:v>0.45785193101249527</c:v>
                </c:pt>
                <c:pt idx="472">
                  <c:v>0.46184931532059431</c:v>
                </c:pt>
                <c:pt idx="473">
                  <c:v>0.4658540932381508</c:v>
                </c:pt>
                <c:pt idx="474">
                  <c:v>0.46986635663580567</c:v>
                </c:pt>
                <c:pt idx="475">
                  <c:v>0.47388619838281337</c:v>
                </c:pt>
                <c:pt idx="476">
                  <c:v>0.47791371236598701</c:v>
                </c:pt>
                <c:pt idx="477">
                  <c:v>0.48194899350904996</c:v>
                </c:pt>
                <c:pt idx="478">
                  <c:v>0.48599213779239869</c:v>
                </c:pt>
                <c:pt idx="479">
                  <c:v>0.49004324227329499</c:v>
                </c:pt>
                <c:pt idx="480">
                  <c:v>0.49410240510649461</c:v>
                </c:pt>
                <c:pt idx="481">
                  <c:v>0.49816972556532685</c:v>
                </c:pt>
                <c:pt idx="482">
                  <c:v>0.50224530406323542</c:v>
                </c:pt>
                <c:pt idx="483">
                  <c:v>0.50632924217579534</c:v>
                </c:pt>
                <c:pt idx="484">
                  <c:v>0.51042164266321888</c:v>
                </c:pt>
                <c:pt idx="485">
                  <c:v>0.51452260949336326</c:v>
                </c:pt>
                <c:pt idx="486">
                  <c:v>0.51863224786525508</c:v>
                </c:pt>
                <c:pt idx="487">
                  <c:v>0.52275066423314542</c:v>
                </c:pt>
                <c:pt idx="488">
                  <c:v>0.52687796633111184</c:v>
                </c:pt>
                <c:pt idx="489">
                  <c:v>0.53101426319822265</c:v>
                </c:pt>
                <c:pt idx="490">
                  <c:v>0.53515966520427649</c:v>
                </c:pt>
                <c:pt idx="491">
                  <c:v>0.53931428407614013</c:v>
                </c:pt>
                <c:pt idx="492">
                  <c:v>0.54347823292469388</c:v>
                </c:pt>
                <c:pt idx="493">
                  <c:v>0.54765162627241204</c:v>
                </c:pt>
                <c:pt idx="494">
                  <c:v>0.55183458008158426</c:v>
                </c:pt>
                <c:pt idx="495">
                  <c:v>0.55602721178320957</c:v>
                </c:pt>
                <c:pt idx="496">
                  <c:v>0.56022964030657418</c:v>
                </c:pt>
                <c:pt idx="497">
                  <c:v>0.56444198610953655</c:v>
                </c:pt>
                <c:pt idx="498">
                  <c:v>0.56866437120954061</c:v>
                </c:pt>
                <c:pt idx="499">
                  <c:v>0.57289691921537744</c:v>
                </c:pt>
                <c:pt idx="500">
                  <c:v>0.57713975535972017</c:v>
                </c:pt>
                <c:pt idx="501">
                  <c:v>0.58139300653245585</c:v>
                </c:pt>
                <c:pt idx="502">
                  <c:v>0.585656801314831</c:v>
                </c:pt>
                <c:pt idx="503">
                  <c:v>0.58993127001444812</c:v>
                </c:pt>
                <c:pt idx="504">
                  <c:v>0.59421654470112983</c:v>
                </c:pt>
                <c:pt idx="505">
                  <c:v>0.59851275924367631</c:v>
                </c:pt>
                <c:pt idx="506">
                  <c:v>0.60282004934755651</c:v>
                </c:pt>
                <c:pt idx="507">
                  <c:v>0.60713855259354255</c:v>
                </c:pt>
                <c:pt idx="508">
                  <c:v>0.61146840847733364</c:v>
                </c:pt>
                <c:pt idx="509">
                  <c:v>0.61580975845019303</c:v>
                </c:pt>
                <c:pt idx="510">
                  <c:v>0.62016274596063059</c:v>
                </c:pt>
                <c:pt idx="511">
                  <c:v>0.62452751649716276</c:v>
                </c:pt>
                <c:pt idx="512">
                  <c:v>0.62890421763218995</c:v>
                </c:pt>
                <c:pt idx="513">
                  <c:v>0.63329299906701919</c:v>
                </c:pt>
                <c:pt idx="514">
                  <c:v>0.6376940126780779</c:v>
                </c:pt>
                <c:pt idx="515">
                  <c:v>0.64210741256434611</c:v>
                </c:pt>
                <c:pt idx="516">
                  <c:v>0.64653335509605991</c:v>
                </c:pt>
                <c:pt idx="517">
                  <c:v>0.65097199896471536</c:v>
                </c:pt>
                <c:pt idx="518">
                  <c:v>0.65542350523442661</c:v>
                </c:pt>
                <c:pt idx="519">
                  <c:v>0.65988803739467305</c:v>
                </c:pt>
                <c:pt idx="520">
                  <c:v>0.66436576141448833</c:v>
                </c:pt>
                <c:pt idx="521">
                  <c:v>0.66885684579813964</c:v>
                </c:pt>
                <c:pt idx="522">
                  <c:v>0.67336146164234179</c:v>
                </c:pt>
                <c:pt idx="523">
                  <c:v>0.67787978269506355</c:v>
                </c:pt>
                <c:pt idx="524">
                  <c:v>0.68241198541597936</c:v>
                </c:pt>
                <c:pt idx="525">
                  <c:v>0.68695824903861946</c:v>
                </c:pt>
                <c:pt idx="526">
                  <c:v>0.69151875563428244</c:v>
                </c:pt>
                <c:pt idx="527">
                  <c:v>0.6960936901777649</c:v>
                </c:pt>
                <c:pt idx="528">
                  <c:v>0.70068324061497644</c:v>
                </c:pt>
                <c:pt idx="529">
                  <c:v>0.70528759793250428</c:v>
                </c:pt>
                <c:pt idx="530">
                  <c:v>0.70990695622919808</c:v>
                </c:pt>
                <c:pt idx="531">
                  <c:v>0.7145415127898378</c:v>
                </c:pt>
                <c:pt idx="532">
                  <c:v>0.71919146816097945</c:v>
                </c:pt>
                <c:pt idx="533">
                  <c:v>0.7238570262290237</c:v>
                </c:pt>
                <c:pt idx="534">
                  <c:v>0.72853839430062861</c:v>
                </c:pt>
                <c:pt idx="535">
                  <c:v>0.73323578318551175</c:v>
                </c:pt>
                <c:pt idx="536">
                  <c:v>0.73794940728176162</c:v>
                </c:pt>
                <c:pt idx="537">
                  <c:v>0.74267948466372624</c:v>
                </c:pt>
                <c:pt idx="538">
                  <c:v>0.74742623717258982</c:v>
                </c:pt>
                <c:pt idx="539">
                  <c:v>0.75218989050973062</c:v>
                </c:pt>
                <c:pt idx="540">
                  <c:v>0.75697067433296872</c:v>
                </c:pt>
                <c:pt idx="541">
                  <c:v>0.76176882235580157</c:v>
                </c:pt>
                <c:pt idx="542">
                  <c:v>0.76658457244976175</c:v>
                </c:pt>
                <c:pt idx="543">
                  <c:v>0.77141816674998875</c:v>
                </c:pt>
                <c:pt idx="544">
                  <c:v>0.77626985176416885</c:v>
                </c:pt>
                <c:pt idx="545">
                  <c:v>0.78113987848493949</c:v>
                </c:pt>
                <c:pt idx="546">
                  <c:v>0.78602850250592737</c:v>
                </c:pt>
                <c:pt idx="547">
                  <c:v>0.7909359841415402</c:v>
                </c:pt>
                <c:pt idx="548">
                  <c:v>0.79586258855065695</c:v>
                </c:pt>
                <c:pt idx="549">
                  <c:v>0.80080858586440196</c:v>
                </c:pt>
                <c:pt idx="550">
                  <c:v>0.80577425131812597</c:v>
                </c:pt>
                <c:pt idx="551">
                  <c:v>0.81075986538779188</c:v>
                </c:pt>
                <c:pt idx="552">
                  <c:v>0.81576571393093433</c:v>
                </c:pt>
                <c:pt idx="553">
                  <c:v>0.82079208833238049</c:v>
                </c:pt>
                <c:pt idx="554">
                  <c:v>0.82583928565492504</c:v>
                </c:pt>
                <c:pt idx="555">
                  <c:v>0.83090760879516901</c:v>
                </c:pt>
                <c:pt idx="556">
                  <c:v>0.83599736664473989</c:v>
                </c:pt>
                <c:pt idx="557">
                  <c:v>0.84110887425710779</c:v>
                </c:pt>
                <c:pt idx="558">
                  <c:v>0.84624245302025092</c:v>
                </c:pt>
                <c:pt idx="559">
                  <c:v>0.85139843083539857</c:v>
                </c:pt>
                <c:pt idx="560">
                  <c:v>0.85657714230213899</c:v>
                </c:pt>
                <c:pt idx="561">
                  <c:v>0.86177892891013963</c:v>
                </c:pt>
                <c:pt idx="562">
                  <c:v>0.86700413923779085</c:v>
                </c:pt>
                <c:pt idx="563">
                  <c:v>0.87225312915806497</c:v>
                </c:pt>
                <c:pt idx="564">
                  <c:v>0.87752626205190132</c:v>
                </c:pt>
                <c:pt idx="565">
                  <c:v>0.88282390902948049</c:v>
                </c:pt>
                <c:pt idx="566">
                  <c:v>0.88814644915971153</c:v>
                </c:pt>
                <c:pt idx="567">
                  <c:v>0.89349426970832468</c:v>
                </c:pt>
                <c:pt idx="568">
                  <c:v>0.89886776638494181</c:v>
                </c:pt>
                <c:pt idx="569">
                  <c:v>0.90426734359956806</c:v>
                </c:pt>
                <c:pt idx="570">
                  <c:v>0.90969341472890075</c:v>
                </c:pt>
                <c:pt idx="571">
                  <c:v>0.91514640239295164</c:v>
                </c:pt>
                <c:pt idx="572">
                  <c:v>0.92062673874243972</c:v>
                </c:pt>
                <c:pt idx="573">
                  <c:v>0.92613486575748416</c:v>
                </c:pt>
                <c:pt idx="574">
                  <c:v>0.93167123555812814</c:v>
                </c:pt>
                <c:pt idx="575">
                  <c:v>0.93723631072726121</c:v>
                </c:pt>
                <c:pt idx="576">
                  <c:v>0.94283056464655479</c:v>
                </c:pt>
                <c:pt idx="577">
                  <c:v>0.94845448184602954</c:v>
                </c:pt>
                <c:pt idx="578">
                  <c:v>0.95410855836795683</c:v>
                </c:pt>
                <c:pt idx="579">
                  <c:v>0.95979330214578895</c:v>
                </c:pt>
                <c:pt idx="580">
                  <c:v>0.96550923339883943</c:v>
                </c:pt>
                <c:pt idx="581">
                  <c:v>0.97125688504362617</c:v>
                </c:pt>
                <c:pt idx="582">
                  <c:v>0.97703680312256092</c:v>
                </c:pt>
                <c:pt idx="583">
                  <c:v>0.98284954725105422</c:v>
                </c:pt>
                <c:pt idx="584">
                  <c:v>0.98869569108384014</c:v>
                </c:pt>
                <c:pt idx="585">
                  <c:v>0.99457582280166568</c:v>
                </c:pt>
                <c:pt idx="586">
                  <c:v>1.0004905456193149</c:v>
                </c:pt>
                <c:pt idx="587">
                  <c:v>1.0064404783161693</c:v>
                </c:pt>
                <c:pt idx="588">
                  <c:v>1.0124262557905093</c:v>
                </c:pt>
                <c:pt idx="589">
                  <c:v>1.0184485296388317</c:v>
                </c:pt>
                <c:pt idx="590">
                  <c:v>1.0245079687615979</c:v>
                </c:pt>
                <c:pt idx="591">
                  <c:v>1.0306052599968247</c:v>
                </c:pt>
                <c:pt idx="592">
                  <c:v>1.0367411087831122</c:v>
                </c:pt>
                <c:pt idx="593">
                  <c:v>1.0429162398538068</c:v>
                </c:pt>
                <c:pt idx="594">
                  <c:v>1.0491313979639725</c:v>
                </c:pt>
                <c:pt idx="595">
                  <c:v>1.055387348652183</c:v>
                </c:pt>
                <c:pt idx="596">
                  <c:v>1.0616848790390976</c:v>
                </c:pt>
                <c:pt idx="597">
                  <c:v>1.0680247986649787</c:v>
                </c:pt>
                <c:pt idx="598">
                  <c:v>1.0744079403685023</c:v>
                </c:pt>
                <c:pt idx="599">
                  <c:v>1.0808351612093157</c:v>
                </c:pt>
                <c:pt idx="600">
                  <c:v>1.0873073434369978</c:v>
                </c:pt>
                <c:pt idx="601">
                  <c:v>1.0938253955092736</c:v>
                </c:pt>
                <c:pt idx="602">
                  <c:v>1.1003902531625298</c:v>
                </c:pt>
                <c:pt idx="603">
                  <c:v>1.107002880537908</c:v>
                </c:pt>
                <c:pt idx="604">
                  <c:v>1.1136642713664795</c:v>
                </c:pt>
                <c:pt idx="605">
                  <c:v>1.1203754502173011</c:v>
                </c:pt>
                <c:pt idx="606">
                  <c:v>1.1271374738124025</c:v>
                </c:pt>
                <c:pt idx="607">
                  <c:v>1.1339514324130875</c:v>
                </c:pt>
                <c:pt idx="608">
                  <c:v>1.1408184512822599</c:v>
                </c:pt>
                <c:pt idx="609">
                  <c:v>1.1477396922278678</c:v>
                </c:pt>
                <c:pt idx="610">
                  <c:v>1.1547163552329422</c:v>
                </c:pt>
                <c:pt idx="611">
                  <c:v>1.1617496801781668</c:v>
                </c:pt>
                <c:pt idx="612">
                  <c:v>1.1688409486633706</c:v>
                </c:pt>
                <c:pt idx="613">
                  <c:v>1.1759914859348921</c:v>
                </c:pt>
                <c:pt idx="614">
                  <c:v>1.1832026629263124</c:v>
                </c:pt>
                <c:pt idx="615">
                  <c:v>1.1904758984207013</c:v>
                </c:pt>
                <c:pt idx="616">
                  <c:v>1.1978126613431899</c:v>
                </c:pt>
                <c:pt idx="617">
                  <c:v>1.2052144731934831</c:v>
                </c:pt>
                <c:pt idx="618">
                  <c:v>1.2126829106287231</c:v>
                </c:pt>
                <c:pt idx="619">
                  <c:v>1.2202196082080596</c:v>
                </c:pt>
                <c:pt idx="620">
                  <c:v>1.2278262613112725</c:v>
                </c:pt>
                <c:pt idx="621">
                  <c:v>1.2355046292449565</c:v>
                </c:pt>
                <c:pt idx="622">
                  <c:v>1.2432565385509617</c:v>
                </c:pt>
                <c:pt idx="623">
                  <c:v>1.2510838865332123</c:v>
                </c:pt>
                <c:pt idx="624">
                  <c:v>1.2589886450204808</c:v>
                </c:pt>
                <c:pt idx="625">
                  <c:v>1.26697286438444</c:v>
                </c:pt>
                <c:pt idx="626">
                  <c:v>1.2750386778341529</c:v>
                </c:pt>
                <c:pt idx="627">
                  <c:v>1.2831883060102467</c:v>
                </c:pt>
                <c:pt idx="628">
                  <c:v>1.2914240619043673</c:v>
                </c:pt>
                <c:pt idx="629">
                  <c:v>1.299748356132044</c:v>
                </c:pt>
                <c:pt idx="630">
                  <c:v>1.3081637025900663</c:v>
                </c:pt>
                <c:pt idx="631">
                  <c:v>1.3166727245326566</c:v>
                </c:pt>
                <c:pt idx="632">
                  <c:v>1.3252781611043922</c:v>
                </c:pt>
                <c:pt idx="633">
                  <c:v>1.3339828743718882</c:v>
                </c:pt>
                <c:pt idx="634">
                  <c:v>1.3427898569009062</c:v>
                </c:pt>
                <c:pt idx="635">
                  <c:v>1.3517022399306602</c:v>
                </c:pt>
                <c:pt idx="636">
                  <c:v>1.3607233022030081</c:v>
                </c:pt>
                <c:pt idx="637">
                  <c:v>1.369856479510797</c:v>
                </c:pt>
                <c:pt idx="638">
                  <c:v>1.3791053750371938</c:v>
                </c:pt>
                <c:pt idx="639">
                  <c:v>1.3884737705662995</c:v>
                </c:pt>
                <c:pt idx="640">
                  <c:v>1.3979656386550985</c:v>
                </c:pt>
                <c:pt idx="641">
                  <c:v>1.4075851558679084</c:v>
                </c:pt>
                <c:pt idx="642">
                  <c:v>1.4173367171870725</c:v>
                </c:pt>
                <c:pt idx="643">
                  <c:v>1.4272249517282989</c:v>
                </c:pt>
                <c:pt idx="644">
                  <c:v>1.4372547399055966</c:v>
                </c:pt>
                <c:pt idx="645">
                  <c:v>1.4474312322101404</c:v>
                </c:pt>
                <c:pt idx="646">
                  <c:v>1.457759869789466</c:v>
                </c:pt>
                <c:pt idx="647">
                  <c:v>1.4682464070391823</c:v>
                </c:pt>
                <c:pt idx="648">
                  <c:v>1.4788969364492293</c:v>
                </c:pt>
                <c:pt idx="649">
                  <c:v>1.4897179159814622</c:v>
                </c:pt>
                <c:pt idx="650">
                  <c:v>1.5007161992959648</c:v>
                </c:pt>
                <c:pt idx="651">
                  <c:v>1.5118990691910674</c:v>
                </c:pt>
                <c:pt idx="652">
                  <c:v>1.5232742746779588</c:v>
                </c:pt>
                <c:pt idx="653">
                  <c:v>1.534850072176795</c:v>
                </c:pt>
                <c:pt idx="654">
                  <c:v>1.5466352713992295</c:v>
                </c:pt>
                <c:pt idx="655">
                  <c:v>1.55863928657512</c:v>
                </c:pt>
                <c:pt idx="656">
                  <c:v>1.5708721937917547</c:v>
                </c:pt>
                <c:pt idx="657">
                  <c:v>1.5833447953464825</c:v>
                </c:pt>
                <c:pt idx="658">
                  <c:v>1.5960686921729104</c:v>
                </c:pt>
                <c:pt idx="659">
                  <c:v>1.6090563655933101</c:v>
                </c:pt>
                <c:pt idx="660">
                  <c:v>1.6223212698834055</c:v>
                </c:pt>
                <c:pt idx="661">
                  <c:v>1.6358779374204711</c:v>
                </c:pt>
                <c:pt idx="662">
                  <c:v>1.6497420985347986</c:v>
                </c:pt>
                <c:pt idx="663">
                  <c:v>1.6639308186147159</c:v>
                </c:pt>
                <c:pt idx="664">
                  <c:v>1.6784626555485749</c:v>
                </c:pt>
                <c:pt idx="665">
                  <c:v>1.6933578412519463</c:v>
                </c:pt>
                <c:pt idx="666">
                  <c:v>1.7086384918626105</c:v>
                </c:pt>
                <c:pt idx="667">
                  <c:v>1.7243288522400044</c:v>
                </c:pt>
                <c:pt idx="668">
                  <c:v>1.7404555817471699</c:v>
                </c:pt>
                <c:pt idx="669">
                  <c:v>1.7570480900132046</c:v>
                </c:pt>
                <c:pt idx="670">
                  <c:v>1.7741389335977535</c:v>
                </c:pt>
                <c:pt idx="671">
                  <c:v>1.7917642873785153</c:v>
                </c:pt>
                <c:pt idx="672">
                  <c:v>1.8099645082991047</c:v>
                </c:pt>
                <c:pt idx="673">
                  <c:v>1.8287848141880285</c:v>
                </c:pt>
                <c:pt idx="674">
                  <c:v>1.8482761071770999</c:v>
                </c:pt>
                <c:pt idx="675">
                  <c:v>1.8684959805154608</c:v>
                </c:pt>
                <c:pt idx="676">
                  <c:v>1.8895099603334296</c:v>
                </c:pt>
                <c:pt idx="677">
                  <c:v>1.9113930517135465</c:v>
                </c:pt>
                <c:pt idx="678">
                  <c:v>1.9342316836414382</c:v>
                </c:pt>
                <c:pt idx="679">
                  <c:v>1.9581261837069059</c:v>
                </c:pt>
                <c:pt idx="680">
                  <c:v>1.9831939666186722</c:v>
                </c:pt>
                <c:pt idx="681">
                  <c:v>2.0095737001013063</c:v>
                </c:pt>
                <c:pt idx="682">
                  <c:v>2.037430833207329</c:v>
                </c:pt>
                <c:pt idx="683">
                  <c:v>2.0669650622440625</c:v>
                </c:pt>
                <c:pt idx="684">
                  <c:v>2.0984206155569249</c:v>
                </c:pt>
                <c:pt idx="685">
                  <c:v>2.1321007465617647</c:v>
                </c:pt>
                <c:pt idx="686">
                  <c:v>2.1683886988543026</c:v>
                </c:pt>
                <c:pt idx="687">
                  <c:v>2.2077789754764159</c:v>
                </c:pt>
                <c:pt idx="688">
                  <c:v>2.2509256965027937</c:v>
                </c:pt>
                <c:pt idx="689">
                  <c:v>2.2987207153509441</c:v>
                </c:pt>
                <c:pt idx="690">
                  <c:v>2.3524267483609114</c:v>
                </c:pt>
                <c:pt idx="691">
                  <c:v>2.4139201053449342</c:v>
                </c:pt>
                <c:pt idx="692">
                  <c:v>2.4861739822460107</c:v>
                </c:pt>
                <c:pt idx="693">
                  <c:v>2.5743438231658757</c:v>
                </c:pt>
                <c:pt idx="694">
                  <c:v>2.6886759866657157</c:v>
                </c:pt>
                <c:pt idx="695">
                  <c:v>2.8549647423990074</c:v>
                </c:pt>
                <c:pt idx="696">
                  <c:v>3.1875734310256338</c:v>
                </c:pt>
              </c:numCache>
            </c:numRef>
          </c:xVal>
          <c:yVal>
            <c:numRef>
              <c:f>'F0 - EF0 Analysis'!$G$12:$G$810</c:f>
              <c:numCache>
                <c:formatCode>General</c:formatCode>
                <c:ptCount val="799"/>
                <c:pt idx="0">
                  <c:v>1.0986122886681098</c:v>
                </c:pt>
                <c:pt idx="1">
                  <c:v>1.0986122886681098</c:v>
                </c:pt>
                <c:pt idx="2">
                  <c:v>1.0986122886681098</c:v>
                </c:pt>
                <c:pt idx="3">
                  <c:v>1.0986122886681098</c:v>
                </c:pt>
                <c:pt idx="4">
                  <c:v>1.0986122886681098</c:v>
                </c:pt>
                <c:pt idx="5">
                  <c:v>1.0986122886681098</c:v>
                </c:pt>
                <c:pt idx="6">
                  <c:v>1.0986122886681098</c:v>
                </c:pt>
                <c:pt idx="7">
                  <c:v>1.0986122886681098</c:v>
                </c:pt>
                <c:pt idx="8">
                  <c:v>1.6094379124341003</c:v>
                </c:pt>
                <c:pt idx="9">
                  <c:v>1.9459101490553132</c:v>
                </c:pt>
                <c:pt idx="10">
                  <c:v>1.9459101490553132</c:v>
                </c:pt>
                <c:pt idx="11">
                  <c:v>1.9459101490553132</c:v>
                </c:pt>
                <c:pt idx="12">
                  <c:v>1.9459101490553132</c:v>
                </c:pt>
                <c:pt idx="13">
                  <c:v>1.9459101490553132</c:v>
                </c:pt>
                <c:pt idx="14">
                  <c:v>1.9459101490553132</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2.3025850929940459</c:v>
                </c:pt>
                <c:pt idx="27">
                  <c:v>2.3025850929940459</c:v>
                </c:pt>
                <c:pt idx="28">
                  <c:v>2.3025850929940459</c:v>
                </c:pt>
                <c:pt idx="29">
                  <c:v>2.3025850929940459</c:v>
                </c:pt>
                <c:pt idx="30">
                  <c:v>2.3025850929940459</c:v>
                </c:pt>
                <c:pt idx="31">
                  <c:v>2.3025850929940459</c:v>
                </c:pt>
                <c:pt idx="32">
                  <c:v>2.3025850929940459</c:v>
                </c:pt>
                <c:pt idx="33">
                  <c:v>2.3025850929940459</c:v>
                </c:pt>
                <c:pt idx="34">
                  <c:v>2.3025850929940459</c:v>
                </c:pt>
                <c:pt idx="35">
                  <c:v>2.3025850929940459</c:v>
                </c:pt>
                <c:pt idx="36">
                  <c:v>2.3025850929940459</c:v>
                </c:pt>
                <c:pt idx="37">
                  <c:v>2.3025850929940459</c:v>
                </c:pt>
                <c:pt idx="38">
                  <c:v>2.3025850929940459</c:v>
                </c:pt>
                <c:pt idx="39">
                  <c:v>2.3025850929940459</c:v>
                </c:pt>
                <c:pt idx="40">
                  <c:v>2.3025850929940459</c:v>
                </c:pt>
                <c:pt idx="41">
                  <c:v>2.3025850929940459</c:v>
                </c:pt>
                <c:pt idx="42">
                  <c:v>2.3025850929940459</c:v>
                </c:pt>
                <c:pt idx="43">
                  <c:v>2.3025850929940459</c:v>
                </c:pt>
                <c:pt idx="44">
                  <c:v>2.3025850929940459</c:v>
                </c:pt>
                <c:pt idx="45">
                  <c:v>2.3025850929940459</c:v>
                </c:pt>
                <c:pt idx="46">
                  <c:v>2.3025850929940459</c:v>
                </c:pt>
                <c:pt idx="47">
                  <c:v>2.3025850929940459</c:v>
                </c:pt>
                <c:pt idx="48">
                  <c:v>2.3025850929940459</c:v>
                </c:pt>
                <c:pt idx="49">
                  <c:v>2.3025850929940459</c:v>
                </c:pt>
                <c:pt idx="50">
                  <c:v>2.3025850929940459</c:v>
                </c:pt>
                <c:pt idx="51">
                  <c:v>2.3025850929940459</c:v>
                </c:pt>
                <c:pt idx="52">
                  <c:v>2.3025850929940459</c:v>
                </c:pt>
                <c:pt idx="53">
                  <c:v>2.3025850929940459</c:v>
                </c:pt>
                <c:pt idx="54">
                  <c:v>2.3025850929940459</c:v>
                </c:pt>
                <c:pt idx="55">
                  <c:v>2.3025850929940459</c:v>
                </c:pt>
                <c:pt idx="56">
                  <c:v>2.3025850929940459</c:v>
                </c:pt>
                <c:pt idx="57">
                  <c:v>2.3025850929940459</c:v>
                </c:pt>
                <c:pt idx="58">
                  <c:v>2.3025850929940459</c:v>
                </c:pt>
                <c:pt idx="59">
                  <c:v>2.3025850929940459</c:v>
                </c:pt>
                <c:pt idx="60">
                  <c:v>2.3025850929940459</c:v>
                </c:pt>
                <c:pt idx="61">
                  <c:v>2.3025850929940459</c:v>
                </c:pt>
                <c:pt idx="62">
                  <c:v>2.3025850929940459</c:v>
                </c:pt>
                <c:pt idx="63">
                  <c:v>2.3025850929940459</c:v>
                </c:pt>
                <c:pt idx="64">
                  <c:v>2.3025850929940459</c:v>
                </c:pt>
                <c:pt idx="65">
                  <c:v>2.3025850929940459</c:v>
                </c:pt>
                <c:pt idx="66">
                  <c:v>2.3025850929940459</c:v>
                </c:pt>
                <c:pt idx="67">
                  <c:v>2.3025850929940459</c:v>
                </c:pt>
                <c:pt idx="68">
                  <c:v>2.3025850929940459</c:v>
                </c:pt>
                <c:pt idx="69">
                  <c:v>2.3025850929940459</c:v>
                </c:pt>
                <c:pt idx="70">
                  <c:v>2.3025850929940459</c:v>
                </c:pt>
                <c:pt idx="71">
                  <c:v>2.3025850929940459</c:v>
                </c:pt>
                <c:pt idx="72">
                  <c:v>2.3025850929940459</c:v>
                </c:pt>
                <c:pt idx="73">
                  <c:v>2.3025850929940459</c:v>
                </c:pt>
                <c:pt idx="74">
                  <c:v>2.3025850929940459</c:v>
                </c:pt>
                <c:pt idx="75">
                  <c:v>2.3025850929940459</c:v>
                </c:pt>
                <c:pt idx="76">
                  <c:v>2.3025850929940459</c:v>
                </c:pt>
                <c:pt idx="77">
                  <c:v>2.3025850929940459</c:v>
                </c:pt>
                <c:pt idx="78">
                  <c:v>2.3025850929940459</c:v>
                </c:pt>
                <c:pt idx="79">
                  <c:v>2.3025850929940459</c:v>
                </c:pt>
                <c:pt idx="80">
                  <c:v>2.3025850929940459</c:v>
                </c:pt>
                <c:pt idx="81">
                  <c:v>2.3025850929940459</c:v>
                </c:pt>
                <c:pt idx="82">
                  <c:v>2.3025850929940459</c:v>
                </c:pt>
                <c:pt idx="83">
                  <c:v>2.3025850929940459</c:v>
                </c:pt>
                <c:pt idx="84">
                  <c:v>2.3025850929940459</c:v>
                </c:pt>
                <c:pt idx="85">
                  <c:v>2.3025850929940459</c:v>
                </c:pt>
                <c:pt idx="86">
                  <c:v>2.3025850929940459</c:v>
                </c:pt>
                <c:pt idx="87">
                  <c:v>2.3025850929940459</c:v>
                </c:pt>
                <c:pt idx="88">
                  <c:v>2.3025850929940459</c:v>
                </c:pt>
                <c:pt idx="89">
                  <c:v>2.3025850929940459</c:v>
                </c:pt>
                <c:pt idx="90">
                  <c:v>2.3025850929940459</c:v>
                </c:pt>
                <c:pt idx="91">
                  <c:v>2.3025850929940459</c:v>
                </c:pt>
                <c:pt idx="92">
                  <c:v>2.3025850929940459</c:v>
                </c:pt>
                <c:pt idx="93">
                  <c:v>2.3025850929940459</c:v>
                </c:pt>
                <c:pt idx="94">
                  <c:v>2.3025850929940459</c:v>
                </c:pt>
                <c:pt idx="95">
                  <c:v>2.3025850929940459</c:v>
                </c:pt>
                <c:pt idx="96">
                  <c:v>2.3025850929940459</c:v>
                </c:pt>
                <c:pt idx="97">
                  <c:v>2.3025850929940459</c:v>
                </c:pt>
                <c:pt idx="98">
                  <c:v>2.3025850929940459</c:v>
                </c:pt>
                <c:pt idx="99">
                  <c:v>2.3025850929940459</c:v>
                </c:pt>
                <c:pt idx="100">
                  <c:v>2.3025850929940459</c:v>
                </c:pt>
                <c:pt idx="101">
                  <c:v>2.5649493574615367</c:v>
                </c:pt>
                <c:pt idx="102">
                  <c:v>2.5649493574615367</c:v>
                </c:pt>
                <c:pt idx="103">
                  <c:v>2.5649493574615367</c:v>
                </c:pt>
                <c:pt idx="104">
                  <c:v>2.5649493574615367</c:v>
                </c:pt>
                <c:pt idx="105">
                  <c:v>2.5649493574615367</c:v>
                </c:pt>
                <c:pt idx="106">
                  <c:v>2.5649493574615367</c:v>
                </c:pt>
                <c:pt idx="107">
                  <c:v>2.5649493574615367</c:v>
                </c:pt>
                <c:pt idx="108">
                  <c:v>2.5649493574615367</c:v>
                </c:pt>
                <c:pt idx="109">
                  <c:v>2.5649493574615367</c:v>
                </c:pt>
                <c:pt idx="110">
                  <c:v>2.7080502011022101</c:v>
                </c:pt>
                <c:pt idx="111">
                  <c:v>2.8332133440562162</c:v>
                </c:pt>
                <c:pt idx="112">
                  <c:v>2.8332133440562162</c:v>
                </c:pt>
                <c:pt idx="113">
                  <c:v>2.8332133440562162</c:v>
                </c:pt>
                <c:pt idx="114">
                  <c:v>2.8332133440562162</c:v>
                </c:pt>
                <c:pt idx="115">
                  <c:v>2.8332133440562162</c:v>
                </c:pt>
                <c:pt idx="116">
                  <c:v>2.8332133440562162</c:v>
                </c:pt>
                <c:pt idx="117">
                  <c:v>2.8332133440562162</c:v>
                </c:pt>
                <c:pt idx="118">
                  <c:v>2.8332133440562162</c:v>
                </c:pt>
                <c:pt idx="119">
                  <c:v>2.8332133440562162</c:v>
                </c:pt>
                <c:pt idx="120">
                  <c:v>2.8332133440562162</c:v>
                </c:pt>
                <c:pt idx="121">
                  <c:v>2.8332133440562162</c:v>
                </c:pt>
                <c:pt idx="122">
                  <c:v>2.8332133440562162</c:v>
                </c:pt>
                <c:pt idx="123">
                  <c:v>2.8332133440562162</c:v>
                </c:pt>
                <c:pt idx="124">
                  <c:v>2.8332133440562162</c:v>
                </c:pt>
                <c:pt idx="125">
                  <c:v>2.8332133440562162</c:v>
                </c:pt>
                <c:pt idx="126">
                  <c:v>2.8332133440562162</c:v>
                </c:pt>
                <c:pt idx="127">
                  <c:v>2.8332133440562162</c:v>
                </c:pt>
                <c:pt idx="128">
                  <c:v>2.8332133440562162</c:v>
                </c:pt>
                <c:pt idx="129">
                  <c:v>2.8332133440562162</c:v>
                </c:pt>
                <c:pt idx="130">
                  <c:v>2.8332133440562162</c:v>
                </c:pt>
                <c:pt idx="131">
                  <c:v>2.9957322735539909</c:v>
                </c:pt>
                <c:pt idx="132">
                  <c:v>2.9957322735539909</c:v>
                </c:pt>
                <c:pt idx="133">
                  <c:v>2.9957322735539909</c:v>
                </c:pt>
                <c:pt idx="134">
                  <c:v>2.9957322735539909</c:v>
                </c:pt>
                <c:pt idx="135">
                  <c:v>2.9957322735539909</c:v>
                </c:pt>
                <c:pt idx="136">
                  <c:v>2.9957322735539909</c:v>
                </c:pt>
                <c:pt idx="137">
                  <c:v>2.9957322735539909</c:v>
                </c:pt>
                <c:pt idx="138">
                  <c:v>2.9957322735539909</c:v>
                </c:pt>
                <c:pt idx="139">
                  <c:v>2.9957322735539909</c:v>
                </c:pt>
                <c:pt idx="140">
                  <c:v>2.9957322735539909</c:v>
                </c:pt>
                <c:pt idx="141">
                  <c:v>2.9957322735539909</c:v>
                </c:pt>
                <c:pt idx="142">
                  <c:v>2.9957322735539909</c:v>
                </c:pt>
                <c:pt idx="143">
                  <c:v>2.9957322735539909</c:v>
                </c:pt>
                <c:pt idx="144">
                  <c:v>2.9957322735539909</c:v>
                </c:pt>
                <c:pt idx="145">
                  <c:v>2.9957322735539909</c:v>
                </c:pt>
                <c:pt idx="146">
                  <c:v>2.9957322735539909</c:v>
                </c:pt>
                <c:pt idx="147">
                  <c:v>2.9957322735539909</c:v>
                </c:pt>
                <c:pt idx="148">
                  <c:v>2.9957322735539909</c:v>
                </c:pt>
                <c:pt idx="149">
                  <c:v>2.9957322735539909</c:v>
                </c:pt>
                <c:pt idx="150">
                  <c:v>2.9957322735539909</c:v>
                </c:pt>
                <c:pt idx="151">
                  <c:v>2.9957322735539909</c:v>
                </c:pt>
                <c:pt idx="152">
                  <c:v>2.9957322735539909</c:v>
                </c:pt>
                <c:pt idx="153">
                  <c:v>2.9957322735539909</c:v>
                </c:pt>
                <c:pt idx="154">
                  <c:v>2.9957322735539909</c:v>
                </c:pt>
                <c:pt idx="155">
                  <c:v>2.9957322735539909</c:v>
                </c:pt>
                <c:pt idx="156">
                  <c:v>2.9957322735539909</c:v>
                </c:pt>
                <c:pt idx="157">
                  <c:v>2.9957322735539909</c:v>
                </c:pt>
                <c:pt idx="158">
                  <c:v>2.9957322735539909</c:v>
                </c:pt>
                <c:pt idx="159">
                  <c:v>2.9957322735539909</c:v>
                </c:pt>
                <c:pt idx="160">
                  <c:v>2.9957322735539909</c:v>
                </c:pt>
                <c:pt idx="161">
                  <c:v>2.9957322735539909</c:v>
                </c:pt>
                <c:pt idx="162">
                  <c:v>2.9957322735539909</c:v>
                </c:pt>
                <c:pt idx="163">
                  <c:v>2.9957322735539909</c:v>
                </c:pt>
                <c:pt idx="164">
                  <c:v>3.1354942159291497</c:v>
                </c:pt>
                <c:pt idx="165">
                  <c:v>3.1354942159291497</c:v>
                </c:pt>
                <c:pt idx="166">
                  <c:v>3.1354942159291497</c:v>
                </c:pt>
                <c:pt idx="167">
                  <c:v>3.2188758248682006</c:v>
                </c:pt>
                <c:pt idx="168">
                  <c:v>3.2188758248682006</c:v>
                </c:pt>
                <c:pt idx="169">
                  <c:v>3.2188758248682006</c:v>
                </c:pt>
                <c:pt idx="170">
                  <c:v>3.2188758248682006</c:v>
                </c:pt>
                <c:pt idx="171">
                  <c:v>3.2188758248682006</c:v>
                </c:pt>
                <c:pt idx="172">
                  <c:v>3.2188758248682006</c:v>
                </c:pt>
                <c:pt idx="173">
                  <c:v>3.2188758248682006</c:v>
                </c:pt>
                <c:pt idx="174">
                  <c:v>3.2188758248682006</c:v>
                </c:pt>
                <c:pt idx="175">
                  <c:v>3.2188758248682006</c:v>
                </c:pt>
                <c:pt idx="176">
                  <c:v>3.2188758248682006</c:v>
                </c:pt>
                <c:pt idx="177">
                  <c:v>3.2188758248682006</c:v>
                </c:pt>
                <c:pt idx="178">
                  <c:v>3.2188758248682006</c:v>
                </c:pt>
                <c:pt idx="179">
                  <c:v>3.2188758248682006</c:v>
                </c:pt>
                <c:pt idx="180">
                  <c:v>3.2188758248682006</c:v>
                </c:pt>
                <c:pt idx="181">
                  <c:v>3.2188758248682006</c:v>
                </c:pt>
                <c:pt idx="182">
                  <c:v>3.2188758248682006</c:v>
                </c:pt>
                <c:pt idx="183">
                  <c:v>3.2188758248682006</c:v>
                </c:pt>
                <c:pt idx="184">
                  <c:v>3.2188758248682006</c:v>
                </c:pt>
                <c:pt idx="185">
                  <c:v>3.2188758248682006</c:v>
                </c:pt>
                <c:pt idx="186">
                  <c:v>3.2188758248682006</c:v>
                </c:pt>
                <c:pt idx="187">
                  <c:v>3.2188758248682006</c:v>
                </c:pt>
                <c:pt idx="188">
                  <c:v>3.2188758248682006</c:v>
                </c:pt>
                <c:pt idx="189">
                  <c:v>3.2188758248682006</c:v>
                </c:pt>
                <c:pt idx="190">
                  <c:v>3.2188758248682006</c:v>
                </c:pt>
                <c:pt idx="191">
                  <c:v>3.2188758248682006</c:v>
                </c:pt>
                <c:pt idx="192">
                  <c:v>3.2188758248682006</c:v>
                </c:pt>
                <c:pt idx="193">
                  <c:v>3.2188758248682006</c:v>
                </c:pt>
                <c:pt idx="194">
                  <c:v>3.2188758248682006</c:v>
                </c:pt>
                <c:pt idx="195">
                  <c:v>3.2188758248682006</c:v>
                </c:pt>
                <c:pt idx="196">
                  <c:v>3.2188758248682006</c:v>
                </c:pt>
                <c:pt idx="197">
                  <c:v>3.2188758248682006</c:v>
                </c:pt>
                <c:pt idx="198">
                  <c:v>3.2188758248682006</c:v>
                </c:pt>
                <c:pt idx="199">
                  <c:v>3.2188758248682006</c:v>
                </c:pt>
                <c:pt idx="200">
                  <c:v>3.2188758248682006</c:v>
                </c:pt>
                <c:pt idx="201">
                  <c:v>3.2188758248682006</c:v>
                </c:pt>
                <c:pt idx="202">
                  <c:v>3.2188758248682006</c:v>
                </c:pt>
                <c:pt idx="203">
                  <c:v>3.2188758248682006</c:v>
                </c:pt>
                <c:pt idx="204">
                  <c:v>3.2188758248682006</c:v>
                </c:pt>
                <c:pt idx="205">
                  <c:v>3.2188758248682006</c:v>
                </c:pt>
                <c:pt idx="206">
                  <c:v>3.2188758248682006</c:v>
                </c:pt>
                <c:pt idx="207">
                  <c:v>3.2188758248682006</c:v>
                </c:pt>
                <c:pt idx="208">
                  <c:v>3.2188758248682006</c:v>
                </c:pt>
                <c:pt idx="209">
                  <c:v>3.2188758248682006</c:v>
                </c:pt>
                <c:pt idx="210">
                  <c:v>3.2188758248682006</c:v>
                </c:pt>
                <c:pt idx="211">
                  <c:v>3.2188758248682006</c:v>
                </c:pt>
                <c:pt idx="212">
                  <c:v>3.2188758248682006</c:v>
                </c:pt>
                <c:pt idx="213">
                  <c:v>3.2188758248682006</c:v>
                </c:pt>
                <c:pt idx="214">
                  <c:v>3.2188758248682006</c:v>
                </c:pt>
                <c:pt idx="215">
                  <c:v>3.2188758248682006</c:v>
                </c:pt>
                <c:pt idx="216">
                  <c:v>3.2188758248682006</c:v>
                </c:pt>
                <c:pt idx="217">
                  <c:v>3.2188758248682006</c:v>
                </c:pt>
                <c:pt idx="218">
                  <c:v>3.2188758248682006</c:v>
                </c:pt>
                <c:pt idx="219">
                  <c:v>3.2188758248682006</c:v>
                </c:pt>
                <c:pt idx="220">
                  <c:v>3.2188758248682006</c:v>
                </c:pt>
                <c:pt idx="221">
                  <c:v>3.2188758248682006</c:v>
                </c:pt>
                <c:pt idx="222">
                  <c:v>3.2188758248682006</c:v>
                </c:pt>
                <c:pt idx="223">
                  <c:v>3.2188758248682006</c:v>
                </c:pt>
                <c:pt idx="224">
                  <c:v>3.2188758248682006</c:v>
                </c:pt>
                <c:pt idx="225">
                  <c:v>3.2188758248682006</c:v>
                </c:pt>
                <c:pt idx="226">
                  <c:v>3.2188758248682006</c:v>
                </c:pt>
                <c:pt idx="227">
                  <c:v>3.2188758248682006</c:v>
                </c:pt>
                <c:pt idx="228">
                  <c:v>3.2188758248682006</c:v>
                </c:pt>
                <c:pt idx="229">
                  <c:v>3.2188758248682006</c:v>
                </c:pt>
                <c:pt idx="230">
                  <c:v>3.2188758248682006</c:v>
                </c:pt>
                <c:pt idx="231">
                  <c:v>3.2188758248682006</c:v>
                </c:pt>
                <c:pt idx="232">
                  <c:v>3.2188758248682006</c:v>
                </c:pt>
                <c:pt idx="233">
                  <c:v>3.2188758248682006</c:v>
                </c:pt>
                <c:pt idx="234">
                  <c:v>3.2188758248682006</c:v>
                </c:pt>
                <c:pt idx="235">
                  <c:v>3.2188758248682006</c:v>
                </c:pt>
                <c:pt idx="236">
                  <c:v>3.2188758248682006</c:v>
                </c:pt>
                <c:pt idx="237">
                  <c:v>3.2188758248682006</c:v>
                </c:pt>
                <c:pt idx="238">
                  <c:v>3.2188758248682006</c:v>
                </c:pt>
                <c:pt idx="239">
                  <c:v>3.2188758248682006</c:v>
                </c:pt>
                <c:pt idx="240">
                  <c:v>3.2188758248682006</c:v>
                </c:pt>
                <c:pt idx="241">
                  <c:v>3.2188758248682006</c:v>
                </c:pt>
                <c:pt idx="242">
                  <c:v>3.2188758248682006</c:v>
                </c:pt>
                <c:pt idx="243">
                  <c:v>3.2188758248682006</c:v>
                </c:pt>
                <c:pt idx="244">
                  <c:v>3.2188758248682006</c:v>
                </c:pt>
                <c:pt idx="245">
                  <c:v>3.2188758248682006</c:v>
                </c:pt>
                <c:pt idx="246">
                  <c:v>3.2188758248682006</c:v>
                </c:pt>
                <c:pt idx="247">
                  <c:v>3.2188758248682006</c:v>
                </c:pt>
                <c:pt idx="248">
                  <c:v>3.2188758248682006</c:v>
                </c:pt>
                <c:pt idx="249">
                  <c:v>3.2188758248682006</c:v>
                </c:pt>
                <c:pt idx="250">
                  <c:v>3.2188758248682006</c:v>
                </c:pt>
                <c:pt idx="251">
                  <c:v>3.2188758248682006</c:v>
                </c:pt>
                <c:pt idx="252">
                  <c:v>3.2188758248682006</c:v>
                </c:pt>
                <c:pt idx="253">
                  <c:v>3.2188758248682006</c:v>
                </c:pt>
                <c:pt idx="254">
                  <c:v>3.2188758248682006</c:v>
                </c:pt>
                <c:pt idx="255">
                  <c:v>3.2188758248682006</c:v>
                </c:pt>
                <c:pt idx="256">
                  <c:v>3.2188758248682006</c:v>
                </c:pt>
                <c:pt idx="257">
                  <c:v>3.2188758248682006</c:v>
                </c:pt>
                <c:pt idx="258">
                  <c:v>3.2188758248682006</c:v>
                </c:pt>
                <c:pt idx="259">
                  <c:v>3.2188758248682006</c:v>
                </c:pt>
                <c:pt idx="260">
                  <c:v>3.2188758248682006</c:v>
                </c:pt>
                <c:pt idx="261">
                  <c:v>3.2188758248682006</c:v>
                </c:pt>
                <c:pt idx="262">
                  <c:v>3.2188758248682006</c:v>
                </c:pt>
                <c:pt idx="263">
                  <c:v>3.2188758248682006</c:v>
                </c:pt>
                <c:pt idx="264">
                  <c:v>3.2188758248682006</c:v>
                </c:pt>
                <c:pt idx="265">
                  <c:v>3.2188758248682006</c:v>
                </c:pt>
                <c:pt idx="266">
                  <c:v>3.2188758248682006</c:v>
                </c:pt>
                <c:pt idx="267">
                  <c:v>3.2188758248682006</c:v>
                </c:pt>
                <c:pt idx="268">
                  <c:v>3.2188758248682006</c:v>
                </c:pt>
                <c:pt idx="269">
                  <c:v>3.2188758248682006</c:v>
                </c:pt>
                <c:pt idx="270">
                  <c:v>3.2188758248682006</c:v>
                </c:pt>
                <c:pt idx="271">
                  <c:v>3.2188758248682006</c:v>
                </c:pt>
                <c:pt idx="272">
                  <c:v>3.2188758248682006</c:v>
                </c:pt>
                <c:pt idx="273">
                  <c:v>3.2188758248682006</c:v>
                </c:pt>
                <c:pt idx="274">
                  <c:v>3.2188758248682006</c:v>
                </c:pt>
                <c:pt idx="275">
                  <c:v>3.2188758248682006</c:v>
                </c:pt>
                <c:pt idx="276">
                  <c:v>3.2188758248682006</c:v>
                </c:pt>
                <c:pt idx="277">
                  <c:v>3.2188758248682006</c:v>
                </c:pt>
                <c:pt idx="278">
                  <c:v>3.2188758248682006</c:v>
                </c:pt>
                <c:pt idx="279">
                  <c:v>3.2188758248682006</c:v>
                </c:pt>
                <c:pt idx="280">
                  <c:v>3.2188758248682006</c:v>
                </c:pt>
                <c:pt idx="281">
                  <c:v>3.2188758248682006</c:v>
                </c:pt>
                <c:pt idx="282">
                  <c:v>3.2188758248682006</c:v>
                </c:pt>
                <c:pt idx="283">
                  <c:v>3.2188758248682006</c:v>
                </c:pt>
                <c:pt idx="284">
                  <c:v>3.2188758248682006</c:v>
                </c:pt>
                <c:pt idx="285">
                  <c:v>3.2188758248682006</c:v>
                </c:pt>
                <c:pt idx="286">
                  <c:v>3.2188758248682006</c:v>
                </c:pt>
                <c:pt idx="287">
                  <c:v>3.2188758248682006</c:v>
                </c:pt>
                <c:pt idx="288">
                  <c:v>3.2188758248682006</c:v>
                </c:pt>
                <c:pt idx="289">
                  <c:v>3.2188758248682006</c:v>
                </c:pt>
                <c:pt idx="290">
                  <c:v>3.2188758248682006</c:v>
                </c:pt>
                <c:pt idx="291">
                  <c:v>3.2188758248682006</c:v>
                </c:pt>
                <c:pt idx="292">
                  <c:v>3.2188758248682006</c:v>
                </c:pt>
                <c:pt idx="293">
                  <c:v>3.2188758248682006</c:v>
                </c:pt>
                <c:pt idx="294">
                  <c:v>3.2188758248682006</c:v>
                </c:pt>
                <c:pt idx="295">
                  <c:v>3.2188758248682006</c:v>
                </c:pt>
                <c:pt idx="296">
                  <c:v>3.2188758248682006</c:v>
                </c:pt>
                <c:pt idx="297">
                  <c:v>3.2188758248682006</c:v>
                </c:pt>
                <c:pt idx="298">
                  <c:v>3.2188758248682006</c:v>
                </c:pt>
                <c:pt idx="299">
                  <c:v>3.2188758248682006</c:v>
                </c:pt>
                <c:pt idx="300">
                  <c:v>3.2188758248682006</c:v>
                </c:pt>
                <c:pt idx="301">
                  <c:v>3.2188758248682006</c:v>
                </c:pt>
                <c:pt idx="302">
                  <c:v>3.2188758248682006</c:v>
                </c:pt>
                <c:pt idx="303">
                  <c:v>3.2188758248682006</c:v>
                </c:pt>
                <c:pt idx="304">
                  <c:v>3.2188758248682006</c:v>
                </c:pt>
                <c:pt idx="305">
                  <c:v>3.2188758248682006</c:v>
                </c:pt>
                <c:pt idx="306">
                  <c:v>3.2188758248682006</c:v>
                </c:pt>
                <c:pt idx="307">
                  <c:v>3.2188758248682006</c:v>
                </c:pt>
                <c:pt idx="308">
                  <c:v>3.2188758248682006</c:v>
                </c:pt>
                <c:pt idx="309">
                  <c:v>3.2188758248682006</c:v>
                </c:pt>
                <c:pt idx="310">
                  <c:v>3.2958368660043291</c:v>
                </c:pt>
                <c:pt idx="311">
                  <c:v>3.2958368660043291</c:v>
                </c:pt>
                <c:pt idx="312">
                  <c:v>3.4011973816621555</c:v>
                </c:pt>
                <c:pt idx="313">
                  <c:v>3.4011973816621555</c:v>
                </c:pt>
                <c:pt idx="314">
                  <c:v>3.4011973816621555</c:v>
                </c:pt>
                <c:pt idx="315">
                  <c:v>3.4011973816621555</c:v>
                </c:pt>
                <c:pt idx="316">
                  <c:v>3.4011973816621555</c:v>
                </c:pt>
                <c:pt idx="317">
                  <c:v>3.4011973816621555</c:v>
                </c:pt>
                <c:pt idx="318">
                  <c:v>3.4011973816621555</c:v>
                </c:pt>
                <c:pt idx="319">
                  <c:v>3.4011973816621555</c:v>
                </c:pt>
                <c:pt idx="320">
                  <c:v>3.4011973816621555</c:v>
                </c:pt>
                <c:pt idx="321">
                  <c:v>3.4011973816621555</c:v>
                </c:pt>
                <c:pt idx="322">
                  <c:v>3.4011973816621555</c:v>
                </c:pt>
                <c:pt idx="323">
                  <c:v>3.4011973816621555</c:v>
                </c:pt>
                <c:pt idx="324">
                  <c:v>3.4011973816621555</c:v>
                </c:pt>
                <c:pt idx="325">
                  <c:v>3.4011973816621555</c:v>
                </c:pt>
                <c:pt idx="326">
                  <c:v>3.4011973816621555</c:v>
                </c:pt>
                <c:pt idx="327">
                  <c:v>3.4011973816621555</c:v>
                </c:pt>
                <c:pt idx="328">
                  <c:v>3.4011973816621555</c:v>
                </c:pt>
                <c:pt idx="329">
                  <c:v>3.4011973816621555</c:v>
                </c:pt>
                <c:pt idx="330">
                  <c:v>3.4011973816621555</c:v>
                </c:pt>
                <c:pt idx="331">
                  <c:v>3.4011973816621555</c:v>
                </c:pt>
                <c:pt idx="332">
                  <c:v>3.4011973816621555</c:v>
                </c:pt>
                <c:pt idx="333">
                  <c:v>3.4011973816621555</c:v>
                </c:pt>
                <c:pt idx="334">
                  <c:v>3.4011973816621555</c:v>
                </c:pt>
                <c:pt idx="335">
                  <c:v>3.4011973816621555</c:v>
                </c:pt>
                <c:pt idx="336">
                  <c:v>3.4011973816621555</c:v>
                </c:pt>
                <c:pt idx="337">
                  <c:v>3.4011973816621555</c:v>
                </c:pt>
                <c:pt idx="338">
                  <c:v>3.4011973816621555</c:v>
                </c:pt>
                <c:pt idx="339">
                  <c:v>3.4011973816621555</c:v>
                </c:pt>
                <c:pt idx="340">
                  <c:v>3.4011973816621555</c:v>
                </c:pt>
                <c:pt idx="341">
                  <c:v>3.4011973816621555</c:v>
                </c:pt>
                <c:pt idx="342">
                  <c:v>3.4011973816621555</c:v>
                </c:pt>
                <c:pt idx="343">
                  <c:v>3.4011973816621555</c:v>
                </c:pt>
                <c:pt idx="344">
                  <c:v>3.4011973816621555</c:v>
                </c:pt>
                <c:pt idx="345">
                  <c:v>3.4011973816621555</c:v>
                </c:pt>
                <c:pt idx="346">
                  <c:v>3.4011973816621555</c:v>
                </c:pt>
                <c:pt idx="347">
                  <c:v>3.4011973816621555</c:v>
                </c:pt>
                <c:pt idx="348">
                  <c:v>3.4011973816621555</c:v>
                </c:pt>
                <c:pt idx="349">
                  <c:v>3.4011973816621555</c:v>
                </c:pt>
                <c:pt idx="350">
                  <c:v>3.4011973816621555</c:v>
                </c:pt>
                <c:pt idx="351">
                  <c:v>3.4011973816621555</c:v>
                </c:pt>
                <c:pt idx="352">
                  <c:v>3.4011973816621555</c:v>
                </c:pt>
                <c:pt idx="353">
                  <c:v>3.4965075614664802</c:v>
                </c:pt>
                <c:pt idx="354">
                  <c:v>3.4965075614664802</c:v>
                </c:pt>
                <c:pt idx="355">
                  <c:v>3.4965075614664802</c:v>
                </c:pt>
                <c:pt idx="356">
                  <c:v>3.4965075614664802</c:v>
                </c:pt>
                <c:pt idx="357">
                  <c:v>3.4965075614664802</c:v>
                </c:pt>
                <c:pt idx="358">
                  <c:v>3.4965075614664802</c:v>
                </c:pt>
                <c:pt idx="359">
                  <c:v>3.4965075614664802</c:v>
                </c:pt>
                <c:pt idx="360">
                  <c:v>3.4965075614664802</c:v>
                </c:pt>
                <c:pt idx="361">
                  <c:v>3.4965075614664802</c:v>
                </c:pt>
                <c:pt idx="362">
                  <c:v>3.4965075614664802</c:v>
                </c:pt>
                <c:pt idx="363">
                  <c:v>3.4965075614664802</c:v>
                </c:pt>
                <c:pt idx="364">
                  <c:v>3.4965075614664802</c:v>
                </c:pt>
                <c:pt idx="365">
                  <c:v>3.4965075614664802</c:v>
                </c:pt>
                <c:pt idx="366">
                  <c:v>3.4965075614664802</c:v>
                </c:pt>
                <c:pt idx="367">
                  <c:v>3.4965075614664802</c:v>
                </c:pt>
                <c:pt idx="368">
                  <c:v>3.4965075614664802</c:v>
                </c:pt>
                <c:pt idx="369">
                  <c:v>3.4965075614664802</c:v>
                </c:pt>
                <c:pt idx="370">
                  <c:v>3.4965075614664802</c:v>
                </c:pt>
                <c:pt idx="371">
                  <c:v>3.4965075614664802</c:v>
                </c:pt>
                <c:pt idx="372">
                  <c:v>3.4965075614664802</c:v>
                </c:pt>
                <c:pt idx="373">
                  <c:v>3.4965075614664802</c:v>
                </c:pt>
                <c:pt idx="374">
                  <c:v>3.4965075614664802</c:v>
                </c:pt>
                <c:pt idx="375">
                  <c:v>3.4965075614664802</c:v>
                </c:pt>
                <c:pt idx="376">
                  <c:v>3.4965075614664802</c:v>
                </c:pt>
                <c:pt idx="377">
                  <c:v>3.4965075614664802</c:v>
                </c:pt>
                <c:pt idx="378">
                  <c:v>3.4965075614664802</c:v>
                </c:pt>
                <c:pt idx="379">
                  <c:v>3.4965075614664802</c:v>
                </c:pt>
                <c:pt idx="380">
                  <c:v>3.4965075614664802</c:v>
                </c:pt>
                <c:pt idx="381">
                  <c:v>3.4965075614664802</c:v>
                </c:pt>
                <c:pt idx="382">
                  <c:v>3.4965075614664802</c:v>
                </c:pt>
                <c:pt idx="383">
                  <c:v>3.4965075614664802</c:v>
                </c:pt>
                <c:pt idx="384">
                  <c:v>3.4965075614664802</c:v>
                </c:pt>
                <c:pt idx="385">
                  <c:v>3.4965075614664802</c:v>
                </c:pt>
                <c:pt idx="386">
                  <c:v>3.4965075614664802</c:v>
                </c:pt>
                <c:pt idx="387">
                  <c:v>3.4965075614664802</c:v>
                </c:pt>
                <c:pt idx="388">
                  <c:v>3.4965075614664802</c:v>
                </c:pt>
                <c:pt idx="389">
                  <c:v>3.4965075614664802</c:v>
                </c:pt>
                <c:pt idx="390">
                  <c:v>3.6888794541139363</c:v>
                </c:pt>
                <c:pt idx="391">
                  <c:v>3.6888794541139363</c:v>
                </c:pt>
                <c:pt idx="392">
                  <c:v>3.6888794541139363</c:v>
                </c:pt>
                <c:pt idx="393">
                  <c:v>3.6888794541139363</c:v>
                </c:pt>
                <c:pt idx="394">
                  <c:v>3.6888794541139363</c:v>
                </c:pt>
                <c:pt idx="395">
                  <c:v>3.6888794541139363</c:v>
                </c:pt>
                <c:pt idx="396">
                  <c:v>3.6888794541139363</c:v>
                </c:pt>
                <c:pt idx="397">
                  <c:v>3.6888794541139363</c:v>
                </c:pt>
                <c:pt idx="398">
                  <c:v>3.6888794541139363</c:v>
                </c:pt>
                <c:pt idx="399">
                  <c:v>3.6888794541139363</c:v>
                </c:pt>
                <c:pt idx="400">
                  <c:v>3.6888794541139363</c:v>
                </c:pt>
                <c:pt idx="401">
                  <c:v>3.6888794541139363</c:v>
                </c:pt>
                <c:pt idx="402">
                  <c:v>3.6888794541139363</c:v>
                </c:pt>
                <c:pt idx="403">
                  <c:v>3.6888794541139363</c:v>
                </c:pt>
                <c:pt idx="404">
                  <c:v>3.6888794541139363</c:v>
                </c:pt>
                <c:pt idx="405">
                  <c:v>3.6888794541139363</c:v>
                </c:pt>
                <c:pt idx="406">
                  <c:v>3.6888794541139363</c:v>
                </c:pt>
                <c:pt idx="407">
                  <c:v>3.6888794541139363</c:v>
                </c:pt>
                <c:pt idx="408">
                  <c:v>3.6888794541139363</c:v>
                </c:pt>
                <c:pt idx="409">
                  <c:v>3.6888794541139363</c:v>
                </c:pt>
                <c:pt idx="410">
                  <c:v>3.6888794541139363</c:v>
                </c:pt>
                <c:pt idx="411">
                  <c:v>3.6888794541139363</c:v>
                </c:pt>
                <c:pt idx="412">
                  <c:v>3.6888794541139363</c:v>
                </c:pt>
                <c:pt idx="413">
                  <c:v>3.6888794541139363</c:v>
                </c:pt>
                <c:pt idx="414">
                  <c:v>3.912023005428146</c:v>
                </c:pt>
                <c:pt idx="415">
                  <c:v>3.912023005428146</c:v>
                </c:pt>
                <c:pt idx="416">
                  <c:v>3.912023005428146</c:v>
                </c:pt>
                <c:pt idx="417">
                  <c:v>3.912023005428146</c:v>
                </c:pt>
                <c:pt idx="418">
                  <c:v>3.912023005428146</c:v>
                </c:pt>
                <c:pt idx="419">
                  <c:v>3.912023005428146</c:v>
                </c:pt>
                <c:pt idx="420">
                  <c:v>3.912023005428146</c:v>
                </c:pt>
                <c:pt idx="421">
                  <c:v>3.912023005428146</c:v>
                </c:pt>
                <c:pt idx="422">
                  <c:v>3.912023005428146</c:v>
                </c:pt>
                <c:pt idx="423">
                  <c:v>3.912023005428146</c:v>
                </c:pt>
                <c:pt idx="424">
                  <c:v>3.912023005428146</c:v>
                </c:pt>
                <c:pt idx="425">
                  <c:v>3.912023005428146</c:v>
                </c:pt>
                <c:pt idx="426">
                  <c:v>3.912023005428146</c:v>
                </c:pt>
                <c:pt idx="427">
                  <c:v>3.912023005428146</c:v>
                </c:pt>
                <c:pt idx="428">
                  <c:v>3.912023005428146</c:v>
                </c:pt>
                <c:pt idx="429">
                  <c:v>3.912023005428146</c:v>
                </c:pt>
                <c:pt idx="430">
                  <c:v>3.912023005428146</c:v>
                </c:pt>
                <c:pt idx="431">
                  <c:v>3.912023005428146</c:v>
                </c:pt>
                <c:pt idx="432">
                  <c:v>3.912023005428146</c:v>
                </c:pt>
                <c:pt idx="433">
                  <c:v>3.912023005428146</c:v>
                </c:pt>
                <c:pt idx="434">
                  <c:v>3.912023005428146</c:v>
                </c:pt>
                <c:pt idx="435">
                  <c:v>3.912023005428146</c:v>
                </c:pt>
                <c:pt idx="436">
                  <c:v>3.912023005428146</c:v>
                </c:pt>
                <c:pt idx="437">
                  <c:v>3.912023005428146</c:v>
                </c:pt>
                <c:pt idx="438">
                  <c:v>3.912023005428146</c:v>
                </c:pt>
                <c:pt idx="439">
                  <c:v>3.912023005428146</c:v>
                </c:pt>
                <c:pt idx="440">
                  <c:v>3.912023005428146</c:v>
                </c:pt>
                <c:pt idx="441">
                  <c:v>3.912023005428146</c:v>
                </c:pt>
                <c:pt idx="442">
                  <c:v>3.912023005428146</c:v>
                </c:pt>
                <c:pt idx="443">
                  <c:v>3.912023005428146</c:v>
                </c:pt>
                <c:pt idx="444">
                  <c:v>3.912023005428146</c:v>
                </c:pt>
                <c:pt idx="445">
                  <c:v>3.912023005428146</c:v>
                </c:pt>
                <c:pt idx="446">
                  <c:v>3.912023005428146</c:v>
                </c:pt>
                <c:pt idx="447">
                  <c:v>3.912023005428146</c:v>
                </c:pt>
                <c:pt idx="448">
                  <c:v>3.912023005428146</c:v>
                </c:pt>
                <c:pt idx="449">
                  <c:v>3.912023005428146</c:v>
                </c:pt>
                <c:pt idx="450">
                  <c:v>3.912023005428146</c:v>
                </c:pt>
                <c:pt idx="451">
                  <c:v>3.912023005428146</c:v>
                </c:pt>
                <c:pt idx="452">
                  <c:v>3.912023005428146</c:v>
                </c:pt>
                <c:pt idx="453">
                  <c:v>3.912023005428146</c:v>
                </c:pt>
                <c:pt idx="454">
                  <c:v>3.912023005428146</c:v>
                </c:pt>
                <c:pt idx="455">
                  <c:v>3.912023005428146</c:v>
                </c:pt>
                <c:pt idx="456">
                  <c:v>3.912023005428146</c:v>
                </c:pt>
                <c:pt idx="457">
                  <c:v>3.912023005428146</c:v>
                </c:pt>
                <c:pt idx="458">
                  <c:v>3.912023005428146</c:v>
                </c:pt>
                <c:pt idx="459">
                  <c:v>3.912023005428146</c:v>
                </c:pt>
                <c:pt idx="460">
                  <c:v>3.912023005428146</c:v>
                </c:pt>
                <c:pt idx="461">
                  <c:v>3.912023005428146</c:v>
                </c:pt>
                <c:pt idx="462">
                  <c:v>3.912023005428146</c:v>
                </c:pt>
                <c:pt idx="463">
                  <c:v>3.912023005428146</c:v>
                </c:pt>
                <c:pt idx="464">
                  <c:v>3.912023005428146</c:v>
                </c:pt>
                <c:pt idx="465">
                  <c:v>3.912023005428146</c:v>
                </c:pt>
                <c:pt idx="466">
                  <c:v>3.912023005428146</c:v>
                </c:pt>
                <c:pt idx="467">
                  <c:v>3.912023005428146</c:v>
                </c:pt>
                <c:pt idx="468">
                  <c:v>3.912023005428146</c:v>
                </c:pt>
                <c:pt idx="469">
                  <c:v>3.912023005428146</c:v>
                </c:pt>
                <c:pt idx="470">
                  <c:v>3.912023005428146</c:v>
                </c:pt>
                <c:pt idx="471">
                  <c:v>3.912023005428146</c:v>
                </c:pt>
                <c:pt idx="472">
                  <c:v>3.912023005428146</c:v>
                </c:pt>
                <c:pt idx="473">
                  <c:v>3.912023005428146</c:v>
                </c:pt>
                <c:pt idx="474">
                  <c:v>3.912023005428146</c:v>
                </c:pt>
                <c:pt idx="475">
                  <c:v>3.912023005428146</c:v>
                </c:pt>
                <c:pt idx="476">
                  <c:v>3.912023005428146</c:v>
                </c:pt>
                <c:pt idx="477">
                  <c:v>3.912023005428146</c:v>
                </c:pt>
                <c:pt idx="478">
                  <c:v>3.912023005428146</c:v>
                </c:pt>
                <c:pt idx="479">
                  <c:v>3.912023005428146</c:v>
                </c:pt>
                <c:pt idx="480">
                  <c:v>3.912023005428146</c:v>
                </c:pt>
                <c:pt idx="481">
                  <c:v>3.912023005428146</c:v>
                </c:pt>
                <c:pt idx="482">
                  <c:v>3.912023005428146</c:v>
                </c:pt>
                <c:pt idx="483">
                  <c:v>3.912023005428146</c:v>
                </c:pt>
                <c:pt idx="484">
                  <c:v>3.912023005428146</c:v>
                </c:pt>
                <c:pt idx="485">
                  <c:v>3.912023005428146</c:v>
                </c:pt>
                <c:pt idx="486">
                  <c:v>3.912023005428146</c:v>
                </c:pt>
                <c:pt idx="487">
                  <c:v>3.912023005428146</c:v>
                </c:pt>
                <c:pt idx="488">
                  <c:v>3.912023005428146</c:v>
                </c:pt>
                <c:pt idx="489">
                  <c:v>3.912023005428146</c:v>
                </c:pt>
                <c:pt idx="490">
                  <c:v>3.912023005428146</c:v>
                </c:pt>
                <c:pt idx="491">
                  <c:v>3.912023005428146</c:v>
                </c:pt>
                <c:pt idx="492">
                  <c:v>3.912023005428146</c:v>
                </c:pt>
                <c:pt idx="493">
                  <c:v>3.912023005428146</c:v>
                </c:pt>
                <c:pt idx="494">
                  <c:v>3.912023005428146</c:v>
                </c:pt>
                <c:pt idx="495">
                  <c:v>3.912023005428146</c:v>
                </c:pt>
                <c:pt idx="496">
                  <c:v>3.912023005428146</c:v>
                </c:pt>
                <c:pt idx="497">
                  <c:v>3.912023005428146</c:v>
                </c:pt>
                <c:pt idx="498">
                  <c:v>3.912023005428146</c:v>
                </c:pt>
                <c:pt idx="499">
                  <c:v>3.912023005428146</c:v>
                </c:pt>
                <c:pt idx="500">
                  <c:v>3.912023005428146</c:v>
                </c:pt>
                <c:pt idx="501">
                  <c:v>3.912023005428146</c:v>
                </c:pt>
                <c:pt idx="502">
                  <c:v>3.912023005428146</c:v>
                </c:pt>
                <c:pt idx="503">
                  <c:v>3.912023005428146</c:v>
                </c:pt>
                <c:pt idx="504">
                  <c:v>3.912023005428146</c:v>
                </c:pt>
                <c:pt idx="505">
                  <c:v>3.912023005428146</c:v>
                </c:pt>
                <c:pt idx="506">
                  <c:v>3.912023005428146</c:v>
                </c:pt>
                <c:pt idx="507">
                  <c:v>3.912023005428146</c:v>
                </c:pt>
                <c:pt idx="508">
                  <c:v>3.912023005428146</c:v>
                </c:pt>
                <c:pt idx="509">
                  <c:v>3.912023005428146</c:v>
                </c:pt>
                <c:pt idx="510">
                  <c:v>3.912023005428146</c:v>
                </c:pt>
                <c:pt idx="511">
                  <c:v>3.912023005428146</c:v>
                </c:pt>
                <c:pt idx="512">
                  <c:v>3.912023005428146</c:v>
                </c:pt>
                <c:pt idx="513">
                  <c:v>3.912023005428146</c:v>
                </c:pt>
                <c:pt idx="514">
                  <c:v>3.912023005428146</c:v>
                </c:pt>
                <c:pt idx="515">
                  <c:v>3.912023005428146</c:v>
                </c:pt>
                <c:pt idx="516">
                  <c:v>3.912023005428146</c:v>
                </c:pt>
                <c:pt idx="517">
                  <c:v>3.912023005428146</c:v>
                </c:pt>
                <c:pt idx="518">
                  <c:v>3.912023005428146</c:v>
                </c:pt>
                <c:pt idx="519">
                  <c:v>3.912023005428146</c:v>
                </c:pt>
                <c:pt idx="520">
                  <c:v>3.912023005428146</c:v>
                </c:pt>
                <c:pt idx="521">
                  <c:v>3.912023005428146</c:v>
                </c:pt>
                <c:pt idx="522">
                  <c:v>3.912023005428146</c:v>
                </c:pt>
                <c:pt idx="523">
                  <c:v>3.912023005428146</c:v>
                </c:pt>
                <c:pt idx="524">
                  <c:v>3.912023005428146</c:v>
                </c:pt>
                <c:pt idx="525">
                  <c:v>3.912023005428146</c:v>
                </c:pt>
                <c:pt idx="526">
                  <c:v>3.912023005428146</c:v>
                </c:pt>
                <c:pt idx="527">
                  <c:v>3.912023005428146</c:v>
                </c:pt>
                <c:pt idx="528">
                  <c:v>3.912023005428146</c:v>
                </c:pt>
                <c:pt idx="529">
                  <c:v>3.912023005428146</c:v>
                </c:pt>
                <c:pt idx="530">
                  <c:v>3.912023005428146</c:v>
                </c:pt>
                <c:pt idx="531">
                  <c:v>3.912023005428146</c:v>
                </c:pt>
                <c:pt idx="532">
                  <c:v>3.912023005428146</c:v>
                </c:pt>
                <c:pt idx="533">
                  <c:v>3.912023005428146</c:v>
                </c:pt>
                <c:pt idx="534">
                  <c:v>3.912023005428146</c:v>
                </c:pt>
                <c:pt idx="535">
                  <c:v>3.912023005428146</c:v>
                </c:pt>
                <c:pt idx="536">
                  <c:v>3.912023005428146</c:v>
                </c:pt>
                <c:pt idx="537">
                  <c:v>3.912023005428146</c:v>
                </c:pt>
                <c:pt idx="538">
                  <c:v>3.912023005428146</c:v>
                </c:pt>
                <c:pt idx="539">
                  <c:v>3.912023005428146</c:v>
                </c:pt>
                <c:pt idx="540">
                  <c:v>3.912023005428146</c:v>
                </c:pt>
                <c:pt idx="541">
                  <c:v>3.912023005428146</c:v>
                </c:pt>
                <c:pt idx="542">
                  <c:v>3.912023005428146</c:v>
                </c:pt>
                <c:pt idx="543">
                  <c:v>3.912023005428146</c:v>
                </c:pt>
                <c:pt idx="544">
                  <c:v>3.912023005428146</c:v>
                </c:pt>
                <c:pt idx="545">
                  <c:v>3.912023005428146</c:v>
                </c:pt>
                <c:pt idx="546">
                  <c:v>3.912023005428146</c:v>
                </c:pt>
                <c:pt idx="547">
                  <c:v>3.912023005428146</c:v>
                </c:pt>
                <c:pt idx="548">
                  <c:v>4.0943445622221004</c:v>
                </c:pt>
                <c:pt idx="549">
                  <c:v>4.0943445622221004</c:v>
                </c:pt>
                <c:pt idx="550">
                  <c:v>4.0943445622221004</c:v>
                </c:pt>
                <c:pt idx="551">
                  <c:v>4.0943445622221004</c:v>
                </c:pt>
                <c:pt idx="552">
                  <c:v>4.0943445622221004</c:v>
                </c:pt>
                <c:pt idx="553">
                  <c:v>4.0943445622221004</c:v>
                </c:pt>
                <c:pt idx="554">
                  <c:v>4.0943445622221004</c:v>
                </c:pt>
                <c:pt idx="555">
                  <c:v>4.0943445622221004</c:v>
                </c:pt>
                <c:pt idx="556">
                  <c:v>4.0943445622221004</c:v>
                </c:pt>
                <c:pt idx="557">
                  <c:v>4.0943445622221004</c:v>
                </c:pt>
                <c:pt idx="558">
                  <c:v>4.0943445622221004</c:v>
                </c:pt>
                <c:pt idx="559">
                  <c:v>4.0943445622221004</c:v>
                </c:pt>
                <c:pt idx="560">
                  <c:v>4.0943445622221004</c:v>
                </c:pt>
                <c:pt idx="561">
                  <c:v>4.0943445622221004</c:v>
                </c:pt>
                <c:pt idx="562">
                  <c:v>4.0943445622221004</c:v>
                </c:pt>
                <c:pt idx="563">
                  <c:v>4.0943445622221004</c:v>
                </c:pt>
                <c:pt idx="564">
                  <c:v>4.0943445622221004</c:v>
                </c:pt>
                <c:pt idx="565">
                  <c:v>4.2046926193909657</c:v>
                </c:pt>
                <c:pt idx="566">
                  <c:v>4.2046926193909657</c:v>
                </c:pt>
                <c:pt idx="567">
                  <c:v>4.2046926193909657</c:v>
                </c:pt>
                <c:pt idx="568">
                  <c:v>4.2046926193909657</c:v>
                </c:pt>
                <c:pt idx="569">
                  <c:v>4.2484952420493594</c:v>
                </c:pt>
                <c:pt idx="570">
                  <c:v>4.2484952420493594</c:v>
                </c:pt>
                <c:pt idx="571">
                  <c:v>4.2484952420493594</c:v>
                </c:pt>
                <c:pt idx="572">
                  <c:v>4.2484952420493594</c:v>
                </c:pt>
                <c:pt idx="573">
                  <c:v>4.2484952420493594</c:v>
                </c:pt>
                <c:pt idx="574">
                  <c:v>4.2484952420493594</c:v>
                </c:pt>
                <c:pt idx="575">
                  <c:v>4.2484952420493594</c:v>
                </c:pt>
                <c:pt idx="576">
                  <c:v>4.2484952420493594</c:v>
                </c:pt>
                <c:pt idx="577">
                  <c:v>4.2484952420493594</c:v>
                </c:pt>
                <c:pt idx="578">
                  <c:v>4.2484952420493594</c:v>
                </c:pt>
                <c:pt idx="579">
                  <c:v>4.2484952420493594</c:v>
                </c:pt>
                <c:pt idx="580">
                  <c:v>4.2484952420493594</c:v>
                </c:pt>
                <c:pt idx="581">
                  <c:v>4.290459441148391</c:v>
                </c:pt>
                <c:pt idx="582">
                  <c:v>4.290459441148391</c:v>
                </c:pt>
                <c:pt idx="583">
                  <c:v>4.3174881135363101</c:v>
                </c:pt>
                <c:pt idx="584">
                  <c:v>4.3174881135363101</c:v>
                </c:pt>
                <c:pt idx="585">
                  <c:v>4.3174881135363101</c:v>
                </c:pt>
                <c:pt idx="586">
                  <c:v>4.3174881135363101</c:v>
                </c:pt>
                <c:pt idx="587">
                  <c:v>4.3174881135363101</c:v>
                </c:pt>
                <c:pt idx="588">
                  <c:v>4.3174881135363101</c:v>
                </c:pt>
                <c:pt idx="589">
                  <c:v>4.3174881135363101</c:v>
                </c:pt>
                <c:pt idx="590">
                  <c:v>4.3174881135363101</c:v>
                </c:pt>
                <c:pt idx="591">
                  <c:v>4.3174881135363101</c:v>
                </c:pt>
                <c:pt idx="592">
                  <c:v>4.3174881135363101</c:v>
                </c:pt>
                <c:pt idx="593">
                  <c:v>4.3174881135363101</c:v>
                </c:pt>
                <c:pt idx="594">
                  <c:v>4.3174881135363101</c:v>
                </c:pt>
                <c:pt idx="595">
                  <c:v>4.3174881135363101</c:v>
                </c:pt>
                <c:pt idx="596">
                  <c:v>4.3174881135363101</c:v>
                </c:pt>
                <c:pt idx="597">
                  <c:v>4.3174881135363101</c:v>
                </c:pt>
                <c:pt idx="598">
                  <c:v>4.3174881135363101</c:v>
                </c:pt>
                <c:pt idx="599">
                  <c:v>4.3438054218536841</c:v>
                </c:pt>
                <c:pt idx="600">
                  <c:v>4.3820266346738812</c:v>
                </c:pt>
                <c:pt idx="601">
                  <c:v>4.3820266346738812</c:v>
                </c:pt>
                <c:pt idx="602">
                  <c:v>4.3820266346738812</c:v>
                </c:pt>
                <c:pt idx="603">
                  <c:v>4.3820266346738812</c:v>
                </c:pt>
                <c:pt idx="604">
                  <c:v>4.3820266346738812</c:v>
                </c:pt>
                <c:pt idx="605">
                  <c:v>4.3820266346738812</c:v>
                </c:pt>
                <c:pt idx="606">
                  <c:v>4.3820266346738812</c:v>
                </c:pt>
                <c:pt idx="607">
                  <c:v>4.499809670330265</c:v>
                </c:pt>
                <c:pt idx="608">
                  <c:v>4.499809670330265</c:v>
                </c:pt>
                <c:pt idx="609">
                  <c:v>4.499809670330265</c:v>
                </c:pt>
                <c:pt idx="610">
                  <c:v>4.499809670330265</c:v>
                </c:pt>
                <c:pt idx="611">
                  <c:v>4.6051701859880918</c:v>
                </c:pt>
                <c:pt idx="612">
                  <c:v>4.6051701859880918</c:v>
                </c:pt>
                <c:pt idx="613">
                  <c:v>4.6051701859880918</c:v>
                </c:pt>
                <c:pt idx="614">
                  <c:v>4.6051701859880918</c:v>
                </c:pt>
                <c:pt idx="615">
                  <c:v>4.6051701859880918</c:v>
                </c:pt>
                <c:pt idx="616">
                  <c:v>4.6051701859880918</c:v>
                </c:pt>
                <c:pt idx="617">
                  <c:v>4.6051701859880918</c:v>
                </c:pt>
                <c:pt idx="618">
                  <c:v>4.6051701859880918</c:v>
                </c:pt>
                <c:pt idx="619">
                  <c:v>4.6051701859880918</c:v>
                </c:pt>
                <c:pt idx="620">
                  <c:v>4.6051701859880918</c:v>
                </c:pt>
                <c:pt idx="621">
                  <c:v>4.6051701859880918</c:v>
                </c:pt>
                <c:pt idx="622">
                  <c:v>4.6051701859880918</c:v>
                </c:pt>
                <c:pt idx="623">
                  <c:v>4.6051701859880918</c:v>
                </c:pt>
                <c:pt idx="624">
                  <c:v>4.6051701859880918</c:v>
                </c:pt>
                <c:pt idx="625">
                  <c:v>4.6051701859880918</c:v>
                </c:pt>
                <c:pt idx="626">
                  <c:v>4.6051701859880918</c:v>
                </c:pt>
                <c:pt idx="627">
                  <c:v>4.6051701859880918</c:v>
                </c:pt>
                <c:pt idx="628">
                  <c:v>4.6051701859880918</c:v>
                </c:pt>
                <c:pt idx="629">
                  <c:v>4.6051701859880918</c:v>
                </c:pt>
                <c:pt idx="630">
                  <c:v>4.6051701859880918</c:v>
                </c:pt>
                <c:pt idx="631">
                  <c:v>4.6051701859880918</c:v>
                </c:pt>
                <c:pt idx="632">
                  <c:v>4.6051701859880918</c:v>
                </c:pt>
                <c:pt idx="633">
                  <c:v>4.6051701859880918</c:v>
                </c:pt>
                <c:pt idx="634">
                  <c:v>4.6051701859880918</c:v>
                </c:pt>
                <c:pt idx="635">
                  <c:v>4.6051701859880918</c:v>
                </c:pt>
                <c:pt idx="636">
                  <c:v>4.6051701859880918</c:v>
                </c:pt>
                <c:pt idx="637">
                  <c:v>4.6051701859880918</c:v>
                </c:pt>
                <c:pt idx="638">
                  <c:v>4.6051701859880918</c:v>
                </c:pt>
                <c:pt idx="639">
                  <c:v>4.6051701859880918</c:v>
                </c:pt>
                <c:pt idx="640">
                  <c:v>4.6051701859880918</c:v>
                </c:pt>
                <c:pt idx="641">
                  <c:v>4.6051701859880918</c:v>
                </c:pt>
                <c:pt idx="642">
                  <c:v>4.6051701859880918</c:v>
                </c:pt>
                <c:pt idx="643">
                  <c:v>4.6051701859880918</c:v>
                </c:pt>
                <c:pt idx="644">
                  <c:v>4.6051701859880918</c:v>
                </c:pt>
                <c:pt idx="645">
                  <c:v>4.6051701859880918</c:v>
                </c:pt>
                <c:pt idx="646">
                  <c:v>4.6051701859880918</c:v>
                </c:pt>
                <c:pt idx="647">
                  <c:v>4.6051701859880918</c:v>
                </c:pt>
                <c:pt idx="648">
                  <c:v>4.6051701859880918</c:v>
                </c:pt>
                <c:pt idx="649">
                  <c:v>4.6051701859880918</c:v>
                </c:pt>
                <c:pt idx="650">
                  <c:v>4.6051701859880918</c:v>
                </c:pt>
                <c:pt idx="651">
                  <c:v>4.6051701859880918</c:v>
                </c:pt>
                <c:pt idx="652">
                  <c:v>4.6051701859880918</c:v>
                </c:pt>
                <c:pt idx="653">
                  <c:v>4.6051701859880918</c:v>
                </c:pt>
                <c:pt idx="654">
                  <c:v>4.6051701859880918</c:v>
                </c:pt>
                <c:pt idx="655">
                  <c:v>4.6051701859880918</c:v>
                </c:pt>
                <c:pt idx="656">
                  <c:v>4.6051701859880918</c:v>
                </c:pt>
                <c:pt idx="657">
                  <c:v>4.6051701859880918</c:v>
                </c:pt>
                <c:pt idx="658">
                  <c:v>4.6051701859880918</c:v>
                </c:pt>
                <c:pt idx="659">
                  <c:v>4.6051701859880918</c:v>
                </c:pt>
                <c:pt idx="660">
                  <c:v>4.6051701859880918</c:v>
                </c:pt>
                <c:pt idx="661">
                  <c:v>4.6051701859880918</c:v>
                </c:pt>
                <c:pt idx="662">
                  <c:v>4.6051701859880918</c:v>
                </c:pt>
                <c:pt idx="663">
                  <c:v>4.6051701859880918</c:v>
                </c:pt>
                <c:pt idx="664">
                  <c:v>4.6051701859880918</c:v>
                </c:pt>
                <c:pt idx="665">
                  <c:v>4.6051701859880918</c:v>
                </c:pt>
                <c:pt idx="666">
                  <c:v>4.7004803657924166</c:v>
                </c:pt>
                <c:pt idx="667">
                  <c:v>4.7621739347977563</c:v>
                </c:pt>
                <c:pt idx="668">
                  <c:v>4.7874917427820458</c:v>
                </c:pt>
                <c:pt idx="669">
                  <c:v>5.0106352940962555</c:v>
                </c:pt>
                <c:pt idx="670">
                  <c:v>5.0106352940962555</c:v>
                </c:pt>
                <c:pt idx="671">
                  <c:v>5.0106352940962555</c:v>
                </c:pt>
                <c:pt idx="672">
                  <c:v>5.0106352940962555</c:v>
                </c:pt>
                <c:pt idx="673">
                  <c:v>5.0106352940962555</c:v>
                </c:pt>
                <c:pt idx="674">
                  <c:v>5.0106352940962555</c:v>
                </c:pt>
                <c:pt idx="675">
                  <c:v>5.0106352940962555</c:v>
                </c:pt>
                <c:pt idx="676">
                  <c:v>5.0106352940962555</c:v>
                </c:pt>
                <c:pt idx="677">
                  <c:v>5.1179938124167554</c:v>
                </c:pt>
                <c:pt idx="678">
                  <c:v>5.2983173665480363</c:v>
                </c:pt>
                <c:pt idx="679">
                  <c:v>5.2983173665480363</c:v>
                </c:pt>
                <c:pt idx="680">
                  <c:v>5.2983173665480363</c:v>
                </c:pt>
                <c:pt idx="681">
                  <c:v>5.2983173665480363</c:v>
                </c:pt>
                <c:pt idx="682">
                  <c:v>5.2983173665480363</c:v>
                </c:pt>
                <c:pt idx="683">
                  <c:v>5.2983173665480363</c:v>
                </c:pt>
                <c:pt idx="684">
                  <c:v>5.7037824746562009</c:v>
                </c:pt>
                <c:pt idx="685">
                  <c:v>5.7037824746562009</c:v>
                </c:pt>
                <c:pt idx="686">
                  <c:v>5.9914645471079817</c:v>
                </c:pt>
                <c:pt idx="687">
                  <c:v>5.9914645471079817</c:v>
                </c:pt>
                <c:pt idx="688">
                  <c:v>6.0867747269123065</c:v>
                </c:pt>
                <c:pt idx="689">
                  <c:v>6.0867747269123065</c:v>
                </c:pt>
                <c:pt idx="690">
                  <c:v>6.0867747269123065</c:v>
                </c:pt>
                <c:pt idx="691">
                  <c:v>6.0867747269123065</c:v>
                </c:pt>
                <c:pt idx="692">
                  <c:v>6.0867747269123065</c:v>
                </c:pt>
                <c:pt idx="693">
                  <c:v>6.2146080984221914</c:v>
                </c:pt>
                <c:pt idx="694">
                  <c:v>6.3969296552161463</c:v>
                </c:pt>
                <c:pt idx="695">
                  <c:v>6.5510803350434044</c:v>
                </c:pt>
                <c:pt idx="696">
                  <c:v>6.7799219074722519</c:v>
                </c:pt>
              </c:numCache>
            </c:numRef>
          </c:yVal>
          <c:smooth val="0"/>
        </c:ser>
        <c:dLbls>
          <c:showLegendKey val="0"/>
          <c:showVal val="0"/>
          <c:showCatName val="0"/>
          <c:showSerName val="0"/>
          <c:showPercent val="0"/>
          <c:showBubbleSize val="0"/>
        </c:dLbls>
        <c:axId val="111702784"/>
        <c:axId val="111705088"/>
      </c:scatterChart>
      <c:valAx>
        <c:axId val="111702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705088"/>
        <c:crossesAt val="-4"/>
        <c:crossBetween val="midCat"/>
      </c:valAx>
      <c:valAx>
        <c:axId val="1117050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70278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7.9541250462449128E-2"/>
          <c:y val="0.1223491027732465"/>
          <c:w val="0.88235294117647056"/>
          <c:h val="0.77161500815660822"/>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'F0 - EF0 Analysis'!$F$12:$F$810</c:f>
              <c:numCache>
                <c:formatCode>General</c:formatCode>
                <c:ptCount val="799"/>
                <c:pt idx="0">
                  <c:v>-3.1875734310256396</c:v>
                </c:pt>
                <c:pt idx="1">
                  <c:v>-2.8549647423990137</c:v>
                </c:pt>
                <c:pt idx="2">
                  <c:v>-2.6886759866657117</c:v>
                </c:pt>
                <c:pt idx="3">
                  <c:v>-2.5743438231658744</c:v>
                </c:pt>
                <c:pt idx="4">
                  <c:v>-2.4861739822460107</c:v>
                </c:pt>
                <c:pt idx="5">
                  <c:v>-2.4139201053449368</c:v>
                </c:pt>
                <c:pt idx="6">
                  <c:v>-2.3524267483609087</c:v>
                </c:pt>
                <c:pt idx="7">
                  <c:v>-2.2987207153509432</c:v>
                </c:pt>
                <c:pt idx="8">
                  <c:v>-2.2509256965027937</c:v>
                </c:pt>
                <c:pt idx="9">
                  <c:v>-2.2077789754764168</c:v>
                </c:pt>
                <c:pt idx="10">
                  <c:v>-2.1683886988543013</c:v>
                </c:pt>
                <c:pt idx="11">
                  <c:v>-2.1321007465617647</c:v>
                </c:pt>
                <c:pt idx="12">
                  <c:v>-2.0984206155569258</c:v>
                </c:pt>
                <c:pt idx="13">
                  <c:v>-2.0669650622440634</c:v>
                </c:pt>
                <c:pt idx="14">
                  <c:v>-2.0374308332073285</c:v>
                </c:pt>
                <c:pt idx="15">
                  <c:v>-2.0095737001013063</c:v>
                </c:pt>
                <c:pt idx="16">
                  <c:v>-1.9831939666186722</c:v>
                </c:pt>
                <c:pt idx="17">
                  <c:v>-1.9581261837069068</c:v>
                </c:pt>
                <c:pt idx="18">
                  <c:v>-1.9342316836414377</c:v>
                </c:pt>
                <c:pt idx="19">
                  <c:v>-1.9113930517135458</c:v>
                </c:pt>
                <c:pt idx="20">
                  <c:v>-1.8895099603334302</c:v>
                </c:pt>
                <c:pt idx="21">
                  <c:v>-1.8684959805154611</c:v>
                </c:pt>
                <c:pt idx="22">
                  <c:v>-1.848276107177099</c:v>
                </c:pt>
                <c:pt idx="23">
                  <c:v>-1.8287848141880285</c:v>
                </c:pt>
                <c:pt idx="24">
                  <c:v>-1.8099645082991047</c:v>
                </c:pt>
                <c:pt idx="25">
                  <c:v>-1.7917642873785156</c:v>
                </c:pt>
                <c:pt idx="26">
                  <c:v>-1.7741389335977533</c:v>
                </c:pt>
                <c:pt idx="27">
                  <c:v>-1.7570480900132046</c:v>
                </c:pt>
                <c:pt idx="28">
                  <c:v>-1.7404555817471701</c:v>
                </c:pt>
                <c:pt idx="29">
                  <c:v>-1.7243288522400049</c:v>
                </c:pt>
                <c:pt idx="30">
                  <c:v>-1.7086384918626099</c:v>
                </c:pt>
                <c:pt idx="31">
                  <c:v>-1.6933578412519459</c:v>
                </c:pt>
                <c:pt idx="32">
                  <c:v>-1.6784626555485749</c:v>
                </c:pt>
                <c:pt idx="33">
                  <c:v>-1.6639308186147159</c:v>
                </c:pt>
                <c:pt idx="34">
                  <c:v>-1.6497420985347986</c:v>
                </c:pt>
                <c:pt idx="35">
                  <c:v>-1.6358779374204708</c:v>
                </c:pt>
                <c:pt idx="36">
                  <c:v>-1.6223212698834055</c:v>
                </c:pt>
                <c:pt idx="37">
                  <c:v>-1.6090563655933106</c:v>
                </c:pt>
                <c:pt idx="38">
                  <c:v>-1.5960686921729099</c:v>
                </c:pt>
                <c:pt idx="39">
                  <c:v>-1.5833447953464825</c:v>
                </c:pt>
                <c:pt idx="40">
                  <c:v>-1.5708721937917547</c:v>
                </c:pt>
                <c:pt idx="41">
                  <c:v>-1.5586392865751206</c:v>
                </c:pt>
                <c:pt idx="42">
                  <c:v>-1.54663527139923</c:v>
                </c:pt>
                <c:pt idx="43">
                  <c:v>-1.5348500721767944</c:v>
                </c:pt>
                <c:pt idx="44">
                  <c:v>-1.5232742746779584</c:v>
                </c:pt>
                <c:pt idx="45">
                  <c:v>-1.511899069191067</c:v>
                </c:pt>
                <c:pt idx="46">
                  <c:v>-1.5007161992959652</c:v>
                </c:pt>
                <c:pt idx="47">
                  <c:v>-1.4897179159814617</c:v>
                </c:pt>
                <c:pt idx="48">
                  <c:v>-1.4788969364492288</c:v>
                </c:pt>
                <c:pt idx="49">
                  <c:v>-1.4682464070391821</c:v>
                </c:pt>
                <c:pt idx="50">
                  <c:v>-1.457759869789466</c:v>
                </c:pt>
                <c:pt idx="51">
                  <c:v>-1.4474312322101401</c:v>
                </c:pt>
                <c:pt idx="52">
                  <c:v>-1.4372547399055966</c:v>
                </c:pt>
                <c:pt idx="53">
                  <c:v>-1.4272249517282989</c:v>
                </c:pt>
                <c:pt idx="54">
                  <c:v>-1.4173367171870725</c:v>
                </c:pt>
                <c:pt idx="55">
                  <c:v>-1.4075851558679084</c:v>
                </c:pt>
                <c:pt idx="56">
                  <c:v>-1.3979656386550985</c:v>
                </c:pt>
                <c:pt idx="57">
                  <c:v>-1.3884737705662995</c:v>
                </c:pt>
                <c:pt idx="58">
                  <c:v>-1.3791053750371944</c:v>
                </c:pt>
                <c:pt idx="59">
                  <c:v>-1.3698564795107979</c:v>
                </c:pt>
                <c:pt idx="60">
                  <c:v>-1.3607233022030081</c:v>
                </c:pt>
                <c:pt idx="61">
                  <c:v>-1.3517022399306602</c:v>
                </c:pt>
                <c:pt idx="62">
                  <c:v>-1.3427898569009069</c:v>
                </c:pt>
                <c:pt idx="63">
                  <c:v>-1.3339828743718865</c:v>
                </c:pt>
                <c:pt idx="64">
                  <c:v>-1.3252781611043922</c:v>
                </c:pt>
                <c:pt idx="65">
                  <c:v>-1.3166727245326566</c:v>
                </c:pt>
                <c:pt idx="66">
                  <c:v>-1.3081637025900652</c:v>
                </c:pt>
                <c:pt idx="67">
                  <c:v>-1.2997483561320435</c:v>
                </c:pt>
                <c:pt idx="68">
                  <c:v>-1.2914240619043673</c:v>
                </c:pt>
                <c:pt idx="69">
                  <c:v>-1.2831883060102467</c:v>
                </c:pt>
                <c:pt idx="70">
                  <c:v>-1.2750386778341529</c:v>
                </c:pt>
                <c:pt idx="71">
                  <c:v>-1.2669728643844393</c:v>
                </c:pt>
                <c:pt idx="72">
                  <c:v>-1.2589886450204808</c:v>
                </c:pt>
                <c:pt idx="73">
                  <c:v>-1.2510838865332123</c:v>
                </c:pt>
                <c:pt idx="74">
                  <c:v>-1.243256538550962</c:v>
                </c:pt>
                <c:pt idx="75">
                  <c:v>-1.2355046292449556</c:v>
                </c:pt>
                <c:pt idx="76">
                  <c:v>-1.2278262613112725</c:v>
                </c:pt>
                <c:pt idx="77">
                  <c:v>-1.2202196082080596</c:v>
                </c:pt>
                <c:pt idx="78">
                  <c:v>-1.2126829106287236</c:v>
                </c:pt>
                <c:pt idx="79">
                  <c:v>-1.2052144731934824</c:v>
                </c:pt>
                <c:pt idx="80">
                  <c:v>-1.1978126613431899</c:v>
                </c:pt>
                <c:pt idx="81">
                  <c:v>-1.1904758984207013</c:v>
                </c:pt>
                <c:pt idx="82">
                  <c:v>-1.1832026629263122</c:v>
                </c:pt>
                <c:pt idx="83">
                  <c:v>-1.1759914859348912</c:v>
                </c:pt>
                <c:pt idx="84">
                  <c:v>-1.1688409486633706</c:v>
                </c:pt>
                <c:pt idx="85">
                  <c:v>-1.1617496801781668</c:v>
                </c:pt>
                <c:pt idx="86">
                  <c:v>-1.1547163552329431</c:v>
                </c:pt>
                <c:pt idx="87">
                  <c:v>-1.1477396922278675</c:v>
                </c:pt>
                <c:pt idx="88">
                  <c:v>-1.1408184512822599</c:v>
                </c:pt>
                <c:pt idx="89">
                  <c:v>-1.1339514324130875</c:v>
                </c:pt>
                <c:pt idx="90">
                  <c:v>-1.1271374738124025</c:v>
                </c:pt>
                <c:pt idx="91">
                  <c:v>-1.1203754502173011</c:v>
                </c:pt>
                <c:pt idx="92">
                  <c:v>-1.1136642713664795</c:v>
                </c:pt>
                <c:pt idx="93">
                  <c:v>-1.107002880537908</c:v>
                </c:pt>
                <c:pt idx="94">
                  <c:v>-1.1003902531625298</c:v>
                </c:pt>
                <c:pt idx="95">
                  <c:v>-1.0938253955092727</c:v>
                </c:pt>
                <c:pt idx="96">
                  <c:v>-1.0873073434369978</c:v>
                </c:pt>
                <c:pt idx="97">
                  <c:v>-1.0808351612093157</c:v>
                </c:pt>
                <c:pt idx="98">
                  <c:v>-1.0744079403685023</c:v>
                </c:pt>
                <c:pt idx="99">
                  <c:v>-1.0680247986649782</c:v>
                </c:pt>
                <c:pt idx="100">
                  <c:v>-1.0616848790390976</c:v>
                </c:pt>
                <c:pt idx="101">
                  <c:v>-1.055387348652183</c:v>
                </c:pt>
                <c:pt idx="102">
                  <c:v>-1.0491313979639725</c:v>
                </c:pt>
                <c:pt idx="103">
                  <c:v>-1.0429162398538112</c:v>
                </c:pt>
                <c:pt idx="104">
                  <c:v>-1.0367411087831122</c:v>
                </c:pt>
                <c:pt idx="105">
                  <c:v>-1.0306052599968247</c:v>
                </c:pt>
                <c:pt idx="106">
                  <c:v>-1.0245079687615979</c:v>
                </c:pt>
                <c:pt idx="107">
                  <c:v>-1.0184485296388301</c:v>
                </c:pt>
                <c:pt idx="108">
                  <c:v>-1.0124262557905093</c:v>
                </c:pt>
                <c:pt idx="109">
                  <c:v>-1.0064404783161693</c:v>
                </c:pt>
                <c:pt idx="110">
                  <c:v>-1.0004905456193149</c:v>
                </c:pt>
                <c:pt idx="111">
                  <c:v>-0.99457582280166557</c:v>
                </c:pt>
                <c:pt idx="112">
                  <c:v>-0.98869569108384014</c:v>
                </c:pt>
                <c:pt idx="113">
                  <c:v>-0.98284954725105422</c:v>
                </c:pt>
                <c:pt idx="114">
                  <c:v>-0.97703680312256092</c:v>
                </c:pt>
                <c:pt idx="115">
                  <c:v>-0.97125688504362606</c:v>
                </c:pt>
                <c:pt idx="116">
                  <c:v>-0.96550923339883943</c:v>
                </c:pt>
                <c:pt idx="117">
                  <c:v>-0.95979330214578895</c:v>
                </c:pt>
                <c:pt idx="118">
                  <c:v>-0.95410855836795683</c:v>
                </c:pt>
                <c:pt idx="119">
                  <c:v>-0.94845448184602876</c:v>
                </c:pt>
                <c:pt idx="120">
                  <c:v>-0.94283056464655479</c:v>
                </c:pt>
                <c:pt idx="121">
                  <c:v>-0.93723631072726121</c:v>
                </c:pt>
                <c:pt idx="122">
                  <c:v>-0.93167123555812814</c:v>
                </c:pt>
                <c:pt idx="123">
                  <c:v>-0.92613486575748438</c:v>
                </c:pt>
                <c:pt idx="124">
                  <c:v>-0.92062673874243972</c:v>
                </c:pt>
                <c:pt idx="125">
                  <c:v>-0.91514640239295164</c:v>
                </c:pt>
                <c:pt idx="126">
                  <c:v>-0.90969341472890075</c:v>
                </c:pt>
                <c:pt idx="127">
                  <c:v>-0.90426734359956884</c:v>
                </c:pt>
                <c:pt idx="128">
                  <c:v>-0.89886776638494181</c:v>
                </c:pt>
                <c:pt idx="129">
                  <c:v>-0.89349426970832468</c:v>
                </c:pt>
                <c:pt idx="130">
                  <c:v>-0.88814644915971153</c:v>
                </c:pt>
                <c:pt idx="131">
                  <c:v>-0.88282390902947927</c:v>
                </c:pt>
                <c:pt idx="132">
                  <c:v>-0.87752626205190132</c:v>
                </c:pt>
                <c:pt idx="133">
                  <c:v>-0.87225312915806497</c:v>
                </c:pt>
                <c:pt idx="134">
                  <c:v>-0.86700413923779085</c:v>
                </c:pt>
                <c:pt idx="135">
                  <c:v>-0.86177892891013907</c:v>
                </c:pt>
                <c:pt idx="136">
                  <c:v>-0.85657714230213899</c:v>
                </c:pt>
                <c:pt idx="137">
                  <c:v>-0.85139843083539857</c:v>
                </c:pt>
                <c:pt idx="138">
                  <c:v>-0.84624245302025092</c:v>
                </c:pt>
                <c:pt idx="139">
                  <c:v>-0.84110887425710845</c:v>
                </c:pt>
                <c:pt idx="140">
                  <c:v>-0.83599736664473989</c:v>
                </c:pt>
                <c:pt idx="141">
                  <c:v>-0.83090760879516901</c:v>
                </c:pt>
                <c:pt idx="142">
                  <c:v>-0.82583928565492504</c:v>
                </c:pt>
                <c:pt idx="143">
                  <c:v>-0.8207920883323806</c:v>
                </c:pt>
                <c:pt idx="144">
                  <c:v>-0.81576571393093433</c:v>
                </c:pt>
                <c:pt idx="145">
                  <c:v>-0.81075986538779188</c:v>
                </c:pt>
                <c:pt idx="146">
                  <c:v>-0.80577425131812597</c:v>
                </c:pt>
                <c:pt idx="147">
                  <c:v>-0.8008085858644014</c:v>
                </c:pt>
                <c:pt idx="148">
                  <c:v>-0.79586258855065695</c:v>
                </c:pt>
                <c:pt idx="149">
                  <c:v>-0.7909359841415402</c:v>
                </c:pt>
                <c:pt idx="150">
                  <c:v>-0.78602850250592737</c:v>
                </c:pt>
                <c:pt idx="151">
                  <c:v>-0.78113987848493915</c:v>
                </c:pt>
                <c:pt idx="152">
                  <c:v>-0.77626985176416885</c:v>
                </c:pt>
                <c:pt idx="153">
                  <c:v>-0.77141816674998875</c:v>
                </c:pt>
                <c:pt idx="154">
                  <c:v>-0.76658457244976175</c:v>
                </c:pt>
                <c:pt idx="155">
                  <c:v>-0.76176882235580157</c:v>
                </c:pt>
                <c:pt idx="156">
                  <c:v>-0.75697067433296861</c:v>
                </c:pt>
                <c:pt idx="157">
                  <c:v>-0.75218989050973062</c:v>
                </c:pt>
                <c:pt idx="158">
                  <c:v>-0.74742623717258982</c:v>
                </c:pt>
                <c:pt idx="159">
                  <c:v>-0.74267948466372624</c:v>
                </c:pt>
                <c:pt idx="160">
                  <c:v>-0.73794940728176173</c:v>
                </c:pt>
                <c:pt idx="161">
                  <c:v>-0.73323578318551175</c:v>
                </c:pt>
                <c:pt idx="162">
                  <c:v>-0.72853839430062861</c:v>
                </c:pt>
                <c:pt idx="163">
                  <c:v>-0.7238570262290237</c:v>
                </c:pt>
                <c:pt idx="164">
                  <c:v>-0.71919146816097901</c:v>
                </c:pt>
                <c:pt idx="165">
                  <c:v>-0.7145415127898378</c:v>
                </c:pt>
                <c:pt idx="166">
                  <c:v>-0.70990695622919808</c:v>
                </c:pt>
                <c:pt idx="167">
                  <c:v>-0.70528759793250428</c:v>
                </c:pt>
                <c:pt idx="168">
                  <c:v>-0.70068324061497589</c:v>
                </c:pt>
                <c:pt idx="169">
                  <c:v>-0.6960936901777649</c:v>
                </c:pt>
                <c:pt idx="170">
                  <c:v>-0.69151875563428244</c:v>
                </c:pt>
                <c:pt idx="171">
                  <c:v>-0.68695824903861946</c:v>
                </c:pt>
                <c:pt idx="172">
                  <c:v>-0.68241198541597936</c:v>
                </c:pt>
                <c:pt idx="173">
                  <c:v>-0.67787978269506355</c:v>
                </c:pt>
                <c:pt idx="174">
                  <c:v>-0.67336146164234179</c:v>
                </c:pt>
                <c:pt idx="175">
                  <c:v>-0.66885684579813953</c:v>
                </c:pt>
                <c:pt idx="176">
                  <c:v>-0.66436576141448844</c:v>
                </c:pt>
                <c:pt idx="177">
                  <c:v>-0.65988803739467305</c:v>
                </c:pt>
                <c:pt idx="178">
                  <c:v>-0.65542350523442661</c:v>
                </c:pt>
                <c:pt idx="179">
                  <c:v>-0.65097199896471547</c:v>
                </c:pt>
                <c:pt idx="180">
                  <c:v>-0.64653335509605969</c:v>
                </c:pt>
                <c:pt idx="181">
                  <c:v>-0.64210741256434611</c:v>
                </c:pt>
                <c:pt idx="182">
                  <c:v>-0.6376940126780779</c:v>
                </c:pt>
                <c:pt idx="183">
                  <c:v>-0.63329299906701975</c:v>
                </c:pt>
                <c:pt idx="184">
                  <c:v>-0.62890421763218984</c:v>
                </c:pt>
                <c:pt idx="185">
                  <c:v>-0.62452751649716276</c:v>
                </c:pt>
                <c:pt idx="186">
                  <c:v>-0.62016274596063059</c:v>
                </c:pt>
                <c:pt idx="187">
                  <c:v>-0.61580975845019326</c:v>
                </c:pt>
                <c:pt idx="188">
                  <c:v>-0.61146840847733341</c:v>
                </c:pt>
                <c:pt idx="189">
                  <c:v>-0.60713855259354255</c:v>
                </c:pt>
                <c:pt idx="190">
                  <c:v>-0.60282004934755651</c:v>
                </c:pt>
                <c:pt idx="191">
                  <c:v>-0.59851275924367653</c:v>
                </c:pt>
                <c:pt idx="192">
                  <c:v>-0.5942165447011295</c:v>
                </c:pt>
                <c:pt idx="193">
                  <c:v>-0.58993127001444812</c:v>
                </c:pt>
                <c:pt idx="194">
                  <c:v>-0.585656801314831</c:v>
                </c:pt>
                <c:pt idx="195">
                  <c:v>-0.58139300653245585</c:v>
                </c:pt>
                <c:pt idx="196">
                  <c:v>-0.57713975535972051</c:v>
                </c:pt>
                <c:pt idx="197">
                  <c:v>-0.57289691921537711</c:v>
                </c:pt>
                <c:pt idx="198">
                  <c:v>-0.56866437120954061</c:v>
                </c:pt>
                <c:pt idx="199">
                  <c:v>-0.56444198610953655</c:v>
                </c:pt>
                <c:pt idx="200">
                  <c:v>-0.56022964030657418</c:v>
                </c:pt>
                <c:pt idx="201">
                  <c:v>-0.55602721178320957</c:v>
                </c:pt>
                <c:pt idx="202">
                  <c:v>-0.55183458008158426</c:v>
                </c:pt>
                <c:pt idx="203">
                  <c:v>-0.54765162627241204</c:v>
                </c:pt>
                <c:pt idx="204">
                  <c:v>-0.5434782329246941</c:v>
                </c:pt>
                <c:pt idx="205">
                  <c:v>-0.5393142840761399</c:v>
                </c:pt>
                <c:pt idx="206">
                  <c:v>-0.53515966520427649</c:v>
                </c:pt>
                <c:pt idx="207">
                  <c:v>-0.53101426319822265</c:v>
                </c:pt>
                <c:pt idx="208">
                  <c:v>-0.52687796633111206</c:v>
                </c:pt>
                <c:pt idx="209">
                  <c:v>-0.52275066423314531</c:v>
                </c:pt>
                <c:pt idx="210">
                  <c:v>-0.51863224786525508</c:v>
                </c:pt>
                <c:pt idx="211">
                  <c:v>-0.51452260949336326</c:v>
                </c:pt>
                <c:pt idx="212">
                  <c:v>-0.51042164266321888</c:v>
                </c:pt>
                <c:pt idx="213">
                  <c:v>-0.50632924217579522</c:v>
                </c:pt>
                <c:pt idx="214">
                  <c:v>-0.50224530406323542</c:v>
                </c:pt>
                <c:pt idx="215">
                  <c:v>-0.49816972556532685</c:v>
                </c:pt>
                <c:pt idx="216">
                  <c:v>-0.49410240510649461</c:v>
                </c:pt>
                <c:pt idx="217">
                  <c:v>-0.49004324227329482</c:v>
                </c:pt>
                <c:pt idx="218">
                  <c:v>-0.48599213779239869</c:v>
                </c:pt>
                <c:pt idx="219">
                  <c:v>-0.48194899350904996</c:v>
                </c:pt>
                <c:pt idx="220">
                  <c:v>-0.47791371236598729</c:v>
                </c:pt>
                <c:pt idx="221">
                  <c:v>-0.4738861983828131</c:v>
                </c:pt>
                <c:pt idx="222">
                  <c:v>-0.46986635663580567</c:v>
                </c:pt>
                <c:pt idx="223">
                  <c:v>-0.4658540932381508</c:v>
                </c:pt>
                <c:pt idx="224">
                  <c:v>-0.46184931532059442</c:v>
                </c:pt>
                <c:pt idx="225">
                  <c:v>-0.45785193101249505</c:v>
                </c:pt>
                <c:pt idx="226">
                  <c:v>-0.45386184942327196</c:v>
                </c:pt>
                <c:pt idx="227">
                  <c:v>-0.44987898062423393</c:v>
                </c:pt>
                <c:pt idx="228">
                  <c:v>-0.44590323563078288</c:v>
                </c:pt>
                <c:pt idx="229">
                  <c:v>-0.44193452638497843</c:v>
                </c:pt>
                <c:pt idx="230">
                  <c:v>-0.43797276573845845</c:v>
                </c:pt>
                <c:pt idx="231">
                  <c:v>-0.4340178674357012</c:v>
                </c:pt>
                <c:pt idx="232">
                  <c:v>-0.43006974609762599</c:v>
                </c:pt>
                <c:pt idx="233">
                  <c:v>-0.42612831720551725</c:v>
                </c:pt>
                <c:pt idx="234">
                  <c:v>-0.42219349708526982</c:v>
                </c:pt>
                <c:pt idx="235">
                  <c:v>-0.41826520289194324</c:v>
                </c:pt>
                <c:pt idx="236">
                  <c:v>-0.41434335259461857</c:v>
                </c:pt>
                <c:pt idx="237">
                  <c:v>-0.41042786496154893</c:v>
                </c:pt>
                <c:pt idx="238">
                  <c:v>-0.4065186595455999</c:v>
                </c:pt>
                <c:pt idx="239">
                  <c:v>-0.40261565666996529</c:v>
                </c:pt>
                <c:pt idx="240">
                  <c:v>-0.39871877741416106</c:v>
                </c:pt>
                <c:pt idx="241">
                  <c:v>-0.3948279436002799</c:v>
                </c:pt>
                <c:pt idx="242">
                  <c:v>-0.39094307777950976</c:v>
                </c:pt>
                <c:pt idx="243">
                  <c:v>-0.38706410321890156</c:v>
                </c:pt>
                <c:pt idx="244">
                  <c:v>-0.38319094388838582</c:v>
                </c:pt>
                <c:pt idx="245">
                  <c:v>-0.37932352444802764</c:v>
                </c:pt>
                <c:pt idx="246">
                  <c:v>-0.37546177023551847</c:v>
                </c:pt>
                <c:pt idx="247">
                  <c:v>-0.37160560725389336</c:v>
                </c:pt>
                <c:pt idx="248">
                  <c:v>-0.36775496215947456</c:v>
                </c:pt>
                <c:pt idx="249">
                  <c:v>-0.36390976225002952</c:v>
                </c:pt>
                <c:pt idx="250">
                  <c:v>-0.36006993545314314</c:v>
                </c:pt>
                <c:pt idx="251">
                  <c:v>-0.35623541031479528</c:v>
                </c:pt>
                <c:pt idx="252">
                  <c:v>-0.35240611598814231</c:v>
                </c:pt>
                <c:pt idx="253">
                  <c:v>-0.34858198222249215</c:v>
                </c:pt>
                <c:pt idx="254">
                  <c:v>-0.34476293935247532</c:v>
                </c:pt>
                <c:pt idx="255">
                  <c:v>-0.34094891828739998</c:v>
                </c:pt>
                <c:pt idx="256">
                  <c:v>-0.33713985050079243</c:v>
                </c:pt>
                <c:pt idx="257">
                  <c:v>-0.33333566802011422</c:v>
                </c:pt>
                <c:pt idx="258">
                  <c:v>-0.32953630341665485</c:v>
                </c:pt>
                <c:pt idx="259">
                  <c:v>-0.32574168979559226</c:v>
                </c:pt>
                <c:pt idx="260">
                  <c:v>-0.3219517607862224</c:v>
                </c:pt>
                <c:pt idx="261">
                  <c:v>-0.31816645053234671</c:v>
                </c:pt>
                <c:pt idx="262">
                  <c:v>-0.31438569368282104</c:v>
                </c:pt>
                <c:pt idx="263">
                  <c:v>-0.31060942538225567</c:v>
                </c:pt>
                <c:pt idx="264">
                  <c:v>-0.30683758126186844</c:v>
                </c:pt>
                <c:pt idx="265">
                  <c:v>-0.30307009743048208</c:v>
                </c:pt>
                <c:pt idx="266">
                  <c:v>-0.29930691046566715</c:v>
                </c:pt>
                <c:pt idx="267">
                  <c:v>-0.29554795740502249</c:v>
                </c:pt>
                <c:pt idx="268">
                  <c:v>-0.29179317573759456</c:v>
                </c:pt>
                <c:pt idx="269">
                  <c:v>-0.28804250339542714</c:v>
                </c:pt>
                <c:pt idx="270">
                  <c:v>-0.28429587874524437</c:v>
                </c:pt>
                <c:pt idx="271">
                  <c:v>-0.28055324058025682</c:v>
                </c:pt>
                <c:pt idx="272">
                  <c:v>-0.27681452811209489</c:v>
                </c:pt>
                <c:pt idx="273">
                  <c:v>-0.273079680962861</c:v>
                </c:pt>
                <c:pt idx="274">
                  <c:v>-0.26934863915729951</c:v>
                </c:pt>
                <c:pt idx="275">
                  <c:v>-0.26562134311508367</c:v>
                </c:pt>
                <c:pt idx="276">
                  <c:v>-0.26189773364321228</c:v>
                </c:pt>
                <c:pt idx="277">
                  <c:v>-0.25817775192851888</c:v>
                </c:pt>
                <c:pt idx="278">
                  <c:v>-0.25446133953028466</c:v>
                </c:pt>
                <c:pt idx="279">
                  <c:v>-0.25074843837295846</c:v>
                </c:pt>
                <c:pt idx="280">
                  <c:v>-0.2470389907389772</c:v>
                </c:pt>
                <c:pt idx="281">
                  <c:v>-0.24333293926168637</c:v>
                </c:pt>
                <c:pt idx="282">
                  <c:v>-0.23963022691835631</c:v>
                </c:pt>
                <c:pt idx="283">
                  <c:v>-0.23593079702329492</c:v>
                </c:pt>
                <c:pt idx="284">
                  <c:v>-0.23223459322105058</c:v>
                </c:pt>
                <c:pt idx="285">
                  <c:v>-0.22854155947970722</c:v>
                </c:pt>
                <c:pt idx="286">
                  <c:v>-0.22485164008426486</c:v>
                </c:pt>
                <c:pt idx="287">
                  <c:v>-0.221164779630108</c:v>
                </c:pt>
                <c:pt idx="288">
                  <c:v>-0.21748092301655558</c:v>
                </c:pt>
                <c:pt idx="289">
                  <c:v>-0.21380001544049401</c:v>
                </c:pt>
                <c:pt idx="290">
                  <c:v>-0.21012200239008808</c:v>
                </c:pt>
                <c:pt idx="291">
                  <c:v>-0.20644682963857081</c:v>
                </c:pt>
                <c:pt idx="292">
                  <c:v>-0.20277444323810676</c:v>
                </c:pt>
                <c:pt idx="293">
                  <c:v>-0.19910478951373123</c:v>
                </c:pt>
                <c:pt idx="294">
                  <c:v>-0.19543781505735866</c:v>
                </c:pt>
                <c:pt idx="295">
                  <c:v>-0.1917734667218631</c:v>
                </c:pt>
                <c:pt idx="296">
                  <c:v>-0.18811169161522445</c:v>
                </c:pt>
                <c:pt idx="297">
                  <c:v>-0.1844524370947431</c:v>
                </c:pt>
                <c:pt idx="298">
                  <c:v>-0.1807956507613169</c:v>
                </c:pt>
                <c:pt idx="299">
                  <c:v>-0.17714128045378297</c:v>
                </c:pt>
                <c:pt idx="300">
                  <c:v>-0.1734892742433187</c:v>
                </c:pt>
                <c:pt idx="301">
                  <c:v>-0.16983958042790409</c:v>
                </c:pt>
                <c:pt idx="302">
                  <c:v>-0.16619214752683975</c:v>
                </c:pt>
                <c:pt idx="303">
                  <c:v>-0.1625469242753235</c:v>
                </c:pt>
                <c:pt idx="304">
                  <c:v>-0.15890385961907952</c:v>
                </c:pt>
                <c:pt idx="305">
                  <c:v>-0.15526290270904269</c:v>
                </c:pt>
                <c:pt idx="306">
                  <c:v>-0.1516240028960924</c:v>
                </c:pt>
                <c:pt idx="307">
                  <c:v>-0.14798710972583889</c:v>
                </c:pt>
                <c:pt idx="308">
                  <c:v>-0.14435217293345595</c:v>
                </c:pt>
                <c:pt idx="309">
                  <c:v>-0.14071914243856326</c:v>
                </c:pt>
                <c:pt idx="310">
                  <c:v>-0.13708796834015238</c:v>
                </c:pt>
                <c:pt idx="311">
                  <c:v>-0.13345860091155928</c:v>
                </c:pt>
                <c:pt idx="312">
                  <c:v>-0.12983099059547812</c:v>
                </c:pt>
                <c:pt idx="313">
                  <c:v>-0.12620508799901872</c:v>
                </c:pt>
                <c:pt idx="314">
                  <c:v>-0.12258084388880242</c:v>
                </c:pt>
                <c:pt idx="315">
                  <c:v>-0.11895820918609937</c:v>
                </c:pt>
                <c:pt idx="316">
                  <c:v>-0.11533713496200139</c:v>
                </c:pt>
                <c:pt idx="317">
                  <c:v>-0.1117175724326336</c:v>
                </c:pt>
                <c:pt idx="318">
                  <c:v>-0.10809947295439938</c:v>
                </c:pt>
                <c:pt idx="319">
                  <c:v>-0.10448278801926142</c:v>
                </c:pt>
                <c:pt idx="320">
                  <c:v>-0.1008674692500537</c:v>
                </c:pt>
                <c:pt idx="321">
                  <c:v>-9.7253468395827061E-2</c:v>
                </c:pt>
                <c:pt idx="322">
                  <c:v>-9.3640737327223486E-2</c:v>
                </c:pt>
                <c:pt idx="323">
                  <c:v>-9.0029228031881417E-2</c:v>
                </c:pt>
                <c:pt idx="324">
                  <c:v>-8.641889260986757E-2</c:v>
                </c:pt>
                <c:pt idx="325">
                  <c:v>-8.2809683269137416E-2</c:v>
                </c:pt>
                <c:pt idx="326">
                  <c:v>-7.9201552321019775E-2</c:v>
                </c:pt>
                <c:pt idx="327">
                  <c:v>-7.5594452175728147E-2</c:v>
                </c:pt>
                <c:pt idx="328">
                  <c:v>-7.1988335337893561E-2</c:v>
                </c:pt>
                <c:pt idx="329">
                  <c:v>-6.8383154402122046E-2</c:v>
                </c:pt>
                <c:pt idx="330">
                  <c:v>-6.4778862048571514E-2</c:v>
                </c:pt>
                <c:pt idx="331">
                  <c:v>-6.1175411038551106E-2</c:v>
                </c:pt>
                <c:pt idx="332">
                  <c:v>-5.757275421013755E-2</c:v>
                </c:pt>
                <c:pt idx="333">
                  <c:v>-5.3970844473812077E-2</c:v>
                </c:pt>
                <c:pt idx="334">
                  <c:v>-5.0369634808112261E-2</c:v>
                </c:pt>
                <c:pt idx="335">
                  <c:v>-4.6769078255302139E-2</c:v>
                </c:pt>
                <c:pt idx="336">
                  <c:v>-4.3169127917055197E-2</c:v>
                </c:pt>
                <c:pt idx="337">
                  <c:v>-3.9569736950153638E-2</c:v>
                </c:pt>
                <c:pt idx="338">
                  <c:v>-3.5970858562198442E-2</c:v>
                </c:pt>
                <c:pt idx="339">
                  <c:v>-3.2372446007333612E-2</c:v>
                </c:pt>
                <c:pt idx="340">
                  <c:v>-2.8774452581979137E-2</c:v>
                </c:pt>
                <c:pt idx="341">
                  <c:v>-2.517683162057625E-2</c:v>
                </c:pt>
                <c:pt idx="342">
                  <c:v>-2.1579536491339233E-2</c:v>
                </c:pt>
                <c:pt idx="343">
                  <c:v>-1.7982520592017562E-2</c:v>
                </c:pt>
                <c:pt idx="344">
                  <c:v>-1.4385737345662652E-2</c:v>
                </c:pt>
                <c:pt idx="345">
                  <c:v>-1.0789140196402829E-2</c:v>
                </c:pt>
                <c:pt idx="346">
                  <c:v>-7.1926826052210197E-3</c:v>
                </c:pt>
                <c:pt idx="347">
                  <c:v>-3.5963180457385959E-3</c:v>
                </c:pt>
                <c:pt idx="348">
                  <c:v>0</c:v>
                </c:pt>
                <c:pt idx="349">
                  <c:v>3.5963180457385959E-3</c:v>
                </c:pt>
                <c:pt idx="350">
                  <c:v>7.1926826052211594E-3</c:v>
                </c:pt>
                <c:pt idx="351">
                  <c:v>1.078914019640269E-2</c:v>
                </c:pt>
                <c:pt idx="352">
                  <c:v>1.4385737345662652E-2</c:v>
                </c:pt>
                <c:pt idx="353">
                  <c:v>1.7982520592017562E-2</c:v>
                </c:pt>
                <c:pt idx="354">
                  <c:v>2.1579536491339372E-2</c:v>
                </c:pt>
                <c:pt idx="355">
                  <c:v>2.5176831620576112E-2</c:v>
                </c:pt>
                <c:pt idx="356">
                  <c:v>2.8774452581979137E-2</c:v>
                </c:pt>
                <c:pt idx="357">
                  <c:v>3.2372446007333612E-2</c:v>
                </c:pt>
                <c:pt idx="358">
                  <c:v>3.5970858562198581E-2</c:v>
                </c:pt>
                <c:pt idx="359">
                  <c:v>3.9569736950153492E-2</c:v>
                </c:pt>
                <c:pt idx="360">
                  <c:v>4.3169127917055197E-2</c:v>
                </c:pt>
                <c:pt idx="361">
                  <c:v>4.6769078255302139E-2</c:v>
                </c:pt>
                <c:pt idx="362">
                  <c:v>5.03696348081124E-2</c:v>
                </c:pt>
                <c:pt idx="363">
                  <c:v>5.3970844473811931E-2</c:v>
                </c:pt>
                <c:pt idx="364">
                  <c:v>5.757275421013755E-2</c:v>
                </c:pt>
                <c:pt idx="365">
                  <c:v>6.1175411038551106E-2</c:v>
                </c:pt>
                <c:pt idx="366">
                  <c:v>6.4778862048571667E-2</c:v>
                </c:pt>
                <c:pt idx="367">
                  <c:v>6.8383154402121907E-2</c:v>
                </c:pt>
                <c:pt idx="368">
                  <c:v>7.1988335337893561E-2</c:v>
                </c:pt>
                <c:pt idx="369">
                  <c:v>7.5594452175728147E-2</c:v>
                </c:pt>
                <c:pt idx="370">
                  <c:v>7.9201552321019913E-2</c:v>
                </c:pt>
                <c:pt idx="371">
                  <c:v>8.2809683269137277E-2</c:v>
                </c:pt>
                <c:pt idx="372">
                  <c:v>8.641889260986757E-2</c:v>
                </c:pt>
                <c:pt idx="373">
                  <c:v>9.0029228031881417E-2</c:v>
                </c:pt>
                <c:pt idx="374">
                  <c:v>9.3640737327223611E-2</c:v>
                </c:pt>
                <c:pt idx="375">
                  <c:v>9.7253468395826922E-2</c:v>
                </c:pt>
                <c:pt idx="376">
                  <c:v>0.1008674692500537</c:v>
                </c:pt>
                <c:pt idx="377">
                  <c:v>0.10448278801926142</c:v>
                </c:pt>
                <c:pt idx="378">
                  <c:v>0.10809947295439951</c:v>
                </c:pt>
                <c:pt idx="379">
                  <c:v>0.11171757243263346</c:v>
                </c:pt>
                <c:pt idx="380">
                  <c:v>0.11533713496200139</c:v>
                </c:pt>
                <c:pt idx="381">
                  <c:v>0.11895820918609937</c:v>
                </c:pt>
                <c:pt idx="382">
                  <c:v>0.12258084388880255</c:v>
                </c:pt>
                <c:pt idx="383">
                  <c:v>0.12620508799901858</c:v>
                </c:pt>
                <c:pt idx="384">
                  <c:v>0.12983099059547812</c:v>
                </c:pt>
                <c:pt idx="385">
                  <c:v>0.13345860091155928</c:v>
                </c:pt>
                <c:pt idx="386">
                  <c:v>0.13708796834015252</c:v>
                </c:pt>
                <c:pt idx="387">
                  <c:v>0.14071914243856312</c:v>
                </c:pt>
                <c:pt idx="388">
                  <c:v>0.14435217293345595</c:v>
                </c:pt>
                <c:pt idx="389">
                  <c:v>0.14798710972583889</c:v>
                </c:pt>
                <c:pt idx="390">
                  <c:v>0.15162400289609254</c:v>
                </c:pt>
                <c:pt idx="391">
                  <c:v>0.15526290270904256</c:v>
                </c:pt>
                <c:pt idx="392">
                  <c:v>0.15890385961907952</c:v>
                </c:pt>
                <c:pt idx="393">
                  <c:v>0.1625469242753235</c:v>
                </c:pt>
                <c:pt idx="394">
                  <c:v>0.16619214752683986</c:v>
                </c:pt>
                <c:pt idx="395">
                  <c:v>0.16983958042790395</c:v>
                </c:pt>
                <c:pt idx="396">
                  <c:v>0.1734892742433187</c:v>
                </c:pt>
                <c:pt idx="397">
                  <c:v>0.17714128045378297</c:v>
                </c:pt>
                <c:pt idx="398">
                  <c:v>0.18079565076131701</c:v>
                </c:pt>
                <c:pt idx="399">
                  <c:v>0.18445243709474296</c:v>
                </c:pt>
                <c:pt idx="400">
                  <c:v>0.18811169161522445</c:v>
                </c:pt>
                <c:pt idx="401">
                  <c:v>0.1917734667218631</c:v>
                </c:pt>
                <c:pt idx="402">
                  <c:v>0.19543781505735883</c:v>
                </c:pt>
                <c:pt idx="403">
                  <c:v>0.19910478951373109</c:v>
                </c:pt>
                <c:pt idx="404">
                  <c:v>0.20277444323810676</c:v>
                </c:pt>
                <c:pt idx="405">
                  <c:v>0.20644682963857081</c:v>
                </c:pt>
                <c:pt idx="406">
                  <c:v>0.21012200239008824</c:v>
                </c:pt>
                <c:pt idx="407">
                  <c:v>0.2138000154404939</c:v>
                </c:pt>
                <c:pt idx="408">
                  <c:v>0.21748092301655558</c:v>
                </c:pt>
                <c:pt idx="409">
                  <c:v>0.221164779630108</c:v>
                </c:pt>
                <c:pt idx="410">
                  <c:v>0.22485164008426498</c:v>
                </c:pt>
                <c:pt idx="411">
                  <c:v>0.22854155947970711</c:v>
                </c:pt>
                <c:pt idx="412">
                  <c:v>0.23223459322105058</c:v>
                </c:pt>
                <c:pt idx="413">
                  <c:v>0.23593079702329492</c:v>
                </c:pt>
                <c:pt idx="414">
                  <c:v>0.23963022691835645</c:v>
                </c:pt>
                <c:pt idx="415">
                  <c:v>0.24333293926168623</c:v>
                </c:pt>
                <c:pt idx="416">
                  <c:v>0.2470389907389772</c:v>
                </c:pt>
                <c:pt idx="417">
                  <c:v>0.25074843837295846</c:v>
                </c:pt>
                <c:pt idx="418">
                  <c:v>0.25446133953028477</c:v>
                </c:pt>
                <c:pt idx="419">
                  <c:v>0.25817775192851883</c:v>
                </c:pt>
                <c:pt idx="420">
                  <c:v>0.26189773364321228</c:v>
                </c:pt>
                <c:pt idx="421">
                  <c:v>0.26562134311508367</c:v>
                </c:pt>
                <c:pt idx="422">
                  <c:v>0.26934863915729962</c:v>
                </c:pt>
                <c:pt idx="423">
                  <c:v>0.27307968096286084</c:v>
                </c:pt>
                <c:pt idx="424">
                  <c:v>0.27681452811209489</c:v>
                </c:pt>
                <c:pt idx="425">
                  <c:v>0.28055324058025682</c:v>
                </c:pt>
                <c:pt idx="426">
                  <c:v>0.28429587874524437</c:v>
                </c:pt>
                <c:pt idx="427">
                  <c:v>0.28804250339542731</c:v>
                </c:pt>
                <c:pt idx="428">
                  <c:v>0.29179317573759439</c:v>
                </c:pt>
                <c:pt idx="429">
                  <c:v>0.29554795740502249</c:v>
                </c:pt>
                <c:pt idx="430">
                  <c:v>0.29930691046566715</c:v>
                </c:pt>
                <c:pt idx="431">
                  <c:v>0.30307009743048224</c:v>
                </c:pt>
                <c:pt idx="432">
                  <c:v>0.30683758126186828</c:v>
                </c:pt>
                <c:pt idx="433">
                  <c:v>0.31060942538225567</c:v>
                </c:pt>
                <c:pt idx="434">
                  <c:v>0.31438569368282104</c:v>
                </c:pt>
                <c:pt idx="435">
                  <c:v>0.31816645053234688</c:v>
                </c:pt>
                <c:pt idx="436">
                  <c:v>0.32195176078622229</c:v>
                </c:pt>
                <c:pt idx="437">
                  <c:v>0.32574168979559226</c:v>
                </c:pt>
                <c:pt idx="438">
                  <c:v>0.32953630341665485</c:v>
                </c:pt>
                <c:pt idx="439">
                  <c:v>0.33333566802011438</c:v>
                </c:pt>
                <c:pt idx="440">
                  <c:v>0.33713985050079226</c:v>
                </c:pt>
                <c:pt idx="441">
                  <c:v>0.34094891828739998</c:v>
                </c:pt>
                <c:pt idx="442">
                  <c:v>0.34476293935247532</c:v>
                </c:pt>
                <c:pt idx="443">
                  <c:v>0.34858198222249237</c:v>
                </c:pt>
                <c:pt idx="444">
                  <c:v>0.3524061159881422</c:v>
                </c:pt>
                <c:pt idx="445">
                  <c:v>0.35623541031479528</c:v>
                </c:pt>
                <c:pt idx="446">
                  <c:v>0.36006993545314314</c:v>
                </c:pt>
                <c:pt idx="447">
                  <c:v>0.36390976225002963</c:v>
                </c:pt>
                <c:pt idx="448">
                  <c:v>0.3677549621594744</c:v>
                </c:pt>
                <c:pt idx="449">
                  <c:v>0.37160560725389336</c:v>
                </c:pt>
                <c:pt idx="450">
                  <c:v>0.37546177023551847</c:v>
                </c:pt>
                <c:pt idx="451">
                  <c:v>0.3793235244480278</c:v>
                </c:pt>
                <c:pt idx="452">
                  <c:v>0.38319094388838565</c:v>
                </c:pt>
                <c:pt idx="453">
                  <c:v>0.38706410321890156</c:v>
                </c:pt>
                <c:pt idx="454">
                  <c:v>0.39094307777950976</c:v>
                </c:pt>
                <c:pt idx="455">
                  <c:v>0.39482794360028001</c:v>
                </c:pt>
                <c:pt idx="456">
                  <c:v>0.39871877741416084</c:v>
                </c:pt>
                <c:pt idx="457">
                  <c:v>0.40261565666996529</c:v>
                </c:pt>
                <c:pt idx="458">
                  <c:v>0.4065186595455999</c:v>
                </c:pt>
                <c:pt idx="459">
                  <c:v>0.41042786496154915</c:v>
                </c:pt>
                <c:pt idx="460">
                  <c:v>0.41434335259461841</c:v>
                </c:pt>
                <c:pt idx="461">
                  <c:v>0.41826520289194324</c:v>
                </c:pt>
                <c:pt idx="462">
                  <c:v>0.42219349708526982</c:v>
                </c:pt>
                <c:pt idx="463">
                  <c:v>0.42612831720551736</c:v>
                </c:pt>
                <c:pt idx="464">
                  <c:v>0.43006974609762583</c:v>
                </c:pt>
                <c:pt idx="465">
                  <c:v>0.4340178674357012</c:v>
                </c:pt>
                <c:pt idx="466">
                  <c:v>0.43797276573845845</c:v>
                </c:pt>
                <c:pt idx="467">
                  <c:v>0.4419345263849786</c:v>
                </c:pt>
                <c:pt idx="468">
                  <c:v>0.44590323563078271</c:v>
                </c:pt>
                <c:pt idx="469">
                  <c:v>0.44987898062423393</c:v>
                </c:pt>
                <c:pt idx="470">
                  <c:v>0.45386184942327196</c:v>
                </c:pt>
                <c:pt idx="471">
                  <c:v>0.45785193101249527</c:v>
                </c:pt>
                <c:pt idx="472">
                  <c:v>0.46184931532059431</c:v>
                </c:pt>
                <c:pt idx="473">
                  <c:v>0.4658540932381508</c:v>
                </c:pt>
                <c:pt idx="474">
                  <c:v>0.46986635663580567</c:v>
                </c:pt>
                <c:pt idx="475">
                  <c:v>0.47388619838281337</c:v>
                </c:pt>
                <c:pt idx="476">
                  <c:v>0.47791371236598701</c:v>
                </c:pt>
                <c:pt idx="477">
                  <c:v>0.48194899350904996</c:v>
                </c:pt>
                <c:pt idx="478">
                  <c:v>0.48599213779239869</c:v>
                </c:pt>
                <c:pt idx="479">
                  <c:v>0.49004324227329499</c:v>
                </c:pt>
                <c:pt idx="480">
                  <c:v>0.49410240510649461</c:v>
                </c:pt>
                <c:pt idx="481">
                  <c:v>0.49816972556532685</c:v>
                </c:pt>
                <c:pt idx="482">
                  <c:v>0.50224530406323542</c:v>
                </c:pt>
                <c:pt idx="483">
                  <c:v>0.50632924217579534</c:v>
                </c:pt>
                <c:pt idx="484">
                  <c:v>0.51042164266321888</c:v>
                </c:pt>
                <c:pt idx="485">
                  <c:v>0.51452260949336326</c:v>
                </c:pt>
                <c:pt idx="486">
                  <c:v>0.51863224786525508</c:v>
                </c:pt>
                <c:pt idx="487">
                  <c:v>0.52275066423314542</c:v>
                </c:pt>
                <c:pt idx="488">
                  <c:v>0.52687796633111184</c:v>
                </c:pt>
                <c:pt idx="489">
                  <c:v>0.53101426319822265</c:v>
                </c:pt>
                <c:pt idx="490">
                  <c:v>0.53515966520427649</c:v>
                </c:pt>
                <c:pt idx="491">
                  <c:v>0.53931428407614013</c:v>
                </c:pt>
                <c:pt idx="492">
                  <c:v>0.54347823292469388</c:v>
                </c:pt>
                <c:pt idx="493">
                  <c:v>0.54765162627241204</c:v>
                </c:pt>
                <c:pt idx="494">
                  <c:v>0.55183458008158426</c:v>
                </c:pt>
                <c:pt idx="495">
                  <c:v>0.55602721178320957</c:v>
                </c:pt>
                <c:pt idx="496">
                  <c:v>0.56022964030657418</c:v>
                </c:pt>
                <c:pt idx="497">
                  <c:v>0.56444198610953655</c:v>
                </c:pt>
                <c:pt idx="498">
                  <c:v>0.56866437120954061</c:v>
                </c:pt>
                <c:pt idx="499">
                  <c:v>0.57289691921537744</c:v>
                </c:pt>
                <c:pt idx="500">
                  <c:v>0.57713975535972017</c:v>
                </c:pt>
                <c:pt idx="501">
                  <c:v>0.58139300653245585</c:v>
                </c:pt>
                <c:pt idx="502">
                  <c:v>0.585656801314831</c:v>
                </c:pt>
                <c:pt idx="503">
                  <c:v>0.58993127001444812</c:v>
                </c:pt>
                <c:pt idx="504">
                  <c:v>0.59421654470112983</c:v>
                </c:pt>
                <c:pt idx="505">
                  <c:v>0.59851275924367631</c:v>
                </c:pt>
                <c:pt idx="506">
                  <c:v>0.60282004934755651</c:v>
                </c:pt>
                <c:pt idx="507">
                  <c:v>0.60713855259354255</c:v>
                </c:pt>
                <c:pt idx="508">
                  <c:v>0.61146840847733364</c:v>
                </c:pt>
                <c:pt idx="509">
                  <c:v>0.61580975845019303</c:v>
                </c:pt>
                <c:pt idx="510">
                  <c:v>0.62016274596063059</c:v>
                </c:pt>
                <c:pt idx="511">
                  <c:v>0.62452751649716276</c:v>
                </c:pt>
                <c:pt idx="512">
                  <c:v>0.62890421763218995</c:v>
                </c:pt>
                <c:pt idx="513">
                  <c:v>0.63329299906701919</c:v>
                </c:pt>
                <c:pt idx="514">
                  <c:v>0.6376940126780779</c:v>
                </c:pt>
                <c:pt idx="515">
                  <c:v>0.64210741256434611</c:v>
                </c:pt>
                <c:pt idx="516">
                  <c:v>0.64653335509605991</c:v>
                </c:pt>
                <c:pt idx="517">
                  <c:v>0.65097199896471536</c:v>
                </c:pt>
                <c:pt idx="518">
                  <c:v>0.65542350523442661</c:v>
                </c:pt>
                <c:pt idx="519">
                  <c:v>0.65988803739467305</c:v>
                </c:pt>
                <c:pt idx="520">
                  <c:v>0.66436576141448833</c:v>
                </c:pt>
                <c:pt idx="521">
                  <c:v>0.66885684579813964</c:v>
                </c:pt>
                <c:pt idx="522">
                  <c:v>0.67336146164234179</c:v>
                </c:pt>
                <c:pt idx="523">
                  <c:v>0.67787978269506355</c:v>
                </c:pt>
                <c:pt idx="524">
                  <c:v>0.68241198541597936</c:v>
                </c:pt>
                <c:pt idx="525">
                  <c:v>0.68695824903861946</c:v>
                </c:pt>
                <c:pt idx="526">
                  <c:v>0.69151875563428244</c:v>
                </c:pt>
                <c:pt idx="527">
                  <c:v>0.6960936901777649</c:v>
                </c:pt>
                <c:pt idx="528">
                  <c:v>0.70068324061497644</c:v>
                </c:pt>
                <c:pt idx="529">
                  <c:v>0.70528759793250428</c:v>
                </c:pt>
                <c:pt idx="530">
                  <c:v>0.70990695622919808</c:v>
                </c:pt>
                <c:pt idx="531">
                  <c:v>0.7145415127898378</c:v>
                </c:pt>
                <c:pt idx="532">
                  <c:v>0.71919146816097945</c:v>
                </c:pt>
                <c:pt idx="533">
                  <c:v>0.7238570262290237</c:v>
                </c:pt>
                <c:pt idx="534">
                  <c:v>0.72853839430062861</c:v>
                </c:pt>
                <c:pt idx="535">
                  <c:v>0.73323578318551175</c:v>
                </c:pt>
                <c:pt idx="536">
                  <c:v>0.73794940728176162</c:v>
                </c:pt>
                <c:pt idx="537">
                  <c:v>0.74267948466372624</c:v>
                </c:pt>
                <c:pt idx="538">
                  <c:v>0.74742623717258982</c:v>
                </c:pt>
                <c:pt idx="539">
                  <c:v>0.75218989050973062</c:v>
                </c:pt>
                <c:pt idx="540">
                  <c:v>0.75697067433296872</c:v>
                </c:pt>
                <c:pt idx="541">
                  <c:v>0.76176882235580157</c:v>
                </c:pt>
                <c:pt idx="542">
                  <c:v>0.76658457244976175</c:v>
                </c:pt>
                <c:pt idx="543">
                  <c:v>0.77141816674998875</c:v>
                </c:pt>
                <c:pt idx="544">
                  <c:v>0.77626985176416885</c:v>
                </c:pt>
                <c:pt idx="545">
                  <c:v>0.78113987848493949</c:v>
                </c:pt>
                <c:pt idx="546">
                  <c:v>0.78602850250592737</c:v>
                </c:pt>
                <c:pt idx="547">
                  <c:v>0.7909359841415402</c:v>
                </c:pt>
                <c:pt idx="548">
                  <c:v>0.79586258855065695</c:v>
                </c:pt>
                <c:pt idx="549">
                  <c:v>0.80080858586440196</c:v>
                </c:pt>
                <c:pt idx="550">
                  <c:v>0.80577425131812597</c:v>
                </c:pt>
                <c:pt idx="551">
                  <c:v>0.81075986538779188</c:v>
                </c:pt>
                <c:pt idx="552">
                  <c:v>0.81576571393093433</c:v>
                </c:pt>
                <c:pt idx="553">
                  <c:v>0.82079208833238049</c:v>
                </c:pt>
                <c:pt idx="554">
                  <c:v>0.82583928565492504</c:v>
                </c:pt>
                <c:pt idx="555">
                  <c:v>0.83090760879516901</c:v>
                </c:pt>
                <c:pt idx="556">
                  <c:v>0.83599736664473989</c:v>
                </c:pt>
                <c:pt idx="557">
                  <c:v>0.84110887425710779</c:v>
                </c:pt>
                <c:pt idx="558">
                  <c:v>0.84624245302025092</c:v>
                </c:pt>
                <c:pt idx="559">
                  <c:v>0.85139843083539857</c:v>
                </c:pt>
                <c:pt idx="560">
                  <c:v>0.85657714230213899</c:v>
                </c:pt>
                <c:pt idx="561">
                  <c:v>0.86177892891013963</c:v>
                </c:pt>
                <c:pt idx="562">
                  <c:v>0.86700413923779085</c:v>
                </c:pt>
                <c:pt idx="563">
                  <c:v>0.87225312915806497</c:v>
                </c:pt>
                <c:pt idx="564">
                  <c:v>0.87752626205190132</c:v>
                </c:pt>
                <c:pt idx="565">
                  <c:v>0.88282390902948049</c:v>
                </c:pt>
                <c:pt idx="566">
                  <c:v>0.88814644915971153</c:v>
                </c:pt>
                <c:pt idx="567">
                  <c:v>0.89349426970832468</c:v>
                </c:pt>
                <c:pt idx="568">
                  <c:v>0.89886776638494181</c:v>
                </c:pt>
                <c:pt idx="569">
                  <c:v>0.90426734359956806</c:v>
                </c:pt>
                <c:pt idx="570">
                  <c:v>0.90969341472890075</c:v>
                </c:pt>
                <c:pt idx="571">
                  <c:v>0.91514640239295164</c:v>
                </c:pt>
                <c:pt idx="572">
                  <c:v>0.92062673874243972</c:v>
                </c:pt>
                <c:pt idx="573">
                  <c:v>0.92613486575748416</c:v>
                </c:pt>
                <c:pt idx="574">
                  <c:v>0.93167123555812814</c:v>
                </c:pt>
                <c:pt idx="575">
                  <c:v>0.93723631072726121</c:v>
                </c:pt>
                <c:pt idx="576">
                  <c:v>0.94283056464655479</c:v>
                </c:pt>
                <c:pt idx="577">
                  <c:v>0.94845448184602954</c:v>
                </c:pt>
                <c:pt idx="578">
                  <c:v>0.95410855836795683</c:v>
                </c:pt>
                <c:pt idx="579">
                  <c:v>0.95979330214578895</c:v>
                </c:pt>
                <c:pt idx="580">
                  <c:v>0.96550923339883943</c:v>
                </c:pt>
                <c:pt idx="581">
                  <c:v>0.97125688504362617</c:v>
                </c:pt>
                <c:pt idx="582">
                  <c:v>0.97703680312256092</c:v>
                </c:pt>
                <c:pt idx="583">
                  <c:v>0.98284954725105422</c:v>
                </c:pt>
                <c:pt idx="584">
                  <c:v>0.98869569108384014</c:v>
                </c:pt>
                <c:pt idx="585">
                  <c:v>0.99457582280166568</c:v>
                </c:pt>
                <c:pt idx="586">
                  <c:v>1.0004905456193149</c:v>
                </c:pt>
                <c:pt idx="587">
                  <c:v>1.0064404783161693</c:v>
                </c:pt>
                <c:pt idx="588">
                  <c:v>1.0124262557905093</c:v>
                </c:pt>
                <c:pt idx="589">
                  <c:v>1.0184485296388317</c:v>
                </c:pt>
                <c:pt idx="590">
                  <c:v>1.0245079687615979</c:v>
                </c:pt>
                <c:pt idx="591">
                  <c:v>1.0306052599968247</c:v>
                </c:pt>
                <c:pt idx="592">
                  <c:v>1.0367411087831122</c:v>
                </c:pt>
                <c:pt idx="593">
                  <c:v>1.0429162398538068</c:v>
                </c:pt>
                <c:pt idx="594">
                  <c:v>1.0491313979639725</c:v>
                </c:pt>
                <c:pt idx="595">
                  <c:v>1.055387348652183</c:v>
                </c:pt>
                <c:pt idx="596">
                  <c:v>1.0616848790390976</c:v>
                </c:pt>
                <c:pt idx="597">
                  <c:v>1.0680247986649787</c:v>
                </c:pt>
                <c:pt idx="598">
                  <c:v>1.0744079403685023</c:v>
                </c:pt>
                <c:pt idx="599">
                  <c:v>1.0808351612093157</c:v>
                </c:pt>
                <c:pt idx="600">
                  <c:v>1.0873073434369978</c:v>
                </c:pt>
                <c:pt idx="601">
                  <c:v>1.0938253955092736</c:v>
                </c:pt>
                <c:pt idx="602">
                  <c:v>1.1003902531625298</c:v>
                </c:pt>
                <c:pt idx="603">
                  <c:v>1.107002880537908</c:v>
                </c:pt>
                <c:pt idx="604">
                  <c:v>1.1136642713664795</c:v>
                </c:pt>
                <c:pt idx="605">
                  <c:v>1.1203754502173011</c:v>
                </c:pt>
                <c:pt idx="606">
                  <c:v>1.1271374738124025</c:v>
                </c:pt>
                <c:pt idx="607">
                  <c:v>1.1339514324130875</c:v>
                </c:pt>
                <c:pt idx="608">
                  <c:v>1.1408184512822599</c:v>
                </c:pt>
                <c:pt idx="609">
                  <c:v>1.1477396922278678</c:v>
                </c:pt>
                <c:pt idx="610">
                  <c:v>1.1547163552329422</c:v>
                </c:pt>
                <c:pt idx="611">
                  <c:v>1.1617496801781668</c:v>
                </c:pt>
                <c:pt idx="612">
                  <c:v>1.1688409486633706</c:v>
                </c:pt>
                <c:pt idx="613">
                  <c:v>1.1759914859348921</c:v>
                </c:pt>
                <c:pt idx="614">
                  <c:v>1.1832026629263124</c:v>
                </c:pt>
                <c:pt idx="615">
                  <c:v>1.1904758984207013</c:v>
                </c:pt>
                <c:pt idx="616">
                  <c:v>1.1978126613431899</c:v>
                </c:pt>
                <c:pt idx="617">
                  <c:v>1.2052144731934831</c:v>
                </c:pt>
                <c:pt idx="618">
                  <c:v>1.2126829106287231</c:v>
                </c:pt>
                <c:pt idx="619">
                  <c:v>1.2202196082080596</c:v>
                </c:pt>
                <c:pt idx="620">
                  <c:v>1.2278262613112725</c:v>
                </c:pt>
                <c:pt idx="621">
                  <c:v>1.2355046292449565</c:v>
                </c:pt>
                <c:pt idx="622">
                  <c:v>1.2432565385509617</c:v>
                </c:pt>
                <c:pt idx="623">
                  <c:v>1.2510838865332123</c:v>
                </c:pt>
                <c:pt idx="624">
                  <c:v>1.2589886450204808</c:v>
                </c:pt>
                <c:pt idx="625">
                  <c:v>1.26697286438444</c:v>
                </c:pt>
                <c:pt idx="626">
                  <c:v>1.2750386778341529</c:v>
                </c:pt>
                <c:pt idx="627">
                  <c:v>1.2831883060102467</c:v>
                </c:pt>
                <c:pt idx="628">
                  <c:v>1.2914240619043673</c:v>
                </c:pt>
                <c:pt idx="629">
                  <c:v>1.299748356132044</c:v>
                </c:pt>
                <c:pt idx="630">
                  <c:v>1.3081637025900663</c:v>
                </c:pt>
                <c:pt idx="631">
                  <c:v>1.3166727245326566</c:v>
                </c:pt>
                <c:pt idx="632">
                  <c:v>1.3252781611043922</c:v>
                </c:pt>
                <c:pt idx="633">
                  <c:v>1.3339828743718882</c:v>
                </c:pt>
                <c:pt idx="634">
                  <c:v>1.3427898569009062</c:v>
                </c:pt>
                <c:pt idx="635">
                  <c:v>1.3517022399306602</c:v>
                </c:pt>
                <c:pt idx="636">
                  <c:v>1.3607233022030081</c:v>
                </c:pt>
                <c:pt idx="637">
                  <c:v>1.369856479510797</c:v>
                </c:pt>
                <c:pt idx="638">
                  <c:v>1.3791053750371938</c:v>
                </c:pt>
                <c:pt idx="639">
                  <c:v>1.3884737705662995</c:v>
                </c:pt>
                <c:pt idx="640">
                  <c:v>1.3979656386550985</c:v>
                </c:pt>
                <c:pt idx="641">
                  <c:v>1.4075851558679084</c:v>
                </c:pt>
                <c:pt idx="642">
                  <c:v>1.4173367171870725</c:v>
                </c:pt>
                <c:pt idx="643">
                  <c:v>1.4272249517282989</c:v>
                </c:pt>
                <c:pt idx="644">
                  <c:v>1.4372547399055966</c:v>
                </c:pt>
                <c:pt idx="645">
                  <c:v>1.4474312322101404</c:v>
                </c:pt>
                <c:pt idx="646">
                  <c:v>1.457759869789466</c:v>
                </c:pt>
                <c:pt idx="647">
                  <c:v>1.4682464070391823</c:v>
                </c:pt>
                <c:pt idx="648">
                  <c:v>1.4788969364492293</c:v>
                </c:pt>
                <c:pt idx="649">
                  <c:v>1.4897179159814622</c:v>
                </c:pt>
                <c:pt idx="650">
                  <c:v>1.5007161992959648</c:v>
                </c:pt>
                <c:pt idx="651">
                  <c:v>1.5118990691910674</c:v>
                </c:pt>
                <c:pt idx="652">
                  <c:v>1.5232742746779588</c:v>
                </c:pt>
                <c:pt idx="653">
                  <c:v>1.534850072176795</c:v>
                </c:pt>
                <c:pt idx="654">
                  <c:v>1.5466352713992295</c:v>
                </c:pt>
                <c:pt idx="655">
                  <c:v>1.55863928657512</c:v>
                </c:pt>
                <c:pt idx="656">
                  <c:v>1.5708721937917547</c:v>
                </c:pt>
                <c:pt idx="657">
                  <c:v>1.5833447953464825</c:v>
                </c:pt>
                <c:pt idx="658">
                  <c:v>1.5960686921729104</c:v>
                </c:pt>
                <c:pt idx="659">
                  <c:v>1.6090563655933101</c:v>
                </c:pt>
                <c:pt idx="660">
                  <c:v>1.6223212698834055</c:v>
                </c:pt>
                <c:pt idx="661">
                  <c:v>1.6358779374204711</c:v>
                </c:pt>
                <c:pt idx="662">
                  <c:v>1.6497420985347986</c:v>
                </c:pt>
                <c:pt idx="663">
                  <c:v>1.6639308186147159</c:v>
                </c:pt>
                <c:pt idx="664">
                  <c:v>1.6784626555485749</c:v>
                </c:pt>
                <c:pt idx="665">
                  <c:v>1.6933578412519463</c:v>
                </c:pt>
                <c:pt idx="666">
                  <c:v>1.7086384918626105</c:v>
                </c:pt>
                <c:pt idx="667">
                  <c:v>1.7243288522400044</c:v>
                </c:pt>
                <c:pt idx="668">
                  <c:v>1.7404555817471699</c:v>
                </c:pt>
                <c:pt idx="669">
                  <c:v>1.7570480900132046</c:v>
                </c:pt>
                <c:pt idx="670">
                  <c:v>1.7741389335977535</c:v>
                </c:pt>
                <c:pt idx="671">
                  <c:v>1.7917642873785153</c:v>
                </c:pt>
                <c:pt idx="672">
                  <c:v>1.8099645082991047</c:v>
                </c:pt>
                <c:pt idx="673">
                  <c:v>1.8287848141880285</c:v>
                </c:pt>
                <c:pt idx="674">
                  <c:v>1.8482761071770999</c:v>
                </c:pt>
                <c:pt idx="675">
                  <c:v>1.8684959805154608</c:v>
                </c:pt>
                <c:pt idx="676">
                  <c:v>1.8895099603334296</c:v>
                </c:pt>
                <c:pt idx="677">
                  <c:v>1.9113930517135465</c:v>
                </c:pt>
                <c:pt idx="678">
                  <c:v>1.9342316836414382</c:v>
                </c:pt>
                <c:pt idx="679">
                  <c:v>1.9581261837069059</c:v>
                </c:pt>
                <c:pt idx="680">
                  <c:v>1.9831939666186722</c:v>
                </c:pt>
                <c:pt idx="681">
                  <c:v>2.0095737001013063</c:v>
                </c:pt>
                <c:pt idx="682">
                  <c:v>2.037430833207329</c:v>
                </c:pt>
                <c:pt idx="683">
                  <c:v>2.0669650622440625</c:v>
                </c:pt>
                <c:pt idx="684">
                  <c:v>2.0984206155569249</c:v>
                </c:pt>
                <c:pt idx="685">
                  <c:v>2.1321007465617647</c:v>
                </c:pt>
                <c:pt idx="686">
                  <c:v>2.1683886988543026</c:v>
                </c:pt>
                <c:pt idx="687">
                  <c:v>2.2077789754764159</c:v>
                </c:pt>
                <c:pt idx="688">
                  <c:v>2.2509256965027937</c:v>
                </c:pt>
                <c:pt idx="689">
                  <c:v>2.2987207153509441</c:v>
                </c:pt>
                <c:pt idx="690">
                  <c:v>2.3524267483609114</c:v>
                </c:pt>
                <c:pt idx="691">
                  <c:v>2.4139201053449342</c:v>
                </c:pt>
                <c:pt idx="692">
                  <c:v>2.4861739822460107</c:v>
                </c:pt>
                <c:pt idx="693">
                  <c:v>2.5743438231658757</c:v>
                </c:pt>
                <c:pt idx="694">
                  <c:v>2.6886759866657157</c:v>
                </c:pt>
                <c:pt idx="695">
                  <c:v>2.8549647423990074</c:v>
                </c:pt>
                <c:pt idx="696">
                  <c:v>3.1875734310256338</c:v>
                </c:pt>
              </c:numCache>
            </c:numRef>
          </c:xVal>
          <c:yVal>
            <c:numRef>
              <c:f>'F0 - EF0 Analysis'!$H$12:$H$810</c:f>
              <c:numCache>
                <c:formatCode>General</c:formatCode>
                <c:ptCount val="799"/>
                <c:pt idx="0">
                  <c:v>-4.6051701859880909</c:v>
                </c:pt>
                <c:pt idx="1">
                  <c:v>-3.2188758248682006</c:v>
                </c:pt>
                <c:pt idx="2">
                  <c:v>-3.2188758248682006</c:v>
                </c:pt>
                <c:pt idx="3">
                  <c:v>-2.9957322735539909</c:v>
                </c:pt>
                <c:pt idx="4">
                  <c:v>-2.3025850929940455</c:v>
                </c:pt>
                <c:pt idx="5">
                  <c:v>-2.3025850929940455</c:v>
                </c:pt>
                <c:pt idx="6">
                  <c:v>-2.3025850929940455</c:v>
                </c:pt>
                <c:pt idx="7">
                  <c:v>-2.3025850929940455</c:v>
                </c:pt>
                <c:pt idx="8">
                  <c:v>-2.3025850929940455</c:v>
                </c:pt>
                <c:pt idx="9">
                  <c:v>-2.3025850929940455</c:v>
                </c:pt>
                <c:pt idx="10">
                  <c:v>-2.3025850929940455</c:v>
                </c:pt>
                <c:pt idx="11">
                  <c:v>-2.3025850929940455</c:v>
                </c:pt>
                <c:pt idx="12">
                  <c:v>-2.3025850929940455</c:v>
                </c:pt>
                <c:pt idx="13">
                  <c:v>-2.3025850929940455</c:v>
                </c:pt>
                <c:pt idx="14">
                  <c:v>-2.3025850929940455</c:v>
                </c:pt>
                <c:pt idx="15">
                  <c:v>-2.3025850929940455</c:v>
                </c:pt>
                <c:pt idx="16">
                  <c:v>-2.3025850929940455</c:v>
                </c:pt>
                <c:pt idx="17">
                  <c:v>-2.3025850929940455</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-2.3025850929940455</c:v>
                </c:pt>
                <c:pt idx="30">
                  <c:v>-2.3025850929940455</c:v>
                </c:pt>
                <c:pt idx="31">
                  <c:v>-2.3025850929940455</c:v>
                </c:pt>
                <c:pt idx="32">
                  <c:v>-2.3025850929940455</c:v>
                </c:pt>
                <c:pt idx="33">
                  <c:v>-2.3025850929940455</c:v>
                </c:pt>
                <c:pt idx="34">
                  <c:v>-2.3025850929940455</c:v>
                </c:pt>
                <c:pt idx="35">
                  <c:v>-2.3025850929940455</c:v>
                </c:pt>
                <c:pt idx="36">
                  <c:v>-2.3025850929940455</c:v>
                </c:pt>
                <c:pt idx="37">
                  <c:v>-2.3025850929940455</c:v>
                </c:pt>
                <c:pt idx="38">
                  <c:v>-2.3025850929940455</c:v>
                </c:pt>
                <c:pt idx="39">
                  <c:v>-2.3025850929940455</c:v>
                </c:pt>
                <c:pt idx="40">
                  <c:v>-2.3025850929940455</c:v>
                </c:pt>
                <c:pt idx="41">
                  <c:v>-2.3025850929940455</c:v>
                </c:pt>
                <c:pt idx="42">
                  <c:v>-2.3025850929940455</c:v>
                </c:pt>
                <c:pt idx="43">
                  <c:v>-2.3025850929940455</c:v>
                </c:pt>
                <c:pt idx="44">
                  <c:v>-2.3025850929940455</c:v>
                </c:pt>
                <c:pt idx="45">
                  <c:v>-2.3025850929940455</c:v>
                </c:pt>
                <c:pt idx="46">
                  <c:v>-2.3025850929940455</c:v>
                </c:pt>
                <c:pt idx="47">
                  <c:v>-2.3025850929940455</c:v>
                </c:pt>
                <c:pt idx="48">
                  <c:v>-2.3025850929940455</c:v>
                </c:pt>
                <c:pt idx="49">
                  <c:v>-2.3025850929940455</c:v>
                </c:pt>
                <c:pt idx="50">
                  <c:v>-2.3025850929940455</c:v>
                </c:pt>
                <c:pt idx="51">
                  <c:v>-2.3025850929940455</c:v>
                </c:pt>
                <c:pt idx="52">
                  <c:v>-2.3025850929940455</c:v>
                </c:pt>
                <c:pt idx="53">
                  <c:v>-2.3025850929940455</c:v>
                </c:pt>
                <c:pt idx="54">
                  <c:v>-2.3025850929940455</c:v>
                </c:pt>
                <c:pt idx="55">
                  <c:v>-2.3025850929940455</c:v>
                </c:pt>
                <c:pt idx="56">
                  <c:v>-2.3025850929940455</c:v>
                </c:pt>
                <c:pt idx="57">
                  <c:v>-2.3025850929940455</c:v>
                </c:pt>
                <c:pt idx="58">
                  <c:v>-2.3025850929940455</c:v>
                </c:pt>
                <c:pt idx="59">
                  <c:v>-2.3025850929940455</c:v>
                </c:pt>
                <c:pt idx="60">
                  <c:v>-2.3025850929940455</c:v>
                </c:pt>
                <c:pt idx="61">
                  <c:v>-2.3025850929940455</c:v>
                </c:pt>
                <c:pt idx="62">
                  <c:v>-2.3025850929940455</c:v>
                </c:pt>
                <c:pt idx="63">
                  <c:v>-2.3025850929940455</c:v>
                </c:pt>
                <c:pt idx="64">
                  <c:v>-2.3025850929940455</c:v>
                </c:pt>
                <c:pt idx="65">
                  <c:v>-2.3025850929940455</c:v>
                </c:pt>
                <c:pt idx="66">
                  <c:v>-2.3025850929940455</c:v>
                </c:pt>
                <c:pt idx="67">
                  <c:v>-2.3025850929940455</c:v>
                </c:pt>
                <c:pt idx="68">
                  <c:v>-2.3025850929940455</c:v>
                </c:pt>
                <c:pt idx="69">
                  <c:v>-2.3025850929940455</c:v>
                </c:pt>
                <c:pt idx="70">
                  <c:v>-2.3025850929940455</c:v>
                </c:pt>
                <c:pt idx="71">
                  <c:v>-2.3025850929940455</c:v>
                </c:pt>
                <c:pt idx="72">
                  <c:v>-2.3025850929940455</c:v>
                </c:pt>
                <c:pt idx="73">
                  <c:v>-2.3025850929940455</c:v>
                </c:pt>
                <c:pt idx="74">
                  <c:v>-2.3025850929940455</c:v>
                </c:pt>
                <c:pt idx="75">
                  <c:v>-2.3025850929940455</c:v>
                </c:pt>
                <c:pt idx="76">
                  <c:v>-2.3025850929940455</c:v>
                </c:pt>
                <c:pt idx="77">
                  <c:v>-2.3025850929940455</c:v>
                </c:pt>
                <c:pt idx="78">
                  <c:v>-2.3025850929940455</c:v>
                </c:pt>
                <c:pt idx="79">
                  <c:v>-2.3025850929940455</c:v>
                </c:pt>
                <c:pt idx="80">
                  <c:v>-2.3025850929940455</c:v>
                </c:pt>
                <c:pt idx="81">
                  <c:v>-2.3025850929940455</c:v>
                </c:pt>
                <c:pt idx="82">
                  <c:v>-2.3025850929940455</c:v>
                </c:pt>
                <c:pt idx="83">
                  <c:v>-2.3025850929940455</c:v>
                </c:pt>
                <c:pt idx="84">
                  <c:v>-2.3025850929940455</c:v>
                </c:pt>
                <c:pt idx="85">
                  <c:v>-2.3025850929940455</c:v>
                </c:pt>
                <c:pt idx="86">
                  <c:v>-2.3025850929940455</c:v>
                </c:pt>
                <c:pt idx="87">
                  <c:v>-2.3025850929940455</c:v>
                </c:pt>
                <c:pt idx="88">
                  <c:v>-2.3025850929940455</c:v>
                </c:pt>
                <c:pt idx="89">
                  <c:v>-2.3025850929940455</c:v>
                </c:pt>
                <c:pt idx="90">
                  <c:v>-2.3025850929940455</c:v>
                </c:pt>
                <c:pt idx="91">
                  <c:v>-2.3025850929940455</c:v>
                </c:pt>
                <c:pt idx="92">
                  <c:v>-2.3025850929940455</c:v>
                </c:pt>
                <c:pt idx="93">
                  <c:v>-2.3025850929940455</c:v>
                </c:pt>
                <c:pt idx="94">
                  <c:v>-2.3025850929940455</c:v>
                </c:pt>
                <c:pt idx="95">
                  <c:v>-2.3025850929940455</c:v>
                </c:pt>
                <c:pt idx="96">
                  <c:v>-2.3025850929940455</c:v>
                </c:pt>
                <c:pt idx="97">
                  <c:v>-2.3025850929940455</c:v>
                </c:pt>
                <c:pt idx="98">
                  <c:v>-2.3025850929940455</c:v>
                </c:pt>
                <c:pt idx="99">
                  <c:v>-2.3025850929940455</c:v>
                </c:pt>
                <c:pt idx="100">
                  <c:v>-2.3025850929940455</c:v>
                </c:pt>
                <c:pt idx="101">
                  <c:v>-2.3025850929940455</c:v>
                </c:pt>
                <c:pt idx="102">
                  <c:v>-2.3025850929940455</c:v>
                </c:pt>
                <c:pt idx="103">
                  <c:v>-2.3025850929940455</c:v>
                </c:pt>
                <c:pt idx="104">
                  <c:v>-2.3025850929940455</c:v>
                </c:pt>
                <c:pt idx="105">
                  <c:v>-2.3025850929940455</c:v>
                </c:pt>
                <c:pt idx="106">
                  <c:v>-2.3025850929940455</c:v>
                </c:pt>
                <c:pt idx="107">
                  <c:v>-2.3025850929940455</c:v>
                </c:pt>
                <c:pt idx="108">
                  <c:v>-2.3025850929940455</c:v>
                </c:pt>
                <c:pt idx="109">
                  <c:v>-2.3025850929940455</c:v>
                </c:pt>
                <c:pt idx="110">
                  <c:v>-2.3025850929940455</c:v>
                </c:pt>
                <c:pt idx="111">
                  <c:v>-2.3025850929940455</c:v>
                </c:pt>
                <c:pt idx="112">
                  <c:v>-2.3025850929940455</c:v>
                </c:pt>
                <c:pt idx="113">
                  <c:v>-2.3025850929940455</c:v>
                </c:pt>
                <c:pt idx="114">
                  <c:v>-2.3025850929940455</c:v>
                </c:pt>
                <c:pt idx="115">
                  <c:v>-2.3025850929940455</c:v>
                </c:pt>
                <c:pt idx="116">
                  <c:v>-2.3025850929940455</c:v>
                </c:pt>
                <c:pt idx="117">
                  <c:v>-2.3025850929940455</c:v>
                </c:pt>
                <c:pt idx="118">
                  <c:v>-2.3025850929940455</c:v>
                </c:pt>
                <c:pt idx="119">
                  <c:v>-2.3025850929940455</c:v>
                </c:pt>
                <c:pt idx="120">
                  <c:v>-2.3025850929940455</c:v>
                </c:pt>
                <c:pt idx="121">
                  <c:v>-2.3025850929940455</c:v>
                </c:pt>
                <c:pt idx="122">
                  <c:v>-2.3025850929940455</c:v>
                </c:pt>
                <c:pt idx="123">
                  <c:v>-2.3025850929940455</c:v>
                </c:pt>
                <c:pt idx="124">
                  <c:v>-2.3025850929940455</c:v>
                </c:pt>
                <c:pt idx="125">
                  <c:v>-2.3025850929940455</c:v>
                </c:pt>
                <c:pt idx="126">
                  <c:v>-2.3025850929940455</c:v>
                </c:pt>
                <c:pt idx="127">
                  <c:v>-2.3025850929940455</c:v>
                </c:pt>
                <c:pt idx="128">
                  <c:v>-2.3025850929940455</c:v>
                </c:pt>
                <c:pt idx="129">
                  <c:v>-2.3025850929940455</c:v>
                </c:pt>
                <c:pt idx="130">
                  <c:v>-2.3025850929940455</c:v>
                </c:pt>
                <c:pt idx="131">
                  <c:v>-2.3025850929940455</c:v>
                </c:pt>
                <c:pt idx="132">
                  <c:v>-2.3025850929940455</c:v>
                </c:pt>
                <c:pt idx="133">
                  <c:v>-2.3025850929940455</c:v>
                </c:pt>
                <c:pt idx="134">
                  <c:v>-2.3025850929940455</c:v>
                </c:pt>
                <c:pt idx="135">
                  <c:v>-2.3025850929940455</c:v>
                </c:pt>
                <c:pt idx="136">
                  <c:v>-2.3025850929940455</c:v>
                </c:pt>
                <c:pt idx="137">
                  <c:v>-2.3025850929940455</c:v>
                </c:pt>
                <c:pt idx="138">
                  <c:v>-2.3025850929940455</c:v>
                </c:pt>
                <c:pt idx="139">
                  <c:v>-2.3025850929940455</c:v>
                </c:pt>
                <c:pt idx="140">
                  <c:v>-2.3025850929940455</c:v>
                </c:pt>
                <c:pt idx="141">
                  <c:v>-2.3025850929940455</c:v>
                </c:pt>
                <c:pt idx="142">
                  <c:v>-2.3025850929940455</c:v>
                </c:pt>
                <c:pt idx="143">
                  <c:v>-2.3025850929940455</c:v>
                </c:pt>
                <c:pt idx="144">
                  <c:v>-2.3025850929940455</c:v>
                </c:pt>
                <c:pt idx="145">
                  <c:v>-2.3025850929940455</c:v>
                </c:pt>
                <c:pt idx="146">
                  <c:v>-2.3025850929940455</c:v>
                </c:pt>
                <c:pt idx="147">
                  <c:v>-2.3025850929940455</c:v>
                </c:pt>
                <c:pt idx="148">
                  <c:v>-2.3025850929940455</c:v>
                </c:pt>
                <c:pt idx="149">
                  <c:v>-2.3025850929940455</c:v>
                </c:pt>
                <c:pt idx="150">
                  <c:v>-2.3025850929940455</c:v>
                </c:pt>
                <c:pt idx="151">
                  <c:v>-2.3025850929940455</c:v>
                </c:pt>
                <c:pt idx="152">
                  <c:v>-2.3025850929940455</c:v>
                </c:pt>
                <c:pt idx="153">
                  <c:v>-2.3025850929940455</c:v>
                </c:pt>
                <c:pt idx="154">
                  <c:v>-2.3025850929940455</c:v>
                </c:pt>
                <c:pt idx="155">
                  <c:v>-2.3025850929940455</c:v>
                </c:pt>
                <c:pt idx="156">
                  <c:v>-2.3025850929940455</c:v>
                </c:pt>
                <c:pt idx="157">
                  <c:v>-2.3025850929940455</c:v>
                </c:pt>
                <c:pt idx="158">
                  <c:v>-2.3025850929940455</c:v>
                </c:pt>
                <c:pt idx="159">
                  <c:v>-2.3025850929940455</c:v>
                </c:pt>
                <c:pt idx="160">
                  <c:v>-2.3025850929940455</c:v>
                </c:pt>
                <c:pt idx="161">
                  <c:v>-2.3025850929940455</c:v>
                </c:pt>
                <c:pt idx="162">
                  <c:v>-2.3025850929940455</c:v>
                </c:pt>
                <c:pt idx="163">
                  <c:v>-2.3025850929940455</c:v>
                </c:pt>
                <c:pt idx="164">
                  <c:v>-2.3025850929940455</c:v>
                </c:pt>
                <c:pt idx="165">
                  <c:v>-2.3025850929940455</c:v>
                </c:pt>
                <c:pt idx="166">
                  <c:v>-2.3025850929940455</c:v>
                </c:pt>
                <c:pt idx="167">
                  <c:v>-2.3025850929940455</c:v>
                </c:pt>
                <c:pt idx="168">
                  <c:v>-2.3025850929940455</c:v>
                </c:pt>
                <c:pt idx="169">
                  <c:v>-2.3025850929940455</c:v>
                </c:pt>
                <c:pt idx="170">
                  <c:v>-2.3025850929940455</c:v>
                </c:pt>
                <c:pt idx="171">
                  <c:v>-2.3025850929940455</c:v>
                </c:pt>
                <c:pt idx="172">
                  <c:v>-2.3025850929940455</c:v>
                </c:pt>
                <c:pt idx="173">
                  <c:v>-2.3025850929940455</c:v>
                </c:pt>
                <c:pt idx="174">
                  <c:v>-2.3025850929940455</c:v>
                </c:pt>
                <c:pt idx="175">
                  <c:v>-2.3025850929940455</c:v>
                </c:pt>
                <c:pt idx="176">
                  <c:v>-2.3025850929940455</c:v>
                </c:pt>
                <c:pt idx="177">
                  <c:v>-2.3025850929940455</c:v>
                </c:pt>
                <c:pt idx="178">
                  <c:v>-2.3025850929940455</c:v>
                </c:pt>
                <c:pt idx="179">
                  <c:v>-2.3025850929940455</c:v>
                </c:pt>
                <c:pt idx="180">
                  <c:v>-2.3025850929940455</c:v>
                </c:pt>
                <c:pt idx="181">
                  <c:v>-2.3025850929940455</c:v>
                </c:pt>
                <c:pt idx="182">
                  <c:v>-2.3025850929940455</c:v>
                </c:pt>
                <c:pt idx="183">
                  <c:v>-2.3025850929940455</c:v>
                </c:pt>
                <c:pt idx="184">
                  <c:v>-2.3025850929940455</c:v>
                </c:pt>
                <c:pt idx="185">
                  <c:v>-2.3025850929940455</c:v>
                </c:pt>
                <c:pt idx="186">
                  <c:v>-2.3025850929940455</c:v>
                </c:pt>
                <c:pt idx="187">
                  <c:v>-2.3025850929940455</c:v>
                </c:pt>
                <c:pt idx="188">
                  <c:v>-2.3025850929940455</c:v>
                </c:pt>
                <c:pt idx="189">
                  <c:v>-2.3025850929940455</c:v>
                </c:pt>
                <c:pt idx="190">
                  <c:v>-2.3025850929940455</c:v>
                </c:pt>
                <c:pt idx="191">
                  <c:v>-2.3025850929940455</c:v>
                </c:pt>
                <c:pt idx="192">
                  <c:v>-2.3025850929940455</c:v>
                </c:pt>
                <c:pt idx="193">
                  <c:v>-2.3025850929940455</c:v>
                </c:pt>
                <c:pt idx="194">
                  <c:v>-2.3025850929940455</c:v>
                </c:pt>
                <c:pt idx="195">
                  <c:v>-2.3025850929940455</c:v>
                </c:pt>
                <c:pt idx="196">
                  <c:v>-2.3025850929940455</c:v>
                </c:pt>
                <c:pt idx="197">
                  <c:v>-2.3025850929940455</c:v>
                </c:pt>
                <c:pt idx="198">
                  <c:v>-2.3025850929940455</c:v>
                </c:pt>
                <c:pt idx="199">
                  <c:v>-2.3025850929940455</c:v>
                </c:pt>
                <c:pt idx="200">
                  <c:v>-2.3025850929940455</c:v>
                </c:pt>
                <c:pt idx="201">
                  <c:v>-2.3025850929940455</c:v>
                </c:pt>
                <c:pt idx="202">
                  <c:v>-2.3025850929940455</c:v>
                </c:pt>
                <c:pt idx="203">
                  <c:v>-2.3025850929940455</c:v>
                </c:pt>
                <c:pt idx="204">
                  <c:v>-2.3025850929940455</c:v>
                </c:pt>
                <c:pt idx="205">
                  <c:v>-2.3025850929940455</c:v>
                </c:pt>
                <c:pt idx="206">
                  <c:v>-2.3025850929940455</c:v>
                </c:pt>
                <c:pt idx="207">
                  <c:v>-2.3025850929940455</c:v>
                </c:pt>
                <c:pt idx="208">
                  <c:v>-2.3025850929940455</c:v>
                </c:pt>
                <c:pt idx="209">
                  <c:v>-2.3025850929940455</c:v>
                </c:pt>
                <c:pt idx="210">
                  <c:v>-2.3025850929940455</c:v>
                </c:pt>
                <c:pt idx="211">
                  <c:v>-2.3025850929940455</c:v>
                </c:pt>
                <c:pt idx="212">
                  <c:v>-2.3025850929940455</c:v>
                </c:pt>
                <c:pt idx="213">
                  <c:v>-2.3025850929940455</c:v>
                </c:pt>
                <c:pt idx="214">
                  <c:v>-2.3025850929940455</c:v>
                </c:pt>
                <c:pt idx="215">
                  <c:v>-2.3025850929940455</c:v>
                </c:pt>
                <c:pt idx="216">
                  <c:v>-2.3025850929940455</c:v>
                </c:pt>
                <c:pt idx="217">
                  <c:v>-2.3025850929940455</c:v>
                </c:pt>
                <c:pt idx="218">
                  <c:v>-2.3025850929940455</c:v>
                </c:pt>
                <c:pt idx="219">
                  <c:v>-2.3025850929940455</c:v>
                </c:pt>
                <c:pt idx="220">
                  <c:v>-2.3025850929940455</c:v>
                </c:pt>
                <c:pt idx="221">
                  <c:v>-2.3025850929940455</c:v>
                </c:pt>
                <c:pt idx="222">
                  <c:v>-2.3025850929940455</c:v>
                </c:pt>
                <c:pt idx="223">
                  <c:v>-2.3025850929940455</c:v>
                </c:pt>
                <c:pt idx="224">
                  <c:v>-2.3025850929940455</c:v>
                </c:pt>
                <c:pt idx="225">
                  <c:v>-2.3025850929940455</c:v>
                </c:pt>
                <c:pt idx="226">
                  <c:v>-2.3025850929940455</c:v>
                </c:pt>
                <c:pt idx="227">
                  <c:v>-2.3025850929940455</c:v>
                </c:pt>
                <c:pt idx="228">
                  <c:v>-2.3025850929940455</c:v>
                </c:pt>
                <c:pt idx="229">
                  <c:v>-2.3025850929940455</c:v>
                </c:pt>
                <c:pt idx="230">
                  <c:v>-2.2072749131897207</c:v>
                </c:pt>
                <c:pt idx="231">
                  <c:v>-2.2072749131897207</c:v>
                </c:pt>
                <c:pt idx="232">
                  <c:v>-2.2072749131897207</c:v>
                </c:pt>
                <c:pt idx="233">
                  <c:v>-2.0402208285265546</c:v>
                </c:pt>
                <c:pt idx="234">
                  <c:v>-1.9661128563728327</c:v>
                </c:pt>
                <c:pt idx="235">
                  <c:v>-1.8325814637483102</c:v>
                </c:pt>
                <c:pt idx="236">
                  <c:v>-1.7719568419318752</c:v>
                </c:pt>
                <c:pt idx="237">
                  <c:v>-1.6094379124341003</c:v>
                </c:pt>
                <c:pt idx="238">
                  <c:v>-1.6094379124341003</c:v>
                </c:pt>
                <c:pt idx="239">
                  <c:v>-1.6094379124341003</c:v>
                </c:pt>
                <c:pt idx="240">
                  <c:v>-1.6094379124341003</c:v>
                </c:pt>
                <c:pt idx="241">
                  <c:v>-1.6094379124341003</c:v>
                </c:pt>
                <c:pt idx="242">
                  <c:v>-1.6094379124341003</c:v>
                </c:pt>
                <c:pt idx="243">
                  <c:v>-1.6094379124341003</c:v>
                </c:pt>
                <c:pt idx="244">
                  <c:v>-1.6094379124341003</c:v>
                </c:pt>
                <c:pt idx="245">
                  <c:v>-1.6094379124341003</c:v>
                </c:pt>
                <c:pt idx="246">
                  <c:v>-1.6094379124341003</c:v>
                </c:pt>
                <c:pt idx="247">
                  <c:v>-1.6094379124341003</c:v>
                </c:pt>
                <c:pt idx="248">
                  <c:v>-1.6094379124341003</c:v>
                </c:pt>
                <c:pt idx="249">
                  <c:v>-1.6094379124341003</c:v>
                </c:pt>
                <c:pt idx="250">
                  <c:v>-1.6094379124341003</c:v>
                </c:pt>
                <c:pt idx="251">
                  <c:v>-1.6094379124341003</c:v>
                </c:pt>
                <c:pt idx="252">
                  <c:v>-1.6094379124341003</c:v>
                </c:pt>
                <c:pt idx="253">
                  <c:v>-1.6094379124341003</c:v>
                </c:pt>
                <c:pt idx="254">
                  <c:v>-1.6094379124341003</c:v>
                </c:pt>
                <c:pt idx="255">
                  <c:v>-1.6094379124341003</c:v>
                </c:pt>
                <c:pt idx="256">
                  <c:v>-1.6094379124341003</c:v>
                </c:pt>
                <c:pt idx="257">
                  <c:v>-1.6094379124341003</c:v>
                </c:pt>
                <c:pt idx="258">
                  <c:v>-1.6094379124341003</c:v>
                </c:pt>
                <c:pt idx="259">
                  <c:v>-1.6094379124341003</c:v>
                </c:pt>
                <c:pt idx="260">
                  <c:v>-1.6094379124341003</c:v>
                </c:pt>
                <c:pt idx="261">
                  <c:v>-1.6094379124341003</c:v>
                </c:pt>
                <c:pt idx="262">
                  <c:v>-1.6094379124341003</c:v>
                </c:pt>
                <c:pt idx="263">
                  <c:v>-1.6094379124341003</c:v>
                </c:pt>
                <c:pt idx="264">
                  <c:v>-1.6094379124341003</c:v>
                </c:pt>
                <c:pt idx="265">
                  <c:v>-1.6094379124341003</c:v>
                </c:pt>
                <c:pt idx="266">
                  <c:v>-1.6094379124341003</c:v>
                </c:pt>
                <c:pt idx="267">
                  <c:v>-1.6094379124341003</c:v>
                </c:pt>
                <c:pt idx="268">
                  <c:v>-1.6094379124341003</c:v>
                </c:pt>
                <c:pt idx="269">
                  <c:v>-1.6094379124341003</c:v>
                </c:pt>
                <c:pt idx="270">
                  <c:v>-1.6094379124341003</c:v>
                </c:pt>
                <c:pt idx="271">
                  <c:v>-1.6094379124341003</c:v>
                </c:pt>
                <c:pt idx="272">
                  <c:v>-1.6094379124341003</c:v>
                </c:pt>
                <c:pt idx="273">
                  <c:v>-1.6094379124341003</c:v>
                </c:pt>
                <c:pt idx="274">
                  <c:v>-1.6094379124341003</c:v>
                </c:pt>
                <c:pt idx="275">
                  <c:v>-1.6094379124341003</c:v>
                </c:pt>
                <c:pt idx="276">
                  <c:v>-1.6094379124341003</c:v>
                </c:pt>
                <c:pt idx="277">
                  <c:v>-1.6094379124341003</c:v>
                </c:pt>
                <c:pt idx="278">
                  <c:v>-1.6094379124341003</c:v>
                </c:pt>
                <c:pt idx="279">
                  <c:v>-1.6094379124341003</c:v>
                </c:pt>
                <c:pt idx="280">
                  <c:v>-1.6094379124341003</c:v>
                </c:pt>
                <c:pt idx="281">
                  <c:v>-1.6094379124341003</c:v>
                </c:pt>
                <c:pt idx="282">
                  <c:v>-1.6094379124341003</c:v>
                </c:pt>
                <c:pt idx="283">
                  <c:v>-1.6094379124341003</c:v>
                </c:pt>
                <c:pt idx="284">
                  <c:v>-1.6094379124341003</c:v>
                </c:pt>
                <c:pt idx="285">
                  <c:v>-1.6094379124341003</c:v>
                </c:pt>
                <c:pt idx="286">
                  <c:v>-1.6094379124341003</c:v>
                </c:pt>
                <c:pt idx="287">
                  <c:v>-1.6094379124341003</c:v>
                </c:pt>
                <c:pt idx="288">
                  <c:v>-1.6094379124341003</c:v>
                </c:pt>
                <c:pt idx="289">
                  <c:v>-1.6094379124341003</c:v>
                </c:pt>
                <c:pt idx="290">
                  <c:v>-1.6094379124341003</c:v>
                </c:pt>
                <c:pt idx="291">
                  <c:v>-1.6094379124341003</c:v>
                </c:pt>
                <c:pt idx="292">
                  <c:v>-1.6094379124341003</c:v>
                </c:pt>
                <c:pt idx="293">
                  <c:v>-1.5606477482646683</c:v>
                </c:pt>
                <c:pt idx="294">
                  <c:v>-1.5141277326297755</c:v>
                </c:pt>
                <c:pt idx="295">
                  <c:v>-1.4696759700589417</c:v>
                </c:pt>
                <c:pt idx="296">
                  <c:v>-1.3862943611198906</c:v>
                </c:pt>
                <c:pt idx="297">
                  <c:v>-1.3862943611198906</c:v>
                </c:pt>
                <c:pt idx="298">
                  <c:v>-1.3862943611198906</c:v>
                </c:pt>
                <c:pt idx="299">
                  <c:v>-1.3862943611198906</c:v>
                </c:pt>
                <c:pt idx="300">
                  <c:v>-1.3470736479666092</c:v>
                </c:pt>
                <c:pt idx="301">
                  <c:v>-1.3093333199837622</c:v>
                </c:pt>
                <c:pt idx="302">
                  <c:v>-1.2039728043259361</c:v>
                </c:pt>
                <c:pt idx="303">
                  <c:v>-1.2039728043259361</c:v>
                </c:pt>
                <c:pt idx="304">
                  <c:v>-1.2039728043259361</c:v>
                </c:pt>
                <c:pt idx="305">
                  <c:v>-1.2039728043259361</c:v>
                </c:pt>
                <c:pt idx="306">
                  <c:v>-1.2039728043259361</c:v>
                </c:pt>
                <c:pt idx="307">
                  <c:v>-1.2039728043259361</c:v>
                </c:pt>
                <c:pt idx="308">
                  <c:v>-1.2039728043259361</c:v>
                </c:pt>
                <c:pt idx="309">
                  <c:v>-1.2039728043259361</c:v>
                </c:pt>
                <c:pt idx="310">
                  <c:v>-1.2039728043259361</c:v>
                </c:pt>
                <c:pt idx="311">
                  <c:v>-1.2039728043259361</c:v>
                </c:pt>
                <c:pt idx="312">
                  <c:v>-1.2039728043259361</c:v>
                </c:pt>
                <c:pt idx="313">
                  <c:v>-1.2039728043259361</c:v>
                </c:pt>
                <c:pt idx="314">
                  <c:v>-1.2039728043259361</c:v>
                </c:pt>
                <c:pt idx="315">
                  <c:v>-1.2039728043259361</c:v>
                </c:pt>
                <c:pt idx="316">
                  <c:v>-1.2039728043259361</c:v>
                </c:pt>
                <c:pt idx="317">
                  <c:v>-1.2039728043259361</c:v>
                </c:pt>
                <c:pt idx="318">
                  <c:v>-1.2039728043259361</c:v>
                </c:pt>
                <c:pt idx="319">
                  <c:v>-1.2039728043259361</c:v>
                </c:pt>
                <c:pt idx="320">
                  <c:v>-1.2039728043259361</c:v>
                </c:pt>
                <c:pt idx="321">
                  <c:v>-1.2039728043259361</c:v>
                </c:pt>
                <c:pt idx="322">
                  <c:v>-1.2039728043259361</c:v>
                </c:pt>
                <c:pt idx="323">
                  <c:v>-1.2039728043259361</c:v>
                </c:pt>
                <c:pt idx="324">
                  <c:v>-1.2039728043259361</c:v>
                </c:pt>
                <c:pt idx="325">
                  <c:v>-1.2039728043259361</c:v>
                </c:pt>
                <c:pt idx="326">
                  <c:v>-1.2039728043259361</c:v>
                </c:pt>
                <c:pt idx="327">
                  <c:v>-1.2039728043259361</c:v>
                </c:pt>
                <c:pt idx="328">
                  <c:v>-1.2039728043259361</c:v>
                </c:pt>
                <c:pt idx="329">
                  <c:v>-1.2039728043259361</c:v>
                </c:pt>
                <c:pt idx="330">
                  <c:v>-1.2039728043259361</c:v>
                </c:pt>
                <c:pt idx="331">
                  <c:v>-1.2039728043259361</c:v>
                </c:pt>
                <c:pt idx="332">
                  <c:v>-1.2039728043259361</c:v>
                </c:pt>
                <c:pt idx="333">
                  <c:v>-1.2039728043259361</c:v>
                </c:pt>
                <c:pt idx="334">
                  <c:v>-1.2039728043259361</c:v>
                </c:pt>
                <c:pt idx="335">
                  <c:v>-1.1394342831883648</c:v>
                </c:pt>
                <c:pt idx="336">
                  <c:v>-0.96758402626170559</c:v>
                </c:pt>
                <c:pt idx="337">
                  <c:v>-0.96758402626170559</c:v>
                </c:pt>
                <c:pt idx="338">
                  <c:v>-0.916290731874155</c:v>
                </c:pt>
                <c:pt idx="339">
                  <c:v>-0.916290731874155</c:v>
                </c:pt>
                <c:pt idx="340">
                  <c:v>-0.916290731874155</c:v>
                </c:pt>
                <c:pt idx="341">
                  <c:v>-0.916290731874155</c:v>
                </c:pt>
                <c:pt idx="342">
                  <c:v>-0.916290731874155</c:v>
                </c:pt>
                <c:pt idx="343">
                  <c:v>-0.916290731874155</c:v>
                </c:pt>
                <c:pt idx="344">
                  <c:v>-0.82098055206983023</c:v>
                </c:pt>
                <c:pt idx="345">
                  <c:v>-0.71334988787746478</c:v>
                </c:pt>
                <c:pt idx="346">
                  <c:v>-0.69314718055994529</c:v>
                </c:pt>
                <c:pt idx="347">
                  <c:v>-0.69314718055994529</c:v>
                </c:pt>
                <c:pt idx="348">
                  <c:v>-0.69314718055994529</c:v>
                </c:pt>
                <c:pt idx="349">
                  <c:v>-0.69314718055994529</c:v>
                </c:pt>
                <c:pt idx="350">
                  <c:v>-0.69314718055994529</c:v>
                </c:pt>
                <c:pt idx="351">
                  <c:v>-0.69314718055994529</c:v>
                </c:pt>
                <c:pt idx="352">
                  <c:v>-0.69314718055994529</c:v>
                </c:pt>
                <c:pt idx="353">
                  <c:v>-0.69314718055994529</c:v>
                </c:pt>
                <c:pt idx="354">
                  <c:v>-0.69314718055994529</c:v>
                </c:pt>
                <c:pt idx="355">
                  <c:v>-0.69314718055994529</c:v>
                </c:pt>
                <c:pt idx="356">
                  <c:v>-0.69314718055994529</c:v>
                </c:pt>
                <c:pt idx="357">
                  <c:v>-0.69314718055994529</c:v>
                </c:pt>
                <c:pt idx="358">
                  <c:v>-0.69314718055994529</c:v>
                </c:pt>
                <c:pt idx="359">
                  <c:v>-0.69314718055994529</c:v>
                </c:pt>
                <c:pt idx="360">
                  <c:v>-0.69314718055994529</c:v>
                </c:pt>
                <c:pt idx="361">
                  <c:v>-0.69314718055994529</c:v>
                </c:pt>
                <c:pt idx="362">
                  <c:v>-0.69314718055994529</c:v>
                </c:pt>
                <c:pt idx="363">
                  <c:v>-0.69314718055994529</c:v>
                </c:pt>
                <c:pt idx="364">
                  <c:v>-0.69314718055994529</c:v>
                </c:pt>
                <c:pt idx="365">
                  <c:v>-0.69314718055994529</c:v>
                </c:pt>
                <c:pt idx="366">
                  <c:v>-0.69314718055994529</c:v>
                </c:pt>
                <c:pt idx="367">
                  <c:v>-0.69314718055994529</c:v>
                </c:pt>
                <c:pt idx="368">
                  <c:v>-0.69314718055994529</c:v>
                </c:pt>
                <c:pt idx="369">
                  <c:v>-0.69314718055994529</c:v>
                </c:pt>
                <c:pt idx="370">
                  <c:v>-0.69314718055994529</c:v>
                </c:pt>
                <c:pt idx="371">
                  <c:v>-0.69314718055994529</c:v>
                </c:pt>
                <c:pt idx="372">
                  <c:v>-0.69314718055994529</c:v>
                </c:pt>
                <c:pt idx="373">
                  <c:v>-0.69314718055994529</c:v>
                </c:pt>
                <c:pt idx="374">
                  <c:v>-0.69314718055994529</c:v>
                </c:pt>
                <c:pt idx="375">
                  <c:v>-0.69314718055994529</c:v>
                </c:pt>
                <c:pt idx="376">
                  <c:v>-0.69314718055994529</c:v>
                </c:pt>
                <c:pt idx="377">
                  <c:v>-0.69314718055994529</c:v>
                </c:pt>
                <c:pt idx="378">
                  <c:v>-0.69314718055994529</c:v>
                </c:pt>
                <c:pt idx="379">
                  <c:v>-0.69314718055994529</c:v>
                </c:pt>
                <c:pt idx="380">
                  <c:v>-0.69314718055994529</c:v>
                </c:pt>
                <c:pt idx="381">
                  <c:v>-0.69314718055994529</c:v>
                </c:pt>
                <c:pt idx="382">
                  <c:v>-0.69314718055994529</c:v>
                </c:pt>
                <c:pt idx="383">
                  <c:v>-0.69314718055994529</c:v>
                </c:pt>
                <c:pt idx="384">
                  <c:v>-0.69314718055994529</c:v>
                </c:pt>
                <c:pt idx="385">
                  <c:v>-0.69314718055994529</c:v>
                </c:pt>
                <c:pt idx="386">
                  <c:v>-0.69314718055994529</c:v>
                </c:pt>
                <c:pt idx="387">
                  <c:v>-0.69314718055994529</c:v>
                </c:pt>
                <c:pt idx="388">
                  <c:v>-0.69314718055994529</c:v>
                </c:pt>
                <c:pt idx="389">
                  <c:v>-0.69314718055994529</c:v>
                </c:pt>
                <c:pt idx="390">
                  <c:v>-0.69314718055994529</c:v>
                </c:pt>
                <c:pt idx="391">
                  <c:v>-0.69314718055994529</c:v>
                </c:pt>
                <c:pt idx="392">
                  <c:v>-0.69314718055994529</c:v>
                </c:pt>
                <c:pt idx="393">
                  <c:v>-0.69314718055994529</c:v>
                </c:pt>
                <c:pt idx="394">
                  <c:v>-0.69314718055994529</c:v>
                </c:pt>
                <c:pt idx="395">
                  <c:v>-0.69314718055994529</c:v>
                </c:pt>
                <c:pt idx="396">
                  <c:v>-0.69314718055994529</c:v>
                </c:pt>
                <c:pt idx="397">
                  <c:v>-0.69314718055994529</c:v>
                </c:pt>
                <c:pt idx="398">
                  <c:v>-0.69314718055994529</c:v>
                </c:pt>
                <c:pt idx="399">
                  <c:v>-0.69314718055994529</c:v>
                </c:pt>
                <c:pt idx="400">
                  <c:v>-0.69314718055994529</c:v>
                </c:pt>
                <c:pt idx="401">
                  <c:v>-0.69314718055994529</c:v>
                </c:pt>
                <c:pt idx="402">
                  <c:v>-0.69314718055994529</c:v>
                </c:pt>
                <c:pt idx="403">
                  <c:v>-0.69314718055994529</c:v>
                </c:pt>
                <c:pt idx="404">
                  <c:v>-0.69314718055994529</c:v>
                </c:pt>
                <c:pt idx="405">
                  <c:v>-0.69314718055994529</c:v>
                </c:pt>
                <c:pt idx="406">
                  <c:v>-0.69314718055994529</c:v>
                </c:pt>
                <c:pt idx="407">
                  <c:v>-0.69314718055994529</c:v>
                </c:pt>
                <c:pt idx="408">
                  <c:v>-0.69314718055994529</c:v>
                </c:pt>
                <c:pt idx="409">
                  <c:v>-0.69314718055994529</c:v>
                </c:pt>
                <c:pt idx="410">
                  <c:v>-0.69314718055994529</c:v>
                </c:pt>
                <c:pt idx="411">
                  <c:v>-0.69314718055994529</c:v>
                </c:pt>
                <c:pt idx="412">
                  <c:v>-0.69314718055994529</c:v>
                </c:pt>
                <c:pt idx="413">
                  <c:v>-0.69314718055994529</c:v>
                </c:pt>
                <c:pt idx="414">
                  <c:v>-0.69314718055994529</c:v>
                </c:pt>
                <c:pt idx="415">
                  <c:v>-0.69314718055994529</c:v>
                </c:pt>
                <c:pt idx="416">
                  <c:v>-0.69314718055994529</c:v>
                </c:pt>
                <c:pt idx="417">
                  <c:v>-0.69314718055994529</c:v>
                </c:pt>
                <c:pt idx="418">
                  <c:v>-0.69314718055994529</c:v>
                </c:pt>
                <c:pt idx="419">
                  <c:v>-0.69314718055994529</c:v>
                </c:pt>
                <c:pt idx="420">
                  <c:v>-0.69314718055994529</c:v>
                </c:pt>
                <c:pt idx="421">
                  <c:v>-0.69314718055994529</c:v>
                </c:pt>
                <c:pt idx="422">
                  <c:v>-0.69314718055994529</c:v>
                </c:pt>
                <c:pt idx="423">
                  <c:v>-0.69314718055994529</c:v>
                </c:pt>
                <c:pt idx="424">
                  <c:v>-0.69314718055994529</c:v>
                </c:pt>
                <c:pt idx="425">
                  <c:v>-0.69314718055994529</c:v>
                </c:pt>
                <c:pt idx="426">
                  <c:v>-0.69314718055994529</c:v>
                </c:pt>
                <c:pt idx="427">
                  <c:v>-0.69314718055994529</c:v>
                </c:pt>
                <c:pt idx="428">
                  <c:v>-0.69314718055994529</c:v>
                </c:pt>
                <c:pt idx="429">
                  <c:v>-0.69314718055994529</c:v>
                </c:pt>
                <c:pt idx="430">
                  <c:v>-0.69314718055994529</c:v>
                </c:pt>
                <c:pt idx="431">
                  <c:v>-0.69314718055994529</c:v>
                </c:pt>
                <c:pt idx="432">
                  <c:v>-0.69314718055994529</c:v>
                </c:pt>
                <c:pt idx="433">
                  <c:v>-0.69314718055994529</c:v>
                </c:pt>
                <c:pt idx="434">
                  <c:v>-0.69314718055994529</c:v>
                </c:pt>
                <c:pt idx="435">
                  <c:v>-0.67334455326376563</c:v>
                </c:pt>
                <c:pt idx="436">
                  <c:v>-0.65392646740666394</c:v>
                </c:pt>
                <c:pt idx="437">
                  <c:v>-0.65392646740666394</c:v>
                </c:pt>
                <c:pt idx="438">
                  <c:v>-0.6348782724359695</c:v>
                </c:pt>
                <c:pt idx="439">
                  <c:v>-0.6348782724359695</c:v>
                </c:pt>
                <c:pt idx="440">
                  <c:v>-0.59783700075562041</c:v>
                </c:pt>
                <c:pt idx="441">
                  <c:v>-0.59783700075562041</c:v>
                </c:pt>
                <c:pt idx="442">
                  <c:v>-0.57981849525294205</c:v>
                </c:pt>
                <c:pt idx="443">
                  <c:v>-0.57981849525294205</c:v>
                </c:pt>
                <c:pt idx="444">
                  <c:v>-0.56211891815354131</c:v>
                </c:pt>
                <c:pt idx="445">
                  <c:v>-0.52763274208237199</c:v>
                </c:pt>
                <c:pt idx="446">
                  <c:v>-0.51082562376599072</c:v>
                </c:pt>
                <c:pt idx="447">
                  <c:v>-0.51082562376599072</c:v>
                </c:pt>
                <c:pt idx="448">
                  <c:v>-0.51082562376599072</c:v>
                </c:pt>
                <c:pt idx="449">
                  <c:v>-0.51082562376599072</c:v>
                </c:pt>
                <c:pt idx="450">
                  <c:v>-0.51082562376599072</c:v>
                </c:pt>
                <c:pt idx="451">
                  <c:v>-0.51082562376599072</c:v>
                </c:pt>
                <c:pt idx="452">
                  <c:v>-0.51082562376599072</c:v>
                </c:pt>
                <c:pt idx="453">
                  <c:v>-0.35667494393873245</c:v>
                </c:pt>
                <c:pt idx="454">
                  <c:v>-0.35667494393873245</c:v>
                </c:pt>
                <c:pt idx="455">
                  <c:v>-0.35667494393873245</c:v>
                </c:pt>
                <c:pt idx="456">
                  <c:v>-0.2876820724517809</c:v>
                </c:pt>
                <c:pt idx="457">
                  <c:v>-0.2876820724517809</c:v>
                </c:pt>
                <c:pt idx="458">
                  <c:v>-0.22314355131420971</c:v>
                </c:pt>
                <c:pt idx="459">
                  <c:v>-0.22314355131420971</c:v>
                </c:pt>
                <c:pt idx="460">
                  <c:v>-0.22314355131420971</c:v>
                </c:pt>
                <c:pt idx="461">
                  <c:v>-0.22314355131420971</c:v>
                </c:pt>
                <c:pt idx="462">
                  <c:v>-0.22314355131420971</c:v>
                </c:pt>
                <c:pt idx="463">
                  <c:v>-0.22314355131420971</c:v>
                </c:pt>
                <c:pt idx="464">
                  <c:v>-0.19845093872383832</c:v>
                </c:pt>
                <c:pt idx="465">
                  <c:v>-0.10536051565782628</c:v>
                </c:pt>
                <c:pt idx="466">
                  <c:v>-0.10536051565782628</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9.950330853168092E-3</c:v>
                </c:pt>
                <c:pt idx="536">
                  <c:v>4.8790164169432049E-2</c:v>
                </c:pt>
                <c:pt idx="537">
                  <c:v>5.8268908123975824E-2</c:v>
                </c:pt>
                <c:pt idx="538">
                  <c:v>8.6177696241052412E-2</c:v>
                </c:pt>
                <c:pt idx="539">
                  <c:v>9.5310179804324935E-2</c:v>
                </c:pt>
                <c:pt idx="540">
                  <c:v>0.11332868530700327</c:v>
                </c:pt>
                <c:pt idx="541">
                  <c:v>0.11332868530700327</c:v>
                </c:pt>
                <c:pt idx="542">
                  <c:v>0.18232155679395459</c:v>
                </c:pt>
                <c:pt idx="543">
                  <c:v>0.18232155679395459</c:v>
                </c:pt>
                <c:pt idx="544">
                  <c:v>0.18232155679395459</c:v>
                </c:pt>
                <c:pt idx="545">
                  <c:v>0.18232155679395459</c:v>
                </c:pt>
                <c:pt idx="546">
                  <c:v>0.18232155679395459</c:v>
                </c:pt>
                <c:pt idx="547">
                  <c:v>0.20701416938432612</c:v>
                </c:pt>
                <c:pt idx="548">
                  <c:v>0.23111172096338664</c:v>
                </c:pt>
                <c:pt idx="549">
                  <c:v>0.24686007793152581</c:v>
                </c:pt>
                <c:pt idx="550">
                  <c:v>0.25464221837358075</c:v>
                </c:pt>
                <c:pt idx="551">
                  <c:v>0.26236426446749106</c:v>
                </c:pt>
                <c:pt idx="552">
                  <c:v>0.26236426446749106</c:v>
                </c:pt>
                <c:pt idx="553">
                  <c:v>0.29266961396282004</c:v>
                </c:pt>
                <c:pt idx="554">
                  <c:v>0.32208349916911322</c:v>
                </c:pt>
                <c:pt idx="555">
                  <c:v>0.33647223662121289</c:v>
                </c:pt>
                <c:pt idx="556">
                  <c:v>0.33647223662121289</c:v>
                </c:pt>
                <c:pt idx="557">
                  <c:v>0.39877611995736778</c:v>
                </c:pt>
                <c:pt idx="558">
                  <c:v>0.40546510810816438</c:v>
                </c:pt>
                <c:pt idx="559">
                  <c:v>0.40546510810816438</c:v>
                </c:pt>
                <c:pt idx="560">
                  <c:v>0.40546510810816438</c:v>
                </c:pt>
                <c:pt idx="561">
                  <c:v>0.40546510810816438</c:v>
                </c:pt>
                <c:pt idx="562">
                  <c:v>0.40546510810816438</c:v>
                </c:pt>
                <c:pt idx="563">
                  <c:v>0.40546510810816438</c:v>
                </c:pt>
                <c:pt idx="564">
                  <c:v>0.40546510810816438</c:v>
                </c:pt>
                <c:pt idx="565">
                  <c:v>0.40546510810816438</c:v>
                </c:pt>
                <c:pt idx="566">
                  <c:v>0.40546510810816438</c:v>
                </c:pt>
                <c:pt idx="567">
                  <c:v>0.40546510810816438</c:v>
                </c:pt>
                <c:pt idx="568">
                  <c:v>0.40546510810816438</c:v>
                </c:pt>
                <c:pt idx="569">
                  <c:v>0.40546510810816438</c:v>
                </c:pt>
                <c:pt idx="570">
                  <c:v>0.42526773540434409</c:v>
                </c:pt>
                <c:pt idx="571">
                  <c:v>0.50077528791248915</c:v>
                </c:pt>
                <c:pt idx="572">
                  <c:v>0.53062825106217038</c:v>
                </c:pt>
                <c:pt idx="573">
                  <c:v>0.5481214085096876</c:v>
                </c:pt>
                <c:pt idx="574">
                  <c:v>0.55961578793542266</c:v>
                </c:pt>
                <c:pt idx="575">
                  <c:v>0.5709795465857378</c:v>
                </c:pt>
                <c:pt idx="576">
                  <c:v>0.58778666490211906</c:v>
                </c:pt>
                <c:pt idx="577">
                  <c:v>0.59883650108870401</c:v>
                </c:pt>
                <c:pt idx="578">
                  <c:v>0.60431596685332956</c:v>
                </c:pt>
                <c:pt idx="579">
                  <c:v>0.64185388617239469</c:v>
                </c:pt>
                <c:pt idx="580">
                  <c:v>0.64185388617239469</c:v>
                </c:pt>
                <c:pt idx="581">
                  <c:v>0.69314718055994529</c:v>
                </c:pt>
                <c:pt idx="582">
                  <c:v>0.69314718055994529</c:v>
                </c:pt>
                <c:pt idx="583">
                  <c:v>0.69314718055994529</c:v>
                </c:pt>
                <c:pt idx="584">
                  <c:v>0.69314718055994529</c:v>
                </c:pt>
                <c:pt idx="585">
                  <c:v>0.69314718055994529</c:v>
                </c:pt>
                <c:pt idx="586">
                  <c:v>0.69314718055994529</c:v>
                </c:pt>
                <c:pt idx="587">
                  <c:v>0.69314718055994529</c:v>
                </c:pt>
                <c:pt idx="588">
                  <c:v>0.69314718055994529</c:v>
                </c:pt>
                <c:pt idx="589">
                  <c:v>0.69314718055994529</c:v>
                </c:pt>
                <c:pt idx="590">
                  <c:v>0.69314718055994529</c:v>
                </c:pt>
                <c:pt idx="591">
                  <c:v>0.69314718055994529</c:v>
                </c:pt>
                <c:pt idx="592">
                  <c:v>0.69314718055994529</c:v>
                </c:pt>
                <c:pt idx="593">
                  <c:v>0.69314718055994529</c:v>
                </c:pt>
                <c:pt idx="594">
                  <c:v>0.69314718055994529</c:v>
                </c:pt>
                <c:pt idx="595">
                  <c:v>0.69314718055994529</c:v>
                </c:pt>
                <c:pt idx="596">
                  <c:v>0.69314718055994529</c:v>
                </c:pt>
                <c:pt idx="597">
                  <c:v>0.69314718055994529</c:v>
                </c:pt>
                <c:pt idx="598">
                  <c:v>0.69314718055994529</c:v>
                </c:pt>
                <c:pt idx="599">
                  <c:v>0.69314718055994529</c:v>
                </c:pt>
                <c:pt idx="600">
                  <c:v>0.69314718055994529</c:v>
                </c:pt>
                <c:pt idx="601">
                  <c:v>0.69314718055994529</c:v>
                </c:pt>
                <c:pt idx="602">
                  <c:v>0.69314718055994529</c:v>
                </c:pt>
                <c:pt idx="603">
                  <c:v>0.69314718055994529</c:v>
                </c:pt>
                <c:pt idx="604">
                  <c:v>0.69314718055994529</c:v>
                </c:pt>
                <c:pt idx="605">
                  <c:v>0.69314718055994529</c:v>
                </c:pt>
                <c:pt idx="606">
                  <c:v>0.69314718055994529</c:v>
                </c:pt>
                <c:pt idx="607">
                  <c:v>0.69314718055994529</c:v>
                </c:pt>
                <c:pt idx="608">
                  <c:v>0.69314718055994529</c:v>
                </c:pt>
                <c:pt idx="609">
                  <c:v>0.69314718055994529</c:v>
                </c:pt>
                <c:pt idx="610">
                  <c:v>0.69314718055994529</c:v>
                </c:pt>
                <c:pt idx="611">
                  <c:v>0.69314718055994529</c:v>
                </c:pt>
                <c:pt idx="612">
                  <c:v>0.69314718055994529</c:v>
                </c:pt>
                <c:pt idx="613">
                  <c:v>0.69314718055994529</c:v>
                </c:pt>
                <c:pt idx="614">
                  <c:v>0.69314718055994529</c:v>
                </c:pt>
                <c:pt idx="615">
                  <c:v>0.69314718055994529</c:v>
                </c:pt>
                <c:pt idx="616">
                  <c:v>0.69813472207098426</c:v>
                </c:pt>
                <c:pt idx="617">
                  <c:v>0.71783979315031676</c:v>
                </c:pt>
                <c:pt idx="618">
                  <c:v>0.72270598280148979</c:v>
                </c:pt>
                <c:pt idx="619">
                  <c:v>0.74193734472937733</c:v>
                </c:pt>
                <c:pt idx="620">
                  <c:v>0.76080582903376015</c:v>
                </c:pt>
                <c:pt idx="621">
                  <c:v>0.79750719588418817</c:v>
                </c:pt>
                <c:pt idx="622">
                  <c:v>0.80647586586694853</c:v>
                </c:pt>
                <c:pt idx="623">
                  <c:v>0.81093021621632877</c:v>
                </c:pt>
                <c:pt idx="624">
                  <c:v>0.85015092936961001</c:v>
                </c:pt>
                <c:pt idx="625">
                  <c:v>0.85015092936961001</c:v>
                </c:pt>
                <c:pt idx="626">
                  <c:v>0.90016134994427144</c:v>
                </c:pt>
                <c:pt idx="627">
                  <c:v>0.91629073187415511</c:v>
                </c:pt>
                <c:pt idx="628">
                  <c:v>0.91629073187415511</c:v>
                </c:pt>
                <c:pt idx="629">
                  <c:v>0.91629073187415511</c:v>
                </c:pt>
                <c:pt idx="630">
                  <c:v>0.92028275314369246</c:v>
                </c:pt>
                <c:pt idx="631">
                  <c:v>0.93609335917033476</c:v>
                </c:pt>
                <c:pt idx="632">
                  <c:v>0.99325177301028345</c:v>
                </c:pt>
                <c:pt idx="633">
                  <c:v>1.0224509277025455</c:v>
                </c:pt>
                <c:pt idx="634">
                  <c:v>1.0260415958332743</c:v>
                </c:pt>
                <c:pt idx="635">
                  <c:v>1.0296194171811581</c:v>
                </c:pt>
                <c:pt idx="636">
                  <c:v>1.0438040521731147</c:v>
                </c:pt>
                <c:pt idx="637">
                  <c:v>1.0986122886681098</c:v>
                </c:pt>
                <c:pt idx="638">
                  <c:v>1.0986122886681098</c:v>
                </c:pt>
                <c:pt idx="639">
                  <c:v>1.0986122886681098</c:v>
                </c:pt>
                <c:pt idx="640">
                  <c:v>1.0986122886681098</c:v>
                </c:pt>
                <c:pt idx="641">
                  <c:v>1.0986122886681098</c:v>
                </c:pt>
                <c:pt idx="642">
                  <c:v>1.0986122886681098</c:v>
                </c:pt>
                <c:pt idx="643">
                  <c:v>1.0986122886681098</c:v>
                </c:pt>
                <c:pt idx="644">
                  <c:v>1.0986122886681098</c:v>
                </c:pt>
                <c:pt idx="645">
                  <c:v>1.0986122886681098</c:v>
                </c:pt>
                <c:pt idx="646">
                  <c:v>1.0986122886681098</c:v>
                </c:pt>
                <c:pt idx="647">
                  <c:v>1.0986122886681098</c:v>
                </c:pt>
                <c:pt idx="648">
                  <c:v>1.1184149159642893</c:v>
                </c:pt>
                <c:pt idx="649">
                  <c:v>1.1216775615991057</c:v>
                </c:pt>
                <c:pt idx="650">
                  <c:v>1.1216775615991057</c:v>
                </c:pt>
                <c:pt idx="651">
                  <c:v>1.1631508098056809</c:v>
                </c:pt>
                <c:pt idx="652">
                  <c:v>1.2809338454620642</c:v>
                </c:pt>
                <c:pt idx="653">
                  <c:v>1.2809338454620642</c:v>
                </c:pt>
                <c:pt idx="654">
                  <c:v>1.297463147413275</c:v>
                </c:pt>
                <c:pt idx="655">
                  <c:v>1.3862943611198906</c:v>
                </c:pt>
                <c:pt idx="656">
                  <c:v>1.3862943611198906</c:v>
                </c:pt>
                <c:pt idx="657">
                  <c:v>1.3862943611198906</c:v>
                </c:pt>
                <c:pt idx="658">
                  <c:v>1.3887912413184778</c:v>
                </c:pt>
                <c:pt idx="659">
                  <c:v>1.4060969884160703</c:v>
                </c:pt>
                <c:pt idx="660">
                  <c:v>1.43746264769429</c:v>
                </c:pt>
                <c:pt idx="661">
                  <c:v>1.4398351280479205</c:v>
                </c:pt>
                <c:pt idx="662">
                  <c:v>1.4586150226995167</c:v>
                </c:pt>
                <c:pt idx="663">
                  <c:v>1.4770487243883548</c:v>
                </c:pt>
                <c:pt idx="664">
                  <c:v>1.4973884086254774</c:v>
                </c:pt>
                <c:pt idx="665">
                  <c:v>1.5040773967762742</c:v>
                </c:pt>
                <c:pt idx="666">
                  <c:v>1.5040773967762742</c:v>
                </c:pt>
                <c:pt idx="667">
                  <c:v>1.5040773967762742</c:v>
                </c:pt>
                <c:pt idx="668">
                  <c:v>1.5260563034950492</c:v>
                </c:pt>
                <c:pt idx="669">
                  <c:v>1.545432582458188</c:v>
                </c:pt>
                <c:pt idx="670">
                  <c:v>1.5933085305042167</c:v>
                </c:pt>
                <c:pt idx="671">
                  <c:v>1.6094379124341003</c:v>
                </c:pt>
                <c:pt idx="672">
                  <c:v>1.6094379124341003</c:v>
                </c:pt>
                <c:pt idx="673">
                  <c:v>1.6094379124341003</c:v>
                </c:pt>
                <c:pt idx="674">
                  <c:v>1.62924053973028</c:v>
                </c:pt>
                <c:pt idx="675">
                  <c:v>1.631199404215613</c:v>
                </c:pt>
                <c:pt idx="676">
                  <c:v>1.6563214983329508</c:v>
                </c:pt>
                <c:pt idx="677">
                  <c:v>1.6695918352538475</c:v>
                </c:pt>
                <c:pt idx="678">
                  <c:v>1.7029282555214393</c:v>
                </c:pt>
                <c:pt idx="679">
                  <c:v>1.7404661748405046</c:v>
                </c:pt>
                <c:pt idx="680">
                  <c:v>1.7404661748405046</c:v>
                </c:pt>
                <c:pt idx="681">
                  <c:v>1.7439688053917064</c:v>
                </c:pt>
                <c:pt idx="682">
                  <c:v>1.791759469228055</c:v>
                </c:pt>
                <c:pt idx="683">
                  <c:v>1.8082887711792655</c:v>
                </c:pt>
                <c:pt idx="684">
                  <c:v>1.8718021769015913</c:v>
                </c:pt>
                <c:pt idx="685">
                  <c:v>1.9169226121820611</c:v>
                </c:pt>
                <c:pt idx="686">
                  <c:v>1.969905654611529</c:v>
                </c:pt>
                <c:pt idx="687">
                  <c:v>2.0756844928021239</c:v>
                </c:pt>
                <c:pt idx="688">
                  <c:v>2.1282317058492679</c:v>
                </c:pt>
                <c:pt idx="689">
                  <c:v>2.1972245773362196</c:v>
                </c:pt>
                <c:pt idx="690">
                  <c:v>2.4248027257182949</c:v>
                </c:pt>
                <c:pt idx="691">
                  <c:v>2.5095992623783721</c:v>
                </c:pt>
                <c:pt idx="692">
                  <c:v>2.5095992623783721</c:v>
                </c:pt>
                <c:pt idx="693">
                  <c:v>2.642622395779755</c:v>
                </c:pt>
                <c:pt idx="694">
                  <c:v>2.760009940032921</c:v>
                </c:pt>
                <c:pt idx="695">
                  <c:v>2.9957322735539909</c:v>
                </c:pt>
                <c:pt idx="696">
                  <c:v>3.3068867021909143</c:v>
                </c:pt>
              </c:numCache>
            </c:numRef>
          </c:yVal>
          <c:smooth val="0"/>
        </c:ser>
        <c:dLbls>
          <c:showLegendKey val="0"/>
          <c:showVal val="0"/>
          <c:showCatName val="0"/>
          <c:showSerName val="0"/>
          <c:showPercent val="0"/>
          <c:showBubbleSize val="0"/>
        </c:dLbls>
        <c:axId val="112147072"/>
        <c:axId val="112149632"/>
      </c:scatterChart>
      <c:valAx>
        <c:axId val="112147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49632"/>
        <c:crossesAt val="-4"/>
        <c:crossBetween val="midCat"/>
      </c:valAx>
      <c:valAx>
        <c:axId val="1121496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47072"/>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F0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8.287088420273768E-2"/>
          <c:y val="0.1223491027732465"/>
          <c:w val="0.87606363300036993"/>
          <c:h val="0.77161500815660822"/>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'F0 - EF0 Analysis'!$F$12:$F$810</c:f>
              <c:numCache>
                <c:formatCode>General</c:formatCode>
                <c:ptCount val="799"/>
                <c:pt idx="0">
                  <c:v>-3.1875734310256396</c:v>
                </c:pt>
                <c:pt idx="1">
                  <c:v>-2.8549647423990137</c:v>
                </c:pt>
                <c:pt idx="2">
                  <c:v>-2.6886759866657117</c:v>
                </c:pt>
                <c:pt idx="3">
                  <c:v>-2.5743438231658744</c:v>
                </c:pt>
                <c:pt idx="4">
                  <c:v>-2.4861739822460107</c:v>
                </c:pt>
                <c:pt idx="5">
                  <c:v>-2.4139201053449368</c:v>
                </c:pt>
                <c:pt idx="6">
                  <c:v>-2.3524267483609087</c:v>
                </c:pt>
                <c:pt idx="7">
                  <c:v>-2.2987207153509432</c:v>
                </c:pt>
                <c:pt idx="8">
                  <c:v>-2.2509256965027937</c:v>
                </c:pt>
                <c:pt idx="9">
                  <c:v>-2.2077789754764168</c:v>
                </c:pt>
                <c:pt idx="10">
                  <c:v>-2.1683886988543013</c:v>
                </c:pt>
                <c:pt idx="11">
                  <c:v>-2.1321007465617647</c:v>
                </c:pt>
                <c:pt idx="12">
                  <c:v>-2.0984206155569258</c:v>
                </c:pt>
                <c:pt idx="13">
                  <c:v>-2.0669650622440634</c:v>
                </c:pt>
                <c:pt idx="14">
                  <c:v>-2.0374308332073285</c:v>
                </c:pt>
                <c:pt idx="15">
                  <c:v>-2.0095737001013063</c:v>
                </c:pt>
                <c:pt idx="16">
                  <c:v>-1.9831939666186722</c:v>
                </c:pt>
                <c:pt idx="17">
                  <c:v>-1.9581261837069068</c:v>
                </c:pt>
                <c:pt idx="18">
                  <c:v>-1.9342316836414377</c:v>
                </c:pt>
                <c:pt idx="19">
                  <c:v>-1.9113930517135458</c:v>
                </c:pt>
                <c:pt idx="20">
                  <c:v>-1.8895099603334302</c:v>
                </c:pt>
                <c:pt idx="21">
                  <c:v>-1.8684959805154611</c:v>
                </c:pt>
                <c:pt idx="22">
                  <c:v>-1.848276107177099</c:v>
                </c:pt>
                <c:pt idx="23">
                  <c:v>-1.8287848141880285</c:v>
                </c:pt>
                <c:pt idx="24">
                  <c:v>-1.8099645082991047</c:v>
                </c:pt>
                <c:pt idx="25">
                  <c:v>-1.7917642873785156</c:v>
                </c:pt>
                <c:pt idx="26">
                  <c:v>-1.7741389335977533</c:v>
                </c:pt>
                <c:pt idx="27">
                  <c:v>-1.7570480900132046</c:v>
                </c:pt>
                <c:pt idx="28">
                  <c:v>-1.7404555817471701</c:v>
                </c:pt>
                <c:pt idx="29">
                  <c:v>-1.7243288522400049</c:v>
                </c:pt>
                <c:pt idx="30">
                  <c:v>-1.7086384918626099</c:v>
                </c:pt>
                <c:pt idx="31">
                  <c:v>-1.6933578412519459</c:v>
                </c:pt>
                <c:pt idx="32">
                  <c:v>-1.6784626555485749</c:v>
                </c:pt>
                <c:pt idx="33">
                  <c:v>-1.6639308186147159</c:v>
                </c:pt>
                <c:pt idx="34">
                  <c:v>-1.6497420985347986</c:v>
                </c:pt>
                <c:pt idx="35">
                  <c:v>-1.6358779374204708</c:v>
                </c:pt>
                <c:pt idx="36">
                  <c:v>-1.6223212698834055</c:v>
                </c:pt>
                <c:pt idx="37">
                  <c:v>-1.6090563655933106</c:v>
                </c:pt>
                <c:pt idx="38">
                  <c:v>-1.5960686921729099</c:v>
                </c:pt>
                <c:pt idx="39">
                  <c:v>-1.5833447953464825</c:v>
                </c:pt>
                <c:pt idx="40">
                  <c:v>-1.5708721937917547</c:v>
                </c:pt>
                <c:pt idx="41">
                  <c:v>-1.5586392865751206</c:v>
                </c:pt>
                <c:pt idx="42">
                  <c:v>-1.54663527139923</c:v>
                </c:pt>
                <c:pt idx="43">
                  <c:v>-1.5348500721767944</c:v>
                </c:pt>
                <c:pt idx="44">
                  <c:v>-1.5232742746779584</c:v>
                </c:pt>
                <c:pt idx="45">
                  <c:v>-1.511899069191067</c:v>
                </c:pt>
                <c:pt idx="46">
                  <c:v>-1.5007161992959652</c:v>
                </c:pt>
                <c:pt idx="47">
                  <c:v>-1.4897179159814617</c:v>
                </c:pt>
                <c:pt idx="48">
                  <c:v>-1.4788969364492288</c:v>
                </c:pt>
                <c:pt idx="49">
                  <c:v>-1.4682464070391821</c:v>
                </c:pt>
                <c:pt idx="50">
                  <c:v>-1.457759869789466</c:v>
                </c:pt>
                <c:pt idx="51">
                  <c:v>-1.4474312322101401</c:v>
                </c:pt>
                <c:pt idx="52">
                  <c:v>-1.4372547399055966</c:v>
                </c:pt>
                <c:pt idx="53">
                  <c:v>-1.4272249517282989</c:v>
                </c:pt>
                <c:pt idx="54">
                  <c:v>-1.4173367171870725</c:v>
                </c:pt>
                <c:pt idx="55">
                  <c:v>-1.4075851558679084</c:v>
                </c:pt>
                <c:pt idx="56">
                  <c:v>-1.3979656386550985</c:v>
                </c:pt>
                <c:pt idx="57">
                  <c:v>-1.3884737705662995</c:v>
                </c:pt>
                <c:pt idx="58">
                  <c:v>-1.3791053750371944</c:v>
                </c:pt>
                <c:pt idx="59">
                  <c:v>-1.3698564795107979</c:v>
                </c:pt>
                <c:pt idx="60">
                  <c:v>-1.3607233022030081</c:v>
                </c:pt>
                <c:pt idx="61">
                  <c:v>-1.3517022399306602</c:v>
                </c:pt>
                <c:pt idx="62">
                  <c:v>-1.3427898569009069</c:v>
                </c:pt>
                <c:pt idx="63">
                  <c:v>-1.3339828743718865</c:v>
                </c:pt>
                <c:pt idx="64">
                  <c:v>-1.3252781611043922</c:v>
                </c:pt>
                <c:pt idx="65">
                  <c:v>-1.3166727245326566</c:v>
                </c:pt>
                <c:pt idx="66">
                  <c:v>-1.3081637025900652</c:v>
                </c:pt>
                <c:pt idx="67">
                  <c:v>-1.2997483561320435</c:v>
                </c:pt>
                <c:pt idx="68">
                  <c:v>-1.2914240619043673</c:v>
                </c:pt>
                <c:pt idx="69">
                  <c:v>-1.2831883060102467</c:v>
                </c:pt>
                <c:pt idx="70">
                  <c:v>-1.2750386778341529</c:v>
                </c:pt>
                <c:pt idx="71">
                  <c:v>-1.2669728643844393</c:v>
                </c:pt>
                <c:pt idx="72">
                  <c:v>-1.2589886450204808</c:v>
                </c:pt>
                <c:pt idx="73">
                  <c:v>-1.2510838865332123</c:v>
                </c:pt>
                <c:pt idx="74">
                  <c:v>-1.243256538550962</c:v>
                </c:pt>
                <c:pt idx="75">
                  <c:v>-1.2355046292449556</c:v>
                </c:pt>
                <c:pt idx="76">
                  <c:v>-1.2278262613112725</c:v>
                </c:pt>
                <c:pt idx="77">
                  <c:v>-1.2202196082080596</c:v>
                </c:pt>
                <c:pt idx="78">
                  <c:v>-1.2126829106287236</c:v>
                </c:pt>
                <c:pt idx="79">
                  <c:v>-1.2052144731934824</c:v>
                </c:pt>
                <c:pt idx="80">
                  <c:v>-1.1978126613431899</c:v>
                </c:pt>
                <c:pt idx="81">
                  <c:v>-1.1904758984207013</c:v>
                </c:pt>
                <c:pt idx="82">
                  <c:v>-1.1832026629263122</c:v>
                </c:pt>
                <c:pt idx="83">
                  <c:v>-1.1759914859348912</c:v>
                </c:pt>
                <c:pt idx="84">
                  <c:v>-1.1688409486633706</c:v>
                </c:pt>
                <c:pt idx="85">
                  <c:v>-1.1617496801781668</c:v>
                </c:pt>
                <c:pt idx="86">
                  <c:v>-1.1547163552329431</c:v>
                </c:pt>
                <c:pt idx="87">
                  <c:v>-1.1477396922278675</c:v>
                </c:pt>
                <c:pt idx="88">
                  <c:v>-1.1408184512822599</c:v>
                </c:pt>
                <c:pt idx="89">
                  <c:v>-1.1339514324130875</c:v>
                </c:pt>
                <c:pt idx="90">
                  <c:v>-1.1271374738124025</c:v>
                </c:pt>
                <c:pt idx="91">
                  <c:v>-1.1203754502173011</c:v>
                </c:pt>
                <c:pt idx="92">
                  <c:v>-1.1136642713664795</c:v>
                </c:pt>
                <c:pt idx="93">
                  <c:v>-1.107002880537908</c:v>
                </c:pt>
                <c:pt idx="94">
                  <c:v>-1.1003902531625298</c:v>
                </c:pt>
                <c:pt idx="95">
                  <c:v>-1.0938253955092727</c:v>
                </c:pt>
                <c:pt idx="96">
                  <c:v>-1.0873073434369978</c:v>
                </c:pt>
                <c:pt idx="97">
                  <c:v>-1.0808351612093157</c:v>
                </c:pt>
                <c:pt idx="98">
                  <c:v>-1.0744079403685023</c:v>
                </c:pt>
                <c:pt idx="99">
                  <c:v>-1.0680247986649782</c:v>
                </c:pt>
                <c:pt idx="100">
                  <c:v>-1.0616848790390976</c:v>
                </c:pt>
                <c:pt idx="101">
                  <c:v>-1.055387348652183</c:v>
                </c:pt>
                <c:pt idx="102">
                  <c:v>-1.0491313979639725</c:v>
                </c:pt>
                <c:pt idx="103">
                  <c:v>-1.0429162398538112</c:v>
                </c:pt>
                <c:pt idx="104">
                  <c:v>-1.0367411087831122</c:v>
                </c:pt>
                <c:pt idx="105">
                  <c:v>-1.0306052599968247</c:v>
                </c:pt>
                <c:pt idx="106">
                  <c:v>-1.0245079687615979</c:v>
                </c:pt>
                <c:pt idx="107">
                  <c:v>-1.0184485296388301</c:v>
                </c:pt>
                <c:pt idx="108">
                  <c:v>-1.0124262557905093</c:v>
                </c:pt>
                <c:pt idx="109">
                  <c:v>-1.0064404783161693</c:v>
                </c:pt>
                <c:pt idx="110">
                  <c:v>-1.0004905456193149</c:v>
                </c:pt>
                <c:pt idx="111">
                  <c:v>-0.99457582280166557</c:v>
                </c:pt>
                <c:pt idx="112">
                  <c:v>-0.98869569108384014</c:v>
                </c:pt>
                <c:pt idx="113">
                  <c:v>-0.98284954725105422</c:v>
                </c:pt>
                <c:pt idx="114">
                  <c:v>-0.97703680312256092</c:v>
                </c:pt>
                <c:pt idx="115">
                  <c:v>-0.97125688504362606</c:v>
                </c:pt>
                <c:pt idx="116">
                  <c:v>-0.96550923339883943</c:v>
                </c:pt>
                <c:pt idx="117">
                  <c:v>-0.95979330214578895</c:v>
                </c:pt>
                <c:pt idx="118">
                  <c:v>-0.95410855836795683</c:v>
                </c:pt>
                <c:pt idx="119">
                  <c:v>-0.94845448184602876</c:v>
                </c:pt>
                <c:pt idx="120">
                  <c:v>-0.94283056464655479</c:v>
                </c:pt>
                <c:pt idx="121">
                  <c:v>-0.93723631072726121</c:v>
                </c:pt>
                <c:pt idx="122">
                  <c:v>-0.93167123555812814</c:v>
                </c:pt>
                <c:pt idx="123">
                  <c:v>-0.92613486575748438</c:v>
                </c:pt>
                <c:pt idx="124">
                  <c:v>-0.92062673874243972</c:v>
                </c:pt>
                <c:pt idx="125">
                  <c:v>-0.91514640239295164</c:v>
                </c:pt>
                <c:pt idx="126">
                  <c:v>-0.90969341472890075</c:v>
                </c:pt>
                <c:pt idx="127">
                  <c:v>-0.90426734359956884</c:v>
                </c:pt>
                <c:pt idx="128">
                  <c:v>-0.89886776638494181</c:v>
                </c:pt>
                <c:pt idx="129">
                  <c:v>-0.89349426970832468</c:v>
                </c:pt>
                <c:pt idx="130">
                  <c:v>-0.88814644915971153</c:v>
                </c:pt>
                <c:pt idx="131">
                  <c:v>-0.88282390902947927</c:v>
                </c:pt>
                <c:pt idx="132">
                  <c:v>-0.87752626205190132</c:v>
                </c:pt>
                <c:pt idx="133">
                  <c:v>-0.87225312915806497</c:v>
                </c:pt>
                <c:pt idx="134">
                  <c:v>-0.86700413923779085</c:v>
                </c:pt>
                <c:pt idx="135">
                  <c:v>-0.86177892891013907</c:v>
                </c:pt>
                <c:pt idx="136">
                  <c:v>-0.85657714230213899</c:v>
                </c:pt>
                <c:pt idx="137">
                  <c:v>-0.85139843083539857</c:v>
                </c:pt>
                <c:pt idx="138">
                  <c:v>-0.84624245302025092</c:v>
                </c:pt>
                <c:pt idx="139">
                  <c:v>-0.84110887425710845</c:v>
                </c:pt>
                <c:pt idx="140">
                  <c:v>-0.83599736664473989</c:v>
                </c:pt>
                <c:pt idx="141">
                  <c:v>-0.83090760879516901</c:v>
                </c:pt>
                <c:pt idx="142">
                  <c:v>-0.82583928565492504</c:v>
                </c:pt>
                <c:pt idx="143">
                  <c:v>-0.8207920883323806</c:v>
                </c:pt>
                <c:pt idx="144">
                  <c:v>-0.81576571393093433</c:v>
                </c:pt>
                <c:pt idx="145">
                  <c:v>-0.81075986538779188</c:v>
                </c:pt>
                <c:pt idx="146">
                  <c:v>-0.80577425131812597</c:v>
                </c:pt>
                <c:pt idx="147">
                  <c:v>-0.8008085858644014</c:v>
                </c:pt>
                <c:pt idx="148">
                  <c:v>-0.79586258855065695</c:v>
                </c:pt>
                <c:pt idx="149">
                  <c:v>-0.7909359841415402</c:v>
                </c:pt>
                <c:pt idx="150">
                  <c:v>-0.78602850250592737</c:v>
                </c:pt>
                <c:pt idx="151">
                  <c:v>-0.78113987848493915</c:v>
                </c:pt>
                <c:pt idx="152">
                  <c:v>-0.77626985176416885</c:v>
                </c:pt>
                <c:pt idx="153">
                  <c:v>-0.77141816674998875</c:v>
                </c:pt>
                <c:pt idx="154">
                  <c:v>-0.76658457244976175</c:v>
                </c:pt>
                <c:pt idx="155">
                  <c:v>-0.76176882235580157</c:v>
                </c:pt>
                <c:pt idx="156">
                  <c:v>-0.75697067433296861</c:v>
                </c:pt>
                <c:pt idx="157">
                  <c:v>-0.75218989050973062</c:v>
                </c:pt>
                <c:pt idx="158">
                  <c:v>-0.74742623717258982</c:v>
                </c:pt>
                <c:pt idx="159">
                  <c:v>-0.74267948466372624</c:v>
                </c:pt>
                <c:pt idx="160">
                  <c:v>-0.73794940728176173</c:v>
                </c:pt>
                <c:pt idx="161">
                  <c:v>-0.73323578318551175</c:v>
                </c:pt>
                <c:pt idx="162">
                  <c:v>-0.72853839430062861</c:v>
                </c:pt>
                <c:pt idx="163">
                  <c:v>-0.7238570262290237</c:v>
                </c:pt>
                <c:pt idx="164">
                  <c:v>-0.71919146816097901</c:v>
                </c:pt>
                <c:pt idx="165">
                  <c:v>-0.7145415127898378</c:v>
                </c:pt>
                <c:pt idx="166">
                  <c:v>-0.70990695622919808</c:v>
                </c:pt>
                <c:pt idx="167">
                  <c:v>-0.70528759793250428</c:v>
                </c:pt>
                <c:pt idx="168">
                  <c:v>-0.70068324061497589</c:v>
                </c:pt>
                <c:pt idx="169">
                  <c:v>-0.6960936901777649</c:v>
                </c:pt>
                <c:pt idx="170">
                  <c:v>-0.69151875563428244</c:v>
                </c:pt>
                <c:pt idx="171">
                  <c:v>-0.68695824903861946</c:v>
                </c:pt>
                <c:pt idx="172">
                  <c:v>-0.68241198541597936</c:v>
                </c:pt>
                <c:pt idx="173">
                  <c:v>-0.67787978269506355</c:v>
                </c:pt>
                <c:pt idx="174">
                  <c:v>-0.67336146164234179</c:v>
                </c:pt>
                <c:pt idx="175">
                  <c:v>-0.66885684579813953</c:v>
                </c:pt>
                <c:pt idx="176">
                  <c:v>-0.66436576141448844</c:v>
                </c:pt>
                <c:pt idx="177">
                  <c:v>-0.65988803739467305</c:v>
                </c:pt>
                <c:pt idx="178">
                  <c:v>-0.65542350523442661</c:v>
                </c:pt>
                <c:pt idx="179">
                  <c:v>-0.65097199896471547</c:v>
                </c:pt>
                <c:pt idx="180">
                  <c:v>-0.64653335509605969</c:v>
                </c:pt>
                <c:pt idx="181">
                  <c:v>-0.64210741256434611</c:v>
                </c:pt>
                <c:pt idx="182">
                  <c:v>-0.6376940126780779</c:v>
                </c:pt>
                <c:pt idx="183">
                  <c:v>-0.63329299906701975</c:v>
                </c:pt>
                <c:pt idx="184">
                  <c:v>-0.62890421763218984</c:v>
                </c:pt>
                <c:pt idx="185">
                  <c:v>-0.62452751649716276</c:v>
                </c:pt>
                <c:pt idx="186">
                  <c:v>-0.62016274596063059</c:v>
                </c:pt>
                <c:pt idx="187">
                  <c:v>-0.61580975845019326</c:v>
                </c:pt>
                <c:pt idx="188">
                  <c:v>-0.61146840847733341</c:v>
                </c:pt>
                <c:pt idx="189">
                  <c:v>-0.60713855259354255</c:v>
                </c:pt>
                <c:pt idx="190">
                  <c:v>-0.60282004934755651</c:v>
                </c:pt>
                <c:pt idx="191">
                  <c:v>-0.59851275924367653</c:v>
                </c:pt>
                <c:pt idx="192">
                  <c:v>-0.5942165447011295</c:v>
                </c:pt>
                <c:pt idx="193">
                  <c:v>-0.58993127001444812</c:v>
                </c:pt>
                <c:pt idx="194">
                  <c:v>-0.585656801314831</c:v>
                </c:pt>
                <c:pt idx="195">
                  <c:v>-0.58139300653245585</c:v>
                </c:pt>
                <c:pt idx="196">
                  <c:v>-0.57713975535972051</c:v>
                </c:pt>
                <c:pt idx="197">
                  <c:v>-0.57289691921537711</c:v>
                </c:pt>
                <c:pt idx="198">
                  <c:v>-0.56866437120954061</c:v>
                </c:pt>
                <c:pt idx="199">
                  <c:v>-0.56444198610953655</c:v>
                </c:pt>
                <c:pt idx="200">
                  <c:v>-0.56022964030657418</c:v>
                </c:pt>
                <c:pt idx="201">
                  <c:v>-0.55602721178320957</c:v>
                </c:pt>
                <c:pt idx="202">
                  <c:v>-0.55183458008158426</c:v>
                </c:pt>
                <c:pt idx="203">
                  <c:v>-0.54765162627241204</c:v>
                </c:pt>
                <c:pt idx="204">
                  <c:v>-0.5434782329246941</c:v>
                </c:pt>
                <c:pt idx="205">
                  <c:v>-0.5393142840761399</c:v>
                </c:pt>
                <c:pt idx="206">
                  <c:v>-0.53515966520427649</c:v>
                </c:pt>
                <c:pt idx="207">
                  <c:v>-0.53101426319822265</c:v>
                </c:pt>
                <c:pt idx="208">
                  <c:v>-0.52687796633111206</c:v>
                </c:pt>
                <c:pt idx="209">
                  <c:v>-0.52275066423314531</c:v>
                </c:pt>
                <c:pt idx="210">
                  <c:v>-0.51863224786525508</c:v>
                </c:pt>
                <c:pt idx="211">
                  <c:v>-0.51452260949336326</c:v>
                </c:pt>
                <c:pt idx="212">
                  <c:v>-0.51042164266321888</c:v>
                </c:pt>
                <c:pt idx="213">
                  <c:v>-0.50632924217579522</c:v>
                </c:pt>
                <c:pt idx="214">
                  <c:v>-0.50224530406323542</c:v>
                </c:pt>
                <c:pt idx="215">
                  <c:v>-0.49816972556532685</c:v>
                </c:pt>
                <c:pt idx="216">
                  <c:v>-0.49410240510649461</c:v>
                </c:pt>
                <c:pt idx="217">
                  <c:v>-0.49004324227329482</c:v>
                </c:pt>
                <c:pt idx="218">
                  <c:v>-0.48599213779239869</c:v>
                </c:pt>
                <c:pt idx="219">
                  <c:v>-0.48194899350904996</c:v>
                </c:pt>
                <c:pt idx="220">
                  <c:v>-0.47791371236598729</c:v>
                </c:pt>
                <c:pt idx="221">
                  <c:v>-0.4738861983828131</c:v>
                </c:pt>
                <c:pt idx="222">
                  <c:v>-0.46986635663580567</c:v>
                </c:pt>
                <c:pt idx="223">
                  <c:v>-0.4658540932381508</c:v>
                </c:pt>
                <c:pt idx="224">
                  <c:v>-0.46184931532059442</c:v>
                </c:pt>
                <c:pt idx="225">
                  <c:v>-0.45785193101249505</c:v>
                </c:pt>
                <c:pt idx="226">
                  <c:v>-0.45386184942327196</c:v>
                </c:pt>
                <c:pt idx="227">
                  <c:v>-0.44987898062423393</c:v>
                </c:pt>
                <c:pt idx="228">
                  <c:v>-0.44590323563078288</c:v>
                </c:pt>
                <c:pt idx="229">
                  <c:v>-0.44193452638497843</c:v>
                </c:pt>
                <c:pt idx="230">
                  <c:v>-0.43797276573845845</c:v>
                </c:pt>
                <c:pt idx="231">
                  <c:v>-0.4340178674357012</c:v>
                </c:pt>
                <c:pt idx="232">
                  <c:v>-0.43006974609762599</c:v>
                </c:pt>
                <c:pt idx="233">
                  <c:v>-0.42612831720551725</c:v>
                </c:pt>
                <c:pt idx="234">
                  <c:v>-0.42219349708526982</c:v>
                </c:pt>
                <c:pt idx="235">
                  <c:v>-0.41826520289194324</c:v>
                </c:pt>
                <c:pt idx="236">
                  <c:v>-0.41434335259461857</c:v>
                </c:pt>
                <c:pt idx="237">
                  <c:v>-0.41042786496154893</c:v>
                </c:pt>
                <c:pt idx="238">
                  <c:v>-0.4065186595455999</c:v>
                </c:pt>
                <c:pt idx="239">
                  <c:v>-0.40261565666996529</c:v>
                </c:pt>
                <c:pt idx="240">
                  <c:v>-0.39871877741416106</c:v>
                </c:pt>
                <c:pt idx="241">
                  <c:v>-0.3948279436002799</c:v>
                </c:pt>
                <c:pt idx="242">
                  <c:v>-0.39094307777950976</c:v>
                </c:pt>
                <c:pt idx="243">
                  <c:v>-0.38706410321890156</c:v>
                </c:pt>
                <c:pt idx="244">
                  <c:v>-0.38319094388838582</c:v>
                </c:pt>
                <c:pt idx="245">
                  <c:v>-0.37932352444802764</c:v>
                </c:pt>
                <c:pt idx="246">
                  <c:v>-0.37546177023551847</c:v>
                </c:pt>
                <c:pt idx="247">
                  <c:v>-0.37160560725389336</c:v>
                </c:pt>
                <c:pt idx="248">
                  <c:v>-0.36775496215947456</c:v>
                </c:pt>
                <c:pt idx="249">
                  <c:v>-0.36390976225002952</c:v>
                </c:pt>
                <c:pt idx="250">
                  <c:v>-0.36006993545314314</c:v>
                </c:pt>
                <c:pt idx="251">
                  <c:v>-0.35623541031479528</c:v>
                </c:pt>
                <c:pt idx="252">
                  <c:v>-0.35240611598814231</c:v>
                </c:pt>
                <c:pt idx="253">
                  <c:v>-0.34858198222249215</c:v>
                </c:pt>
                <c:pt idx="254">
                  <c:v>-0.34476293935247532</c:v>
                </c:pt>
                <c:pt idx="255">
                  <c:v>-0.34094891828739998</c:v>
                </c:pt>
                <c:pt idx="256">
                  <c:v>-0.33713985050079243</c:v>
                </c:pt>
                <c:pt idx="257">
                  <c:v>-0.33333566802011422</c:v>
                </c:pt>
                <c:pt idx="258">
                  <c:v>-0.32953630341665485</c:v>
                </c:pt>
                <c:pt idx="259">
                  <c:v>-0.32574168979559226</c:v>
                </c:pt>
                <c:pt idx="260">
                  <c:v>-0.3219517607862224</c:v>
                </c:pt>
                <c:pt idx="261">
                  <c:v>-0.31816645053234671</c:v>
                </c:pt>
                <c:pt idx="262">
                  <c:v>-0.31438569368282104</c:v>
                </c:pt>
                <c:pt idx="263">
                  <c:v>-0.31060942538225567</c:v>
                </c:pt>
                <c:pt idx="264">
                  <c:v>-0.30683758126186844</c:v>
                </c:pt>
                <c:pt idx="265">
                  <c:v>-0.30307009743048208</c:v>
                </c:pt>
                <c:pt idx="266">
                  <c:v>-0.29930691046566715</c:v>
                </c:pt>
                <c:pt idx="267">
                  <c:v>-0.29554795740502249</c:v>
                </c:pt>
                <c:pt idx="268">
                  <c:v>-0.29179317573759456</c:v>
                </c:pt>
                <c:pt idx="269">
                  <c:v>-0.28804250339542714</c:v>
                </c:pt>
                <c:pt idx="270">
                  <c:v>-0.28429587874524437</c:v>
                </c:pt>
                <c:pt idx="271">
                  <c:v>-0.28055324058025682</c:v>
                </c:pt>
                <c:pt idx="272">
                  <c:v>-0.27681452811209489</c:v>
                </c:pt>
                <c:pt idx="273">
                  <c:v>-0.273079680962861</c:v>
                </c:pt>
                <c:pt idx="274">
                  <c:v>-0.26934863915729951</c:v>
                </c:pt>
                <c:pt idx="275">
                  <c:v>-0.26562134311508367</c:v>
                </c:pt>
                <c:pt idx="276">
                  <c:v>-0.26189773364321228</c:v>
                </c:pt>
                <c:pt idx="277">
                  <c:v>-0.25817775192851888</c:v>
                </c:pt>
                <c:pt idx="278">
                  <c:v>-0.25446133953028466</c:v>
                </c:pt>
                <c:pt idx="279">
                  <c:v>-0.25074843837295846</c:v>
                </c:pt>
                <c:pt idx="280">
                  <c:v>-0.2470389907389772</c:v>
                </c:pt>
                <c:pt idx="281">
                  <c:v>-0.24333293926168637</c:v>
                </c:pt>
                <c:pt idx="282">
                  <c:v>-0.23963022691835631</c:v>
                </c:pt>
                <c:pt idx="283">
                  <c:v>-0.23593079702329492</c:v>
                </c:pt>
                <c:pt idx="284">
                  <c:v>-0.23223459322105058</c:v>
                </c:pt>
                <c:pt idx="285">
                  <c:v>-0.22854155947970722</c:v>
                </c:pt>
                <c:pt idx="286">
                  <c:v>-0.22485164008426486</c:v>
                </c:pt>
                <c:pt idx="287">
                  <c:v>-0.221164779630108</c:v>
                </c:pt>
                <c:pt idx="288">
                  <c:v>-0.21748092301655558</c:v>
                </c:pt>
                <c:pt idx="289">
                  <c:v>-0.21380001544049401</c:v>
                </c:pt>
                <c:pt idx="290">
                  <c:v>-0.21012200239008808</c:v>
                </c:pt>
                <c:pt idx="291">
                  <c:v>-0.20644682963857081</c:v>
                </c:pt>
                <c:pt idx="292">
                  <c:v>-0.20277444323810676</c:v>
                </c:pt>
                <c:pt idx="293">
                  <c:v>-0.19910478951373123</c:v>
                </c:pt>
                <c:pt idx="294">
                  <c:v>-0.19543781505735866</c:v>
                </c:pt>
                <c:pt idx="295">
                  <c:v>-0.1917734667218631</c:v>
                </c:pt>
                <c:pt idx="296">
                  <c:v>-0.18811169161522445</c:v>
                </c:pt>
                <c:pt idx="297">
                  <c:v>-0.1844524370947431</c:v>
                </c:pt>
                <c:pt idx="298">
                  <c:v>-0.1807956507613169</c:v>
                </c:pt>
                <c:pt idx="299">
                  <c:v>-0.17714128045378297</c:v>
                </c:pt>
                <c:pt idx="300">
                  <c:v>-0.1734892742433187</c:v>
                </c:pt>
                <c:pt idx="301">
                  <c:v>-0.16983958042790409</c:v>
                </c:pt>
                <c:pt idx="302">
                  <c:v>-0.16619214752683975</c:v>
                </c:pt>
                <c:pt idx="303">
                  <c:v>-0.1625469242753235</c:v>
                </c:pt>
                <c:pt idx="304">
                  <c:v>-0.15890385961907952</c:v>
                </c:pt>
                <c:pt idx="305">
                  <c:v>-0.15526290270904269</c:v>
                </c:pt>
                <c:pt idx="306">
                  <c:v>-0.1516240028960924</c:v>
                </c:pt>
                <c:pt idx="307">
                  <c:v>-0.14798710972583889</c:v>
                </c:pt>
                <c:pt idx="308">
                  <c:v>-0.14435217293345595</c:v>
                </c:pt>
                <c:pt idx="309">
                  <c:v>-0.14071914243856326</c:v>
                </c:pt>
                <c:pt idx="310">
                  <c:v>-0.13708796834015238</c:v>
                </c:pt>
                <c:pt idx="311">
                  <c:v>-0.13345860091155928</c:v>
                </c:pt>
                <c:pt idx="312">
                  <c:v>-0.12983099059547812</c:v>
                </c:pt>
                <c:pt idx="313">
                  <c:v>-0.12620508799901872</c:v>
                </c:pt>
                <c:pt idx="314">
                  <c:v>-0.12258084388880242</c:v>
                </c:pt>
                <c:pt idx="315">
                  <c:v>-0.11895820918609937</c:v>
                </c:pt>
                <c:pt idx="316">
                  <c:v>-0.11533713496200139</c:v>
                </c:pt>
                <c:pt idx="317">
                  <c:v>-0.1117175724326336</c:v>
                </c:pt>
                <c:pt idx="318">
                  <c:v>-0.10809947295439938</c:v>
                </c:pt>
                <c:pt idx="319">
                  <c:v>-0.10448278801926142</c:v>
                </c:pt>
                <c:pt idx="320">
                  <c:v>-0.1008674692500537</c:v>
                </c:pt>
                <c:pt idx="321">
                  <c:v>-9.7253468395827061E-2</c:v>
                </c:pt>
                <c:pt idx="322">
                  <c:v>-9.3640737327223486E-2</c:v>
                </c:pt>
                <c:pt idx="323">
                  <c:v>-9.0029228031881417E-2</c:v>
                </c:pt>
                <c:pt idx="324">
                  <c:v>-8.641889260986757E-2</c:v>
                </c:pt>
                <c:pt idx="325">
                  <c:v>-8.2809683269137416E-2</c:v>
                </c:pt>
                <c:pt idx="326">
                  <c:v>-7.9201552321019775E-2</c:v>
                </c:pt>
                <c:pt idx="327">
                  <c:v>-7.5594452175728147E-2</c:v>
                </c:pt>
                <c:pt idx="328">
                  <c:v>-7.1988335337893561E-2</c:v>
                </c:pt>
                <c:pt idx="329">
                  <c:v>-6.8383154402122046E-2</c:v>
                </c:pt>
                <c:pt idx="330">
                  <c:v>-6.4778862048571514E-2</c:v>
                </c:pt>
                <c:pt idx="331">
                  <c:v>-6.1175411038551106E-2</c:v>
                </c:pt>
                <c:pt idx="332">
                  <c:v>-5.757275421013755E-2</c:v>
                </c:pt>
                <c:pt idx="333">
                  <c:v>-5.3970844473812077E-2</c:v>
                </c:pt>
                <c:pt idx="334">
                  <c:v>-5.0369634808112261E-2</c:v>
                </c:pt>
                <c:pt idx="335">
                  <c:v>-4.6769078255302139E-2</c:v>
                </c:pt>
                <c:pt idx="336">
                  <c:v>-4.3169127917055197E-2</c:v>
                </c:pt>
                <c:pt idx="337">
                  <c:v>-3.9569736950153638E-2</c:v>
                </c:pt>
                <c:pt idx="338">
                  <c:v>-3.5970858562198442E-2</c:v>
                </c:pt>
                <c:pt idx="339">
                  <c:v>-3.2372446007333612E-2</c:v>
                </c:pt>
                <c:pt idx="340">
                  <c:v>-2.8774452581979137E-2</c:v>
                </c:pt>
                <c:pt idx="341">
                  <c:v>-2.517683162057625E-2</c:v>
                </c:pt>
                <c:pt idx="342">
                  <c:v>-2.1579536491339233E-2</c:v>
                </c:pt>
                <c:pt idx="343">
                  <c:v>-1.7982520592017562E-2</c:v>
                </c:pt>
                <c:pt idx="344">
                  <c:v>-1.4385737345662652E-2</c:v>
                </c:pt>
                <c:pt idx="345">
                  <c:v>-1.0789140196402829E-2</c:v>
                </c:pt>
                <c:pt idx="346">
                  <c:v>-7.1926826052210197E-3</c:v>
                </c:pt>
                <c:pt idx="347">
                  <c:v>-3.5963180457385959E-3</c:v>
                </c:pt>
                <c:pt idx="348">
                  <c:v>0</c:v>
                </c:pt>
                <c:pt idx="349">
                  <c:v>3.5963180457385959E-3</c:v>
                </c:pt>
                <c:pt idx="350">
                  <c:v>7.1926826052211594E-3</c:v>
                </c:pt>
                <c:pt idx="351">
                  <c:v>1.078914019640269E-2</c:v>
                </c:pt>
                <c:pt idx="352">
                  <c:v>1.4385737345662652E-2</c:v>
                </c:pt>
                <c:pt idx="353">
                  <c:v>1.7982520592017562E-2</c:v>
                </c:pt>
                <c:pt idx="354">
                  <c:v>2.1579536491339372E-2</c:v>
                </c:pt>
                <c:pt idx="355">
                  <c:v>2.5176831620576112E-2</c:v>
                </c:pt>
                <c:pt idx="356">
                  <c:v>2.8774452581979137E-2</c:v>
                </c:pt>
                <c:pt idx="357">
                  <c:v>3.2372446007333612E-2</c:v>
                </c:pt>
                <c:pt idx="358">
                  <c:v>3.5970858562198581E-2</c:v>
                </c:pt>
                <c:pt idx="359">
                  <c:v>3.9569736950153492E-2</c:v>
                </c:pt>
                <c:pt idx="360">
                  <c:v>4.3169127917055197E-2</c:v>
                </c:pt>
                <c:pt idx="361">
                  <c:v>4.6769078255302139E-2</c:v>
                </c:pt>
                <c:pt idx="362">
                  <c:v>5.03696348081124E-2</c:v>
                </c:pt>
                <c:pt idx="363">
                  <c:v>5.3970844473811931E-2</c:v>
                </c:pt>
                <c:pt idx="364">
                  <c:v>5.757275421013755E-2</c:v>
                </c:pt>
                <c:pt idx="365">
                  <c:v>6.1175411038551106E-2</c:v>
                </c:pt>
                <c:pt idx="366">
                  <c:v>6.4778862048571667E-2</c:v>
                </c:pt>
                <c:pt idx="367">
                  <c:v>6.8383154402121907E-2</c:v>
                </c:pt>
                <c:pt idx="368">
                  <c:v>7.1988335337893561E-2</c:v>
                </c:pt>
                <c:pt idx="369">
                  <c:v>7.5594452175728147E-2</c:v>
                </c:pt>
                <c:pt idx="370">
                  <c:v>7.9201552321019913E-2</c:v>
                </c:pt>
                <c:pt idx="371">
                  <c:v>8.2809683269137277E-2</c:v>
                </c:pt>
                <c:pt idx="372">
                  <c:v>8.641889260986757E-2</c:v>
                </c:pt>
                <c:pt idx="373">
                  <c:v>9.0029228031881417E-2</c:v>
                </c:pt>
                <c:pt idx="374">
                  <c:v>9.3640737327223611E-2</c:v>
                </c:pt>
                <c:pt idx="375">
                  <c:v>9.7253468395826922E-2</c:v>
                </c:pt>
                <c:pt idx="376">
                  <c:v>0.1008674692500537</c:v>
                </c:pt>
                <c:pt idx="377">
                  <c:v>0.10448278801926142</c:v>
                </c:pt>
                <c:pt idx="378">
                  <c:v>0.10809947295439951</c:v>
                </c:pt>
                <c:pt idx="379">
                  <c:v>0.11171757243263346</c:v>
                </c:pt>
                <c:pt idx="380">
                  <c:v>0.11533713496200139</c:v>
                </c:pt>
                <c:pt idx="381">
                  <c:v>0.11895820918609937</c:v>
                </c:pt>
                <c:pt idx="382">
                  <c:v>0.12258084388880255</c:v>
                </c:pt>
                <c:pt idx="383">
                  <c:v>0.12620508799901858</c:v>
                </c:pt>
                <c:pt idx="384">
                  <c:v>0.12983099059547812</c:v>
                </c:pt>
                <c:pt idx="385">
                  <c:v>0.13345860091155928</c:v>
                </c:pt>
                <c:pt idx="386">
                  <c:v>0.13708796834015252</c:v>
                </c:pt>
                <c:pt idx="387">
                  <c:v>0.14071914243856312</c:v>
                </c:pt>
                <c:pt idx="388">
                  <c:v>0.14435217293345595</c:v>
                </c:pt>
                <c:pt idx="389">
                  <c:v>0.14798710972583889</c:v>
                </c:pt>
                <c:pt idx="390">
                  <c:v>0.15162400289609254</c:v>
                </c:pt>
                <c:pt idx="391">
                  <c:v>0.15526290270904256</c:v>
                </c:pt>
                <c:pt idx="392">
                  <c:v>0.15890385961907952</c:v>
                </c:pt>
                <c:pt idx="393">
                  <c:v>0.1625469242753235</c:v>
                </c:pt>
                <c:pt idx="394">
                  <c:v>0.16619214752683986</c:v>
                </c:pt>
                <c:pt idx="395">
                  <c:v>0.16983958042790395</c:v>
                </c:pt>
                <c:pt idx="396">
                  <c:v>0.1734892742433187</c:v>
                </c:pt>
                <c:pt idx="397">
                  <c:v>0.17714128045378297</c:v>
                </c:pt>
                <c:pt idx="398">
                  <c:v>0.18079565076131701</c:v>
                </c:pt>
                <c:pt idx="399">
                  <c:v>0.18445243709474296</c:v>
                </c:pt>
                <c:pt idx="400">
                  <c:v>0.18811169161522445</c:v>
                </c:pt>
                <c:pt idx="401">
                  <c:v>0.1917734667218631</c:v>
                </c:pt>
                <c:pt idx="402">
                  <c:v>0.19543781505735883</c:v>
                </c:pt>
                <c:pt idx="403">
                  <c:v>0.19910478951373109</c:v>
                </c:pt>
                <c:pt idx="404">
                  <c:v>0.20277444323810676</c:v>
                </c:pt>
                <c:pt idx="405">
                  <c:v>0.20644682963857081</c:v>
                </c:pt>
                <c:pt idx="406">
                  <c:v>0.21012200239008824</c:v>
                </c:pt>
                <c:pt idx="407">
                  <c:v>0.2138000154404939</c:v>
                </c:pt>
                <c:pt idx="408">
                  <c:v>0.21748092301655558</c:v>
                </c:pt>
                <c:pt idx="409">
                  <c:v>0.221164779630108</c:v>
                </c:pt>
                <c:pt idx="410">
                  <c:v>0.22485164008426498</c:v>
                </c:pt>
                <c:pt idx="411">
                  <c:v>0.22854155947970711</c:v>
                </c:pt>
                <c:pt idx="412">
                  <c:v>0.23223459322105058</c:v>
                </c:pt>
                <c:pt idx="413">
                  <c:v>0.23593079702329492</c:v>
                </c:pt>
                <c:pt idx="414">
                  <c:v>0.23963022691835645</c:v>
                </c:pt>
                <c:pt idx="415">
                  <c:v>0.24333293926168623</c:v>
                </c:pt>
                <c:pt idx="416">
                  <c:v>0.2470389907389772</c:v>
                </c:pt>
                <c:pt idx="417">
                  <c:v>0.25074843837295846</c:v>
                </c:pt>
                <c:pt idx="418">
                  <c:v>0.25446133953028477</c:v>
                </c:pt>
                <c:pt idx="419">
                  <c:v>0.25817775192851883</c:v>
                </c:pt>
                <c:pt idx="420">
                  <c:v>0.26189773364321228</c:v>
                </c:pt>
                <c:pt idx="421">
                  <c:v>0.26562134311508367</c:v>
                </c:pt>
                <c:pt idx="422">
                  <c:v>0.26934863915729962</c:v>
                </c:pt>
                <c:pt idx="423">
                  <c:v>0.27307968096286084</c:v>
                </c:pt>
                <c:pt idx="424">
                  <c:v>0.27681452811209489</c:v>
                </c:pt>
                <c:pt idx="425">
                  <c:v>0.28055324058025682</c:v>
                </c:pt>
                <c:pt idx="426">
                  <c:v>0.28429587874524437</c:v>
                </c:pt>
                <c:pt idx="427">
                  <c:v>0.28804250339542731</c:v>
                </c:pt>
                <c:pt idx="428">
                  <c:v>0.29179317573759439</c:v>
                </c:pt>
                <c:pt idx="429">
                  <c:v>0.29554795740502249</c:v>
                </c:pt>
                <c:pt idx="430">
                  <c:v>0.29930691046566715</c:v>
                </c:pt>
                <c:pt idx="431">
                  <c:v>0.30307009743048224</c:v>
                </c:pt>
                <c:pt idx="432">
                  <c:v>0.30683758126186828</c:v>
                </c:pt>
                <c:pt idx="433">
                  <c:v>0.31060942538225567</c:v>
                </c:pt>
                <c:pt idx="434">
                  <c:v>0.31438569368282104</c:v>
                </c:pt>
                <c:pt idx="435">
                  <c:v>0.31816645053234688</c:v>
                </c:pt>
                <c:pt idx="436">
                  <c:v>0.32195176078622229</c:v>
                </c:pt>
                <c:pt idx="437">
                  <c:v>0.32574168979559226</c:v>
                </c:pt>
                <c:pt idx="438">
                  <c:v>0.32953630341665485</c:v>
                </c:pt>
                <c:pt idx="439">
                  <c:v>0.33333566802011438</c:v>
                </c:pt>
                <c:pt idx="440">
                  <c:v>0.33713985050079226</c:v>
                </c:pt>
                <c:pt idx="441">
                  <c:v>0.34094891828739998</c:v>
                </c:pt>
                <c:pt idx="442">
                  <c:v>0.34476293935247532</c:v>
                </c:pt>
                <c:pt idx="443">
                  <c:v>0.34858198222249237</c:v>
                </c:pt>
                <c:pt idx="444">
                  <c:v>0.3524061159881422</c:v>
                </c:pt>
                <c:pt idx="445">
                  <c:v>0.35623541031479528</c:v>
                </c:pt>
                <c:pt idx="446">
                  <c:v>0.36006993545314314</c:v>
                </c:pt>
                <c:pt idx="447">
                  <c:v>0.36390976225002963</c:v>
                </c:pt>
                <c:pt idx="448">
                  <c:v>0.3677549621594744</c:v>
                </c:pt>
                <c:pt idx="449">
                  <c:v>0.37160560725389336</c:v>
                </c:pt>
                <c:pt idx="450">
                  <c:v>0.37546177023551847</c:v>
                </c:pt>
                <c:pt idx="451">
                  <c:v>0.3793235244480278</c:v>
                </c:pt>
                <c:pt idx="452">
                  <c:v>0.38319094388838565</c:v>
                </c:pt>
                <c:pt idx="453">
                  <c:v>0.38706410321890156</c:v>
                </c:pt>
                <c:pt idx="454">
                  <c:v>0.39094307777950976</c:v>
                </c:pt>
                <c:pt idx="455">
                  <c:v>0.39482794360028001</c:v>
                </c:pt>
                <c:pt idx="456">
                  <c:v>0.39871877741416084</c:v>
                </c:pt>
                <c:pt idx="457">
                  <c:v>0.40261565666996529</c:v>
                </c:pt>
                <c:pt idx="458">
                  <c:v>0.4065186595455999</c:v>
                </c:pt>
                <c:pt idx="459">
                  <c:v>0.41042786496154915</c:v>
                </c:pt>
                <c:pt idx="460">
                  <c:v>0.41434335259461841</c:v>
                </c:pt>
                <c:pt idx="461">
                  <c:v>0.41826520289194324</c:v>
                </c:pt>
                <c:pt idx="462">
                  <c:v>0.42219349708526982</c:v>
                </c:pt>
                <c:pt idx="463">
                  <c:v>0.42612831720551736</c:v>
                </c:pt>
                <c:pt idx="464">
                  <c:v>0.43006974609762583</c:v>
                </c:pt>
                <c:pt idx="465">
                  <c:v>0.4340178674357012</c:v>
                </c:pt>
                <c:pt idx="466">
                  <c:v>0.43797276573845845</c:v>
                </c:pt>
                <c:pt idx="467">
                  <c:v>0.4419345263849786</c:v>
                </c:pt>
                <c:pt idx="468">
                  <c:v>0.44590323563078271</c:v>
                </c:pt>
                <c:pt idx="469">
                  <c:v>0.44987898062423393</c:v>
                </c:pt>
                <c:pt idx="470">
                  <c:v>0.45386184942327196</c:v>
                </c:pt>
                <c:pt idx="471">
                  <c:v>0.45785193101249527</c:v>
                </c:pt>
                <c:pt idx="472">
                  <c:v>0.46184931532059431</c:v>
                </c:pt>
                <c:pt idx="473">
                  <c:v>0.4658540932381508</c:v>
                </c:pt>
                <c:pt idx="474">
                  <c:v>0.46986635663580567</c:v>
                </c:pt>
                <c:pt idx="475">
                  <c:v>0.47388619838281337</c:v>
                </c:pt>
                <c:pt idx="476">
                  <c:v>0.47791371236598701</c:v>
                </c:pt>
                <c:pt idx="477">
                  <c:v>0.48194899350904996</c:v>
                </c:pt>
                <c:pt idx="478">
                  <c:v>0.48599213779239869</c:v>
                </c:pt>
                <c:pt idx="479">
                  <c:v>0.49004324227329499</c:v>
                </c:pt>
                <c:pt idx="480">
                  <c:v>0.49410240510649461</c:v>
                </c:pt>
                <c:pt idx="481">
                  <c:v>0.49816972556532685</c:v>
                </c:pt>
                <c:pt idx="482">
                  <c:v>0.50224530406323542</c:v>
                </c:pt>
                <c:pt idx="483">
                  <c:v>0.50632924217579534</c:v>
                </c:pt>
                <c:pt idx="484">
                  <c:v>0.51042164266321888</c:v>
                </c:pt>
                <c:pt idx="485">
                  <c:v>0.51452260949336326</c:v>
                </c:pt>
                <c:pt idx="486">
                  <c:v>0.51863224786525508</c:v>
                </c:pt>
                <c:pt idx="487">
                  <c:v>0.52275066423314542</c:v>
                </c:pt>
                <c:pt idx="488">
                  <c:v>0.52687796633111184</c:v>
                </c:pt>
                <c:pt idx="489">
                  <c:v>0.53101426319822265</c:v>
                </c:pt>
                <c:pt idx="490">
                  <c:v>0.53515966520427649</c:v>
                </c:pt>
                <c:pt idx="491">
                  <c:v>0.53931428407614013</c:v>
                </c:pt>
                <c:pt idx="492">
                  <c:v>0.54347823292469388</c:v>
                </c:pt>
                <c:pt idx="493">
                  <c:v>0.54765162627241204</c:v>
                </c:pt>
                <c:pt idx="494">
                  <c:v>0.55183458008158426</c:v>
                </c:pt>
                <c:pt idx="495">
                  <c:v>0.55602721178320957</c:v>
                </c:pt>
                <c:pt idx="496">
                  <c:v>0.56022964030657418</c:v>
                </c:pt>
                <c:pt idx="497">
                  <c:v>0.56444198610953655</c:v>
                </c:pt>
                <c:pt idx="498">
                  <c:v>0.56866437120954061</c:v>
                </c:pt>
                <c:pt idx="499">
                  <c:v>0.57289691921537744</c:v>
                </c:pt>
                <c:pt idx="500">
                  <c:v>0.57713975535972017</c:v>
                </c:pt>
                <c:pt idx="501">
                  <c:v>0.58139300653245585</c:v>
                </c:pt>
                <c:pt idx="502">
                  <c:v>0.585656801314831</c:v>
                </c:pt>
                <c:pt idx="503">
                  <c:v>0.58993127001444812</c:v>
                </c:pt>
                <c:pt idx="504">
                  <c:v>0.59421654470112983</c:v>
                </c:pt>
                <c:pt idx="505">
                  <c:v>0.59851275924367631</c:v>
                </c:pt>
                <c:pt idx="506">
                  <c:v>0.60282004934755651</c:v>
                </c:pt>
                <c:pt idx="507">
                  <c:v>0.60713855259354255</c:v>
                </c:pt>
                <c:pt idx="508">
                  <c:v>0.61146840847733364</c:v>
                </c:pt>
                <c:pt idx="509">
                  <c:v>0.61580975845019303</c:v>
                </c:pt>
                <c:pt idx="510">
                  <c:v>0.62016274596063059</c:v>
                </c:pt>
                <c:pt idx="511">
                  <c:v>0.62452751649716276</c:v>
                </c:pt>
                <c:pt idx="512">
                  <c:v>0.62890421763218995</c:v>
                </c:pt>
                <c:pt idx="513">
                  <c:v>0.63329299906701919</c:v>
                </c:pt>
                <c:pt idx="514">
                  <c:v>0.6376940126780779</c:v>
                </c:pt>
                <c:pt idx="515">
                  <c:v>0.64210741256434611</c:v>
                </c:pt>
                <c:pt idx="516">
                  <c:v>0.64653335509605991</c:v>
                </c:pt>
                <c:pt idx="517">
                  <c:v>0.65097199896471536</c:v>
                </c:pt>
                <c:pt idx="518">
                  <c:v>0.65542350523442661</c:v>
                </c:pt>
                <c:pt idx="519">
                  <c:v>0.65988803739467305</c:v>
                </c:pt>
                <c:pt idx="520">
                  <c:v>0.66436576141448833</c:v>
                </c:pt>
                <c:pt idx="521">
                  <c:v>0.66885684579813964</c:v>
                </c:pt>
                <c:pt idx="522">
                  <c:v>0.67336146164234179</c:v>
                </c:pt>
                <c:pt idx="523">
                  <c:v>0.67787978269506355</c:v>
                </c:pt>
                <c:pt idx="524">
                  <c:v>0.68241198541597936</c:v>
                </c:pt>
                <c:pt idx="525">
                  <c:v>0.68695824903861946</c:v>
                </c:pt>
                <c:pt idx="526">
                  <c:v>0.69151875563428244</c:v>
                </c:pt>
                <c:pt idx="527">
                  <c:v>0.6960936901777649</c:v>
                </c:pt>
                <c:pt idx="528">
                  <c:v>0.70068324061497644</c:v>
                </c:pt>
                <c:pt idx="529">
                  <c:v>0.70528759793250428</c:v>
                </c:pt>
                <c:pt idx="530">
                  <c:v>0.70990695622919808</c:v>
                </c:pt>
                <c:pt idx="531">
                  <c:v>0.7145415127898378</c:v>
                </c:pt>
                <c:pt idx="532">
                  <c:v>0.71919146816097945</c:v>
                </c:pt>
                <c:pt idx="533">
                  <c:v>0.7238570262290237</c:v>
                </c:pt>
                <c:pt idx="534">
                  <c:v>0.72853839430062861</c:v>
                </c:pt>
                <c:pt idx="535">
                  <c:v>0.73323578318551175</c:v>
                </c:pt>
                <c:pt idx="536">
                  <c:v>0.73794940728176162</c:v>
                </c:pt>
                <c:pt idx="537">
                  <c:v>0.74267948466372624</c:v>
                </c:pt>
                <c:pt idx="538">
                  <c:v>0.74742623717258982</c:v>
                </c:pt>
                <c:pt idx="539">
                  <c:v>0.75218989050973062</c:v>
                </c:pt>
                <c:pt idx="540">
                  <c:v>0.75697067433296872</c:v>
                </c:pt>
                <c:pt idx="541">
                  <c:v>0.76176882235580157</c:v>
                </c:pt>
                <c:pt idx="542">
                  <c:v>0.76658457244976175</c:v>
                </c:pt>
                <c:pt idx="543">
                  <c:v>0.77141816674998875</c:v>
                </c:pt>
                <c:pt idx="544">
                  <c:v>0.77626985176416885</c:v>
                </c:pt>
                <c:pt idx="545">
                  <c:v>0.78113987848493949</c:v>
                </c:pt>
                <c:pt idx="546">
                  <c:v>0.78602850250592737</c:v>
                </c:pt>
                <c:pt idx="547">
                  <c:v>0.7909359841415402</c:v>
                </c:pt>
                <c:pt idx="548">
                  <c:v>0.79586258855065695</c:v>
                </c:pt>
                <c:pt idx="549">
                  <c:v>0.80080858586440196</c:v>
                </c:pt>
                <c:pt idx="550">
                  <c:v>0.80577425131812597</c:v>
                </c:pt>
                <c:pt idx="551">
                  <c:v>0.81075986538779188</c:v>
                </c:pt>
                <c:pt idx="552">
                  <c:v>0.81576571393093433</c:v>
                </c:pt>
                <c:pt idx="553">
                  <c:v>0.82079208833238049</c:v>
                </c:pt>
                <c:pt idx="554">
                  <c:v>0.82583928565492504</c:v>
                </c:pt>
                <c:pt idx="555">
                  <c:v>0.83090760879516901</c:v>
                </c:pt>
                <c:pt idx="556">
                  <c:v>0.83599736664473989</c:v>
                </c:pt>
                <c:pt idx="557">
                  <c:v>0.84110887425710779</c:v>
                </c:pt>
                <c:pt idx="558">
                  <c:v>0.84624245302025092</c:v>
                </c:pt>
                <c:pt idx="559">
                  <c:v>0.85139843083539857</c:v>
                </c:pt>
                <c:pt idx="560">
                  <c:v>0.85657714230213899</c:v>
                </c:pt>
                <c:pt idx="561">
                  <c:v>0.86177892891013963</c:v>
                </c:pt>
                <c:pt idx="562">
                  <c:v>0.86700413923779085</c:v>
                </c:pt>
                <c:pt idx="563">
                  <c:v>0.87225312915806497</c:v>
                </c:pt>
                <c:pt idx="564">
                  <c:v>0.87752626205190132</c:v>
                </c:pt>
                <c:pt idx="565">
                  <c:v>0.88282390902948049</c:v>
                </c:pt>
                <c:pt idx="566">
                  <c:v>0.88814644915971153</c:v>
                </c:pt>
                <c:pt idx="567">
                  <c:v>0.89349426970832468</c:v>
                </c:pt>
                <c:pt idx="568">
                  <c:v>0.89886776638494181</c:v>
                </c:pt>
                <c:pt idx="569">
                  <c:v>0.90426734359956806</c:v>
                </c:pt>
                <c:pt idx="570">
                  <c:v>0.90969341472890075</c:v>
                </c:pt>
                <c:pt idx="571">
                  <c:v>0.91514640239295164</c:v>
                </c:pt>
                <c:pt idx="572">
                  <c:v>0.92062673874243972</c:v>
                </c:pt>
                <c:pt idx="573">
                  <c:v>0.92613486575748416</c:v>
                </c:pt>
                <c:pt idx="574">
                  <c:v>0.93167123555812814</c:v>
                </c:pt>
                <c:pt idx="575">
                  <c:v>0.93723631072726121</c:v>
                </c:pt>
                <c:pt idx="576">
                  <c:v>0.94283056464655479</c:v>
                </c:pt>
                <c:pt idx="577">
                  <c:v>0.94845448184602954</c:v>
                </c:pt>
                <c:pt idx="578">
                  <c:v>0.95410855836795683</c:v>
                </c:pt>
                <c:pt idx="579">
                  <c:v>0.95979330214578895</c:v>
                </c:pt>
                <c:pt idx="580">
                  <c:v>0.96550923339883943</c:v>
                </c:pt>
                <c:pt idx="581">
                  <c:v>0.97125688504362617</c:v>
                </c:pt>
                <c:pt idx="582">
                  <c:v>0.97703680312256092</c:v>
                </c:pt>
                <c:pt idx="583">
                  <c:v>0.98284954725105422</c:v>
                </c:pt>
                <c:pt idx="584">
                  <c:v>0.98869569108384014</c:v>
                </c:pt>
                <c:pt idx="585">
                  <c:v>0.99457582280166568</c:v>
                </c:pt>
                <c:pt idx="586">
                  <c:v>1.0004905456193149</c:v>
                </c:pt>
                <c:pt idx="587">
                  <c:v>1.0064404783161693</c:v>
                </c:pt>
                <c:pt idx="588">
                  <c:v>1.0124262557905093</c:v>
                </c:pt>
                <c:pt idx="589">
                  <c:v>1.0184485296388317</c:v>
                </c:pt>
                <c:pt idx="590">
                  <c:v>1.0245079687615979</c:v>
                </c:pt>
                <c:pt idx="591">
                  <c:v>1.0306052599968247</c:v>
                </c:pt>
                <c:pt idx="592">
                  <c:v>1.0367411087831122</c:v>
                </c:pt>
                <c:pt idx="593">
                  <c:v>1.0429162398538068</c:v>
                </c:pt>
                <c:pt idx="594">
                  <c:v>1.0491313979639725</c:v>
                </c:pt>
                <c:pt idx="595">
                  <c:v>1.055387348652183</c:v>
                </c:pt>
                <c:pt idx="596">
                  <c:v>1.0616848790390976</c:v>
                </c:pt>
                <c:pt idx="597">
                  <c:v>1.0680247986649787</c:v>
                </c:pt>
                <c:pt idx="598">
                  <c:v>1.0744079403685023</c:v>
                </c:pt>
                <c:pt idx="599">
                  <c:v>1.0808351612093157</c:v>
                </c:pt>
                <c:pt idx="600">
                  <c:v>1.0873073434369978</c:v>
                </c:pt>
                <c:pt idx="601">
                  <c:v>1.0938253955092736</c:v>
                </c:pt>
                <c:pt idx="602">
                  <c:v>1.1003902531625298</c:v>
                </c:pt>
                <c:pt idx="603">
                  <c:v>1.107002880537908</c:v>
                </c:pt>
                <c:pt idx="604">
                  <c:v>1.1136642713664795</c:v>
                </c:pt>
                <c:pt idx="605">
                  <c:v>1.1203754502173011</c:v>
                </c:pt>
                <c:pt idx="606">
                  <c:v>1.1271374738124025</c:v>
                </c:pt>
                <c:pt idx="607">
                  <c:v>1.1339514324130875</c:v>
                </c:pt>
                <c:pt idx="608">
                  <c:v>1.1408184512822599</c:v>
                </c:pt>
                <c:pt idx="609">
                  <c:v>1.1477396922278678</c:v>
                </c:pt>
                <c:pt idx="610">
                  <c:v>1.1547163552329422</c:v>
                </c:pt>
                <c:pt idx="611">
                  <c:v>1.1617496801781668</c:v>
                </c:pt>
                <c:pt idx="612">
                  <c:v>1.1688409486633706</c:v>
                </c:pt>
                <c:pt idx="613">
                  <c:v>1.1759914859348921</c:v>
                </c:pt>
                <c:pt idx="614">
                  <c:v>1.1832026629263124</c:v>
                </c:pt>
                <c:pt idx="615">
                  <c:v>1.1904758984207013</c:v>
                </c:pt>
                <c:pt idx="616">
                  <c:v>1.1978126613431899</c:v>
                </c:pt>
                <c:pt idx="617">
                  <c:v>1.2052144731934831</c:v>
                </c:pt>
                <c:pt idx="618">
                  <c:v>1.2126829106287231</c:v>
                </c:pt>
                <c:pt idx="619">
                  <c:v>1.2202196082080596</c:v>
                </c:pt>
                <c:pt idx="620">
                  <c:v>1.2278262613112725</c:v>
                </c:pt>
                <c:pt idx="621">
                  <c:v>1.2355046292449565</c:v>
                </c:pt>
                <c:pt idx="622">
                  <c:v>1.2432565385509617</c:v>
                </c:pt>
                <c:pt idx="623">
                  <c:v>1.2510838865332123</c:v>
                </c:pt>
                <c:pt idx="624">
                  <c:v>1.2589886450204808</c:v>
                </c:pt>
                <c:pt idx="625">
                  <c:v>1.26697286438444</c:v>
                </c:pt>
                <c:pt idx="626">
                  <c:v>1.2750386778341529</c:v>
                </c:pt>
                <c:pt idx="627">
                  <c:v>1.2831883060102467</c:v>
                </c:pt>
                <c:pt idx="628">
                  <c:v>1.2914240619043673</c:v>
                </c:pt>
                <c:pt idx="629">
                  <c:v>1.299748356132044</c:v>
                </c:pt>
                <c:pt idx="630">
                  <c:v>1.3081637025900663</c:v>
                </c:pt>
                <c:pt idx="631">
                  <c:v>1.3166727245326566</c:v>
                </c:pt>
                <c:pt idx="632">
                  <c:v>1.3252781611043922</c:v>
                </c:pt>
                <c:pt idx="633">
                  <c:v>1.3339828743718882</c:v>
                </c:pt>
                <c:pt idx="634">
                  <c:v>1.3427898569009062</c:v>
                </c:pt>
                <c:pt idx="635">
                  <c:v>1.3517022399306602</c:v>
                </c:pt>
                <c:pt idx="636">
                  <c:v>1.3607233022030081</c:v>
                </c:pt>
                <c:pt idx="637">
                  <c:v>1.369856479510797</c:v>
                </c:pt>
                <c:pt idx="638">
                  <c:v>1.3791053750371938</c:v>
                </c:pt>
                <c:pt idx="639">
                  <c:v>1.3884737705662995</c:v>
                </c:pt>
                <c:pt idx="640">
                  <c:v>1.3979656386550985</c:v>
                </c:pt>
                <c:pt idx="641">
                  <c:v>1.4075851558679084</c:v>
                </c:pt>
                <c:pt idx="642">
                  <c:v>1.4173367171870725</c:v>
                </c:pt>
                <c:pt idx="643">
                  <c:v>1.4272249517282989</c:v>
                </c:pt>
                <c:pt idx="644">
                  <c:v>1.4372547399055966</c:v>
                </c:pt>
                <c:pt idx="645">
                  <c:v>1.4474312322101404</c:v>
                </c:pt>
                <c:pt idx="646">
                  <c:v>1.457759869789466</c:v>
                </c:pt>
                <c:pt idx="647">
                  <c:v>1.4682464070391823</c:v>
                </c:pt>
                <c:pt idx="648">
                  <c:v>1.4788969364492293</c:v>
                </c:pt>
                <c:pt idx="649">
                  <c:v>1.4897179159814622</c:v>
                </c:pt>
                <c:pt idx="650">
                  <c:v>1.5007161992959648</c:v>
                </c:pt>
                <c:pt idx="651">
                  <c:v>1.5118990691910674</c:v>
                </c:pt>
                <c:pt idx="652">
                  <c:v>1.5232742746779588</c:v>
                </c:pt>
                <c:pt idx="653">
                  <c:v>1.534850072176795</c:v>
                </c:pt>
                <c:pt idx="654">
                  <c:v>1.5466352713992295</c:v>
                </c:pt>
                <c:pt idx="655">
                  <c:v>1.55863928657512</c:v>
                </c:pt>
                <c:pt idx="656">
                  <c:v>1.5708721937917547</c:v>
                </c:pt>
                <c:pt idx="657">
                  <c:v>1.5833447953464825</c:v>
                </c:pt>
                <c:pt idx="658">
                  <c:v>1.5960686921729104</c:v>
                </c:pt>
                <c:pt idx="659">
                  <c:v>1.6090563655933101</c:v>
                </c:pt>
                <c:pt idx="660">
                  <c:v>1.6223212698834055</c:v>
                </c:pt>
                <c:pt idx="661">
                  <c:v>1.6358779374204711</c:v>
                </c:pt>
                <c:pt idx="662">
                  <c:v>1.6497420985347986</c:v>
                </c:pt>
                <c:pt idx="663">
                  <c:v>1.6639308186147159</c:v>
                </c:pt>
                <c:pt idx="664">
                  <c:v>1.6784626555485749</c:v>
                </c:pt>
                <c:pt idx="665">
                  <c:v>1.6933578412519463</c:v>
                </c:pt>
                <c:pt idx="666">
                  <c:v>1.7086384918626105</c:v>
                </c:pt>
                <c:pt idx="667">
                  <c:v>1.7243288522400044</c:v>
                </c:pt>
                <c:pt idx="668">
                  <c:v>1.7404555817471699</c:v>
                </c:pt>
                <c:pt idx="669">
                  <c:v>1.7570480900132046</c:v>
                </c:pt>
                <c:pt idx="670">
                  <c:v>1.7741389335977535</c:v>
                </c:pt>
                <c:pt idx="671">
                  <c:v>1.7917642873785153</c:v>
                </c:pt>
                <c:pt idx="672">
                  <c:v>1.8099645082991047</c:v>
                </c:pt>
                <c:pt idx="673">
                  <c:v>1.8287848141880285</c:v>
                </c:pt>
                <c:pt idx="674">
                  <c:v>1.8482761071770999</c:v>
                </c:pt>
                <c:pt idx="675">
                  <c:v>1.8684959805154608</c:v>
                </c:pt>
                <c:pt idx="676">
                  <c:v>1.8895099603334296</c:v>
                </c:pt>
                <c:pt idx="677">
                  <c:v>1.9113930517135465</c:v>
                </c:pt>
                <c:pt idx="678">
                  <c:v>1.9342316836414382</c:v>
                </c:pt>
                <c:pt idx="679">
                  <c:v>1.9581261837069059</c:v>
                </c:pt>
                <c:pt idx="680">
                  <c:v>1.9831939666186722</c:v>
                </c:pt>
                <c:pt idx="681">
                  <c:v>2.0095737001013063</c:v>
                </c:pt>
                <c:pt idx="682">
                  <c:v>2.037430833207329</c:v>
                </c:pt>
                <c:pt idx="683">
                  <c:v>2.0669650622440625</c:v>
                </c:pt>
                <c:pt idx="684">
                  <c:v>2.0984206155569249</c:v>
                </c:pt>
                <c:pt idx="685">
                  <c:v>2.1321007465617647</c:v>
                </c:pt>
                <c:pt idx="686">
                  <c:v>2.1683886988543026</c:v>
                </c:pt>
                <c:pt idx="687">
                  <c:v>2.2077789754764159</c:v>
                </c:pt>
                <c:pt idx="688">
                  <c:v>2.2509256965027937</c:v>
                </c:pt>
                <c:pt idx="689">
                  <c:v>2.2987207153509441</c:v>
                </c:pt>
                <c:pt idx="690">
                  <c:v>2.3524267483609114</c:v>
                </c:pt>
                <c:pt idx="691">
                  <c:v>2.4139201053449342</c:v>
                </c:pt>
                <c:pt idx="692">
                  <c:v>2.4861739822460107</c:v>
                </c:pt>
                <c:pt idx="693">
                  <c:v>2.5743438231658757</c:v>
                </c:pt>
                <c:pt idx="694">
                  <c:v>2.6886759866657157</c:v>
                </c:pt>
                <c:pt idx="695">
                  <c:v>2.8549647423990074</c:v>
                </c:pt>
                <c:pt idx="696">
                  <c:v>3.1875734310256338</c:v>
                </c:pt>
              </c:numCache>
            </c:numRef>
          </c:xVal>
          <c:yVal>
            <c:numRef>
              <c:f>'F0 - EF0 Analysis'!$I$12:$I$810</c:f>
              <c:numCache>
                <c:formatCode>General</c:formatCode>
                <c:ptCount val="799"/>
                <c:pt idx="0">
                  <c:v>-8.6770418923581332</c:v>
                </c:pt>
                <c:pt idx="1">
                  <c:v>-8.6770418923581332</c:v>
                </c:pt>
                <c:pt idx="2">
                  <c:v>-8.6770418923581332</c:v>
                </c:pt>
                <c:pt idx="3">
                  <c:v>-8.6770418923581332</c:v>
                </c:pt>
                <c:pt idx="4">
                  <c:v>-8.6770418923581332</c:v>
                </c:pt>
                <c:pt idx="5">
                  <c:v>-8.6770418923581332</c:v>
                </c:pt>
                <c:pt idx="6">
                  <c:v>-8.6770418923581332</c:v>
                </c:pt>
                <c:pt idx="7">
                  <c:v>-8.6770418923581332</c:v>
                </c:pt>
                <c:pt idx="8">
                  <c:v>-8.1662162685921427</c:v>
                </c:pt>
                <c:pt idx="9">
                  <c:v>-8.1662162685921427</c:v>
                </c:pt>
                <c:pt idx="10">
                  <c:v>-7.8297440319709297</c:v>
                </c:pt>
                <c:pt idx="11">
                  <c:v>-7.8297440319709297</c:v>
                </c:pt>
                <c:pt idx="12">
                  <c:v>-7.4730690880321973</c:v>
                </c:pt>
                <c:pt idx="13">
                  <c:v>-7.4730690880321973</c:v>
                </c:pt>
                <c:pt idx="14">
                  <c:v>-7.4730690880321973</c:v>
                </c:pt>
                <c:pt idx="15">
                  <c:v>-7.4730690880321973</c:v>
                </c:pt>
                <c:pt idx="16">
                  <c:v>-7.4730690880321973</c:v>
                </c:pt>
                <c:pt idx="17">
                  <c:v>-7.4730690880321973</c:v>
                </c:pt>
                <c:pt idx="18">
                  <c:v>-7.4730690880321973</c:v>
                </c:pt>
                <c:pt idx="19">
                  <c:v>-7.4730690880321973</c:v>
                </c:pt>
                <c:pt idx="20">
                  <c:v>-7.4730690880321973</c:v>
                </c:pt>
                <c:pt idx="21">
                  <c:v>-7.4730690880321973</c:v>
                </c:pt>
                <c:pt idx="22">
                  <c:v>-7.4730690880321973</c:v>
                </c:pt>
                <c:pt idx="23">
                  <c:v>-7.4730690880321973</c:v>
                </c:pt>
                <c:pt idx="24">
                  <c:v>-7.4730690880321973</c:v>
                </c:pt>
                <c:pt idx="25">
                  <c:v>-7.4730690880321973</c:v>
                </c:pt>
                <c:pt idx="26">
                  <c:v>-7.4730690880321973</c:v>
                </c:pt>
                <c:pt idx="27">
                  <c:v>-7.4730690880321973</c:v>
                </c:pt>
                <c:pt idx="28">
                  <c:v>-7.4730690880321973</c:v>
                </c:pt>
                <c:pt idx="29">
                  <c:v>-7.4730690880321973</c:v>
                </c:pt>
                <c:pt idx="30">
                  <c:v>-7.4730690880321973</c:v>
                </c:pt>
                <c:pt idx="31">
                  <c:v>-7.4730690880321973</c:v>
                </c:pt>
                <c:pt idx="32">
                  <c:v>-7.4730690880321973</c:v>
                </c:pt>
                <c:pt idx="33">
                  <c:v>-7.4730690880321973</c:v>
                </c:pt>
                <c:pt idx="34">
                  <c:v>-7.4730690880321973</c:v>
                </c:pt>
                <c:pt idx="35">
                  <c:v>-7.4730690880321973</c:v>
                </c:pt>
                <c:pt idx="36">
                  <c:v>-7.4730690880321973</c:v>
                </c:pt>
                <c:pt idx="37">
                  <c:v>-7.4730690880321973</c:v>
                </c:pt>
                <c:pt idx="38">
                  <c:v>-7.4730690880321973</c:v>
                </c:pt>
                <c:pt idx="39">
                  <c:v>-7.4730690880321973</c:v>
                </c:pt>
                <c:pt idx="40">
                  <c:v>-7.4730690880321973</c:v>
                </c:pt>
                <c:pt idx="41">
                  <c:v>-7.4730690880321973</c:v>
                </c:pt>
                <c:pt idx="42">
                  <c:v>-7.4730690880321973</c:v>
                </c:pt>
                <c:pt idx="43">
                  <c:v>-7.4730690880321973</c:v>
                </c:pt>
                <c:pt idx="44">
                  <c:v>-7.4730690880321973</c:v>
                </c:pt>
                <c:pt idx="45">
                  <c:v>-7.4730690880321973</c:v>
                </c:pt>
                <c:pt idx="46">
                  <c:v>-7.4730690880321973</c:v>
                </c:pt>
                <c:pt idx="47">
                  <c:v>-7.4730690880321973</c:v>
                </c:pt>
                <c:pt idx="48">
                  <c:v>-7.4730690880321973</c:v>
                </c:pt>
                <c:pt idx="49">
                  <c:v>-7.4730690880321973</c:v>
                </c:pt>
                <c:pt idx="50">
                  <c:v>-7.4730690880321973</c:v>
                </c:pt>
                <c:pt idx="51">
                  <c:v>-7.4730690880321973</c:v>
                </c:pt>
                <c:pt idx="52">
                  <c:v>-7.4730690880321973</c:v>
                </c:pt>
                <c:pt idx="53">
                  <c:v>-7.4730690880321973</c:v>
                </c:pt>
                <c:pt idx="54">
                  <c:v>-7.4730690880321973</c:v>
                </c:pt>
                <c:pt idx="55">
                  <c:v>-7.4730690880321973</c:v>
                </c:pt>
                <c:pt idx="56">
                  <c:v>-7.4730690880321973</c:v>
                </c:pt>
                <c:pt idx="57">
                  <c:v>-7.4730690880321973</c:v>
                </c:pt>
                <c:pt idx="58">
                  <c:v>-7.4730690880321973</c:v>
                </c:pt>
                <c:pt idx="59">
                  <c:v>-7.4730690880321973</c:v>
                </c:pt>
                <c:pt idx="60">
                  <c:v>-7.4730690880321973</c:v>
                </c:pt>
                <c:pt idx="61">
                  <c:v>-7.4730690880321973</c:v>
                </c:pt>
                <c:pt idx="62">
                  <c:v>-7.4730690880321973</c:v>
                </c:pt>
                <c:pt idx="63">
                  <c:v>-7.4730690880321973</c:v>
                </c:pt>
                <c:pt idx="64">
                  <c:v>-7.4730690880321973</c:v>
                </c:pt>
                <c:pt idx="65">
                  <c:v>-7.4730690880321973</c:v>
                </c:pt>
                <c:pt idx="66">
                  <c:v>-7.4730690880321973</c:v>
                </c:pt>
                <c:pt idx="67">
                  <c:v>-7.4730690880321973</c:v>
                </c:pt>
                <c:pt idx="68">
                  <c:v>-7.4730690880321973</c:v>
                </c:pt>
                <c:pt idx="69">
                  <c:v>-7.4730690880321973</c:v>
                </c:pt>
                <c:pt idx="70">
                  <c:v>-7.4730690880321973</c:v>
                </c:pt>
                <c:pt idx="71">
                  <c:v>-7.4730690880321973</c:v>
                </c:pt>
                <c:pt idx="72">
                  <c:v>-7.4730690880321973</c:v>
                </c:pt>
                <c:pt idx="73">
                  <c:v>-7.4730690880321973</c:v>
                </c:pt>
                <c:pt idx="74">
                  <c:v>-7.4730690880321973</c:v>
                </c:pt>
                <c:pt idx="75">
                  <c:v>-7.4730690880321973</c:v>
                </c:pt>
                <c:pt idx="76">
                  <c:v>-7.4730690880321973</c:v>
                </c:pt>
                <c:pt idx="77">
                  <c:v>-7.4730690880321973</c:v>
                </c:pt>
                <c:pt idx="78">
                  <c:v>-7.4730690880321973</c:v>
                </c:pt>
                <c:pt idx="79">
                  <c:v>-7.4730690880321973</c:v>
                </c:pt>
                <c:pt idx="80">
                  <c:v>-7.4730690880321973</c:v>
                </c:pt>
                <c:pt idx="81">
                  <c:v>-7.4730690880321973</c:v>
                </c:pt>
                <c:pt idx="82">
                  <c:v>-7.2499255367179876</c:v>
                </c:pt>
                <c:pt idx="83">
                  <c:v>-7.210704823564706</c:v>
                </c:pt>
                <c:pt idx="84">
                  <c:v>-7.0676039799240336</c:v>
                </c:pt>
                <c:pt idx="85">
                  <c:v>-6.942440836970027</c:v>
                </c:pt>
                <c:pt idx="86">
                  <c:v>-6.942440836970027</c:v>
                </c:pt>
                <c:pt idx="87">
                  <c:v>-6.942440836970027</c:v>
                </c:pt>
                <c:pt idx="88">
                  <c:v>-6.942440836970027</c:v>
                </c:pt>
                <c:pt idx="89">
                  <c:v>-6.7799219074722519</c:v>
                </c:pt>
                <c:pt idx="90">
                  <c:v>-6.7799219074722519</c:v>
                </c:pt>
                <c:pt idx="91">
                  <c:v>-6.7799219074722519</c:v>
                </c:pt>
                <c:pt idx="92">
                  <c:v>-6.7799219074722519</c:v>
                </c:pt>
                <c:pt idx="93">
                  <c:v>-6.7799219074722519</c:v>
                </c:pt>
                <c:pt idx="94">
                  <c:v>-6.7799219074722519</c:v>
                </c:pt>
                <c:pt idx="95">
                  <c:v>-6.7799219074722519</c:v>
                </c:pt>
                <c:pt idx="96">
                  <c:v>-6.7799219074722519</c:v>
                </c:pt>
                <c:pt idx="97">
                  <c:v>-6.7799219074722519</c:v>
                </c:pt>
                <c:pt idx="98">
                  <c:v>-6.7799219074722519</c:v>
                </c:pt>
                <c:pt idx="99">
                  <c:v>-6.7799219074722519</c:v>
                </c:pt>
                <c:pt idx="100">
                  <c:v>-6.7799219074722519</c:v>
                </c:pt>
                <c:pt idx="101">
                  <c:v>-6.7799219074722519</c:v>
                </c:pt>
                <c:pt idx="102">
                  <c:v>-6.7799219074722519</c:v>
                </c:pt>
                <c:pt idx="103">
                  <c:v>-6.7799219074722519</c:v>
                </c:pt>
                <c:pt idx="104">
                  <c:v>-6.7799219074722519</c:v>
                </c:pt>
                <c:pt idx="105">
                  <c:v>-6.7799219074722519</c:v>
                </c:pt>
                <c:pt idx="106">
                  <c:v>-6.7799219074722519</c:v>
                </c:pt>
                <c:pt idx="107">
                  <c:v>-6.7799219074722519</c:v>
                </c:pt>
                <c:pt idx="108">
                  <c:v>-6.7799219074722519</c:v>
                </c:pt>
                <c:pt idx="109">
                  <c:v>-6.7799219074722519</c:v>
                </c:pt>
                <c:pt idx="110">
                  <c:v>-6.7799219074722519</c:v>
                </c:pt>
                <c:pt idx="111">
                  <c:v>-6.7311317433028206</c:v>
                </c:pt>
                <c:pt idx="112">
                  <c:v>-6.6401599650970935</c:v>
                </c:pt>
                <c:pt idx="113">
                  <c:v>-6.5567783561580422</c:v>
                </c:pt>
                <c:pt idx="114">
                  <c:v>-6.5567783561580422</c:v>
                </c:pt>
                <c:pt idx="115">
                  <c:v>-6.5567783561580422</c:v>
                </c:pt>
                <c:pt idx="116">
                  <c:v>-6.5567783561580422</c:v>
                </c:pt>
                <c:pt idx="117">
                  <c:v>-6.5567783561580422</c:v>
                </c:pt>
                <c:pt idx="118">
                  <c:v>-6.5567783561580422</c:v>
                </c:pt>
                <c:pt idx="119">
                  <c:v>-6.5567783561580422</c:v>
                </c:pt>
                <c:pt idx="120">
                  <c:v>-6.5567783561580422</c:v>
                </c:pt>
                <c:pt idx="121">
                  <c:v>-6.5567783561580422</c:v>
                </c:pt>
                <c:pt idx="122">
                  <c:v>-6.5567783561580422</c:v>
                </c:pt>
                <c:pt idx="123">
                  <c:v>-6.5567783561580422</c:v>
                </c:pt>
                <c:pt idx="124">
                  <c:v>-6.5567783561580422</c:v>
                </c:pt>
                <c:pt idx="125">
                  <c:v>-6.5567783561580422</c:v>
                </c:pt>
                <c:pt idx="126">
                  <c:v>-6.5567783561580422</c:v>
                </c:pt>
                <c:pt idx="127">
                  <c:v>-6.5567783561580422</c:v>
                </c:pt>
                <c:pt idx="128">
                  <c:v>-6.5567783561580422</c:v>
                </c:pt>
                <c:pt idx="129">
                  <c:v>-6.5567783561580422</c:v>
                </c:pt>
                <c:pt idx="130">
                  <c:v>-6.5567783561580422</c:v>
                </c:pt>
                <c:pt idx="131">
                  <c:v>-6.5567783561580422</c:v>
                </c:pt>
                <c:pt idx="132">
                  <c:v>-6.5567783561580422</c:v>
                </c:pt>
                <c:pt idx="133">
                  <c:v>-6.5567783561580422</c:v>
                </c:pt>
                <c:pt idx="134">
                  <c:v>-6.5567783561580422</c:v>
                </c:pt>
                <c:pt idx="135">
                  <c:v>-6.5567783561580422</c:v>
                </c:pt>
                <c:pt idx="136">
                  <c:v>-6.5567783561580422</c:v>
                </c:pt>
                <c:pt idx="137">
                  <c:v>-6.5567783561580422</c:v>
                </c:pt>
                <c:pt idx="138">
                  <c:v>-6.5567783561580422</c:v>
                </c:pt>
                <c:pt idx="139">
                  <c:v>-6.5567783561580422</c:v>
                </c:pt>
                <c:pt idx="140">
                  <c:v>-6.5567783561580422</c:v>
                </c:pt>
                <c:pt idx="141">
                  <c:v>-6.5567783561580422</c:v>
                </c:pt>
                <c:pt idx="142">
                  <c:v>-6.5567783561580422</c:v>
                </c:pt>
                <c:pt idx="143">
                  <c:v>-6.5567783561580422</c:v>
                </c:pt>
                <c:pt idx="144">
                  <c:v>-6.5567783561580422</c:v>
                </c:pt>
                <c:pt idx="145">
                  <c:v>-6.5567783561580422</c:v>
                </c:pt>
                <c:pt idx="146">
                  <c:v>-6.5567783561580422</c:v>
                </c:pt>
                <c:pt idx="147">
                  <c:v>-6.5567783561580422</c:v>
                </c:pt>
                <c:pt idx="148">
                  <c:v>-6.5567783561580422</c:v>
                </c:pt>
                <c:pt idx="149">
                  <c:v>-6.5567783561580422</c:v>
                </c:pt>
                <c:pt idx="150">
                  <c:v>-6.5567783561580422</c:v>
                </c:pt>
                <c:pt idx="151">
                  <c:v>-6.5567783561580422</c:v>
                </c:pt>
                <c:pt idx="152">
                  <c:v>-6.5567783561580422</c:v>
                </c:pt>
                <c:pt idx="153">
                  <c:v>-6.5567783561580422</c:v>
                </c:pt>
                <c:pt idx="154">
                  <c:v>-6.5567783561580422</c:v>
                </c:pt>
                <c:pt idx="155">
                  <c:v>-6.5567783561580422</c:v>
                </c:pt>
                <c:pt idx="156">
                  <c:v>-6.5567783561580422</c:v>
                </c:pt>
                <c:pt idx="157">
                  <c:v>-6.5567783561580422</c:v>
                </c:pt>
                <c:pt idx="158">
                  <c:v>-6.5567783561580422</c:v>
                </c:pt>
                <c:pt idx="159">
                  <c:v>-6.5567783561580422</c:v>
                </c:pt>
                <c:pt idx="160">
                  <c:v>-6.5567783561580422</c:v>
                </c:pt>
                <c:pt idx="161">
                  <c:v>-6.5567783561580422</c:v>
                </c:pt>
                <c:pt idx="162">
                  <c:v>-6.5567783561580422</c:v>
                </c:pt>
                <c:pt idx="163">
                  <c:v>-6.5567783561580422</c:v>
                </c:pt>
                <c:pt idx="164">
                  <c:v>-6.5567783561580422</c:v>
                </c:pt>
                <c:pt idx="165">
                  <c:v>-6.5567783561580422</c:v>
                </c:pt>
                <c:pt idx="166">
                  <c:v>-6.5567783561580422</c:v>
                </c:pt>
                <c:pt idx="167">
                  <c:v>-6.5567783561580422</c:v>
                </c:pt>
                <c:pt idx="168">
                  <c:v>-6.5567783561580422</c:v>
                </c:pt>
                <c:pt idx="169">
                  <c:v>-6.5567783561580422</c:v>
                </c:pt>
                <c:pt idx="170">
                  <c:v>-6.5567783561580422</c:v>
                </c:pt>
                <c:pt idx="171">
                  <c:v>-6.5567783561580422</c:v>
                </c:pt>
                <c:pt idx="172">
                  <c:v>-6.5567783561580422</c:v>
                </c:pt>
                <c:pt idx="173">
                  <c:v>-6.5567783561580422</c:v>
                </c:pt>
                <c:pt idx="174">
                  <c:v>-6.5567783561580422</c:v>
                </c:pt>
                <c:pt idx="175">
                  <c:v>-6.5567783561580422</c:v>
                </c:pt>
                <c:pt idx="176">
                  <c:v>-6.5567783561580422</c:v>
                </c:pt>
                <c:pt idx="177">
                  <c:v>-6.5567783561580422</c:v>
                </c:pt>
                <c:pt idx="178">
                  <c:v>-6.5567783561580422</c:v>
                </c:pt>
                <c:pt idx="179">
                  <c:v>-6.5567783561580422</c:v>
                </c:pt>
                <c:pt idx="180">
                  <c:v>-6.5567783561580422</c:v>
                </c:pt>
                <c:pt idx="181">
                  <c:v>-6.5567783561580422</c:v>
                </c:pt>
                <c:pt idx="182">
                  <c:v>-6.5567783561580422</c:v>
                </c:pt>
                <c:pt idx="183">
                  <c:v>-6.5567783561580422</c:v>
                </c:pt>
                <c:pt idx="184">
                  <c:v>-6.5567783561580422</c:v>
                </c:pt>
                <c:pt idx="185">
                  <c:v>-6.5567783561580422</c:v>
                </c:pt>
                <c:pt idx="186">
                  <c:v>-6.5567783561580422</c:v>
                </c:pt>
                <c:pt idx="187">
                  <c:v>-6.5567783561580422</c:v>
                </c:pt>
                <c:pt idx="188">
                  <c:v>-6.5567783561580422</c:v>
                </c:pt>
                <c:pt idx="189">
                  <c:v>-6.5567783561580422</c:v>
                </c:pt>
                <c:pt idx="190">
                  <c:v>-6.5567783561580422</c:v>
                </c:pt>
                <c:pt idx="191">
                  <c:v>-6.5567783561580422</c:v>
                </c:pt>
                <c:pt idx="192">
                  <c:v>-6.5567783561580422</c:v>
                </c:pt>
                <c:pt idx="193">
                  <c:v>-6.4614681763537174</c:v>
                </c:pt>
                <c:pt idx="194">
                  <c:v>-6.4434496708510389</c:v>
                </c:pt>
                <c:pt idx="195">
                  <c:v>-6.3744567993640882</c:v>
                </c:pt>
                <c:pt idx="196">
                  <c:v>-6.3744567993640882</c:v>
                </c:pt>
                <c:pt idx="197">
                  <c:v>-6.3744567993640882</c:v>
                </c:pt>
                <c:pt idx="198">
                  <c:v>-6.3744567993640882</c:v>
                </c:pt>
                <c:pt idx="199">
                  <c:v>-6.3744567993640882</c:v>
                </c:pt>
                <c:pt idx="200">
                  <c:v>-6.3744567993640882</c:v>
                </c:pt>
                <c:pt idx="201">
                  <c:v>-6.3744567993640882</c:v>
                </c:pt>
                <c:pt idx="202">
                  <c:v>-6.3744567993640882</c:v>
                </c:pt>
                <c:pt idx="203">
                  <c:v>-6.3744567993640882</c:v>
                </c:pt>
                <c:pt idx="204">
                  <c:v>-6.3099182782265162</c:v>
                </c:pt>
                <c:pt idx="205">
                  <c:v>-6.2791466195597634</c:v>
                </c:pt>
                <c:pt idx="206">
                  <c:v>-6.2791466195597634</c:v>
                </c:pt>
                <c:pt idx="207">
                  <c:v>-6.2791466195597634</c:v>
                </c:pt>
                <c:pt idx="208">
                  <c:v>-6.2791466195597634</c:v>
                </c:pt>
                <c:pt idx="209">
                  <c:v>-6.2791466195597634</c:v>
                </c:pt>
                <c:pt idx="210">
                  <c:v>-6.2791466195597634</c:v>
                </c:pt>
                <c:pt idx="211">
                  <c:v>-6.2791466195597634</c:v>
                </c:pt>
                <c:pt idx="212">
                  <c:v>-6.2791466195597634</c:v>
                </c:pt>
                <c:pt idx="213">
                  <c:v>-6.2791466195597634</c:v>
                </c:pt>
                <c:pt idx="214">
                  <c:v>-6.2492936564100816</c:v>
                </c:pt>
                <c:pt idx="215">
                  <c:v>-6.2492936564100816</c:v>
                </c:pt>
                <c:pt idx="216">
                  <c:v>-6.2492936564100816</c:v>
                </c:pt>
                <c:pt idx="217">
                  <c:v>-6.2203061195368292</c:v>
                </c:pt>
                <c:pt idx="218">
                  <c:v>-6.2203061195368292</c:v>
                </c:pt>
                <c:pt idx="219">
                  <c:v>-6.0867747269123065</c:v>
                </c:pt>
                <c:pt idx="220">
                  <c:v>-6.0867747269123065</c:v>
                </c:pt>
                <c:pt idx="221">
                  <c:v>-6.0867747269123065</c:v>
                </c:pt>
                <c:pt idx="222">
                  <c:v>-6.0867747269123065</c:v>
                </c:pt>
                <c:pt idx="223">
                  <c:v>-6.0867747269123065</c:v>
                </c:pt>
                <c:pt idx="224">
                  <c:v>-6.0867747269123065</c:v>
                </c:pt>
                <c:pt idx="225">
                  <c:v>-6.0867747269123065</c:v>
                </c:pt>
                <c:pt idx="226">
                  <c:v>-6.0867747269123065</c:v>
                </c:pt>
                <c:pt idx="227">
                  <c:v>-6.0867747269123065</c:v>
                </c:pt>
                <c:pt idx="228">
                  <c:v>-6.0867747269123065</c:v>
                </c:pt>
                <c:pt idx="229">
                  <c:v>-6.0867747269123065</c:v>
                </c:pt>
                <c:pt idx="230">
                  <c:v>-6.0867747269123065</c:v>
                </c:pt>
                <c:pt idx="231">
                  <c:v>-5.9914645471079817</c:v>
                </c:pt>
                <c:pt idx="232">
                  <c:v>-5.8636311755980968</c:v>
                </c:pt>
                <c:pt idx="233">
                  <c:v>-5.8636311755980968</c:v>
                </c:pt>
                <c:pt idx="234">
                  <c:v>-5.8636311755980968</c:v>
                </c:pt>
                <c:pt idx="235">
                  <c:v>-5.8636311755980968</c:v>
                </c:pt>
                <c:pt idx="236">
                  <c:v>-5.8636311755980968</c:v>
                </c:pt>
                <c:pt idx="237">
                  <c:v>-5.8636311755980968</c:v>
                </c:pt>
                <c:pt idx="238">
                  <c:v>-5.8636311755980968</c:v>
                </c:pt>
                <c:pt idx="239">
                  <c:v>-5.8636311755980968</c:v>
                </c:pt>
                <c:pt idx="240">
                  <c:v>-5.8636311755980968</c:v>
                </c:pt>
                <c:pt idx="241">
                  <c:v>-5.8636311755980968</c:v>
                </c:pt>
                <c:pt idx="242">
                  <c:v>-5.8636311755980968</c:v>
                </c:pt>
                <c:pt idx="243">
                  <c:v>-5.8636311755980968</c:v>
                </c:pt>
                <c:pt idx="244">
                  <c:v>-5.8636311755980968</c:v>
                </c:pt>
                <c:pt idx="245">
                  <c:v>-5.8636311755980968</c:v>
                </c:pt>
                <c:pt idx="246">
                  <c:v>-5.8636311755980968</c:v>
                </c:pt>
                <c:pt idx="247">
                  <c:v>-5.8636311755980968</c:v>
                </c:pt>
                <c:pt idx="248">
                  <c:v>-5.8636311755980968</c:v>
                </c:pt>
                <c:pt idx="249">
                  <c:v>-5.8636311755980968</c:v>
                </c:pt>
                <c:pt idx="250">
                  <c:v>-5.8636311755980968</c:v>
                </c:pt>
                <c:pt idx="251">
                  <c:v>-5.8636311755980968</c:v>
                </c:pt>
                <c:pt idx="252">
                  <c:v>-5.8636311755980968</c:v>
                </c:pt>
                <c:pt idx="253">
                  <c:v>-5.8636311755980968</c:v>
                </c:pt>
                <c:pt idx="254">
                  <c:v>-5.8636311755980968</c:v>
                </c:pt>
                <c:pt idx="255">
                  <c:v>-5.8636311755980968</c:v>
                </c:pt>
                <c:pt idx="256">
                  <c:v>-5.8636311755980968</c:v>
                </c:pt>
                <c:pt idx="257">
                  <c:v>-5.8636311755980968</c:v>
                </c:pt>
                <c:pt idx="258">
                  <c:v>-5.8636311755980968</c:v>
                </c:pt>
                <c:pt idx="259">
                  <c:v>-5.8636311755980968</c:v>
                </c:pt>
                <c:pt idx="260">
                  <c:v>-5.8636311755980968</c:v>
                </c:pt>
                <c:pt idx="261">
                  <c:v>-5.8636311755980968</c:v>
                </c:pt>
                <c:pt idx="262">
                  <c:v>-5.8636311755980968</c:v>
                </c:pt>
                <c:pt idx="263">
                  <c:v>-5.8636311755980968</c:v>
                </c:pt>
                <c:pt idx="264">
                  <c:v>-5.843828548301917</c:v>
                </c:pt>
                <c:pt idx="265">
                  <c:v>-5.843828548301917</c:v>
                </c:pt>
                <c:pt idx="266">
                  <c:v>-5.8148410114286655</c:v>
                </c:pt>
                <c:pt idx="267">
                  <c:v>-5.768320995793772</c:v>
                </c:pt>
                <c:pt idx="268">
                  <c:v>-5.7238692332229384</c:v>
                </c:pt>
                <c:pt idx="269">
                  <c:v>-5.6813096188041428</c:v>
                </c:pt>
                <c:pt idx="270">
                  <c:v>-5.6813096188041428</c:v>
                </c:pt>
                <c:pt idx="271">
                  <c:v>-5.6813096188041428</c:v>
                </c:pt>
                <c:pt idx="272">
                  <c:v>-5.6813096188041428</c:v>
                </c:pt>
                <c:pt idx="273">
                  <c:v>-5.6813096188041428</c:v>
                </c:pt>
                <c:pt idx="274">
                  <c:v>-5.6813096188041428</c:v>
                </c:pt>
                <c:pt idx="275">
                  <c:v>-5.6813096188041428</c:v>
                </c:pt>
                <c:pt idx="276">
                  <c:v>-5.6813096188041428</c:v>
                </c:pt>
                <c:pt idx="277">
                  <c:v>-5.6813096188041428</c:v>
                </c:pt>
                <c:pt idx="278">
                  <c:v>-5.6813096188041428</c:v>
                </c:pt>
                <c:pt idx="279">
                  <c:v>-5.6813096188041428</c:v>
                </c:pt>
                <c:pt idx="280">
                  <c:v>-5.6813096188041428</c:v>
                </c:pt>
                <c:pt idx="281">
                  <c:v>-5.6813096188041428</c:v>
                </c:pt>
                <c:pt idx="282">
                  <c:v>-5.6813096188041428</c:v>
                </c:pt>
                <c:pt idx="283">
                  <c:v>-5.6012669111306064</c:v>
                </c:pt>
                <c:pt idx="284">
                  <c:v>-5.6012669111306064</c:v>
                </c:pt>
                <c:pt idx="285">
                  <c:v>-5.6012669111306064</c:v>
                </c:pt>
                <c:pt idx="286">
                  <c:v>-5.6012669111306064</c:v>
                </c:pt>
                <c:pt idx="287">
                  <c:v>-5.6012669111306064</c:v>
                </c:pt>
                <c:pt idx="288">
                  <c:v>-5.6012669111306064</c:v>
                </c:pt>
                <c:pt idx="289">
                  <c:v>-5.6012669111306064</c:v>
                </c:pt>
                <c:pt idx="290">
                  <c:v>-5.6012669111306064</c:v>
                </c:pt>
                <c:pt idx="291">
                  <c:v>-5.585999438999818</c:v>
                </c:pt>
                <c:pt idx="292">
                  <c:v>-5.585999438999818</c:v>
                </c:pt>
                <c:pt idx="293">
                  <c:v>-5.585999438999818</c:v>
                </c:pt>
                <c:pt idx="294">
                  <c:v>-5.5709615616352774</c:v>
                </c:pt>
                <c:pt idx="295">
                  <c:v>-5.5635265831477589</c:v>
                </c:pt>
                <c:pt idx="296">
                  <c:v>-5.5561464758501362</c:v>
                </c:pt>
                <c:pt idx="297">
                  <c:v>-5.5271589389768838</c:v>
                </c:pt>
                <c:pt idx="298">
                  <c:v>-5.458166067489933</c:v>
                </c:pt>
                <c:pt idx="299">
                  <c:v>-5.458166067489933</c:v>
                </c:pt>
                <c:pt idx="300">
                  <c:v>-5.458166067489933</c:v>
                </c:pt>
                <c:pt idx="301">
                  <c:v>-5.458166067489933</c:v>
                </c:pt>
                <c:pt idx="302">
                  <c:v>-5.458166067489933</c:v>
                </c:pt>
                <c:pt idx="303">
                  <c:v>-5.458166067489933</c:v>
                </c:pt>
                <c:pt idx="304">
                  <c:v>-5.458166067489933</c:v>
                </c:pt>
                <c:pt idx="305">
                  <c:v>-5.393627546352362</c:v>
                </c:pt>
                <c:pt idx="306">
                  <c:v>-5.3936275463523611</c:v>
                </c:pt>
                <c:pt idx="307">
                  <c:v>-5.3936275463523611</c:v>
                </c:pt>
                <c:pt idx="308">
                  <c:v>-5.3330029245359265</c:v>
                </c:pt>
                <c:pt idx="309">
                  <c:v>-5.3330029245359265</c:v>
                </c:pt>
                <c:pt idx="310">
                  <c:v>-5.3330029245359265</c:v>
                </c:pt>
                <c:pt idx="311">
                  <c:v>-5.3330029245359265</c:v>
                </c:pt>
                <c:pt idx="312">
                  <c:v>-5.2758445106959782</c:v>
                </c:pt>
                <c:pt idx="313">
                  <c:v>-5.2217772894257024</c:v>
                </c:pt>
                <c:pt idx="314">
                  <c:v>-5.1805343308916534</c:v>
                </c:pt>
                <c:pt idx="315">
                  <c:v>-5.1704839950381514</c:v>
                </c:pt>
                <c:pt idx="316">
                  <c:v>-5.1704839950381514</c:v>
                </c:pt>
                <c:pt idx="317">
                  <c:v>-5.1704839950381514</c:v>
                </c:pt>
                <c:pt idx="318">
                  <c:v>-5.1704839950381514</c:v>
                </c:pt>
                <c:pt idx="319">
                  <c:v>-5.1704839950381514</c:v>
                </c:pt>
                <c:pt idx="320">
                  <c:v>-5.1704839950381514</c:v>
                </c:pt>
                <c:pt idx="321">
                  <c:v>-5.1704839950381514</c:v>
                </c:pt>
                <c:pt idx="322">
                  <c:v>-5.1704839950381514</c:v>
                </c:pt>
                <c:pt idx="323">
                  <c:v>-5.1704839950381514</c:v>
                </c:pt>
                <c:pt idx="324">
                  <c:v>-5.1704839950381514</c:v>
                </c:pt>
                <c:pt idx="325">
                  <c:v>-5.1704839950381514</c:v>
                </c:pt>
                <c:pt idx="326">
                  <c:v>-5.1704839950381514</c:v>
                </c:pt>
                <c:pt idx="327">
                  <c:v>-5.1704839950381514</c:v>
                </c:pt>
                <c:pt idx="328">
                  <c:v>-5.1704839950381514</c:v>
                </c:pt>
                <c:pt idx="329">
                  <c:v>-5.1704839950381514</c:v>
                </c:pt>
                <c:pt idx="330">
                  <c:v>-5.1704839950381514</c:v>
                </c:pt>
                <c:pt idx="331">
                  <c:v>-5.1704839950381514</c:v>
                </c:pt>
                <c:pt idx="332">
                  <c:v>-5.1704839950381514</c:v>
                </c:pt>
                <c:pt idx="333">
                  <c:v>-5.1704839950381514</c:v>
                </c:pt>
                <c:pt idx="334">
                  <c:v>-5.1704839950381514</c:v>
                </c:pt>
                <c:pt idx="335">
                  <c:v>-5.1704839950381514</c:v>
                </c:pt>
                <c:pt idx="336">
                  <c:v>-5.1704839950381514</c:v>
                </c:pt>
                <c:pt idx="337">
                  <c:v>-5.1216938308687201</c:v>
                </c:pt>
                <c:pt idx="338">
                  <c:v>-5.0751738152338266</c:v>
                </c:pt>
                <c:pt idx="339">
                  <c:v>-5.0134802462284869</c:v>
                </c:pt>
                <c:pt idx="340">
                  <c:v>-4.9881624382441974</c:v>
                </c:pt>
                <c:pt idx="341">
                  <c:v>-4.9675431510414612</c:v>
                </c:pt>
                <c:pt idx="342">
                  <c:v>-4.9473404437239417</c:v>
                </c:pt>
                <c:pt idx="343">
                  <c:v>-4.9473404437239417</c:v>
                </c:pt>
                <c:pt idx="344">
                  <c:v>-4.9473404437239417</c:v>
                </c:pt>
                <c:pt idx="345">
                  <c:v>-4.9473404437239417</c:v>
                </c:pt>
                <c:pt idx="346">
                  <c:v>-4.9473404437239417</c:v>
                </c:pt>
                <c:pt idx="347">
                  <c:v>-4.9473404437239417</c:v>
                </c:pt>
                <c:pt idx="348">
                  <c:v>-4.9473404437239417</c:v>
                </c:pt>
                <c:pt idx="349">
                  <c:v>-4.9473404437239417</c:v>
                </c:pt>
                <c:pt idx="350">
                  <c:v>-4.9473404437239417</c:v>
                </c:pt>
                <c:pt idx="351">
                  <c:v>-4.9473404437239417</c:v>
                </c:pt>
                <c:pt idx="352">
                  <c:v>-4.908119730570661</c:v>
                </c:pt>
                <c:pt idx="353">
                  <c:v>-4.908119730570661</c:v>
                </c:pt>
                <c:pt idx="354">
                  <c:v>-4.908119730570661</c:v>
                </c:pt>
                <c:pt idx="355">
                  <c:v>-4.8928522584398726</c:v>
                </c:pt>
                <c:pt idx="356">
                  <c:v>-4.8890715355999665</c:v>
                </c:pt>
                <c:pt idx="357">
                  <c:v>-4.8629992952901908</c:v>
                </c:pt>
                <c:pt idx="358">
                  <c:v>-4.8520302639196169</c:v>
                </c:pt>
                <c:pt idx="359">
                  <c:v>-4.8520302639196169</c:v>
                </c:pt>
                <c:pt idx="360">
                  <c:v>-4.8340117584169384</c:v>
                </c:pt>
                <c:pt idx="361">
                  <c:v>-4.7818260052463692</c:v>
                </c:pt>
                <c:pt idx="362">
                  <c:v>-4.7650188869299877</c:v>
                </c:pt>
                <c:pt idx="363">
                  <c:v>-4.7650188869299877</c:v>
                </c:pt>
                <c:pt idx="364">
                  <c:v>-4.7650188869299877</c:v>
                </c:pt>
                <c:pt idx="365">
                  <c:v>-4.7650188869299877</c:v>
                </c:pt>
                <c:pt idx="366">
                  <c:v>-4.7650188869299877</c:v>
                </c:pt>
                <c:pt idx="367">
                  <c:v>-4.7650188869299877</c:v>
                </c:pt>
                <c:pt idx="368">
                  <c:v>-4.7650188869299877</c:v>
                </c:pt>
                <c:pt idx="369">
                  <c:v>-4.7650188869299877</c:v>
                </c:pt>
                <c:pt idx="370">
                  <c:v>-4.7650188869299877</c:v>
                </c:pt>
                <c:pt idx="371">
                  <c:v>-4.7650188869299877</c:v>
                </c:pt>
                <c:pt idx="372">
                  <c:v>-4.7650188869299877</c:v>
                </c:pt>
                <c:pt idx="373">
                  <c:v>-4.7650188869299877</c:v>
                </c:pt>
                <c:pt idx="374">
                  <c:v>-4.7650188869299877</c:v>
                </c:pt>
                <c:pt idx="375">
                  <c:v>-4.7650188869299877</c:v>
                </c:pt>
                <c:pt idx="376">
                  <c:v>-4.7650188869299877</c:v>
                </c:pt>
                <c:pt idx="377">
                  <c:v>-4.7650188869299877</c:v>
                </c:pt>
                <c:pt idx="378">
                  <c:v>-4.7650188869299877</c:v>
                </c:pt>
                <c:pt idx="379">
                  <c:v>-4.7004803657924157</c:v>
                </c:pt>
                <c:pt idx="380">
                  <c:v>-4.6697087071256629</c:v>
                </c:pt>
                <c:pt idx="381">
                  <c:v>-4.6697087071256629</c:v>
                </c:pt>
                <c:pt idx="382">
                  <c:v>-4.6697087071256629</c:v>
                </c:pt>
                <c:pt idx="383">
                  <c:v>-4.6697087071256629</c:v>
                </c:pt>
                <c:pt idx="384">
                  <c:v>-4.6398557439759811</c:v>
                </c:pt>
                <c:pt idx="385">
                  <c:v>-4.6398557439759811</c:v>
                </c:pt>
                <c:pt idx="386">
                  <c:v>-4.6398557439759811</c:v>
                </c:pt>
                <c:pt idx="387">
                  <c:v>-4.6108682071027287</c:v>
                </c:pt>
                <c:pt idx="388">
                  <c:v>-4.528630108865757</c:v>
                </c:pt>
                <c:pt idx="389">
                  <c:v>-4.4773368144782069</c:v>
                </c:pt>
                <c:pt idx="390">
                  <c:v>-4.4773368144782069</c:v>
                </c:pt>
                <c:pt idx="391">
                  <c:v>-4.4773368144782069</c:v>
                </c:pt>
                <c:pt idx="392">
                  <c:v>-4.4773368144782069</c:v>
                </c:pt>
                <c:pt idx="393">
                  <c:v>-4.4773368144782069</c:v>
                </c:pt>
                <c:pt idx="394">
                  <c:v>-4.4773368144782069</c:v>
                </c:pt>
                <c:pt idx="395">
                  <c:v>-4.4773368144782069</c:v>
                </c:pt>
                <c:pt idx="396">
                  <c:v>-4.4773368144782069</c:v>
                </c:pt>
                <c:pt idx="397">
                  <c:v>-4.4773368144782069</c:v>
                </c:pt>
                <c:pt idx="398">
                  <c:v>-4.4723492729671674</c:v>
                </c:pt>
                <c:pt idx="399">
                  <c:v>-4.4526442018878347</c:v>
                </c:pt>
                <c:pt idx="400">
                  <c:v>-4.4285466503087747</c:v>
                </c:pt>
                <c:pt idx="401">
                  <c:v>-4.4285466503087747</c:v>
                </c:pt>
                <c:pt idx="402">
                  <c:v>-4.3820266346738821</c:v>
                </c:pt>
                <c:pt idx="403">
                  <c:v>-4.3375748721030476</c:v>
                </c:pt>
                <c:pt idx="404">
                  <c:v>-4.3375748721030476</c:v>
                </c:pt>
                <c:pt idx="405">
                  <c:v>-4.295015257684252</c:v>
                </c:pt>
                <c:pt idx="406">
                  <c:v>-4.295015257684252</c:v>
                </c:pt>
                <c:pt idx="407">
                  <c:v>-4.295015257684252</c:v>
                </c:pt>
                <c:pt idx="408">
                  <c:v>-4.295015257684252</c:v>
                </c:pt>
                <c:pt idx="409">
                  <c:v>-4.2541932631639972</c:v>
                </c:pt>
                <c:pt idx="410">
                  <c:v>-4.2541932631639972</c:v>
                </c:pt>
                <c:pt idx="411">
                  <c:v>-4.2541932631639972</c:v>
                </c:pt>
                <c:pt idx="412">
                  <c:v>-4.2541932631639972</c:v>
                </c:pt>
                <c:pt idx="413">
                  <c:v>-4.2541932631639972</c:v>
                </c:pt>
                <c:pt idx="414">
                  <c:v>-4.2541932631639972</c:v>
                </c:pt>
                <c:pt idx="415">
                  <c:v>-4.2541932631639972</c:v>
                </c:pt>
                <c:pt idx="416">
                  <c:v>-4.2541932631639972</c:v>
                </c:pt>
                <c:pt idx="417">
                  <c:v>-4.2541932631639972</c:v>
                </c:pt>
                <c:pt idx="418">
                  <c:v>-4.2541932631639972</c:v>
                </c:pt>
                <c:pt idx="419">
                  <c:v>-4.2541932631639972</c:v>
                </c:pt>
                <c:pt idx="420">
                  <c:v>-4.2541932631639972</c:v>
                </c:pt>
                <c:pt idx="421">
                  <c:v>-4.2541932631639972</c:v>
                </c:pt>
                <c:pt idx="422">
                  <c:v>-4.2541932631639972</c:v>
                </c:pt>
                <c:pt idx="423">
                  <c:v>-4.2541932631639972</c:v>
                </c:pt>
                <c:pt idx="424">
                  <c:v>-4.2541932631639972</c:v>
                </c:pt>
                <c:pt idx="425">
                  <c:v>-4.2541932631639972</c:v>
                </c:pt>
                <c:pt idx="426">
                  <c:v>-4.2541932631639972</c:v>
                </c:pt>
                <c:pt idx="427">
                  <c:v>-4.2541932631639972</c:v>
                </c:pt>
                <c:pt idx="428">
                  <c:v>-4.2541932631639972</c:v>
                </c:pt>
                <c:pt idx="429">
                  <c:v>-4.2541932631639972</c:v>
                </c:pt>
                <c:pt idx="430">
                  <c:v>-4.2541932631639972</c:v>
                </c:pt>
                <c:pt idx="431">
                  <c:v>-4.2541932631639972</c:v>
                </c:pt>
                <c:pt idx="432">
                  <c:v>-4.2541932631639972</c:v>
                </c:pt>
                <c:pt idx="433">
                  <c:v>-4.2541932631639972</c:v>
                </c:pt>
                <c:pt idx="434">
                  <c:v>-4.2541932631639972</c:v>
                </c:pt>
                <c:pt idx="435">
                  <c:v>-4.2541932631639972</c:v>
                </c:pt>
                <c:pt idx="436">
                  <c:v>-4.2541932631639972</c:v>
                </c:pt>
                <c:pt idx="437">
                  <c:v>-4.2541932631639972</c:v>
                </c:pt>
                <c:pt idx="438">
                  <c:v>-4.2541932631639972</c:v>
                </c:pt>
                <c:pt idx="439">
                  <c:v>-4.2541932631639972</c:v>
                </c:pt>
                <c:pt idx="440">
                  <c:v>-4.2541932631639972</c:v>
                </c:pt>
                <c:pt idx="441">
                  <c:v>-4.2541932631639972</c:v>
                </c:pt>
                <c:pt idx="442">
                  <c:v>-4.2541932631639972</c:v>
                </c:pt>
                <c:pt idx="443">
                  <c:v>-4.2541932631639972</c:v>
                </c:pt>
                <c:pt idx="444">
                  <c:v>-4.2343906358678174</c:v>
                </c:pt>
                <c:pt idx="445">
                  <c:v>-4.2343906358678174</c:v>
                </c:pt>
                <c:pt idx="446">
                  <c:v>-4.1997050778799272</c:v>
                </c:pt>
                <c:pt idx="447">
                  <c:v>-4.1772322220278681</c:v>
                </c:pt>
                <c:pt idx="448">
                  <c:v>-4.140864577856993</c:v>
                </c:pt>
                <c:pt idx="449">
                  <c:v>-4.0718717063700423</c:v>
                </c:pt>
                <c:pt idx="450">
                  <c:v>-4.0718717063700423</c:v>
                </c:pt>
                <c:pt idx="451">
                  <c:v>-4.0718717063700423</c:v>
                </c:pt>
                <c:pt idx="452">
                  <c:v>-4.0718717063700423</c:v>
                </c:pt>
                <c:pt idx="453">
                  <c:v>-4.0718717063700423</c:v>
                </c:pt>
                <c:pt idx="454">
                  <c:v>-4.0718717063700423</c:v>
                </c:pt>
                <c:pt idx="455">
                  <c:v>-4.0718717063700423</c:v>
                </c:pt>
                <c:pt idx="456">
                  <c:v>-4.0718717063700423</c:v>
                </c:pt>
                <c:pt idx="457">
                  <c:v>-3.9995510447904161</c:v>
                </c:pt>
                <c:pt idx="458">
                  <c:v>-3.9765615265657175</c:v>
                </c:pt>
                <c:pt idx="459">
                  <c:v>-3.9765615265657175</c:v>
                </c:pt>
                <c:pt idx="460">
                  <c:v>-3.9765615265657175</c:v>
                </c:pt>
                <c:pt idx="461">
                  <c:v>-3.9467085634160362</c:v>
                </c:pt>
                <c:pt idx="462">
                  <c:v>-3.9467085634160362</c:v>
                </c:pt>
                <c:pt idx="463">
                  <c:v>-3.9177210265427838</c:v>
                </c:pt>
                <c:pt idx="464">
                  <c:v>-3.9177210265427838</c:v>
                </c:pt>
                <c:pt idx="465">
                  <c:v>-3.8487281550558325</c:v>
                </c:pt>
                <c:pt idx="466">
                  <c:v>-3.8487281550558325</c:v>
                </c:pt>
                <c:pt idx="467">
                  <c:v>-3.8487281550558325</c:v>
                </c:pt>
                <c:pt idx="468">
                  <c:v>-3.8487281550558325</c:v>
                </c:pt>
                <c:pt idx="469">
                  <c:v>-3.8487281550558325</c:v>
                </c:pt>
                <c:pt idx="470">
                  <c:v>-3.784189633918261</c:v>
                </c:pt>
                <c:pt idx="471">
                  <c:v>-3.784189633918261</c:v>
                </c:pt>
                <c:pt idx="472">
                  <c:v>-3.784189633918261</c:v>
                </c:pt>
                <c:pt idx="473">
                  <c:v>-3.784189633918261</c:v>
                </c:pt>
                <c:pt idx="474">
                  <c:v>-3.784189633918261</c:v>
                </c:pt>
                <c:pt idx="475">
                  <c:v>-3.784189633918261</c:v>
                </c:pt>
                <c:pt idx="476">
                  <c:v>-3.784189633918261</c:v>
                </c:pt>
                <c:pt idx="477">
                  <c:v>-3.784189633918261</c:v>
                </c:pt>
                <c:pt idx="478">
                  <c:v>-3.784189633918261</c:v>
                </c:pt>
                <c:pt idx="479">
                  <c:v>-3.779202092407222</c:v>
                </c:pt>
                <c:pt idx="480">
                  <c:v>-3.7235650121018264</c:v>
                </c:pt>
                <c:pt idx="481">
                  <c:v>-3.694577475228574</c:v>
                </c:pt>
                <c:pt idx="482">
                  <c:v>-3.6832137165782588</c:v>
                </c:pt>
                <c:pt idx="483">
                  <c:v>-3.6664065982618776</c:v>
                </c:pt>
                <c:pt idx="484">
                  <c:v>-3.6664065982618776</c:v>
                </c:pt>
                <c:pt idx="485">
                  <c:v>-3.6664065982618776</c:v>
                </c:pt>
                <c:pt idx="486">
                  <c:v>-3.6664065982618776</c:v>
                </c:pt>
                <c:pt idx="487">
                  <c:v>-3.6400892899445045</c:v>
                </c:pt>
                <c:pt idx="488">
                  <c:v>-3.5812487899215708</c:v>
                </c:pt>
                <c:pt idx="489">
                  <c:v>-3.5710964184575529</c:v>
                </c:pt>
                <c:pt idx="490">
                  <c:v>-3.5610460826040513</c:v>
                </c:pt>
                <c:pt idx="491">
                  <c:v>-3.5610460826040513</c:v>
                </c:pt>
                <c:pt idx="492">
                  <c:v>-3.5610460826040513</c:v>
                </c:pt>
                <c:pt idx="493">
                  <c:v>-3.5610460826040513</c:v>
                </c:pt>
                <c:pt idx="494">
                  <c:v>-3.5610460826040513</c:v>
                </c:pt>
                <c:pt idx="495">
                  <c:v>-3.5610460826040513</c:v>
                </c:pt>
                <c:pt idx="496">
                  <c:v>-3.5610460826040513</c:v>
                </c:pt>
                <c:pt idx="497">
                  <c:v>-3.5610460826040513</c:v>
                </c:pt>
                <c:pt idx="498">
                  <c:v>-3.5610460826040513</c:v>
                </c:pt>
                <c:pt idx="499">
                  <c:v>-3.5610460826040513</c:v>
                </c:pt>
                <c:pt idx="500">
                  <c:v>-3.5610460826040513</c:v>
                </c:pt>
                <c:pt idx="501">
                  <c:v>-3.5610460826040513</c:v>
                </c:pt>
                <c:pt idx="502">
                  <c:v>-3.5610460826040513</c:v>
                </c:pt>
                <c:pt idx="503">
                  <c:v>-3.5610460826040513</c:v>
                </c:pt>
                <c:pt idx="504">
                  <c:v>-3.5610460826040513</c:v>
                </c:pt>
                <c:pt idx="505">
                  <c:v>-3.5610460826040513</c:v>
                </c:pt>
                <c:pt idx="506">
                  <c:v>-3.5610460826040513</c:v>
                </c:pt>
                <c:pt idx="507">
                  <c:v>-3.5610460826040513</c:v>
                </c:pt>
                <c:pt idx="508">
                  <c:v>-3.5610460826040513</c:v>
                </c:pt>
                <c:pt idx="509">
                  <c:v>-3.5610460826040513</c:v>
                </c:pt>
                <c:pt idx="510">
                  <c:v>-3.5610460826040513</c:v>
                </c:pt>
                <c:pt idx="511">
                  <c:v>-3.5610460826040513</c:v>
                </c:pt>
                <c:pt idx="512">
                  <c:v>-3.5610460826040513</c:v>
                </c:pt>
                <c:pt idx="513">
                  <c:v>-3.5610460826040513</c:v>
                </c:pt>
                <c:pt idx="514">
                  <c:v>-3.5610460826040513</c:v>
                </c:pt>
                <c:pt idx="515">
                  <c:v>-3.5392845908225388</c:v>
                </c:pt>
                <c:pt idx="516">
                  <c:v>-3.5363534700136801</c:v>
                </c:pt>
                <c:pt idx="517">
                  <c:v>-3.5218253694507702</c:v>
                </c:pt>
                <c:pt idx="518">
                  <c:v>-3.5122559184346192</c:v>
                </c:pt>
                <c:pt idx="519">
                  <c:v>-3.5027771744800758</c:v>
                </c:pt>
                <c:pt idx="520">
                  <c:v>-3.4840850414679232</c:v>
                </c:pt>
                <c:pt idx="521">
                  <c:v>-3.4748683863629992</c:v>
                </c:pt>
                <c:pt idx="522">
                  <c:v>-3.4566860672798088</c:v>
                </c:pt>
                <c:pt idx="523">
                  <c:v>-3.4477173972970481</c:v>
                </c:pt>
                <c:pt idx="524">
                  <c:v>-3.4477173972970481</c:v>
                </c:pt>
                <c:pt idx="525">
                  <c:v>-3.4300178201976474</c:v>
                </c:pt>
                <c:pt idx="526">
                  <c:v>-3.3787245258100969</c:v>
                </c:pt>
                <c:pt idx="527">
                  <c:v>-3.3787245258100969</c:v>
                </c:pt>
                <c:pt idx="528">
                  <c:v>-3.3787245258100969</c:v>
                </c:pt>
                <c:pt idx="529">
                  <c:v>-3.3787245258100969</c:v>
                </c:pt>
                <c:pt idx="530">
                  <c:v>-3.3787245258100969</c:v>
                </c:pt>
                <c:pt idx="531">
                  <c:v>-3.3787245258100969</c:v>
                </c:pt>
                <c:pt idx="532">
                  <c:v>-3.3787245258100969</c:v>
                </c:pt>
                <c:pt idx="533">
                  <c:v>-3.3787245258100969</c:v>
                </c:pt>
                <c:pt idx="534">
                  <c:v>-3.3787245258100969</c:v>
                </c:pt>
                <c:pt idx="535">
                  <c:v>-3.3787245258100969</c:v>
                </c:pt>
                <c:pt idx="536">
                  <c:v>-3.3787245258100969</c:v>
                </c:pt>
                <c:pt idx="537">
                  <c:v>-3.3540319132197252</c:v>
                </c:pt>
                <c:pt idx="538">
                  <c:v>-3.3379025312898416</c:v>
                </c:pt>
                <c:pt idx="539">
                  <c:v>-3.3339105100203041</c:v>
                </c:pt>
                <c:pt idx="540">
                  <c:v>-3.3141860046725258</c:v>
                </c:pt>
                <c:pt idx="541">
                  <c:v>-3.3141860046725253</c:v>
                </c:pt>
                <c:pt idx="542">
                  <c:v>-3.2834143460057721</c:v>
                </c:pt>
                <c:pt idx="543">
                  <c:v>-3.2834143460057721</c:v>
                </c:pt>
                <c:pt idx="544">
                  <c:v>-3.2834143460057721</c:v>
                </c:pt>
                <c:pt idx="545">
                  <c:v>-3.2834143460057721</c:v>
                </c:pt>
                <c:pt idx="546">
                  <c:v>-3.2683764686412315</c:v>
                </c:pt>
                <c:pt idx="547">
                  <c:v>-3.2281516673307227</c:v>
                </c:pt>
                <c:pt idx="548">
                  <c:v>-3.2217207770004324</c:v>
                </c:pt>
                <c:pt idx="549">
                  <c:v>-3.1964029690161424</c:v>
                </c:pt>
                <c:pt idx="550">
                  <c:v>-3.1964029690161424</c:v>
                </c:pt>
                <c:pt idx="551">
                  <c:v>-3.1839804490175849</c:v>
                </c:pt>
                <c:pt idx="552">
                  <c:v>-3.1622699626466835</c:v>
                </c:pt>
                <c:pt idx="553">
                  <c:v>-3.1555809744958871</c:v>
                </c:pt>
                <c:pt idx="554">
                  <c:v>-3.1555809744958871</c:v>
                </c:pt>
                <c:pt idx="555">
                  <c:v>-3.1555809744958871</c:v>
                </c:pt>
                <c:pt idx="556">
                  <c:v>-3.1555809744958871</c:v>
                </c:pt>
                <c:pt idx="557">
                  <c:v>-3.1555809744958871</c:v>
                </c:pt>
                <c:pt idx="558">
                  <c:v>-3.1555809744958871</c:v>
                </c:pt>
                <c:pt idx="559">
                  <c:v>-3.1555809744958871</c:v>
                </c:pt>
                <c:pt idx="560">
                  <c:v>-3.1325157015648912</c:v>
                </c:pt>
                <c:pt idx="561">
                  <c:v>-3.1292636661785136</c:v>
                </c:pt>
                <c:pt idx="562">
                  <c:v>-3.1163602613426056</c:v>
                </c:pt>
                <c:pt idx="563">
                  <c:v>-3.0910424533583156</c:v>
                </c:pt>
                <c:pt idx="564">
                  <c:v>-3.0910424533583156</c:v>
                </c:pt>
                <c:pt idx="565">
                  <c:v>-3.0280676541969274</c:v>
                </c:pt>
                <c:pt idx="566">
                  <c:v>-3.0129246740943638</c:v>
                </c:pt>
                <c:pt idx="567">
                  <c:v>-2.9732594177019327</c:v>
                </c:pt>
                <c:pt idx="568">
                  <c:v>-2.9622095815153475</c:v>
                </c:pt>
                <c:pt idx="569">
                  <c:v>-2.9567301157507218</c:v>
                </c:pt>
                <c:pt idx="570">
                  <c:v>-2.9087208965643612</c:v>
                </c:pt>
                <c:pt idx="571">
                  <c:v>-2.9087208965643612</c:v>
                </c:pt>
                <c:pt idx="572">
                  <c:v>-2.8678989020441059</c:v>
                </c:pt>
                <c:pt idx="573">
                  <c:v>-2.8678989020441059</c:v>
                </c:pt>
                <c:pt idx="574">
                  <c:v>-2.8678989020441059</c:v>
                </c:pt>
                <c:pt idx="575">
                  <c:v>-2.8678989020441059</c:v>
                </c:pt>
                <c:pt idx="576">
                  <c:v>-2.8678989020441059</c:v>
                </c:pt>
                <c:pt idx="577">
                  <c:v>-2.8678989020441059</c:v>
                </c:pt>
                <c:pt idx="578">
                  <c:v>-2.8678989020441059</c:v>
                </c:pt>
                <c:pt idx="579">
                  <c:v>-2.8678989020441059</c:v>
                </c:pt>
                <c:pt idx="580">
                  <c:v>-2.8678989020441059</c:v>
                </c:pt>
                <c:pt idx="581">
                  <c:v>-2.8678989020441059</c:v>
                </c:pt>
                <c:pt idx="582">
                  <c:v>-2.8678989020441059</c:v>
                </c:pt>
                <c:pt idx="583">
                  <c:v>-2.8678989020441059</c:v>
                </c:pt>
                <c:pt idx="584">
                  <c:v>-2.8678989020441059</c:v>
                </c:pt>
                <c:pt idx="585">
                  <c:v>-2.8678989020441059</c:v>
                </c:pt>
                <c:pt idx="586">
                  <c:v>-2.8678989020441059</c:v>
                </c:pt>
                <c:pt idx="587">
                  <c:v>-2.8678989020441059</c:v>
                </c:pt>
                <c:pt idx="588">
                  <c:v>-2.8678989020441059</c:v>
                </c:pt>
                <c:pt idx="589">
                  <c:v>-2.8678989020441059</c:v>
                </c:pt>
                <c:pt idx="590">
                  <c:v>-2.857948571190938</c:v>
                </c:pt>
                <c:pt idx="591">
                  <c:v>-2.8480962747479266</c:v>
                </c:pt>
                <c:pt idx="592">
                  <c:v>-2.8191087378746742</c:v>
                </c:pt>
                <c:pt idx="593">
                  <c:v>-2.7771445387756417</c:v>
                </c:pt>
                <c:pt idx="594">
                  <c:v>-2.7545702167371031</c:v>
                </c:pt>
                <c:pt idx="595">
                  <c:v>-2.7545702167371027</c:v>
                </c:pt>
                <c:pt idx="596">
                  <c:v>-2.7501158663877225</c:v>
                </c:pt>
                <c:pt idx="597">
                  <c:v>-2.7501158663877225</c:v>
                </c:pt>
                <c:pt idx="598">
                  <c:v>-2.7368706396377021</c:v>
                </c:pt>
                <c:pt idx="599">
                  <c:v>-2.7237985580703494</c:v>
                </c:pt>
                <c:pt idx="600">
                  <c:v>-2.695627681103653</c:v>
                </c:pt>
                <c:pt idx="601">
                  <c:v>-2.6855773452501515</c:v>
                </c:pt>
                <c:pt idx="602">
                  <c:v>-2.6367871810807193</c:v>
                </c:pt>
                <c:pt idx="603">
                  <c:v>-2.6229938589483837</c:v>
                </c:pt>
                <c:pt idx="604">
                  <c:v>-2.5752292880812861</c:v>
                </c:pt>
                <c:pt idx="605">
                  <c:v>-2.5677943095937681</c:v>
                </c:pt>
                <c:pt idx="606">
                  <c:v>-2.5677943095937681</c:v>
                </c:pt>
                <c:pt idx="607">
                  <c:v>-2.5677943095937681</c:v>
                </c:pt>
                <c:pt idx="608">
                  <c:v>-2.5677943095937681</c:v>
                </c:pt>
                <c:pt idx="609">
                  <c:v>-2.4724841297894433</c:v>
                </c:pt>
                <c:pt idx="610">
                  <c:v>-2.4624337939359418</c:v>
                </c:pt>
                <c:pt idx="611">
                  <c:v>-2.4624337939359418</c:v>
                </c:pt>
                <c:pt idx="612">
                  <c:v>-2.4624337939359418</c:v>
                </c:pt>
                <c:pt idx="613">
                  <c:v>-2.4624337939359418</c:v>
                </c:pt>
                <c:pt idx="614">
                  <c:v>-2.4624337939359418</c:v>
                </c:pt>
                <c:pt idx="615">
                  <c:v>-2.4624337939359418</c:v>
                </c:pt>
                <c:pt idx="616">
                  <c:v>-2.4624337939359418</c:v>
                </c:pt>
                <c:pt idx="617">
                  <c:v>-2.4505052230706679</c:v>
                </c:pt>
                <c:pt idx="618">
                  <c:v>-2.442631166639762</c:v>
                </c:pt>
                <c:pt idx="619">
                  <c:v>-2.3978952727983707</c:v>
                </c:pt>
                <c:pt idx="620">
                  <c:v>-2.3947751454621269</c:v>
                </c:pt>
                <c:pt idx="621">
                  <c:v>-2.3689434508486027</c:v>
                </c:pt>
                <c:pt idx="622">
                  <c:v>-2.3491051086289385</c:v>
                </c:pt>
                <c:pt idx="623">
                  <c:v>-2.3473209868354372</c:v>
                </c:pt>
                <c:pt idx="624">
                  <c:v>-2.3054300451262772</c:v>
                </c:pt>
                <c:pt idx="625">
                  <c:v>-2.2801122371419873</c:v>
                </c:pt>
                <c:pt idx="626">
                  <c:v>-2.2690624009554021</c:v>
                </c:pt>
                <c:pt idx="627">
                  <c:v>-2.2360953517252127</c:v>
                </c:pt>
                <c:pt idx="628">
                  <c:v>-2.2360953517252127</c:v>
                </c:pt>
                <c:pt idx="629">
                  <c:v>-2.2313220729725551</c:v>
                </c:pt>
                <c:pt idx="630">
                  <c:v>-2.2260450158717116</c:v>
                </c:pt>
                <c:pt idx="631">
                  <c:v>-2.174751721484161</c:v>
                </c:pt>
                <c:pt idx="632">
                  <c:v>-2.174751721484161</c:v>
                </c:pt>
                <c:pt idx="633">
                  <c:v>-2.174751721484161</c:v>
                </c:pt>
                <c:pt idx="634">
                  <c:v>-2.174751721484161</c:v>
                </c:pt>
                <c:pt idx="635">
                  <c:v>-2.174751721484161</c:v>
                </c:pt>
                <c:pt idx="636">
                  <c:v>-2.174751721484161</c:v>
                </c:pt>
                <c:pt idx="637">
                  <c:v>-2.174751721484161</c:v>
                </c:pt>
                <c:pt idx="638">
                  <c:v>-2.174751721484161</c:v>
                </c:pt>
                <c:pt idx="639">
                  <c:v>-2.169764179973122</c:v>
                </c:pt>
                <c:pt idx="640">
                  <c:v>-2.1235834349097615</c:v>
                </c:pt>
                <c:pt idx="641">
                  <c:v>-2.116482813360185</c:v>
                </c:pt>
                <c:pt idx="642">
                  <c:v>-2.1024310599045348</c:v>
                </c:pt>
                <c:pt idx="643">
                  <c:v>-2.0977906803480324</c:v>
                </c:pt>
                <c:pt idx="644">
                  <c:v>-2.0839973582156968</c:v>
                </c:pt>
                <c:pt idx="645">
                  <c:v>-2.059638914383656</c:v>
                </c:pt>
                <c:pt idx="646">
                  <c:v>-2.0569686858277771</c:v>
                </c:pt>
                <c:pt idx="647">
                  <c:v>-1.9677375520998346</c:v>
                </c:pt>
                <c:pt idx="648">
                  <c:v>-1.9318055428737715</c:v>
                </c:pt>
                <c:pt idx="649">
                  <c:v>-1.8746471290338227</c:v>
                </c:pt>
                <c:pt idx="650">
                  <c:v>-1.8562979903656263</c:v>
                </c:pt>
                <c:pt idx="651">
                  <c:v>-1.8483298207164494</c:v>
                </c:pt>
                <c:pt idx="652">
                  <c:v>-1.8454479743415606</c:v>
                </c:pt>
                <c:pt idx="653">
                  <c:v>-1.8170772772123449</c:v>
                </c:pt>
                <c:pt idx="654">
                  <c:v>-1.7793369492294979</c:v>
                </c:pt>
                <c:pt idx="655">
                  <c:v>-1.7692866133759966</c:v>
                </c:pt>
                <c:pt idx="656">
                  <c:v>-1.7692866133759966</c:v>
                </c:pt>
                <c:pt idx="657">
                  <c:v>-1.7692866133759966</c:v>
                </c:pt>
                <c:pt idx="658">
                  <c:v>-1.7692866133759966</c:v>
                </c:pt>
                <c:pt idx="659">
                  <c:v>-1.7494839860798168</c:v>
                </c:pt>
                <c:pt idx="660">
                  <c:v>-1.7462213404450004</c:v>
                </c:pt>
                <c:pt idx="661">
                  <c:v>-1.7397278111344521</c:v>
                </c:pt>
                <c:pt idx="662">
                  <c:v>-1.6312653154786216</c:v>
                </c:pt>
                <c:pt idx="663">
                  <c:v>-1.5704357546308314</c:v>
                </c:pt>
                <c:pt idx="664">
                  <c:v>-1.5704357546308312</c:v>
                </c:pt>
                <c:pt idx="665">
                  <c:v>-1.4859891392420397</c:v>
                </c:pt>
                <c:pt idx="666">
                  <c:v>-1.4816045409242156</c:v>
                </c:pt>
                <c:pt idx="667">
                  <c:v>-1.4280637739961857</c:v>
                </c:pt>
                <c:pt idx="668">
                  <c:v>-1.3862943611198906</c:v>
                </c:pt>
                <c:pt idx="669">
                  <c:v>-1.3862943611198906</c:v>
                </c:pt>
                <c:pt idx="670">
                  <c:v>-1.3705104934186287</c:v>
                </c:pt>
                <c:pt idx="671">
                  <c:v>-1.3224663195859181</c:v>
                </c:pt>
                <c:pt idx="672">
                  <c:v>-1.2584609896100059</c:v>
                </c:pt>
                <c:pt idx="673">
                  <c:v>-1.2584609896100059</c:v>
                </c:pt>
                <c:pt idx="674">
                  <c:v>-1.2584609896100056</c:v>
                </c:pt>
                <c:pt idx="675">
                  <c:v>-1.2115774037111553</c:v>
                </c:pt>
                <c:pt idx="676">
                  <c:v>-1.1856753198843579</c:v>
                </c:pt>
                <c:pt idx="677">
                  <c:v>-1.1814999484738775</c:v>
                </c:pt>
                <c:pt idx="678">
                  <c:v>-1.0761394328160512</c:v>
                </c:pt>
                <c:pt idx="679">
                  <c:v>-1.0761394328160512</c:v>
                </c:pt>
                <c:pt idx="680">
                  <c:v>-1.0761394328160512</c:v>
                </c:pt>
                <c:pt idx="681">
                  <c:v>-1.0642108619507773</c:v>
                </c:pt>
                <c:pt idx="682">
                  <c:v>-0.98082925301172619</c:v>
                </c:pt>
                <c:pt idx="683">
                  <c:v>-0.96281074750904783</c:v>
                </c:pt>
                <c:pt idx="684">
                  <c:v>-0.95392180009180194</c:v>
                </c:pt>
                <c:pt idx="685">
                  <c:v>-0.91842368682429654</c:v>
                </c:pt>
                <c:pt idx="686">
                  <c:v>-0.56531380905006057</c:v>
                </c:pt>
                <c:pt idx="687">
                  <c:v>-0.38299225225610584</c:v>
                </c:pt>
                <c:pt idx="688">
                  <c:v>-0.3582996396657343</c:v>
                </c:pt>
                <c:pt idx="689">
                  <c:v>-0.3582996396657343</c:v>
                </c:pt>
                <c:pt idx="690">
                  <c:v>-0.35667494393873245</c:v>
                </c:pt>
                <c:pt idx="691">
                  <c:v>-0.2541593804131374</c:v>
                </c:pt>
                <c:pt idx="692">
                  <c:v>0</c:v>
                </c:pt>
                <c:pt idx="693">
                  <c:v>2.4968801985871458E-3</c:v>
                </c:pt>
                <c:pt idx="694">
                  <c:v>0.39019763597737595</c:v>
                </c:pt>
                <c:pt idx="695">
                  <c:v>0.40493466441747877</c:v>
                </c:pt>
                <c:pt idx="696">
                  <c:v>1.1536957398133307</c:v>
                </c:pt>
              </c:numCache>
            </c:numRef>
          </c:yVal>
          <c:smooth val="0"/>
        </c:ser>
        <c:dLbls>
          <c:showLegendKey val="0"/>
          <c:showVal val="0"/>
          <c:showCatName val="0"/>
          <c:showSerName val="0"/>
          <c:showPercent val="0"/>
          <c:showBubbleSize val="0"/>
        </c:dLbls>
        <c:axId val="112182016"/>
        <c:axId val="112184320"/>
      </c:scatterChart>
      <c:valAx>
        <c:axId val="1121820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722530521642638"/>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84320"/>
        <c:crossesAt val="-10"/>
        <c:crossBetween val="midCat"/>
      </c:valAx>
      <c:valAx>
        <c:axId val="1121843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182016"/>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223085460599334"/>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-2.869191443219326</c:v>
                </c:pt>
                <c:pt idx="1">
                  <c:v>-2.5021064733430647</c:v>
                </c:pt>
                <c:pt idx="2">
                  <c:v>-2.3156729634461346</c:v>
                </c:pt>
                <c:pt idx="3">
                  <c:v>-2.1861233191315859</c:v>
                </c:pt>
                <c:pt idx="4">
                  <c:v>-2.0853555660318284</c:v>
                </c:pt>
                <c:pt idx="5">
                  <c:v>-2.002160339164663</c:v>
                </c:pt>
                <c:pt idx="6">
                  <c:v>-1.9308796091598428</c:v>
                </c:pt>
                <c:pt idx="7">
                  <c:v>-1.8682416548639302</c:v>
                </c:pt>
                <c:pt idx="8">
                  <c:v>-1.8121770257485288</c:v>
                </c:pt>
                <c:pt idx="9">
                  <c:v>-1.7612901851318292</c:v>
                </c:pt>
                <c:pt idx="10">
                  <c:v>-1.7145936537660897</c:v>
                </c:pt>
                <c:pt idx="11">
                  <c:v>-1.6713619553031223</c:v>
                </c:pt>
                <c:pt idx="12">
                  <c:v>-1.6310457876315667</c:v>
                </c:pt>
                <c:pt idx="13">
                  <c:v>-1.5932188180230502</c:v>
                </c:pt>
                <c:pt idx="14">
                  <c:v>-1.5575432357847125</c:v>
                </c:pt>
                <c:pt idx="15">
                  <c:v>-1.5237466289905284</c:v>
                </c:pt>
                <c:pt idx="16">
                  <c:v>-1.4916059817794982</c:v>
                </c:pt>
                <c:pt idx="17">
                  <c:v>-1.4609363063735881</c:v>
                </c:pt>
                <c:pt idx="18">
                  <c:v>-1.4315823826641163</c:v>
                </c:pt>
                <c:pt idx="19">
                  <c:v>-1.4034126358514019</c:v>
                </c:pt>
                <c:pt idx="20">
                  <c:v>-1.3763145187640959</c:v>
                </c:pt>
                <c:pt idx="21">
                  <c:v>-1.3501909745292517</c:v>
                </c:pt>
                <c:pt idx="22">
                  <c:v>-1.3249576888929773</c:v>
                </c:pt>
                <c:pt idx="23">
                  <c:v>-1.3005409290255747</c:v>
                </c:pt>
                <c:pt idx="24">
                  <c:v>-1.2768758242525717</c:v>
                </c:pt>
                <c:pt idx="25">
                  <c:v>-1.2539049841737089</c:v>
                </c:pt>
                <c:pt idx="26">
                  <c:v>-1.2315773774519712</c:v>
                </c:pt>
                <c:pt idx="27">
                  <c:v>-1.2098474142099354</c:v>
                </c:pt>
                <c:pt idx="28">
                  <c:v>-1.1886741890646779</c:v>
                </c:pt>
                <c:pt idx="29">
                  <c:v>-1.1680208520770818</c:v>
                </c:pt>
                <c:pt idx="30">
                  <c:v>-1.1478540824317975</c:v>
                </c:pt>
                <c:pt idx="31">
                  <c:v>-1.1281436452787641</c:v>
                </c:pt>
                <c:pt idx="32">
                  <c:v>-1.1088620163928995</c:v>
                </c:pt>
                <c:pt idx="33">
                  <c:v>-1.0899840625208512</c:v>
                </c:pt>
                <c:pt idx="34">
                  <c:v>-1.071486767748316</c:v>
                </c:pt>
                <c:pt idx="35">
                  <c:v>-1.0533489981289514</c:v>
                </c:pt>
                <c:pt idx="36">
                  <c:v>-1.0355512983042106</c:v>
                </c:pt>
                <c:pt idx="37">
                  <c:v>-1.0180757150135895</c:v>
                </c:pt>
                <c:pt idx="38">
                  <c:v>-1.0009056433214076</c:v>
                </c:pt>
                <c:pt idx="39">
                  <c:v>-0.98402569212497448</c:v>
                </c:pt>
                <c:pt idx="40">
                  <c:v>-0.96742156610170071</c:v>
                </c:pt>
                <c:pt idx="41">
                  <c:v>-0.95107996173116383</c:v>
                </c:pt>
                <c:pt idx="42">
                  <c:v>-0.93498847541645724</c:v>
                </c:pt>
                <c:pt idx="43">
                  <c:v>-0.91913552204621074</c:v>
                </c:pt>
                <c:pt idx="44">
                  <c:v>-0.90351026259865719</c:v>
                </c:pt>
                <c:pt idx="45">
                  <c:v>-0.88810253960355767</c:v>
                </c:pt>
                <c:pt idx="46">
                  <c:v>-0.87290281945529757</c:v>
                </c:pt>
                <c:pt idx="47">
                  <c:v>-0.85790214071820381</c:v>
                </c:pt>
                <c:pt idx="48">
                  <c:v>-0.8430920676885425</c:v>
                </c:pt>
                <c:pt idx="49">
                  <c:v>-0.82846464858113456</c:v>
                </c:pt>
                <c:pt idx="50">
                  <c:v>-0.81401237779566393</c:v>
                </c:pt>
                <c:pt idx="51">
                  <c:v>-0.79972816179145556</c:v>
                </c:pt>
                <c:pt idx="52">
                  <c:v>-0.78560528816191499</c:v>
                </c:pt>
                <c:pt idx="53">
                  <c:v>-0.77163739755302307</c:v>
                </c:pt>
                <c:pt idx="54">
                  <c:v>-0.75781845811562798</c:v>
                </c:pt>
                <c:pt idx="55">
                  <c:v>-0.74414274222016763</c:v>
                </c:pt>
                <c:pt idx="56">
                  <c:v>-0.73060480519584381</c:v>
                </c:pt>
                <c:pt idx="57">
                  <c:v>-0.71719946588502648</c:v>
                </c:pt>
                <c:pt idx="58">
                  <c:v>-0.70392178882851375</c:v>
                </c:pt>
                <c:pt idx="59">
                  <c:v>-0.69076706791880604</c:v>
                </c:pt>
                <c:pt idx="60">
                  <c:v>-0.67773081137723878</c:v>
                </c:pt>
                <c:pt idx="61">
                  <c:v>-0.66480872792709123</c:v>
                </c:pt>
                <c:pt idx="62">
                  <c:v>-0.65199671404899062</c:v>
                </c:pt>
                <c:pt idx="63">
                  <c:v>-0.63929084221735377</c:v>
                </c:pt>
                <c:pt idx="64">
                  <c:v>-0.62668735002750697</c:v>
                </c:pt>
                <c:pt idx="65">
                  <c:v>-0.61418263013266738</c:v>
                </c:pt>
                <c:pt idx="66">
                  <c:v>-0.60177322091842711</c:v>
                </c:pt>
                <c:pt idx="67">
                  <c:v>-0.58945579784977842</c:v>
                </c:pt>
                <c:pt idx="68">
                  <c:v>-0.57722716543232322</c:v>
                </c:pt>
                <c:pt idx="69">
                  <c:v>-0.56508424973508586</c:v>
                </c:pt>
                <c:pt idx="70">
                  <c:v>-0.5530240914275496</c:v>
                </c:pt>
                <c:pt idx="71">
                  <c:v>-0.54104383928809652</c:v>
                </c:pt>
                <c:pt idx="72">
                  <c:v>-0.52914074414512824</c:v>
                </c:pt>
                <c:pt idx="73">
                  <c:v>-0.51731215321578561</c:v>
                </c:pt>
                <c:pt idx="74">
                  <c:v>-0.50555550481043754</c:v>
                </c:pt>
                <c:pt idx="75">
                  <c:v>-0.49386832337402026</c:v>
                </c:pt>
                <c:pt idx="76">
                  <c:v>-0.48224821483792318</c:v>
                </c:pt>
                <c:pt idx="77">
                  <c:v>-0.47069286225844953</c:v>
                </c:pt>
                <c:pt idx="78">
                  <c:v>-0.45920002171999152</c:v>
                </c:pt>
                <c:pt idx="79">
                  <c:v>-0.44776751848294888</c:v>
                </c:pt>
                <c:pt idx="80">
                  <c:v>-0.43639324335813162</c:v>
                </c:pt>
                <c:pt idx="81">
                  <c:v>-0.42507514929091683</c:v>
                </c:pt>
                <c:pt idx="82">
                  <c:v>-0.41381124813983389</c:v>
                </c:pt>
                <c:pt idx="83">
                  <c:v>-0.40259960763550051</c:v>
                </c:pt>
                <c:pt idx="84">
                  <c:v>-0.39143834850697584</c:v>
                </c:pt>
                <c:pt idx="85">
                  <c:v>-0.38032564176363115</c:v>
                </c:pt>
                <c:pt idx="86">
                  <c:v>-0.36925970612157277</c:v>
                </c:pt>
                <c:pt idx="87">
                  <c:v>-0.35823880556450793</c:v>
                </c:pt>
                <c:pt idx="88">
                  <c:v>-0.34726124702971822</c:v>
                </c:pt>
                <c:pt idx="89">
                  <c:v>-0.33632537821050812</c:v>
                </c:pt>
                <c:pt idx="90">
                  <c:v>-0.32542958546714418</c:v>
                </c:pt>
                <c:pt idx="91">
                  <c:v>-0.31457229183888502</c:v>
                </c:pt>
                <c:pt idx="92">
                  <c:v>-0.30375195515023262</c:v>
                </c:pt>
                <c:pt idx="93">
                  <c:v>-0.29296706620503493</c:v>
                </c:pt>
                <c:pt idx="94">
                  <c:v>-0.28221614706250814</c:v>
                </c:pt>
                <c:pt idx="95">
                  <c:v>-0.27149774938965771</c:v>
                </c:pt>
                <c:pt idx="96">
                  <c:v>-0.26081045288495608</c:v>
                </c:pt>
                <c:pt idx="97">
                  <c:v>-0.25015286376847284</c:v>
                </c:pt>
                <c:pt idx="98">
                  <c:v>-0.23952361333396816</c:v>
                </c:pt>
                <c:pt idx="99">
                  <c:v>-0.22892135655875159</c:v>
                </c:pt>
                <c:pt idx="100">
                  <c:v>-0.21834477076736819</c:v>
                </c:pt>
                <c:pt idx="101">
                  <c:v>-0.2077925543454166</c:v>
                </c:pt>
                <c:pt idx="102">
                  <c:v>-0.19726342550002815</c:v>
                </c:pt>
                <c:pt idx="103">
                  <c:v>-0.18675612106373712</c:v>
                </c:pt>
                <c:pt idx="104">
                  <c:v>-0.17626939533865746</c:v>
                </c:pt>
                <c:pt idx="105">
                  <c:v>-0.16580201897805558</c:v>
                </c:pt>
                <c:pt idx="106">
                  <c:v>-0.15535277790256294</c:v>
                </c:pt>
                <c:pt idx="107">
                  <c:v>-0.14492047224841217</c:v>
                </c:pt>
                <c:pt idx="108">
                  <c:v>-0.13450391534521827</c:v>
                </c:pt>
                <c:pt idx="109">
                  <c:v>-0.12410193272093782</c:v>
                </c:pt>
                <c:pt idx="110">
                  <c:v>-0.11371336113175044</c:v>
                </c:pt>
                <c:pt idx="111">
                  <c:v>-0.10333704761470688</c:v>
                </c:pt>
                <c:pt idx="112">
                  <c:v>-9.2971848561073753E-2</c:v>
                </c:pt>
                <c:pt idx="113">
                  <c:v>-8.2616628808385245E-2</c:v>
                </c:pt>
                <c:pt idx="114">
                  <c:v>-7.2270260749286844E-2</c:v>
                </c:pt>
                <c:pt idx="115">
                  <c:v>-6.1931623455317261E-2</c:v>
                </c:pt>
                <c:pt idx="116">
                  <c:v>-5.1599601813829978E-2</c:v>
                </c:pt>
                <c:pt idx="117">
                  <c:v>-4.1273085676310224E-2</c:v>
                </c:pt>
                <c:pt idx="118">
                  <c:v>-3.0950969016380642E-2</c:v>
                </c:pt>
                <c:pt idx="119">
                  <c:v>-2.063214909582612E-2</c:v>
                </c:pt>
                <c:pt idx="120">
                  <c:v>-1.031552563700072E-2</c:v>
                </c:pt>
                <c:pt idx="121">
                  <c:v>0</c:v>
                </c:pt>
                <c:pt idx="122">
                  <c:v>1.031552563700072E-2</c:v>
                </c:pt>
                <c:pt idx="123">
                  <c:v>2.0632149095825981E-2</c:v>
                </c:pt>
                <c:pt idx="124">
                  <c:v>3.0950969016380784E-2</c:v>
                </c:pt>
                <c:pt idx="125">
                  <c:v>4.1273085676310356E-2</c:v>
                </c:pt>
                <c:pt idx="126">
                  <c:v>5.1599601813829978E-2</c:v>
                </c:pt>
                <c:pt idx="127">
                  <c:v>6.1931623455317261E-2</c:v>
                </c:pt>
                <c:pt idx="128">
                  <c:v>7.2270260749286844E-2</c:v>
                </c:pt>
                <c:pt idx="129">
                  <c:v>8.2616628808385092E-2</c:v>
                </c:pt>
                <c:pt idx="130">
                  <c:v>9.2971848561073892E-2</c:v>
                </c:pt>
                <c:pt idx="131">
                  <c:v>0.10333704761470702</c:v>
                </c:pt>
                <c:pt idx="132">
                  <c:v>0.11371336113175044</c:v>
                </c:pt>
                <c:pt idx="133">
                  <c:v>0.12410193272093782</c:v>
                </c:pt>
                <c:pt idx="134">
                  <c:v>0.13450391534521827</c:v>
                </c:pt>
                <c:pt idx="135">
                  <c:v>0.14492047224841204</c:v>
                </c:pt>
                <c:pt idx="136">
                  <c:v>0.15535277790256308</c:v>
                </c:pt>
                <c:pt idx="137">
                  <c:v>0.16580201897805572</c:v>
                </c:pt>
                <c:pt idx="138">
                  <c:v>0.17626939533865746</c:v>
                </c:pt>
                <c:pt idx="139">
                  <c:v>0.18675612106373712</c:v>
                </c:pt>
                <c:pt idx="140">
                  <c:v>0.19726342550002815</c:v>
                </c:pt>
                <c:pt idx="141">
                  <c:v>0.20779255434541649</c:v>
                </c:pt>
                <c:pt idx="142">
                  <c:v>0.21834477076736838</c:v>
                </c:pt>
                <c:pt idx="143">
                  <c:v>0.22892135655875176</c:v>
                </c:pt>
                <c:pt idx="144">
                  <c:v>0.23952361333396816</c:v>
                </c:pt>
                <c:pt idx="145">
                  <c:v>0.25015286376847284</c:v>
                </c:pt>
                <c:pt idx="146">
                  <c:v>0.26081045288495608</c:v>
                </c:pt>
                <c:pt idx="147">
                  <c:v>0.27149774938965759</c:v>
                </c:pt>
                <c:pt idx="148">
                  <c:v>0.28221614706250825</c:v>
                </c:pt>
                <c:pt idx="149">
                  <c:v>0.2929670662050351</c:v>
                </c:pt>
                <c:pt idx="150">
                  <c:v>0.30375195515023262</c:v>
                </c:pt>
                <c:pt idx="151">
                  <c:v>0.31457229183888502</c:v>
                </c:pt>
                <c:pt idx="152">
                  <c:v>0.32542958546714418</c:v>
                </c:pt>
                <c:pt idx="153">
                  <c:v>0.3363253782105079</c:v>
                </c:pt>
                <c:pt idx="154">
                  <c:v>0.34726124702971828</c:v>
                </c:pt>
                <c:pt idx="155">
                  <c:v>0.35823880556450799</c:v>
                </c:pt>
                <c:pt idx="156">
                  <c:v>0.36925970612157277</c:v>
                </c:pt>
                <c:pt idx="157">
                  <c:v>0.38032564176363115</c:v>
                </c:pt>
                <c:pt idx="158">
                  <c:v>0.39143834850697584</c:v>
                </c:pt>
                <c:pt idx="159">
                  <c:v>0.4025996076355004</c:v>
                </c:pt>
                <c:pt idx="160">
                  <c:v>0.41381124813983405</c:v>
                </c:pt>
                <c:pt idx="161">
                  <c:v>0.42507514929091705</c:v>
                </c:pt>
                <c:pt idx="162">
                  <c:v>0.43639324335813162</c:v>
                </c:pt>
                <c:pt idx="163">
                  <c:v>0.44776751848294888</c:v>
                </c:pt>
                <c:pt idx="164">
                  <c:v>0.4592000217199913</c:v>
                </c:pt>
                <c:pt idx="165">
                  <c:v>0.47069286225844953</c:v>
                </c:pt>
                <c:pt idx="166">
                  <c:v>0.48224821483792335</c:v>
                </c:pt>
                <c:pt idx="167">
                  <c:v>0.49386832337402026</c:v>
                </c:pt>
                <c:pt idx="168">
                  <c:v>0.50555550481043754</c:v>
                </c:pt>
                <c:pt idx="169">
                  <c:v>0.51731215321578561</c:v>
                </c:pt>
                <c:pt idx="170">
                  <c:v>0.52914074414512802</c:v>
                </c:pt>
                <c:pt idx="171">
                  <c:v>0.5410438392880963</c:v>
                </c:pt>
                <c:pt idx="172">
                  <c:v>0.55302409142754982</c:v>
                </c:pt>
                <c:pt idx="173">
                  <c:v>0.56508424973508586</c:v>
                </c:pt>
                <c:pt idx="174">
                  <c:v>0.57722716543232322</c:v>
                </c:pt>
                <c:pt idx="175">
                  <c:v>0.58945579784977842</c:v>
                </c:pt>
                <c:pt idx="176">
                  <c:v>0.60177322091842655</c:v>
                </c:pt>
                <c:pt idx="177">
                  <c:v>0.61418263013266772</c:v>
                </c:pt>
                <c:pt idx="178">
                  <c:v>0.6266873500275072</c:v>
                </c:pt>
                <c:pt idx="179">
                  <c:v>0.63929084221735377</c:v>
                </c:pt>
                <c:pt idx="180">
                  <c:v>0.65199671404899062</c:v>
                </c:pt>
                <c:pt idx="181">
                  <c:v>0.66480872792709123</c:v>
                </c:pt>
                <c:pt idx="182">
                  <c:v>0.67773081137723878</c:v>
                </c:pt>
                <c:pt idx="183">
                  <c:v>0.69076706791880538</c:v>
                </c:pt>
                <c:pt idx="184">
                  <c:v>0.70392178882851375</c:v>
                </c:pt>
                <c:pt idx="185">
                  <c:v>0.71719946588502648</c:v>
                </c:pt>
                <c:pt idx="186">
                  <c:v>0.73060480519584381</c:v>
                </c:pt>
                <c:pt idx="187">
                  <c:v>0.74414274222016763</c:v>
                </c:pt>
                <c:pt idx="188">
                  <c:v>0.75781845811562798</c:v>
                </c:pt>
                <c:pt idx="189">
                  <c:v>0.77163739755302341</c:v>
                </c:pt>
                <c:pt idx="190">
                  <c:v>0.78560528816191499</c:v>
                </c:pt>
                <c:pt idx="191">
                  <c:v>0.79972816179145556</c:v>
                </c:pt>
                <c:pt idx="192">
                  <c:v>0.81401237779566393</c:v>
                </c:pt>
                <c:pt idx="193">
                  <c:v>0.82846464858113456</c:v>
                </c:pt>
                <c:pt idx="194">
                  <c:v>0.8430920676885425</c:v>
                </c:pt>
                <c:pt idx="195">
                  <c:v>0.85790214071820192</c:v>
                </c:pt>
                <c:pt idx="196">
                  <c:v>0.87290281945529757</c:v>
                </c:pt>
                <c:pt idx="197">
                  <c:v>0.88810253960355767</c:v>
                </c:pt>
                <c:pt idx="198">
                  <c:v>0.90351026259865719</c:v>
                </c:pt>
                <c:pt idx="199">
                  <c:v>0.91913552204621074</c:v>
                </c:pt>
                <c:pt idx="200">
                  <c:v>0.93498847541645724</c:v>
                </c:pt>
                <c:pt idx="201">
                  <c:v>0.95107996173116438</c:v>
                </c:pt>
                <c:pt idx="202">
                  <c:v>0.96742156610170071</c:v>
                </c:pt>
                <c:pt idx="203">
                  <c:v>0.98402569212497448</c:v>
                </c:pt>
                <c:pt idx="204">
                  <c:v>1.0009056433214076</c:v>
                </c:pt>
                <c:pt idx="205">
                  <c:v>1.0180757150135895</c:v>
                </c:pt>
                <c:pt idx="206">
                  <c:v>1.0355512983042106</c:v>
                </c:pt>
                <c:pt idx="207">
                  <c:v>1.0533489981289517</c:v>
                </c:pt>
                <c:pt idx="208">
                  <c:v>1.071486767748316</c:v>
                </c:pt>
                <c:pt idx="209">
                  <c:v>1.0899840625208512</c:v>
                </c:pt>
                <c:pt idx="210">
                  <c:v>1.1088620163928995</c:v>
                </c:pt>
                <c:pt idx="211">
                  <c:v>1.1281436452787641</c:v>
                </c:pt>
                <c:pt idx="212">
                  <c:v>1.1478540824317975</c:v>
                </c:pt>
                <c:pt idx="213">
                  <c:v>1.1680208520770821</c:v>
                </c:pt>
                <c:pt idx="214">
                  <c:v>1.1886741890646779</c:v>
                </c:pt>
                <c:pt idx="215">
                  <c:v>1.2098474142099354</c:v>
                </c:pt>
                <c:pt idx="216">
                  <c:v>1.2315773774519712</c:v>
                </c:pt>
                <c:pt idx="217">
                  <c:v>1.2539049841737089</c:v>
                </c:pt>
                <c:pt idx="218">
                  <c:v>1.27687582425257</c:v>
                </c:pt>
                <c:pt idx="219">
                  <c:v>1.3005409290255749</c:v>
                </c:pt>
                <c:pt idx="220">
                  <c:v>1.3249576888929773</c:v>
                </c:pt>
                <c:pt idx="221">
                  <c:v>1.3501909745292517</c:v>
                </c:pt>
                <c:pt idx="222">
                  <c:v>1.3763145187640959</c:v>
                </c:pt>
                <c:pt idx="223">
                  <c:v>1.4034126358514019</c:v>
                </c:pt>
                <c:pt idx="224">
                  <c:v>1.4315823826641134</c:v>
                </c:pt>
                <c:pt idx="225">
                  <c:v>1.4609363063735892</c:v>
                </c:pt>
                <c:pt idx="226">
                  <c:v>1.4916059817794989</c:v>
                </c:pt>
                <c:pt idx="227">
                  <c:v>1.5237466289905293</c:v>
                </c:pt>
                <c:pt idx="228">
                  <c:v>1.5575432357847121</c:v>
                </c:pt>
                <c:pt idx="229">
                  <c:v>1.59321881802305</c:v>
                </c:pt>
                <c:pt idx="230">
                  <c:v>1.6310457876315667</c:v>
                </c:pt>
                <c:pt idx="231">
                  <c:v>1.6713619553031227</c:v>
                </c:pt>
                <c:pt idx="232">
                  <c:v>1.7145936537660904</c:v>
                </c:pt>
                <c:pt idx="233">
                  <c:v>1.7612901851318292</c:v>
                </c:pt>
                <c:pt idx="234">
                  <c:v>1.8121770257485288</c:v>
                </c:pt>
                <c:pt idx="235">
                  <c:v>1.8682416548639302</c:v>
                </c:pt>
                <c:pt idx="236">
                  <c:v>1.9308796091598426</c:v>
                </c:pt>
                <c:pt idx="237">
                  <c:v>2.0021603391646638</c:v>
                </c:pt>
                <c:pt idx="238">
                  <c:v>2.0853555660318293</c:v>
                </c:pt>
                <c:pt idx="239">
                  <c:v>2.1861233191315868</c:v>
                </c:pt>
                <c:pt idx="240">
                  <c:v>2.3156729634461346</c:v>
                </c:pt>
                <c:pt idx="241">
                  <c:v>2.5021064733430629</c:v>
                </c:pt>
                <c:pt idx="242">
                  <c:v>2.8691914432193188</c:v>
                </c:pt>
              </c:numCache>
            </c:numRef>
          </c:xVal>
          <c:yVal>
            <c:numRef>
              <c:f>'F1 - EF1 Analysis'!$G$12:$G$310</c:f>
              <c:numCache>
                <c:formatCode>General</c:formatCode>
                <c:ptCount val="299"/>
                <c:pt idx="0">
                  <c:v>1.0986122886681098</c:v>
                </c:pt>
                <c:pt idx="1">
                  <c:v>1.791759469228055</c:v>
                </c:pt>
                <c:pt idx="2">
                  <c:v>2.3025850929940459</c:v>
                </c:pt>
                <c:pt idx="3">
                  <c:v>2.3025850929940459</c:v>
                </c:pt>
                <c:pt idx="4">
                  <c:v>2.3025850929940459</c:v>
                </c:pt>
                <c:pt idx="5">
                  <c:v>2.3025850929940459</c:v>
                </c:pt>
                <c:pt idx="6">
                  <c:v>2.3025850929940459</c:v>
                </c:pt>
                <c:pt idx="7">
                  <c:v>2.3025850929940459</c:v>
                </c:pt>
                <c:pt idx="8">
                  <c:v>2.3025850929940459</c:v>
                </c:pt>
                <c:pt idx="9">
                  <c:v>2.3025850929940459</c:v>
                </c:pt>
                <c:pt idx="10">
                  <c:v>2.3025850929940459</c:v>
                </c:pt>
                <c:pt idx="11">
                  <c:v>2.3025850929940459</c:v>
                </c:pt>
                <c:pt idx="12">
                  <c:v>2.3025850929940459</c:v>
                </c:pt>
                <c:pt idx="13">
                  <c:v>2.3025850929940459</c:v>
                </c:pt>
                <c:pt idx="14">
                  <c:v>2.3025850929940459</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2.3025850929940459</c:v>
                </c:pt>
                <c:pt idx="27">
                  <c:v>2.3025850929940459</c:v>
                </c:pt>
                <c:pt idx="28">
                  <c:v>2.3025850929940459</c:v>
                </c:pt>
                <c:pt idx="29">
                  <c:v>2.5649493574615367</c:v>
                </c:pt>
                <c:pt idx="30">
                  <c:v>2.5649493574615367</c:v>
                </c:pt>
                <c:pt idx="31">
                  <c:v>2.5649493574615367</c:v>
                </c:pt>
                <c:pt idx="32">
                  <c:v>2.8332133440562162</c:v>
                </c:pt>
                <c:pt idx="33">
                  <c:v>2.8332133440562162</c:v>
                </c:pt>
                <c:pt idx="34">
                  <c:v>2.8332133440562162</c:v>
                </c:pt>
                <c:pt idx="35">
                  <c:v>2.8332133440562162</c:v>
                </c:pt>
                <c:pt idx="36">
                  <c:v>2.8332133440562162</c:v>
                </c:pt>
                <c:pt idx="37">
                  <c:v>2.8332133440562162</c:v>
                </c:pt>
                <c:pt idx="38">
                  <c:v>2.8332133440562162</c:v>
                </c:pt>
                <c:pt idx="39">
                  <c:v>2.8332133440562162</c:v>
                </c:pt>
                <c:pt idx="40">
                  <c:v>2.8332133440562162</c:v>
                </c:pt>
                <c:pt idx="41">
                  <c:v>2.8332133440562162</c:v>
                </c:pt>
                <c:pt idx="42">
                  <c:v>2.8332133440562162</c:v>
                </c:pt>
                <c:pt idx="43">
                  <c:v>2.8332133440562162</c:v>
                </c:pt>
                <c:pt idx="44">
                  <c:v>2.9957322735539909</c:v>
                </c:pt>
                <c:pt idx="45">
                  <c:v>2.9957322735539909</c:v>
                </c:pt>
                <c:pt idx="46">
                  <c:v>2.9957322735539909</c:v>
                </c:pt>
                <c:pt idx="47">
                  <c:v>2.9957322735539909</c:v>
                </c:pt>
                <c:pt idx="48">
                  <c:v>2.9957322735539909</c:v>
                </c:pt>
                <c:pt idx="49">
                  <c:v>2.9957322735539909</c:v>
                </c:pt>
                <c:pt idx="50">
                  <c:v>2.9957322735539909</c:v>
                </c:pt>
                <c:pt idx="51">
                  <c:v>2.9957322735539909</c:v>
                </c:pt>
                <c:pt idx="52">
                  <c:v>2.9957322735539909</c:v>
                </c:pt>
                <c:pt idx="53">
                  <c:v>2.9957322735539909</c:v>
                </c:pt>
                <c:pt idx="54">
                  <c:v>2.9957322735539909</c:v>
                </c:pt>
                <c:pt idx="55">
                  <c:v>2.9957322735539909</c:v>
                </c:pt>
                <c:pt idx="56">
                  <c:v>2.9957322735539909</c:v>
                </c:pt>
                <c:pt idx="57">
                  <c:v>2.9957322735539909</c:v>
                </c:pt>
                <c:pt idx="58">
                  <c:v>2.9957322735539909</c:v>
                </c:pt>
                <c:pt idx="59">
                  <c:v>2.9957322735539909</c:v>
                </c:pt>
                <c:pt idx="60">
                  <c:v>2.9957322735539909</c:v>
                </c:pt>
                <c:pt idx="61">
                  <c:v>2.9957322735539909</c:v>
                </c:pt>
                <c:pt idx="62">
                  <c:v>2.9957322735539909</c:v>
                </c:pt>
                <c:pt idx="63">
                  <c:v>2.9957322735539909</c:v>
                </c:pt>
                <c:pt idx="64">
                  <c:v>2.9957322735539909</c:v>
                </c:pt>
                <c:pt idx="65">
                  <c:v>2.9957322735539909</c:v>
                </c:pt>
                <c:pt idx="66">
                  <c:v>2.9957322735539909</c:v>
                </c:pt>
                <c:pt idx="67">
                  <c:v>2.9957322735539909</c:v>
                </c:pt>
                <c:pt idx="68">
                  <c:v>2.9957322735539909</c:v>
                </c:pt>
                <c:pt idx="69">
                  <c:v>3.1354942159291497</c:v>
                </c:pt>
                <c:pt idx="70">
                  <c:v>3.1354942159291497</c:v>
                </c:pt>
                <c:pt idx="71">
                  <c:v>3.2188758248682006</c:v>
                </c:pt>
                <c:pt idx="72">
                  <c:v>3.2188758248682006</c:v>
                </c:pt>
                <c:pt idx="73">
                  <c:v>3.2958368660043291</c:v>
                </c:pt>
                <c:pt idx="74">
                  <c:v>3.2958368660043291</c:v>
                </c:pt>
                <c:pt idx="75">
                  <c:v>3.4011973816621555</c:v>
                </c:pt>
                <c:pt idx="76">
                  <c:v>3.4011973816621555</c:v>
                </c:pt>
                <c:pt idx="77">
                  <c:v>3.4011973816621555</c:v>
                </c:pt>
                <c:pt idx="78">
                  <c:v>3.4011973816621555</c:v>
                </c:pt>
                <c:pt idx="79">
                  <c:v>3.4011973816621555</c:v>
                </c:pt>
                <c:pt idx="80">
                  <c:v>3.4011973816621555</c:v>
                </c:pt>
                <c:pt idx="81">
                  <c:v>3.4011973816621555</c:v>
                </c:pt>
                <c:pt idx="82">
                  <c:v>3.4011973816621555</c:v>
                </c:pt>
                <c:pt idx="83">
                  <c:v>3.4965075614664802</c:v>
                </c:pt>
                <c:pt idx="84">
                  <c:v>3.4965075614664802</c:v>
                </c:pt>
                <c:pt idx="85">
                  <c:v>3.4965075614664802</c:v>
                </c:pt>
                <c:pt idx="86">
                  <c:v>3.4965075614664802</c:v>
                </c:pt>
                <c:pt idx="87">
                  <c:v>3.4965075614664802</c:v>
                </c:pt>
                <c:pt idx="88">
                  <c:v>3.4965075614664802</c:v>
                </c:pt>
                <c:pt idx="89">
                  <c:v>3.4965075614664802</c:v>
                </c:pt>
                <c:pt idx="90">
                  <c:v>3.4965075614664802</c:v>
                </c:pt>
                <c:pt idx="91">
                  <c:v>3.4965075614664802</c:v>
                </c:pt>
                <c:pt idx="92">
                  <c:v>3.4965075614664802</c:v>
                </c:pt>
                <c:pt idx="93">
                  <c:v>3.4965075614664802</c:v>
                </c:pt>
                <c:pt idx="94">
                  <c:v>3.4965075614664802</c:v>
                </c:pt>
                <c:pt idx="95">
                  <c:v>3.4965075614664802</c:v>
                </c:pt>
                <c:pt idx="96">
                  <c:v>3.4965075614664802</c:v>
                </c:pt>
                <c:pt idx="97">
                  <c:v>3.6109179126442243</c:v>
                </c:pt>
                <c:pt idx="98">
                  <c:v>3.6888794541139363</c:v>
                </c:pt>
                <c:pt idx="99">
                  <c:v>3.6888794541139363</c:v>
                </c:pt>
                <c:pt idx="100">
                  <c:v>3.6888794541139363</c:v>
                </c:pt>
                <c:pt idx="101">
                  <c:v>3.6888794541139363</c:v>
                </c:pt>
                <c:pt idx="102">
                  <c:v>3.912023005428146</c:v>
                </c:pt>
                <c:pt idx="103">
                  <c:v>3.912023005428146</c:v>
                </c:pt>
                <c:pt idx="104">
                  <c:v>3.912023005428146</c:v>
                </c:pt>
                <c:pt idx="105">
                  <c:v>3.912023005428146</c:v>
                </c:pt>
                <c:pt idx="106">
                  <c:v>3.912023005428146</c:v>
                </c:pt>
                <c:pt idx="107">
                  <c:v>3.912023005428146</c:v>
                </c:pt>
                <c:pt idx="108">
                  <c:v>3.912023005428146</c:v>
                </c:pt>
                <c:pt idx="109">
                  <c:v>3.912023005428146</c:v>
                </c:pt>
                <c:pt idx="110">
                  <c:v>3.912023005428146</c:v>
                </c:pt>
                <c:pt idx="111">
                  <c:v>3.912023005428146</c:v>
                </c:pt>
                <c:pt idx="112">
                  <c:v>3.912023005428146</c:v>
                </c:pt>
                <c:pt idx="113">
                  <c:v>3.912023005428146</c:v>
                </c:pt>
                <c:pt idx="114">
                  <c:v>3.912023005428146</c:v>
                </c:pt>
                <c:pt idx="115">
                  <c:v>3.912023005428146</c:v>
                </c:pt>
                <c:pt idx="116">
                  <c:v>3.912023005428146</c:v>
                </c:pt>
                <c:pt idx="117">
                  <c:v>3.912023005428146</c:v>
                </c:pt>
                <c:pt idx="118">
                  <c:v>3.912023005428146</c:v>
                </c:pt>
                <c:pt idx="119">
                  <c:v>3.912023005428146</c:v>
                </c:pt>
                <c:pt idx="120">
                  <c:v>4.0073331852324712</c:v>
                </c:pt>
                <c:pt idx="121">
                  <c:v>4.0073331852324712</c:v>
                </c:pt>
                <c:pt idx="122">
                  <c:v>4.0943445622221004</c:v>
                </c:pt>
                <c:pt idx="123">
                  <c:v>4.0943445622221004</c:v>
                </c:pt>
                <c:pt idx="124">
                  <c:v>4.0943445622221004</c:v>
                </c:pt>
                <c:pt idx="125">
                  <c:v>4.0943445622221004</c:v>
                </c:pt>
                <c:pt idx="126">
                  <c:v>4.0943445622221004</c:v>
                </c:pt>
                <c:pt idx="127">
                  <c:v>4.2046926193909657</c:v>
                </c:pt>
                <c:pt idx="128">
                  <c:v>4.2484952420493594</c:v>
                </c:pt>
                <c:pt idx="129">
                  <c:v>4.2484952420493594</c:v>
                </c:pt>
                <c:pt idx="130">
                  <c:v>4.290459441148391</c:v>
                </c:pt>
                <c:pt idx="131">
                  <c:v>4.3174881135363101</c:v>
                </c:pt>
                <c:pt idx="132">
                  <c:v>4.3438054218536841</c:v>
                </c:pt>
                <c:pt idx="133">
                  <c:v>4.3820266346738812</c:v>
                </c:pt>
                <c:pt idx="134">
                  <c:v>4.3820266346738812</c:v>
                </c:pt>
                <c:pt idx="135">
                  <c:v>4.3820266346738812</c:v>
                </c:pt>
                <c:pt idx="136">
                  <c:v>4.499809670330265</c:v>
                </c:pt>
                <c:pt idx="137">
                  <c:v>4.499809670330265</c:v>
                </c:pt>
                <c:pt idx="138">
                  <c:v>4.499809670330265</c:v>
                </c:pt>
                <c:pt idx="139">
                  <c:v>4.6051701859880918</c:v>
                </c:pt>
                <c:pt idx="140">
                  <c:v>4.6051701859880918</c:v>
                </c:pt>
                <c:pt idx="141">
                  <c:v>4.6051701859880918</c:v>
                </c:pt>
                <c:pt idx="142">
                  <c:v>4.6051701859880918</c:v>
                </c:pt>
                <c:pt idx="143">
                  <c:v>4.6051701859880918</c:v>
                </c:pt>
                <c:pt idx="144">
                  <c:v>4.6051701859880918</c:v>
                </c:pt>
                <c:pt idx="145">
                  <c:v>4.6051701859880918</c:v>
                </c:pt>
                <c:pt idx="146">
                  <c:v>4.6051701859880918</c:v>
                </c:pt>
                <c:pt idx="147">
                  <c:v>4.6051701859880918</c:v>
                </c:pt>
                <c:pt idx="148">
                  <c:v>4.6051701859880918</c:v>
                </c:pt>
                <c:pt idx="149">
                  <c:v>4.6051701859880918</c:v>
                </c:pt>
                <c:pt idx="150">
                  <c:v>4.6051701859880918</c:v>
                </c:pt>
                <c:pt idx="151">
                  <c:v>4.6051701859880918</c:v>
                </c:pt>
                <c:pt idx="152">
                  <c:v>4.6051701859880918</c:v>
                </c:pt>
                <c:pt idx="153">
                  <c:v>4.6051701859880918</c:v>
                </c:pt>
                <c:pt idx="154">
                  <c:v>4.6051701859880918</c:v>
                </c:pt>
                <c:pt idx="155">
                  <c:v>4.6051701859880918</c:v>
                </c:pt>
                <c:pt idx="156">
                  <c:v>4.6051701859880918</c:v>
                </c:pt>
                <c:pt idx="157">
                  <c:v>4.6051701859880918</c:v>
                </c:pt>
                <c:pt idx="158">
                  <c:v>4.6051701859880918</c:v>
                </c:pt>
                <c:pt idx="159">
                  <c:v>4.6051701859880918</c:v>
                </c:pt>
                <c:pt idx="160">
                  <c:v>4.6051701859880918</c:v>
                </c:pt>
                <c:pt idx="161">
                  <c:v>4.6051701859880918</c:v>
                </c:pt>
                <c:pt idx="162">
                  <c:v>4.6051701859880918</c:v>
                </c:pt>
                <c:pt idx="163">
                  <c:v>4.6051701859880918</c:v>
                </c:pt>
                <c:pt idx="164">
                  <c:v>4.6051701859880918</c:v>
                </c:pt>
                <c:pt idx="165">
                  <c:v>4.6051701859880918</c:v>
                </c:pt>
                <c:pt idx="166">
                  <c:v>4.6051701859880918</c:v>
                </c:pt>
                <c:pt idx="167">
                  <c:v>4.6051701859880918</c:v>
                </c:pt>
                <c:pt idx="168">
                  <c:v>4.6051701859880918</c:v>
                </c:pt>
                <c:pt idx="169">
                  <c:v>4.6051701859880918</c:v>
                </c:pt>
                <c:pt idx="170">
                  <c:v>4.6051701859880918</c:v>
                </c:pt>
                <c:pt idx="171">
                  <c:v>4.6051701859880918</c:v>
                </c:pt>
                <c:pt idx="172">
                  <c:v>4.7004803657924166</c:v>
                </c:pt>
                <c:pt idx="173">
                  <c:v>4.7004803657924166</c:v>
                </c:pt>
                <c:pt idx="174">
                  <c:v>4.7004803657924166</c:v>
                </c:pt>
                <c:pt idx="175">
                  <c:v>4.8283137373023015</c:v>
                </c:pt>
                <c:pt idx="176">
                  <c:v>4.8675344504555822</c:v>
                </c:pt>
                <c:pt idx="177">
                  <c:v>4.9416424226093039</c:v>
                </c:pt>
                <c:pt idx="178">
                  <c:v>5.0106352940962555</c:v>
                </c:pt>
                <c:pt idx="179">
                  <c:v>5.0106352940962555</c:v>
                </c:pt>
                <c:pt idx="180">
                  <c:v>5.0106352940962555</c:v>
                </c:pt>
                <c:pt idx="181">
                  <c:v>5.0106352940962555</c:v>
                </c:pt>
                <c:pt idx="182">
                  <c:v>5.0106352940962555</c:v>
                </c:pt>
                <c:pt idx="183">
                  <c:v>5.0106352940962555</c:v>
                </c:pt>
                <c:pt idx="184">
                  <c:v>5.0106352940962555</c:v>
                </c:pt>
                <c:pt idx="185">
                  <c:v>5.0106352940962555</c:v>
                </c:pt>
                <c:pt idx="186">
                  <c:v>5.0106352940962555</c:v>
                </c:pt>
                <c:pt idx="187">
                  <c:v>5.0106352940962555</c:v>
                </c:pt>
                <c:pt idx="188">
                  <c:v>5.0106352940962555</c:v>
                </c:pt>
                <c:pt idx="189">
                  <c:v>5.0751738152338266</c:v>
                </c:pt>
                <c:pt idx="190">
                  <c:v>5.1761497325738288</c:v>
                </c:pt>
                <c:pt idx="191">
                  <c:v>5.2983173665480363</c:v>
                </c:pt>
                <c:pt idx="192">
                  <c:v>5.2983173665480363</c:v>
                </c:pt>
                <c:pt idx="193">
                  <c:v>5.2983173665480363</c:v>
                </c:pt>
                <c:pt idx="194">
                  <c:v>5.2983173665480363</c:v>
                </c:pt>
                <c:pt idx="195">
                  <c:v>5.2983173665480363</c:v>
                </c:pt>
                <c:pt idx="196">
                  <c:v>5.2983173665480363</c:v>
                </c:pt>
                <c:pt idx="197">
                  <c:v>5.2983173665480363</c:v>
                </c:pt>
                <c:pt idx="198">
                  <c:v>5.2983173665480363</c:v>
                </c:pt>
                <c:pt idx="199">
                  <c:v>5.2983173665480363</c:v>
                </c:pt>
                <c:pt idx="200">
                  <c:v>5.2983173665480363</c:v>
                </c:pt>
                <c:pt idx="201">
                  <c:v>5.2983173665480363</c:v>
                </c:pt>
                <c:pt idx="202">
                  <c:v>5.2983173665480363</c:v>
                </c:pt>
                <c:pt idx="203">
                  <c:v>5.3471075307174685</c:v>
                </c:pt>
                <c:pt idx="204">
                  <c:v>5.521460917862246</c:v>
                </c:pt>
                <c:pt idx="205">
                  <c:v>5.521460917862246</c:v>
                </c:pt>
                <c:pt idx="206">
                  <c:v>5.521460917862246</c:v>
                </c:pt>
                <c:pt idx="207">
                  <c:v>5.6167710976665717</c:v>
                </c:pt>
                <c:pt idx="208">
                  <c:v>5.7037824746562009</c:v>
                </c:pt>
                <c:pt idx="209">
                  <c:v>5.7037824746562009</c:v>
                </c:pt>
                <c:pt idx="210">
                  <c:v>5.7037824746562009</c:v>
                </c:pt>
                <c:pt idx="211">
                  <c:v>5.7037824746562009</c:v>
                </c:pt>
                <c:pt idx="212">
                  <c:v>5.7037824746562009</c:v>
                </c:pt>
                <c:pt idx="213">
                  <c:v>5.7037824746562009</c:v>
                </c:pt>
                <c:pt idx="214">
                  <c:v>5.7037824746562009</c:v>
                </c:pt>
                <c:pt idx="215">
                  <c:v>5.7037824746562009</c:v>
                </c:pt>
                <c:pt idx="216">
                  <c:v>5.8081424899804439</c:v>
                </c:pt>
                <c:pt idx="217">
                  <c:v>5.857933154483459</c:v>
                </c:pt>
                <c:pt idx="218">
                  <c:v>5.9914645471079817</c:v>
                </c:pt>
                <c:pt idx="219">
                  <c:v>5.9914645471079817</c:v>
                </c:pt>
                <c:pt idx="220">
                  <c:v>6.0867747269123065</c:v>
                </c:pt>
                <c:pt idx="221">
                  <c:v>6.0867747269123065</c:v>
                </c:pt>
                <c:pt idx="222">
                  <c:v>6.0867747269123065</c:v>
                </c:pt>
                <c:pt idx="223">
                  <c:v>6.0867747269123065</c:v>
                </c:pt>
                <c:pt idx="224">
                  <c:v>6.0867747269123065</c:v>
                </c:pt>
                <c:pt idx="225">
                  <c:v>6.0867747269123065</c:v>
                </c:pt>
                <c:pt idx="226">
                  <c:v>6.0867747269123065</c:v>
                </c:pt>
                <c:pt idx="227">
                  <c:v>6.2146080984221914</c:v>
                </c:pt>
                <c:pt idx="228">
                  <c:v>6.2146080984221914</c:v>
                </c:pt>
                <c:pt idx="229">
                  <c:v>6.2146080984221914</c:v>
                </c:pt>
                <c:pt idx="230">
                  <c:v>6.2146080984221914</c:v>
                </c:pt>
                <c:pt idx="231">
                  <c:v>6.3969296552161463</c:v>
                </c:pt>
                <c:pt idx="232">
                  <c:v>6.5567783561580422</c:v>
                </c:pt>
                <c:pt idx="233">
                  <c:v>6.7799219074722519</c:v>
                </c:pt>
                <c:pt idx="234">
                  <c:v>6.7799219074722519</c:v>
                </c:pt>
                <c:pt idx="235">
                  <c:v>6.7799219074722519</c:v>
                </c:pt>
                <c:pt idx="236">
                  <c:v>6.7799219074722519</c:v>
                </c:pt>
                <c:pt idx="237">
                  <c:v>6.7799219074722519</c:v>
                </c:pt>
                <c:pt idx="238">
                  <c:v>7.1853870155804165</c:v>
                </c:pt>
                <c:pt idx="239">
                  <c:v>7.1853870155804165</c:v>
                </c:pt>
                <c:pt idx="240">
                  <c:v>7.1853870155804165</c:v>
                </c:pt>
                <c:pt idx="241">
                  <c:v>7.1853870155804165</c:v>
                </c:pt>
                <c:pt idx="242">
                  <c:v>7.1853870155804165</c:v>
                </c:pt>
              </c:numCache>
            </c:numRef>
          </c:yVal>
          <c:smooth val="0"/>
        </c:ser>
        <c:dLbls>
          <c:showLegendKey val="0"/>
          <c:showVal val="0"/>
          <c:showCatName val="0"/>
          <c:showSerName val="0"/>
          <c:showPercent val="0"/>
          <c:showBubbleSize val="0"/>
        </c:dLbls>
        <c:axId val="112208896"/>
        <c:axId val="112248320"/>
      </c:scatterChart>
      <c:valAx>
        <c:axId val="112208896"/>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0566037735850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248320"/>
        <c:crosses val="autoZero"/>
        <c:crossBetween val="midCat"/>
      </c:valAx>
      <c:valAx>
        <c:axId val="11224832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208896"/>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3974986405655249"/>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-2.869191443219326</c:v>
                </c:pt>
                <c:pt idx="1">
                  <c:v>-2.5021064733430647</c:v>
                </c:pt>
                <c:pt idx="2">
                  <c:v>-2.3156729634461346</c:v>
                </c:pt>
                <c:pt idx="3">
                  <c:v>-2.1861233191315859</c:v>
                </c:pt>
                <c:pt idx="4">
                  <c:v>-2.0853555660318284</c:v>
                </c:pt>
                <c:pt idx="5">
                  <c:v>-2.002160339164663</c:v>
                </c:pt>
                <c:pt idx="6">
                  <c:v>-1.9308796091598428</c:v>
                </c:pt>
                <c:pt idx="7">
                  <c:v>-1.8682416548639302</c:v>
                </c:pt>
                <c:pt idx="8">
                  <c:v>-1.8121770257485288</c:v>
                </c:pt>
                <c:pt idx="9">
                  <c:v>-1.7612901851318292</c:v>
                </c:pt>
                <c:pt idx="10">
                  <c:v>-1.7145936537660897</c:v>
                </c:pt>
                <c:pt idx="11">
                  <c:v>-1.6713619553031223</c:v>
                </c:pt>
                <c:pt idx="12">
                  <c:v>-1.6310457876315667</c:v>
                </c:pt>
                <c:pt idx="13">
                  <c:v>-1.5932188180230502</c:v>
                </c:pt>
                <c:pt idx="14">
                  <c:v>-1.5575432357847125</c:v>
                </c:pt>
                <c:pt idx="15">
                  <c:v>-1.5237466289905284</c:v>
                </c:pt>
                <c:pt idx="16">
                  <c:v>-1.4916059817794982</c:v>
                </c:pt>
                <c:pt idx="17">
                  <c:v>-1.4609363063735881</c:v>
                </c:pt>
                <c:pt idx="18">
                  <c:v>-1.4315823826641163</c:v>
                </c:pt>
                <c:pt idx="19">
                  <c:v>-1.4034126358514019</c:v>
                </c:pt>
                <c:pt idx="20">
                  <c:v>-1.3763145187640959</c:v>
                </c:pt>
                <c:pt idx="21">
                  <c:v>-1.3501909745292517</c:v>
                </c:pt>
                <c:pt idx="22">
                  <c:v>-1.3249576888929773</c:v>
                </c:pt>
                <c:pt idx="23">
                  <c:v>-1.3005409290255747</c:v>
                </c:pt>
                <c:pt idx="24">
                  <c:v>-1.2768758242525717</c:v>
                </c:pt>
                <c:pt idx="25">
                  <c:v>-1.2539049841737089</c:v>
                </c:pt>
                <c:pt idx="26">
                  <c:v>-1.2315773774519712</c:v>
                </c:pt>
                <c:pt idx="27">
                  <c:v>-1.2098474142099354</c:v>
                </c:pt>
                <c:pt idx="28">
                  <c:v>-1.1886741890646779</c:v>
                </c:pt>
                <c:pt idx="29">
                  <c:v>-1.1680208520770818</c:v>
                </c:pt>
                <c:pt idx="30">
                  <c:v>-1.1478540824317975</c:v>
                </c:pt>
                <c:pt idx="31">
                  <c:v>-1.1281436452787641</c:v>
                </c:pt>
                <c:pt idx="32">
                  <c:v>-1.1088620163928995</c:v>
                </c:pt>
                <c:pt idx="33">
                  <c:v>-1.0899840625208512</c:v>
                </c:pt>
                <c:pt idx="34">
                  <c:v>-1.071486767748316</c:v>
                </c:pt>
                <c:pt idx="35">
                  <c:v>-1.0533489981289514</c:v>
                </c:pt>
                <c:pt idx="36">
                  <c:v>-1.0355512983042106</c:v>
                </c:pt>
                <c:pt idx="37">
                  <c:v>-1.0180757150135895</c:v>
                </c:pt>
                <c:pt idx="38">
                  <c:v>-1.0009056433214076</c:v>
                </c:pt>
                <c:pt idx="39">
                  <c:v>-0.98402569212497448</c:v>
                </c:pt>
                <c:pt idx="40">
                  <c:v>-0.96742156610170071</c:v>
                </c:pt>
                <c:pt idx="41">
                  <c:v>-0.95107996173116383</c:v>
                </c:pt>
                <c:pt idx="42">
                  <c:v>-0.93498847541645724</c:v>
                </c:pt>
                <c:pt idx="43">
                  <c:v>-0.91913552204621074</c:v>
                </c:pt>
                <c:pt idx="44">
                  <c:v>-0.90351026259865719</c:v>
                </c:pt>
                <c:pt idx="45">
                  <c:v>-0.88810253960355767</c:v>
                </c:pt>
                <c:pt idx="46">
                  <c:v>-0.87290281945529757</c:v>
                </c:pt>
                <c:pt idx="47">
                  <c:v>-0.85790214071820381</c:v>
                </c:pt>
                <c:pt idx="48">
                  <c:v>-0.8430920676885425</c:v>
                </c:pt>
                <c:pt idx="49">
                  <c:v>-0.82846464858113456</c:v>
                </c:pt>
                <c:pt idx="50">
                  <c:v>-0.81401237779566393</c:v>
                </c:pt>
                <c:pt idx="51">
                  <c:v>-0.79972816179145556</c:v>
                </c:pt>
                <c:pt idx="52">
                  <c:v>-0.78560528816191499</c:v>
                </c:pt>
                <c:pt idx="53">
                  <c:v>-0.77163739755302307</c:v>
                </c:pt>
                <c:pt idx="54">
                  <c:v>-0.75781845811562798</c:v>
                </c:pt>
                <c:pt idx="55">
                  <c:v>-0.74414274222016763</c:v>
                </c:pt>
                <c:pt idx="56">
                  <c:v>-0.73060480519584381</c:v>
                </c:pt>
                <c:pt idx="57">
                  <c:v>-0.71719946588502648</c:v>
                </c:pt>
                <c:pt idx="58">
                  <c:v>-0.70392178882851375</c:v>
                </c:pt>
                <c:pt idx="59">
                  <c:v>-0.69076706791880604</c:v>
                </c:pt>
                <c:pt idx="60">
                  <c:v>-0.67773081137723878</c:v>
                </c:pt>
                <c:pt idx="61">
                  <c:v>-0.66480872792709123</c:v>
                </c:pt>
                <c:pt idx="62">
                  <c:v>-0.65199671404899062</c:v>
                </c:pt>
                <c:pt idx="63">
                  <c:v>-0.63929084221735377</c:v>
                </c:pt>
                <c:pt idx="64">
                  <c:v>-0.62668735002750697</c:v>
                </c:pt>
                <c:pt idx="65">
                  <c:v>-0.61418263013266738</c:v>
                </c:pt>
                <c:pt idx="66">
                  <c:v>-0.60177322091842711</c:v>
                </c:pt>
                <c:pt idx="67">
                  <c:v>-0.58945579784977842</c:v>
                </c:pt>
                <c:pt idx="68">
                  <c:v>-0.57722716543232322</c:v>
                </c:pt>
                <c:pt idx="69">
                  <c:v>-0.56508424973508586</c:v>
                </c:pt>
                <c:pt idx="70">
                  <c:v>-0.5530240914275496</c:v>
                </c:pt>
                <c:pt idx="71">
                  <c:v>-0.54104383928809652</c:v>
                </c:pt>
                <c:pt idx="72">
                  <c:v>-0.52914074414512824</c:v>
                </c:pt>
                <c:pt idx="73">
                  <c:v>-0.51731215321578561</c:v>
                </c:pt>
                <c:pt idx="74">
                  <c:v>-0.50555550481043754</c:v>
                </c:pt>
                <c:pt idx="75">
                  <c:v>-0.49386832337402026</c:v>
                </c:pt>
                <c:pt idx="76">
                  <c:v>-0.48224821483792318</c:v>
                </c:pt>
                <c:pt idx="77">
                  <c:v>-0.47069286225844953</c:v>
                </c:pt>
                <c:pt idx="78">
                  <c:v>-0.45920002171999152</c:v>
                </c:pt>
                <c:pt idx="79">
                  <c:v>-0.44776751848294888</c:v>
                </c:pt>
                <c:pt idx="80">
                  <c:v>-0.43639324335813162</c:v>
                </c:pt>
                <c:pt idx="81">
                  <c:v>-0.42507514929091683</c:v>
                </c:pt>
                <c:pt idx="82">
                  <c:v>-0.41381124813983389</c:v>
                </c:pt>
                <c:pt idx="83">
                  <c:v>-0.40259960763550051</c:v>
                </c:pt>
                <c:pt idx="84">
                  <c:v>-0.39143834850697584</c:v>
                </c:pt>
                <c:pt idx="85">
                  <c:v>-0.38032564176363115</c:v>
                </c:pt>
                <c:pt idx="86">
                  <c:v>-0.36925970612157277</c:v>
                </c:pt>
                <c:pt idx="87">
                  <c:v>-0.35823880556450793</c:v>
                </c:pt>
                <c:pt idx="88">
                  <c:v>-0.34726124702971822</c:v>
                </c:pt>
                <c:pt idx="89">
                  <c:v>-0.33632537821050812</c:v>
                </c:pt>
                <c:pt idx="90">
                  <c:v>-0.32542958546714418</c:v>
                </c:pt>
                <c:pt idx="91">
                  <c:v>-0.31457229183888502</c:v>
                </c:pt>
                <c:pt idx="92">
                  <c:v>-0.30375195515023262</c:v>
                </c:pt>
                <c:pt idx="93">
                  <c:v>-0.29296706620503493</c:v>
                </c:pt>
                <c:pt idx="94">
                  <c:v>-0.28221614706250814</c:v>
                </c:pt>
                <c:pt idx="95">
                  <c:v>-0.27149774938965771</c:v>
                </c:pt>
                <c:pt idx="96">
                  <c:v>-0.26081045288495608</c:v>
                </c:pt>
                <c:pt idx="97">
                  <c:v>-0.25015286376847284</c:v>
                </c:pt>
                <c:pt idx="98">
                  <c:v>-0.23952361333396816</c:v>
                </c:pt>
                <c:pt idx="99">
                  <c:v>-0.22892135655875159</c:v>
                </c:pt>
                <c:pt idx="100">
                  <c:v>-0.21834477076736819</c:v>
                </c:pt>
                <c:pt idx="101">
                  <c:v>-0.2077925543454166</c:v>
                </c:pt>
                <c:pt idx="102">
                  <c:v>-0.19726342550002815</c:v>
                </c:pt>
                <c:pt idx="103">
                  <c:v>-0.18675612106373712</c:v>
                </c:pt>
                <c:pt idx="104">
                  <c:v>-0.17626939533865746</c:v>
                </c:pt>
                <c:pt idx="105">
                  <c:v>-0.16580201897805558</c:v>
                </c:pt>
                <c:pt idx="106">
                  <c:v>-0.15535277790256294</c:v>
                </c:pt>
                <c:pt idx="107">
                  <c:v>-0.14492047224841217</c:v>
                </c:pt>
                <c:pt idx="108">
                  <c:v>-0.13450391534521827</c:v>
                </c:pt>
                <c:pt idx="109">
                  <c:v>-0.12410193272093782</c:v>
                </c:pt>
                <c:pt idx="110">
                  <c:v>-0.11371336113175044</c:v>
                </c:pt>
                <c:pt idx="111">
                  <c:v>-0.10333704761470688</c:v>
                </c:pt>
                <c:pt idx="112">
                  <c:v>-9.2971848561073753E-2</c:v>
                </c:pt>
                <c:pt idx="113">
                  <c:v>-8.2616628808385245E-2</c:v>
                </c:pt>
                <c:pt idx="114">
                  <c:v>-7.2270260749286844E-2</c:v>
                </c:pt>
                <c:pt idx="115">
                  <c:v>-6.1931623455317261E-2</c:v>
                </c:pt>
                <c:pt idx="116">
                  <c:v>-5.1599601813829978E-2</c:v>
                </c:pt>
                <c:pt idx="117">
                  <c:v>-4.1273085676310224E-2</c:v>
                </c:pt>
                <c:pt idx="118">
                  <c:v>-3.0950969016380642E-2</c:v>
                </c:pt>
                <c:pt idx="119">
                  <c:v>-2.063214909582612E-2</c:v>
                </c:pt>
                <c:pt idx="120">
                  <c:v>-1.031552563700072E-2</c:v>
                </c:pt>
                <c:pt idx="121">
                  <c:v>0</c:v>
                </c:pt>
                <c:pt idx="122">
                  <c:v>1.031552563700072E-2</c:v>
                </c:pt>
                <c:pt idx="123">
                  <c:v>2.0632149095825981E-2</c:v>
                </c:pt>
                <c:pt idx="124">
                  <c:v>3.0950969016380784E-2</c:v>
                </c:pt>
                <c:pt idx="125">
                  <c:v>4.1273085676310356E-2</c:v>
                </c:pt>
                <c:pt idx="126">
                  <c:v>5.1599601813829978E-2</c:v>
                </c:pt>
                <c:pt idx="127">
                  <c:v>6.1931623455317261E-2</c:v>
                </c:pt>
                <c:pt idx="128">
                  <c:v>7.2270260749286844E-2</c:v>
                </c:pt>
                <c:pt idx="129">
                  <c:v>8.2616628808385092E-2</c:v>
                </c:pt>
                <c:pt idx="130">
                  <c:v>9.2971848561073892E-2</c:v>
                </c:pt>
                <c:pt idx="131">
                  <c:v>0.10333704761470702</c:v>
                </c:pt>
                <c:pt idx="132">
                  <c:v>0.11371336113175044</c:v>
                </c:pt>
                <c:pt idx="133">
                  <c:v>0.12410193272093782</c:v>
                </c:pt>
                <c:pt idx="134">
                  <c:v>0.13450391534521827</c:v>
                </c:pt>
                <c:pt idx="135">
                  <c:v>0.14492047224841204</c:v>
                </c:pt>
                <c:pt idx="136">
                  <c:v>0.15535277790256308</c:v>
                </c:pt>
                <c:pt idx="137">
                  <c:v>0.16580201897805572</c:v>
                </c:pt>
                <c:pt idx="138">
                  <c:v>0.17626939533865746</c:v>
                </c:pt>
                <c:pt idx="139">
                  <c:v>0.18675612106373712</c:v>
                </c:pt>
                <c:pt idx="140">
                  <c:v>0.19726342550002815</c:v>
                </c:pt>
                <c:pt idx="141">
                  <c:v>0.20779255434541649</c:v>
                </c:pt>
                <c:pt idx="142">
                  <c:v>0.21834477076736838</c:v>
                </c:pt>
                <c:pt idx="143">
                  <c:v>0.22892135655875176</c:v>
                </c:pt>
                <c:pt idx="144">
                  <c:v>0.23952361333396816</c:v>
                </c:pt>
                <c:pt idx="145">
                  <c:v>0.25015286376847284</c:v>
                </c:pt>
                <c:pt idx="146">
                  <c:v>0.26081045288495608</c:v>
                </c:pt>
                <c:pt idx="147">
                  <c:v>0.27149774938965759</c:v>
                </c:pt>
                <c:pt idx="148">
                  <c:v>0.28221614706250825</c:v>
                </c:pt>
                <c:pt idx="149">
                  <c:v>0.2929670662050351</c:v>
                </c:pt>
                <c:pt idx="150">
                  <c:v>0.30375195515023262</c:v>
                </c:pt>
                <c:pt idx="151">
                  <c:v>0.31457229183888502</c:v>
                </c:pt>
                <c:pt idx="152">
                  <c:v>0.32542958546714418</c:v>
                </c:pt>
                <c:pt idx="153">
                  <c:v>0.3363253782105079</c:v>
                </c:pt>
                <c:pt idx="154">
                  <c:v>0.34726124702971828</c:v>
                </c:pt>
                <c:pt idx="155">
                  <c:v>0.35823880556450799</c:v>
                </c:pt>
                <c:pt idx="156">
                  <c:v>0.36925970612157277</c:v>
                </c:pt>
                <c:pt idx="157">
                  <c:v>0.38032564176363115</c:v>
                </c:pt>
                <c:pt idx="158">
                  <c:v>0.39143834850697584</c:v>
                </c:pt>
                <c:pt idx="159">
                  <c:v>0.4025996076355004</c:v>
                </c:pt>
                <c:pt idx="160">
                  <c:v>0.41381124813983405</c:v>
                </c:pt>
                <c:pt idx="161">
                  <c:v>0.42507514929091705</c:v>
                </c:pt>
                <c:pt idx="162">
                  <c:v>0.43639324335813162</c:v>
                </c:pt>
                <c:pt idx="163">
                  <c:v>0.44776751848294888</c:v>
                </c:pt>
                <c:pt idx="164">
                  <c:v>0.4592000217199913</c:v>
                </c:pt>
                <c:pt idx="165">
                  <c:v>0.47069286225844953</c:v>
                </c:pt>
                <c:pt idx="166">
                  <c:v>0.48224821483792335</c:v>
                </c:pt>
                <c:pt idx="167">
                  <c:v>0.49386832337402026</c:v>
                </c:pt>
                <c:pt idx="168">
                  <c:v>0.50555550481043754</c:v>
                </c:pt>
                <c:pt idx="169">
                  <c:v>0.51731215321578561</c:v>
                </c:pt>
                <c:pt idx="170">
                  <c:v>0.52914074414512802</c:v>
                </c:pt>
                <c:pt idx="171">
                  <c:v>0.5410438392880963</c:v>
                </c:pt>
                <c:pt idx="172">
                  <c:v>0.55302409142754982</c:v>
                </c:pt>
                <c:pt idx="173">
                  <c:v>0.56508424973508586</c:v>
                </c:pt>
                <c:pt idx="174">
                  <c:v>0.57722716543232322</c:v>
                </c:pt>
                <c:pt idx="175">
                  <c:v>0.58945579784977842</c:v>
                </c:pt>
                <c:pt idx="176">
                  <c:v>0.60177322091842655</c:v>
                </c:pt>
                <c:pt idx="177">
                  <c:v>0.61418263013266772</c:v>
                </c:pt>
                <c:pt idx="178">
                  <c:v>0.6266873500275072</c:v>
                </c:pt>
                <c:pt idx="179">
                  <c:v>0.63929084221735377</c:v>
                </c:pt>
                <c:pt idx="180">
                  <c:v>0.65199671404899062</c:v>
                </c:pt>
                <c:pt idx="181">
                  <c:v>0.66480872792709123</c:v>
                </c:pt>
                <c:pt idx="182">
                  <c:v>0.67773081137723878</c:v>
                </c:pt>
                <c:pt idx="183">
                  <c:v>0.69076706791880538</c:v>
                </c:pt>
                <c:pt idx="184">
                  <c:v>0.70392178882851375</c:v>
                </c:pt>
                <c:pt idx="185">
                  <c:v>0.71719946588502648</c:v>
                </c:pt>
                <c:pt idx="186">
                  <c:v>0.73060480519584381</c:v>
                </c:pt>
                <c:pt idx="187">
                  <c:v>0.74414274222016763</c:v>
                </c:pt>
                <c:pt idx="188">
                  <c:v>0.75781845811562798</c:v>
                </c:pt>
                <c:pt idx="189">
                  <c:v>0.77163739755302341</c:v>
                </c:pt>
                <c:pt idx="190">
                  <c:v>0.78560528816191499</c:v>
                </c:pt>
                <c:pt idx="191">
                  <c:v>0.79972816179145556</c:v>
                </c:pt>
                <c:pt idx="192">
                  <c:v>0.81401237779566393</c:v>
                </c:pt>
                <c:pt idx="193">
                  <c:v>0.82846464858113456</c:v>
                </c:pt>
                <c:pt idx="194">
                  <c:v>0.8430920676885425</c:v>
                </c:pt>
                <c:pt idx="195">
                  <c:v>0.85790214071820192</c:v>
                </c:pt>
                <c:pt idx="196">
                  <c:v>0.87290281945529757</c:v>
                </c:pt>
                <c:pt idx="197">
                  <c:v>0.88810253960355767</c:v>
                </c:pt>
                <c:pt idx="198">
                  <c:v>0.90351026259865719</c:v>
                </c:pt>
                <c:pt idx="199">
                  <c:v>0.91913552204621074</c:v>
                </c:pt>
                <c:pt idx="200">
                  <c:v>0.93498847541645724</c:v>
                </c:pt>
                <c:pt idx="201">
                  <c:v>0.95107996173116438</c:v>
                </c:pt>
                <c:pt idx="202">
                  <c:v>0.96742156610170071</c:v>
                </c:pt>
                <c:pt idx="203">
                  <c:v>0.98402569212497448</c:v>
                </c:pt>
                <c:pt idx="204">
                  <c:v>1.0009056433214076</c:v>
                </c:pt>
                <c:pt idx="205">
                  <c:v>1.0180757150135895</c:v>
                </c:pt>
                <c:pt idx="206">
                  <c:v>1.0355512983042106</c:v>
                </c:pt>
                <c:pt idx="207">
                  <c:v>1.0533489981289517</c:v>
                </c:pt>
                <c:pt idx="208">
                  <c:v>1.071486767748316</c:v>
                </c:pt>
                <c:pt idx="209">
                  <c:v>1.0899840625208512</c:v>
                </c:pt>
                <c:pt idx="210">
                  <c:v>1.1088620163928995</c:v>
                </c:pt>
                <c:pt idx="211">
                  <c:v>1.1281436452787641</c:v>
                </c:pt>
                <c:pt idx="212">
                  <c:v>1.1478540824317975</c:v>
                </c:pt>
                <c:pt idx="213">
                  <c:v>1.1680208520770821</c:v>
                </c:pt>
                <c:pt idx="214">
                  <c:v>1.1886741890646779</c:v>
                </c:pt>
                <c:pt idx="215">
                  <c:v>1.2098474142099354</c:v>
                </c:pt>
                <c:pt idx="216">
                  <c:v>1.2315773774519712</c:v>
                </c:pt>
                <c:pt idx="217">
                  <c:v>1.2539049841737089</c:v>
                </c:pt>
                <c:pt idx="218">
                  <c:v>1.27687582425257</c:v>
                </c:pt>
                <c:pt idx="219">
                  <c:v>1.3005409290255749</c:v>
                </c:pt>
                <c:pt idx="220">
                  <c:v>1.3249576888929773</c:v>
                </c:pt>
                <c:pt idx="221">
                  <c:v>1.3501909745292517</c:v>
                </c:pt>
                <c:pt idx="222">
                  <c:v>1.3763145187640959</c:v>
                </c:pt>
                <c:pt idx="223">
                  <c:v>1.4034126358514019</c:v>
                </c:pt>
                <c:pt idx="224">
                  <c:v>1.4315823826641134</c:v>
                </c:pt>
                <c:pt idx="225">
                  <c:v>1.4609363063735892</c:v>
                </c:pt>
                <c:pt idx="226">
                  <c:v>1.4916059817794989</c:v>
                </c:pt>
                <c:pt idx="227">
                  <c:v>1.5237466289905293</c:v>
                </c:pt>
                <c:pt idx="228">
                  <c:v>1.5575432357847121</c:v>
                </c:pt>
                <c:pt idx="229">
                  <c:v>1.59321881802305</c:v>
                </c:pt>
                <c:pt idx="230">
                  <c:v>1.6310457876315667</c:v>
                </c:pt>
                <c:pt idx="231">
                  <c:v>1.6713619553031227</c:v>
                </c:pt>
                <c:pt idx="232">
                  <c:v>1.7145936537660904</c:v>
                </c:pt>
                <c:pt idx="233">
                  <c:v>1.7612901851318292</c:v>
                </c:pt>
                <c:pt idx="234">
                  <c:v>1.8121770257485288</c:v>
                </c:pt>
                <c:pt idx="235">
                  <c:v>1.8682416548639302</c:v>
                </c:pt>
                <c:pt idx="236">
                  <c:v>1.9308796091598426</c:v>
                </c:pt>
                <c:pt idx="237">
                  <c:v>2.0021603391646638</c:v>
                </c:pt>
                <c:pt idx="238">
                  <c:v>2.0853555660318293</c:v>
                </c:pt>
                <c:pt idx="239">
                  <c:v>2.1861233191315868</c:v>
                </c:pt>
                <c:pt idx="240">
                  <c:v>2.3156729634461346</c:v>
                </c:pt>
                <c:pt idx="241">
                  <c:v>2.5021064733430629</c:v>
                </c:pt>
                <c:pt idx="242">
                  <c:v>2.8691914432193188</c:v>
                </c:pt>
              </c:numCache>
            </c:numRef>
          </c:xVal>
          <c:yVal>
            <c:numRef>
              <c:f>'F1 - EF1 Analysis'!$H$12:$H$310</c:f>
              <c:numCache>
                <c:formatCode>General</c:formatCode>
                <c:ptCount val="299"/>
                <c:pt idx="0">
                  <c:v>-2.3025850929940455</c:v>
                </c:pt>
                <c:pt idx="1">
                  <c:v>-2.3025850929940455</c:v>
                </c:pt>
                <c:pt idx="2">
                  <c:v>-2.3025850929940455</c:v>
                </c:pt>
                <c:pt idx="3">
                  <c:v>-2.3025850929940455</c:v>
                </c:pt>
                <c:pt idx="4">
                  <c:v>-2.3025850929940455</c:v>
                </c:pt>
                <c:pt idx="5">
                  <c:v>-2.3025850929940455</c:v>
                </c:pt>
                <c:pt idx="6">
                  <c:v>-2.3025850929940455</c:v>
                </c:pt>
                <c:pt idx="7">
                  <c:v>-2.3025850929940455</c:v>
                </c:pt>
                <c:pt idx="8">
                  <c:v>-2.3025850929940455</c:v>
                </c:pt>
                <c:pt idx="9">
                  <c:v>-2.3025850929940455</c:v>
                </c:pt>
                <c:pt idx="10">
                  <c:v>-2.3025850929940455</c:v>
                </c:pt>
                <c:pt idx="11">
                  <c:v>-2.3025850929940455</c:v>
                </c:pt>
                <c:pt idx="12">
                  <c:v>-2.3025850929940455</c:v>
                </c:pt>
                <c:pt idx="13">
                  <c:v>-2.3025850929940455</c:v>
                </c:pt>
                <c:pt idx="14">
                  <c:v>-2.3025850929940455</c:v>
                </c:pt>
                <c:pt idx="15">
                  <c:v>-2.3025850929940455</c:v>
                </c:pt>
                <c:pt idx="16">
                  <c:v>-2.3025850929940455</c:v>
                </c:pt>
                <c:pt idx="17">
                  <c:v>-2.3025850929940455</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-2.3025850929940455</c:v>
                </c:pt>
                <c:pt idx="30">
                  <c:v>-2.3025850929940455</c:v>
                </c:pt>
                <c:pt idx="31">
                  <c:v>-2.3025850929940455</c:v>
                </c:pt>
                <c:pt idx="32">
                  <c:v>-2.3025850929940455</c:v>
                </c:pt>
                <c:pt idx="33">
                  <c:v>-2.3025850929940455</c:v>
                </c:pt>
                <c:pt idx="34">
                  <c:v>-2.3025850929940455</c:v>
                </c:pt>
                <c:pt idx="35">
                  <c:v>-2.3025850929940455</c:v>
                </c:pt>
                <c:pt idx="36">
                  <c:v>-2.3025850929940455</c:v>
                </c:pt>
                <c:pt idx="37">
                  <c:v>-2.3025850929940455</c:v>
                </c:pt>
                <c:pt idx="38">
                  <c:v>-2.3025850929940455</c:v>
                </c:pt>
                <c:pt idx="39">
                  <c:v>-2.3025850929940455</c:v>
                </c:pt>
                <c:pt idx="40">
                  <c:v>-2.3025850929940455</c:v>
                </c:pt>
                <c:pt idx="41">
                  <c:v>-2.3025850929940455</c:v>
                </c:pt>
                <c:pt idx="42">
                  <c:v>-1.6094379124341003</c:v>
                </c:pt>
                <c:pt idx="43">
                  <c:v>-1.6094379124341003</c:v>
                </c:pt>
                <c:pt idx="44">
                  <c:v>-1.6094379124341003</c:v>
                </c:pt>
                <c:pt idx="45">
                  <c:v>-1.6094379124341003</c:v>
                </c:pt>
                <c:pt idx="46">
                  <c:v>-1.3862943611198906</c:v>
                </c:pt>
                <c:pt idx="47">
                  <c:v>-1.2039728043259361</c:v>
                </c:pt>
                <c:pt idx="48">
                  <c:v>-1.2039728043259361</c:v>
                </c:pt>
                <c:pt idx="49">
                  <c:v>-1.2039728043259361</c:v>
                </c:pt>
                <c:pt idx="50">
                  <c:v>-1.2039728043259361</c:v>
                </c:pt>
                <c:pt idx="51">
                  <c:v>-1.2039728043259361</c:v>
                </c:pt>
                <c:pt idx="52">
                  <c:v>-1.2039728043259361</c:v>
                </c:pt>
                <c:pt idx="53">
                  <c:v>-1.2039728043259361</c:v>
                </c:pt>
                <c:pt idx="54">
                  <c:v>-1.2039728043259361</c:v>
                </c:pt>
                <c:pt idx="55">
                  <c:v>-1.2039728043259361</c:v>
                </c:pt>
                <c:pt idx="56">
                  <c:v>-1.2039728043259361</c:v>
                </c:pt>
                <c:pt idx="57">
                  <c:v>-1.2039728043259361</c:v>
                </c:pt>
                <c:pt idx="58">
                  <c:v>-0.916290731874155</c:v>
                </c:pt>
                <c:pt idx="59">
                  <c:v>-0.916290731874155</c:v>
                </c:pt>
                <c:pt idx="60">
                  <c:v>-0.916290731874155</c:v>
                </c:pt>
                <c:pt idx="61">
                  <c:v>-0.916290731874155</c:v>
                </c:pt>
                <c:pt idx="62">
                  <c:v>-0.82098055206983023</c:v>
                </c:pt>
                <c:pt idx="63">
                  <c:v>-0.69314718055994529</c:v>
                </c:pt>
                <c:pt idx="64">
                  <c:v>-0.69314718055994529</c:v>
                </c:pt>
                <c:pt idx="65">
                  <c:v>-0.69314718055994529</c:v>
                </c:pt>
                <c:pt idx="66">
                  <c:v>-0.69314718055994529</c:v>
                </c:pt>
                <c:pt idx="67">
                  <c:v>-0.69314718055994529</c:v>
                </c:pt>
                <c:pt idx="68">
                  <c:v>-0.69314718055994529</c:v>
                </c:pt>
                <c:pt idx="69">
                  <c:v>-0.69314718055994529</c:v>
                </c:pt>
                <c:pt idx="70">
                  <c:v>-0.69314718055994529</c:v>
                </c:pt>
                <c:pt idx="71">
                  <c:v>-0.69314718055994529</c:v>
                </c:pt>
                <c:pt idx="72">
                  <c:v>-0.69314718055994529</c:v>
                </c:pt>
                <c:pt idx="73">
                  <c:v>-0.69314718055994529</c:v>
                </c:pt>
                <c:pt idx="74">
                  <c:v>-0.69314718055994529</c:v>
                </c:pt>
                <c:pt idx="75">
                  <c:v>-0.69314718055994529</c:v>
                </c:pt>
                <c:pt idx="76">
                  <c:v>-0.69314718055994529</c:v>
                </c:pt>
                <c:pt idx="77">
                  <c:v>-0.69314718055994529</c:v>
                </c:pt>
                <c:pt idx="78">
                  <c:v>-0.69314718055994529</c:v>
                </c:pt>
                <c:pt idx="79">
                  <c:v>-0.69314718055994529</c:v>
                </c:pt>
                <c:pt idx="80">
                  <c:v>-0.51082562376599072</c:v>
                </c:pt>
                <c:pt idx="81">
                  <c:v>-0.51082562376599072</c:v>
                </c:pt>
                <c:pt idx="82">
                  <c:v>-0.35667494393873245</c:v>
                </c:pt>
                <c:pt idx="83">
                  <c:v>-0.30110509278392161</c:v>
                </c:pt>
                <c:pt idx="84">
                  <c:v>-0.22314355131420971</c:v>
                </c:pt>
                <c:pt idx="85">
                  <c:v>-0.15082288973458366</c:v>
                </c:pt>
                <c:pt idx="86">
                  <c:v>-0.10536051565782628</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9.950330853168092E-3</c:v>
                </c:pt>
                <c:pt idx="117">
                  <c:v>9.5310179804324935E-2</c:v>
                </c:pt>
                <c:pt idx="118">
                  <c:v>0.11332868530700327</c:v>
                </c:pt>
                <c:pt idx="119">
                  <c:v>0.26236426446749106</c:v>
                </c:pt>
                <c:pt idx="120">
                  <c:v>0.33647223662121289</c:v>
                </c:pt>
                <c:pt idx="121">
                  <c:v>0.40546510810816438</c:v>
                </c:pt>
                <c:pt idx="122">
                  <c:v>0.40546510810816438</c:v>
                </c:pt>
                <c:pt idx="123">
                  <c:v>0.40546510810816438</c:v>
                </c:pt>
                <c:pt idx="124">
                  <c:v>0.64185388617239469</c:v>
                </c:pt>
                <c:pt idx="125">
                  <c:v>0.69314718055994529</c:v>
                </c:pt>
                <c:pt idx="126">
                  <c:v>0.69314718055994529</c:v>
                </c:pt>
                <c:pt idx="127">
                  <c:v>0.69314718055994529</c:v>
                </c:pt>
                <c:pt idx="128">
                  <c:v>0.69314718055994529</c:v>
                </c:pt>
                <c:pt idx="129">
                  <c:v>0.69314718055994529</c:v>
                </c:pt>
                <c:pt idx="130">
                  <c:v>0.69314718055994529</c:v>
                </c:pt>
                <c:pt idx="131">
                  <c:v>0.69314718055994529</c:v>
                </c:pt>
                <c:pt idx="132">
                  <c:v>0.69314718055994529</c:v>
                </c:pt>
                <c:pt idx="133">
                  <c:v>0.69314718055994529</c:v>
                </c:pt>
                <c:pt idx="134">
                  <c:v>0.69314718055994529</c:v>
                </c:pt>
                <c:pt idx="135">
                  <c:v>0.69314718055994529</c:v>
                </c:pt>
                <c:pt idx="136">
                  <c:v>0.69314718055994529</c:v>
                </c:pt>
                <c:pt idx="137">
                  <c:v>0.69314718055994529</c:v>
                </c:pt>
                <c:pt idx="138">
                  <c:v>0.69314718055994529</c:v>
                </c:pt>
                <c:pt idx="139">
                  <c:v>0.69314718055994529</c:v>
                </c:pt>
                <c:pt idx="140">
                  <c:v>0.69314718055994529</c:v>
                </c:pt>
                <c:pt idx="141">
                  <c:v>0.69314718055994529</c:v>
                </c:pt>
                <c:pt idx="142">
                  <c:v>0.69314718055994529</c:v>
                </c:pt>
                <c:pt idx="143">
                  <c:v>0.69314718055994529</c:v>
                </c:pt>
                <c:pt idx="144">
                  <c:v>0.69314718055994529</c:v>
                </c:pt>
                <c:pt idx="145">
                  <c:v>0.69314718055994529</c:v>
                </c:pt>
                <c:pt idx="146">
                  <c:v>0.69314718055994529</c:v>
                </c:pt>
                <c:pt idx="147">
                  <c:v>0.69314718055994529</c:v>
                </c:pt>
                <c:pt idx="148">
                  <c:v>0.69813472207098426</c:v>
                </c:pt>
                <c:pt idx="149">
                  <c:v>0.78845736036427028</c:v>
                </c:pt>
                <c:pt idx="150">
                  <c:v>0.91629073187415511</c:v>
                </c:pt>
                <c:pt idx="151">
                  <c:v>0.91629073187415511</c:v>
                </c:pt>
                <c:pt idx="152">
                  <c:v>0.91629073187415511</c:v>
                </c:pt>
                <c:pt idx="153">
                  <c:v>0.91629073187415511</c:v>
                </c:pt>
                <c:pt idx="154">
                  <c:v>0.91629073187415511</c:v>
                </c:pt>
                <c:pt idx="155">
                  <c:v>0.97832612279360776</c:v>
                </c:pt>
                <c:pt idx="156">
                  <c:v>1.0152306797290584</c:v>
                </c:pt>
                <c:pt idx="157">
                  <c:v>1.0986122886681098</c:v>
                </c:pt>
                <c:pt idx="158">
                  <c:v>1.0986122886681098</c:v>
                </c:pt>
                <c:pt idx="159">
                  <c:v>1.0986122886681098</c:v>
                </c:pt>
                <c:pt idx="160">
                  <c:v>1.0986122886681098</c:v>
                </c:pt>
                <c:pt idx="161">
                  <c:v>1.0986122886681098</c:v>
                </c:pt>
                <c:pt idx="162">
                  <c:v>1.0986122886681098</c:v>
                </c:pt>
                <c:pt idx="163">
                  <c:v>1.0986122886681098</c:v>
                </c:pt>
                <c:pt idx="164">
                  <c:v>1.0986122886681098</c:v>
                </c:pt>
                <c:pt idx="165">
                  <c:v>1.0986122886681098</c:v>
                </c:pt>
                <c:pt idx="166">
                  <c:v>1.0986122886681098</c:v>
                </c:pt>
                <c:pt idx="167">
                  <c:v>1.1939224684724346</c:v>
                </c:pt>
                <c:pt idx="168">
                  <c:v>1.2029723039923526</c:v>
                </c:pt>
                <c:pt idx="169">
                  <c:v>1.2527629684953681</c:v>
                </c:pt>
                <c:pt idx="170">
                  <c:v>1.2725655957915476</c:v>
                </c:pt>
                <c:pt idx="171">
                  <c:v>1.2809338454620642</c:v>
                </c:pt>
                <c:pt idx="172">
                  <c:v>1.2809338454620642</c:v>
                </c:pt>
                <c:pt idx="173">
                  <c:v>1.2809338454620642</c:v>
                </c:pt>
                <c:pt idx="174">
                  <c:v>1.3270750014599193</c:v>
                </c:pt>
                <c:pt idx="175">
                  <c:v>1.33500106673234</c:v>
                </c:pt>
                <c:pt idx="176">
                  <c:v>1.3862943611198906</c:v>
                </c:pt>
                <c:pt idx="177">
                  <c:v>1.3862943611198906</c:v>
                </c:pt>
                <c:pt idx="178">
                  <c:v>1.3862943611198906</c:v>
                </c:pt>
                <c:pt idx="179">
                  <c:v>1.3862943611198906</c:v>
                </c:pt>
                <c:pt idx="180">
                  <c:v>1.3862943611198906</c:v>
                </c:pt>
                <c:pt idx="181">
                  <c:v>1.3862943611198906</c:v>
                </c:pt>
                <c:pt idx="182">
                  <c:v>1.3862943611198906</c:v>
                </c:pt>
                <c:pt idx="183">
                  <c:v>1.3862943611198906</c:v>
                </c:pt>
                <c:pt idx="184">
                  <c:v>1.3862943611198906</c:v>
                </c:pt>
                <c:pt idx="185">
                  <c:v>1.4279160358107101</c:v>
                </c:pt>
                <c:pt idx="186">
                  <c:v>1.4586150226995167</c:v>
                </c:pt>
                <c:pt idx="187">
                  <c:v>1.4586150226995167</c:v>
                </c:pt>
                <c:pt idx="188">
                  <c:v>1.5040773967762742</c:v>
                </c:pt>
                <c:pt idx="189">
                  <c:v>1.547562508716013</c:v>
                </c:pt>
                <c:pt idx="190">
                  <c:v>1.547562508716013</c:v>
                </c:pt>
                <c:pt idx="191">
                  <c:v>1.589235205116581</c:v>
                </c:pt>
                <c:pt idx="192">
                  <c:v>1.6094379124341003</c:v>
                </c:pt>
                <c:pt idx="193">
                  <c:v>1.6094379124341003</c:v>
                </c:pt>
                <c:pt idx="194">
                  <c:v>1.6620303625532709</c:v>
                </c:pt>
                <c:pt idx="195">
                  <c:v>1.7544036826842861</c:v>
                </c:pt>
                <c:pt idx="196">
                  <c:v>1.7749523509116738</c:v>
                </c:pt>
                <c:pt idx="197">
                  <c:v>1.791759469228055</c:v>
                </c:pt>
                <c:pt idx="198">
                  <c:v>1.791759469228055</c:v>
                </c:pt>
                <c:pt idx="199">
                  <c:v>1.791759469228055</c:v>
                </c:pt>
                <c:pt idx="200">
                  <c:v>1.791759469228055</c:v>
                </c:pt>
                <c:pt idx="201">
                  <c:v>1.7934247485471162</c:v>
                </c:pt>
                <c:pt idx="202">
                  <c:v>1.8325814637483102</c:v>
                </c:pt>
                <c:pt idx="203">
                  <c:v>1.8562979903656263</c:v>
                </c:pt>
                <c:pt idx="204">
                  <c:v>1.9459101490553132</c:v>
                </c:pt>
                <c:pt idx="205">
                  <c:v>1.9459101490553132</c:v>
                </c:pt>
                <c:pt idx="206">
                  <c:v>1.9501867058225735</c:v>
                </c:pt>
                <c:pt idx="207">
                  <c:v>1.9837562915454279</c:v>
                </c:pt>
                <c:pt idx="208">
                  <c:v>1.9878743481543455</c:v>
                </c:pt>
                <c:pt idx="209">
                  <c:v>2.0014800002101243</c:v>
                </c:pt>
                <c:pt idx="210">
                  <c:v>2.0794415416798357</c:v>
                </c:pt>
                <c:pt idx="211">
                  <c:v>2.1162555148025524</c:v>
                </c:pt>
                <c:pt idx="212">
                  <c:v>2.150598735996164</c:v>
                </c:pt>
                <c:pt idx="213">
                  <c:v>2.1894163948884078</c:v>
                </c:pt>
                <c:pt idx="214">
                  <c:v>2.1972245773362196</c:v>
                </c:pt>
                <c:pt idx="215">
                  <c:v>2.3025850929940459</c:v>
                </c:pt>
                <c:pt idx="216">
                  <c:v>2.3025850929940459</c:v>
                </c:pt>
                <c:pt idx="217">
                  <c:v>2.3025850929940459</c:v>
                </c:pt>
                <c:pt idx="218">
                  <c:v>2.3025850929940459</c:v>
                </c:pt>
                <c:pt idx="219">
                  <c:v>2.3025850929940459</c:v>
                </c:pt>
                <c:pt idx="220">
                  <c:v>2.3360198690802831</c:v>
                </c:pt>
                <c:pt idx="221">
                  <c:v>2.3702437414678603</c:v>
                </c:pt>
                <c:pt idx="222">
                  <c:v>2.388762789235098</c:v>
                </c:pt>
                <c:pt idx="223">
                  <c:v>2.3978952727983707</c:v>
                </c:pt>
                <c:pt idx="224">
                  <c:v>2.4069451083182885</c:v>
                </c:pt>
                <c:pt idx="225">
                  <c:v>2.4388627112865935</c:v>
                </c:pt>
                <c:pt idx="226">
                  <c:v>2.4423470353692043</c:v>
                </c:pt>
                <c:pt idx="227">
                  <c:v>2.4849066497880004</c:v>
                </c:pt>
                <c:pt idx="228">
                  <c:v>2.503891949699081</c:v>
                </c:pt>
                <c:pt idx="229">
                  <c:v>2.5416019934645457</c:v>
                </c:pt>
                <c:pt idx="230">
                  <c:v>2.5877640352277083</c:v>
                </c:pt>
                <c:pt idx="231">
                  <c:v>2.5907670404874779</c:v>
                </c:pt>
                <c:pt idx="232">
                  <c:v>2.6071242825122494</c:v>
                </c:pt>
                <c:pt idx="233">
                  <c:v>2.6390573296152584</c:v>
                </c:pt>
                <c:pt idx="234">
                  <c:v>2.6803363625346943</c:v>
                </c:pt>
                <c:pt idx="235">
                  <c:v>2.760009940032921</c:v>
                </c:pt>
                <c:pt idx="236">
                  <c:v>2.8021475244813256</c:v>
                </c:pt>
                <c:pt idx="237">
                  <c:v>2.8449093838194073</c:v>
                </c:pt>
                <c:pt idx="238">
                  <c:v>2.9957322735539909</c:v>
                </c:pt>
                <c:pt idx="239">
                  <c:v>3.0819099697950434</c:v>
                </c:pt>
                <c:pt idx="240">
                  <c:v>3.1471649773142003</c:v>
                </c:pt>
                <c:pt idx="241">
                  <c:v>3.1738784589374651</c:v>
                </c:pt>
                <c:pt idx="242">
                  <c:v>3.7658404952500648</c:v>
                </c:pt>
              </c:numCache>
            </c:numRef>
          </c:yVal>
          <c:smooth val="0"/>
        </c:ser>
        <c:dLbls>
          <c:showLegendKey val="0"/>
          <c:showVal val="0"/>
          <c:showCatName val="0"/>
          <c:showSerName val="0"/>
          <c:showPercent val="0"/>
          <c:showBubbleSize val="0"/>
        </c:dLbls>
        <c:axId val="112284800"/>
        <c:axId val="112287104"/>
      </c:scatterChart>
      <c:valAx>
        <c:axId val="112284800"/>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287104"/>
        <c:crossesAt val="-4"/>
        <c:crossBetween val="midCat"/>
      </c:valAx>
      <c:valAx>
        <c:axId val="1122871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284800"/>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F1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7.1032186459489471E-2"/>
          <c:y val="0.12234910277324648"/>
          <c:w val="0.91009988901220851"/>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'F1 - EF1 Analysis'!$F$12:$F$310</c:f>
              <c:numCache>
                <c:formatCode>General</c:formatCode>
                <c:ptCount val="299"/>
                <c:pt idx="0">
                  <c:v>-2.869191443219326</c:v>
                </c:pt>
                <c:pt idx="1">
                  <c:v>-2.5021064733430647</c:v>
                </c:pt>
                <c:pt idx="2">
                  <c:v>-2.3156729634461346</c:v>
                </c:pt>
                <c:pt idx="3">
                  <c:v>-2.1861233191315859</c:v>
                </c:pt>
                <c:pt idx="4">
                  <c:v>-2.0853555660318284</c:v>
                </c:pt>
                <c:pt idx="5">
                  <c:v>-2.002160339164663</c:v>
                </c:pt>
                <c:pt idx="6">
                  <c:v>-1.9308796091598428</c:v>
                </c:pt>
                <c:pt idx="7">
                  <c:v>-1.8682416548639302</c:v>
                </c:pt>
                <c:pt idx="8">
                  <c:v>-1.8121770257485288</c:v>
                </c:pt>
                <c:pt idx="9">
                  <c:v>-1.7612901851318292</c:v>
                </c:pt>
                <c:pt idx="10">
                  <c:v>-1.7145936537660897</c:v>
                </c:pt>
                <c:pt idx="11">
                  <c:v>-1.6713619553031223</c:v>
                </c:pt>
                <c:pt idx="12">
                  <c:v>-1.6310457876315667</c:v>
                </c:pt>
                <c:pt idx="13">
                  <c:v>-1.5932188180230502</c:v>
                </c:pt>
                <c:pt idx="14">
                  <c:v>-1.5575432357847125</c:v>
                </c:pt>
                <c:pt idx="15">
                  <c:v>-1.5237466289905284</c:v>
                </c:pt>
                <c:pt idx="16">
                  <c:v>-1.4916059817794982</c:v>
                </c:pt>
                <c:pt idx="17">
                  <c:v>-1.4609363063735881</c:v>
                </c:pt>
                <c:pt idx="18">
                  <c:v>-1.4315823826641163</c:v>
                </c:pt>
                <c:pt idx="19">
                  <c:v>-1.4034126358514019</c:v>
                </c:pt>
                <c:pt idx="20">
                  <c:v>-1.3763145187640959</c:v>
                </c:pt>
                <c:pt idx="21">
                  <c:v>-1.3501909745292517</c:v>
                </c:pt>
                <c:pt idx="22">
                  <c:v>-1.3249576888929773</c:v>
                </c:pt>
                <c:pt idx="23">
                  <c:v>-1.3005409290255747</c:v>
                </c:pt>
                <c:pt idx="24">
                  <c:v>-1.2768758242525717</c:v>
                </c:pt>
                <c:pt idx="25">
                  <c:v>-1.2539049841737089</c:v>
                </c:pt>
                <c:pt idx="26">
                  <c:v>-1.2315773774519712</c:v>
                </c:pt>
                <c:pt idx="27">
                  <c:v>-1.2098474142099354</c:v>
                </c:pt>
                <c:pt idx="28">
                  <c:v>-1.1886741890646779</c:v>
                </c:pt>
                <c:pt idx="29">
                  <c:v>-1.1680208520770818</c:v>
                </c:pt>
                <c:pt idx="30">
                  <c:v>-1.1478540824317975</c:v>
                </c:pt>
                <c:pt idx="31">
                  <c:v>-1.1281436452787641</c:v>
                </c:pt>
                <c:pt idx="32">
                  <c:v>-1.1088620163928995</c:v>
                </c:pt>
                <c:pt idx="33">
                  <c:v>-1.0899840625208512</c:v>
                </c:pt>
                <c:pt idx="34">
                  <c:v>-1.071486767748316</c:v>
                </c:pt>
                <c:pt idx="35">
                  <c:v>-1.0533489981289514</c:v>
                </c:pt>
                <c:pt idx="36">
                  <c:v>-1.0355512983042106</c:v>
                </c:pt>
                <c:pt idx="37">
                  <c:v>-1.0180757150135895</c:v>
                </c:pt>
                <c:pt idx="38">
                  <c:v>-1.0009056433214076</c:v>
                </c:pt>
                <c:pt idx="39">
                  <c:v>-0.98402569212497448</c:v>
                </c:pt>
                <c:pt idx="40">
                  <c:v>-0.96742156610170071</c:v>
                </c:pt>
                <c:pt idx="41">
                  <c:v>-0.95107996173116383</c:v>
                </c:pt>
                <c:pt idx="42">
                  <c:v>-0.93498847541645724</c:v>
                </c:pt>
                <c:pt idx="43">
                  <c:v>-0.91913552204621074</c:v>
                </c:pt>
                <c:pt idx="44">
                  <c:v>-0.90351026259865719</c:v>
                </c:pt>
                <c:pt idx="45">
                  <c:v>-0.88810253960355767</c:v>
                </c:pt>
                <c:pt idx="46">
                  <c:v>-0.87290281945529757</c:v>
                </c:pt>
                <c:pt idx="47">
                  <c:v>-0.85790214071820381</c:v>
                </c:pt>
                <c:pt idx="48">
                  <c:v>-0.8430920676885425</c:v>
                </c:pt>
                <c:pt idx="49">
                  <c:v>-0.82846464858113456</c:v>
                </c:pt>
                <c:pt idx="50">
                  <c:v>-0.81401237779566393</c:v>
                </c:pt>
                <c:pt idx="51">
                  <c:v>-0.79972816179145556</c:v>
                </c:pt>
                <c:pt idx="52">
                  <c:v>-0.78560528816191499</c:v>
                </c:pt>
                <c:pt idx="53">
                  <c:v>-0.77163739755302307</c:v>
                </c:pt>
                <c:pt idx="54">
                  <c:v>-0.75781845811562798</c:v>
                </c:pt>
                <c:pt idx="55">
                  <c:v>-0.74414274222016763</c:v>
                </c:pt>
                <c:pt idx="56">
                  <c:v>-0.73060480519584381</c:v>
                </c:pt>
                <c:pt idx="57">
                  <c:v>-0.71719946588502648</c:v>
                </c:pt>
                <c:pt idx="58">
                  <c:v>-0.70392178882851375</c:v>
                </c:pt>
                <c:pt idx="59">
                  <c:v>-0.69076706791880604</c:v>
                </c:pt>
                <c:pt idx="60">
                  <c:v>-0.67773081137723878</c:v>
                </c:pt>
                <c:pt idx="61">
                  <c:v>-0.66480872792709123</c:v>
                </c:pt>
                <c:pt idx="62">
                  <c:v>-0.65199671404899062</c:v>
                </c:pt>
                <c:pt idx="63">
                  <c:v>-0.63929084221735377</c:v>
                </c:pt>
                <c:pt idx="64">
                  <c:v>-0.62668735002750697</c:v>
                </c:pt>
                <c:pt idx="65">
                  <c:v>-0.61418263013266738</c:v>
                </c:pt>
                <c:pt idx="66">
                  <c:v>-0.60177322091842711</c:v>
                </c:pt>
                <c:pt idx="67">
                  <c:v>-0.58945579784977842</c:v>
                </c:pt>
                <c:pt idx="68">
                  <c:v>-0.57722716543232322</c:v>
                </c:pt>
                <c:pt idx="69">
                  <c:v>-0.56508424973508586</c:v>
                </c:pt>
                <c:pt idx="70">
                  <c:v>-0.5530240914275496</c:v>
                </c:pt>
                <c:pt idx="71">
                  <c:v>-0.54104383928809652</c:v>
                </c:pt>
                <c:pt idx="72">
                  <c:v>-0.52914074414512824</c:v>
                </c:pt>
                <c:pt idx="73">
                  <c:v>-0.51731215321578561</c:v>
                </c:pt>
                <c:pt idx="74">
                  <c:v>-0.50555550481043754</c:v>
                </c:pt>
                <c:pt idx="75">
                  <c:v>-0.49386832337402026</c:v>
                </c:pt>
                <c:pt idx="76">
                  <c:v>-0.48224821483792318</c:v>
                </c:pt>
                <c:pt idx="77">
                  <c:v>-0.47069286225844953</c:v>
                </c:pt>
                <c:pt idx="78">
                  <c:v>-0.45920002171999152</c:v>
                </c:pt>
                <c:pt idx="79">
                  <c:v>-0.44776751848294888</c:v>
                </c:pt>
                <c:pt idx="80">
                  <c:v>-0.43639324335813162</c:v>
                </c:pt>
                <c:pt idx="81">
                  <c:v>-0.42507514929091683</c:v>
                </c:pt>
                <c:pt idx="82">
                  <c:v>-0.41381124813983389</c:v>
                </c:pt>
                <c:pt idx="83">
                  <c:v>-0.40259960763550051</c:v>
                </c:pt>
                <c:pt idx="84">
                  <c:v>-0.39143834850697584</c:v>
                </c:pt>
                <c:pt idx="85">
                  <c:v>-0.38032564176363115</c:v>
                </c:pt>
                <c:pt idx="86">
                  <c:v>-0.36925970612157277</c:v>
                </c:pt>
                <c:pt idx="87">
                  <c:v>-0.35823880556450793</c:v>
                </c:pt>
                <c:pt idx="88">
                  <c:v>-0.34726124702971822</c:v>
                </c:pt>
                <c:pt idx="89">
                  <c:v>-0.33632537821050812</c:v>
                </c:pt>
                <c:pt idx="90">
                  <c:v>-0.32542958546714418</c:v>
                </c:pt>
                <c:pt idx="91">
                  <c:v>-0.31457229183888502</c:v>
                </c:pt>
                <c:pt idx="92">
                  <c:v>-0.30375195515023262</c:v>
                </c:pt>
                <c:pt idx="93">
                  <c:v>-0.29296706620503493</c:v>
                </c:pt>
                <c:pt idx="94">
                  <c:v>-0.28221614706250814</c:v>
                </c:pt>
                <c:pt idx="95">
                  <c:v>-0.27149774938965771</c:v>
                </c:pt>
                <c:pt idx="96">
                  <c:v>-0.26081045288495608</c:v>
                </c:pt>
                <c:pt idx="97">
                  <c:v>-0.25015286376847284</c:v>
                </c:pt>
                <c:pt idx="98">
                  <c:v>-0.23952361333396816</c:v>
                </c:pt>
                <c:pt idx="99">
                  <c:v>-0.22892135655875159</c:v>
                </c:pt>
                <c:pt idx="100">
                  <c:v>-0.21834477076736819</c:v>
                </c:pt>
                <c:pt idx="101">
                  <c:v>-0.2077925543454166</c:v>
                </c:pt>
                <c:pt idx="102">
                  <c:v>-0.19726342550002815</c:v>
                </c:pt>
                <c:pt idx="103">
                  <c:v>-0.18675612106373712</c:v>
                </c:pt>
                <c:pt idx="104">
                  <c:v>-0.17626939533865746</c:v>
                </c:pt>
                <c:pt idx="105">
                  <c:v>-0.16580201897805558</c:v>
                </c:pt>
                <c:pt idx="106">
                  <c:v>-0.15535277790256294</c:v>
                </c:pt>
                <c:pt idx="107">
                  <c:v>-0.14492047224841217</c:v>
                </c:pt>
                <c:pt idx="108">
                  <c:v>-0.13450391534521827</c:v>
                </c:pt>
                <c:pt idx="109">
                  <c:v>-0.12410193272093782</c:v>
                </c:pt>
                <c:pt idx="110">
                  <c:v>-0.11371336113175044</c:v>
                </c:pt>
                <c:pt idx="111">
                  <c:v>-0.10333704761470688</c:v>
                </c:pt>
                <c:pt idx="112">
                  <c:v>-9.2971848561073753E-2</c:v>
                </c:pt>
                <c:pt idx="113">
                  <c:v>-8.2616628808385245E-2</c:v>
                </c:pt>
                <c:pt idx="114">
                  <c:v>-7.2270260749286844E-2</c:v>
                </c:pt>
                <c:pt idx="115">
                  <c:v>-6.1931623455317261E-2</c:v>
                </c:pt>
                <c:pt idx="116">
                  <c:v>-5.1599601813829978E-2</c:v>
                </c:pt>
                <c:pt idx="117">
                  <c:v>-4.1273085676310224E-2</c:v>
                </c:pt>
                <c:pt idx="118">
                  <c:v>-3.0950969016380642E-2</c:v>
                </c:pt>
                <c:pt idx="119">
                  <c:v>-2.063214909582612E-2</c:v>
                </c:pt>
                <c:pt idx="120">
                  <c:v>-1.031552563700072E-2</c:v>
                </c:pt>
                <c:pt idx="121">
                  <c:v>0</c:v>
                </c:pt>
                <c:pt idx="122">
                  <c:v>1.031552563700072E-2</c:v>
                </c:pt>
                <c:pt idx="123">
                  <c:v>2.0632149095825981E-2</c:v>
                </c:pt>
                <c:pt idx="124">
                  <c:v>3.0950969016380784E-2</c:v>
                </c:pt>
                <c:pt idx="125">
                  <c:v>4.1273085676310356E-2</c:v>
                </c:pt>
                <c:pt idx="126">
                  <c:v>5.1599601813829978E-2</c:v>
                </c:pt>
                <c:pt idx="127">
                  <c:v>6.1931623455317261E-2</c:v>
                </c:pt>
                <c:pt idx="128">
                  <c:v>7.2270260749286844E-2</c:v>
                </c:pt>
                <c:pt idx="129">
                  <c:v>8.2616628808385092E-2</c:v>
                </c:pt>
                <c:pt idx="130">
                  <c:v>9.2971848561073892E-2</c:v>
                </c:pt>
                <c:pt idx="131">
                  <c:v>0.10333704761470702</c:v>
                </c:pt>
                <c:pt idx="132">
                  <c:v>0.11371336113175044</c:v>
                </c:pt>
                <c:pt idx="133">
                  <c:v>0.12410193272093782</c:v>
                </c:pt>
                <c:pt idx="134">
                  <c:v>0.13450391534521827</c:v>
                </c:pt>
                <c:pt idx="135">
                  <c:v>0.14492047224841204</c:v>
                </c:pt>
                <c:pt idx="136">
                  <c:v>0.15535277790256308</c:v>
                </c:pt>
                <c:pt idx="137">
                  <c:v>0.16580201897805572</c:v>
                </c:pt>
                <c:pt idx="138">
                  <c:v>0.17626939533865746</c:v>
                </c:pt>
                <c:pt idx="139">
                  <c:v>0.18675612106373712</c:v>
                </c:pt>
                <c:pt idx="140">
                  <c:v>0.19726342550002815</c:v>
                </c:pt>
                <c:pt idx="141">
                  <c:v>0.20779255434541649</c:v>
                </c:pt>
                <c:pt idx="142">
                  <c:v>0.21834477076736838</c:v>
                </c:pt>
                <c:pt idx="143">
                  <c:v>0.22892135655875176</c:v>
                </c:pt>
                <c:pt idx="144">
                  <c:v>0.23952361333396816</c:v>
                </c:pt>
                <c:pt idx="145">
                  <c:v>0.25015286376847284</c:v>
                </c:pt>
                <c:pt idx="146">
                  <c:v>0.26081045288495608</c:v>
                </c:pt>
                <c:pt idx="147">
                  <c:v>0.27149774938965759</c:v>
                </c:pt>
                <c:pt idx="148">
                  <c:v>0.28221614706250825</c:v>
                </c:pt>
                <c:pt idx="149">
                  <c:v>0.2929670662050351</c:v>
                </c:pt>
                <c:pt idx="150">
                  <c:v>0.30375195515023262</c:v>
                </c:pt>
                <c:pt idx="151">
                  <c:v>0.31457229183888502</c:v>
                </c:pt>
                <c:pt idx="152">
                  <c:v>0.32542958546714418</c:v>
                </c:pt>
                <c:pt idx="153">
                  <c:v>0.3363253782105079</c:v>
                </c:pt>
                <c:pt idx="154">
                  <c:v>0.34726124702971828</c:v>
                </c:pt>
                <c:pt idx="155">
                  <c:v>0.35823880556450799</c:v>
                </c:pt>
                <c:pt idx="156">
                  <c:v>0.36925970612157277</c:v>
                </c:pt>
                <c:pt idx="157">
                  <c:v>0.38032564176363115</c:v>
                </c:pt>
                <c:pt idx="158">
                  <c:v>0.39143834850697584</c:v>
                </c:pt>
                <c:pt idx="159">
                  <c:v>0.4025996076355004</c:v>
                </c:pt>
                <c:pt idx="160">
                  <c:v>0.41381124813983405</c:v>
                </c:pt>
                <c:pt idx="161">
                  <c:v>0.42507514929091705</c:v>
                </c:pt>
                <c:pt idx="162">
                  <c:v>0.43639324335813162</c:v>
                </c:pt>
                <c:pt idx="163">
                  <c:v>0.44776751848294888</c:v>
                </c:pt>
                <c:pt idx="164">
                  <c:v>0.4592000217199913</c:v>
                </c:pt>
                <c:pt idx="165">
                  <c:v>0.47069286225844953</c:v>
                </c:pt>
                <c:pt idx="166">
                  <c:v>0.48224821483792335</c:v>
                </c:pt>
                <c:pt idx="167">
                  <c:v>0.49386832337402026</c:v>
                </c:pt>
                <c:pt idx="168">
                  <c:v>0.50555550481043754</c:v>
                </c:pt>
                <c:pt idx="169">
                  <c:v>0.51731215321578561</c:v>
                </c:pt>
                <c:pt idx="170">
                  <c:v>0.52914074414512802</c:v>
                </c:pt>
                <c:pt idx="171">
                  <c:v>0.5410438392880963</c:v>
                </c:pt>
                <c:pt idx="172">
                  <c:v>0.55302409142754982</c:v>
                </c:pt>
                <c:pt idx="173">
                  <c:v>0.56508424973508586</c:v>
                </c:pt>
                <c:pt idx="174">
                  <c:v>0.57722716543232322</c:v>
                </c:pt>
                <c:pt idx="175">
                  <c:v>0.58945579784977842</c:v>
                </c:pt>
                <c:pt idx="176">
                  <c:v>0.60177322091842655</c:v>
                </c:pt>
                <c:pt idx="177">
                  <c:v>0.61418263013266772</c:v>
                </c:pt>
                <c:pt idx="178">
                  <c:v>0.6266873500275072</c:v>
                </c:pt>
                <c:pt idx="179">
                  <c:v>0.63929084221735377</c:v>
                </c:pt>
                <c:pt idx="180">
                  <c:v>0.65199671404899062</c:v>
                </c:pt>
                <c:pt idx="181">
                  <c:v>0.66480872792709123</c:v>
                </c:pt>
                <c:pt idx="182">
                  <c:v>0.67773081137723878</c:v>
                </c:pt>
                <c:pt idx="183">
                  <c:v>0.69076706791880538</c:v>
                </c:pt>
                <c:pt idx="184">
                  <c:v>0.70392178882851375</c:v>
                </c:pt>
                <c:pt idx="185">
                  <c:v>0.71719946588502648</c:v>
                </c:pt>
                <c:pt idx="186">
                  <c:v>0.73060480519584381</c:v>
                </c:pt>
                <c:pt idx="187">
                  <c:v>0.74414274222016763</c:v>
                </c:pt>
                <c:pt idx="188">
                  <c:v>0.75781845811562798</c:v>
                </c:pt>
                <c:pt idx="189">
                  <c:v>0.77163739755302341</c:v>
                </c:pt>
                <c:pt idx="190">
                  <c:v>0.78560528816191499</c:v>
                </c:pt>
                <c:pt idx="191">
                  <c:v>0.79972816179145556</c:v>
                </c:pt>
                <c:pt idx="192">
                  <c:v>0.81401237779566393</c:v>
                </c:pt>
                <c:pt idx="193">
                  <c:v>0.82846464858113456</c:v>
                </c:pt>
                <c:pt idx="194">
                  <c:v>0.8430920676885425</c:v>
                </c:pt>
                <c:pt idx="195">
                  <c:v>0.85790214071820192</c:v>
                </c:pt>
                <c:pt idx="196">
                  <c:v>0.87290281945529757</c:v>
                </c:pt>
                <c:pt idx="197">
                  <c:v>0.88810253960355767</c:v>
                </c:pt>
                <c:pt idx="198">
                  <c:v>0.90351026259865719</c:v>
                </c:pt>
                <c:pt idx="199">
                  <c:v>0.91913552204621074</c:v>
                </c:pt>
                <c:pt idx="200">
                  <c:v>0.93498847541645724</c:v>
                </c:pt>
                <c:pt idx="201">
                  <c:v>0.95107996173116438</c:v>
                </c:pt>
                <c:pt idx="202">
                  <c:v>0.96742156610170071</c:v>
                </c:pt>
                <c:pt idx="203">
                  <c:v>0.98402569212497448</c:v>
                </c:pt>
                <c:pt idx="204">
                  <c:v>1.0009056433214076</c:v>
                </c:pt>
                <c:pt idx="205">
                  <c:v>1.0180757150135895</c:v>
                </c:pt>
                <c:pt idx="206">
                  <c:v>1.0355512983042106</c:v>
                </c:pt>
                <c:pt idx="207">
                  <c:v>1.0533489981289517</c:v>
                </c:pt>
                <c:pt idx="208">
                  <c:v>1.071486767748316</c:v>
                </c:pt>
                <c:pt idx="209">
                  <c:v>1.0899840625208512</c:v>
                </c:pt>
                <c:pt idx="210">
                  <c:v>1.1088620163928995</c:v>
                </c:pt>
                <c:pt idx="211">
                  <c:v>1.1281436452787641</c:v>
                </c:pt>
                <c:pt idx="212">
                  <c:v>1.1478540824317975</c:v>
                </c:pt>
                <c:pt idx="213">
                  <c:v>1.1680208520770821</c:v>
                </c:pt>
                <c:pt idx="214">
                  <c:v>1.1886741890646779</c:v>
                </c:pt>
                <c:pt idx="215">
                  <c:v>1.2098474142099354</c:v>
                </c:pt>
                <c:pt idx="216">
                  <c:v>1.2315773774519712</c:v>
                </c:pt>
                <c:pt idx="217">
                  <c:v>1.2539049841737089</c:v>
                </c:pt>
                <c:pt idx="218">
                  <c:v>1.27687582425257</c:v>
                </c:pt>
                <c:pt idx="219">
                  <c:v>1.3005409290255749</c:v>
                </c:pt>
                <c:pt idx="220">
                  <c:v>1.3249576888929773</c:v>
                </c:pt>
                <c:pt idx="221">
                  <c:v>1.3501909745292517</c:v>
                </c:pt>
                <c:pt idx="222">
                  <c:v>1.3763145187640959</c:v>
                </c:pt>
                <c:pt idx="223">
                  <c:v>1.4034126358514019</c:v>
                </c:pt>
                <c:pt idx="224">
                  <c:v>1.4315823826641134</c:v>
                </c:pt>
                <c:pt idx="225">
                  <c:v>1.4609363063735892</c:v>
                </c:pt>
                <c:pt idx="226">
                  <c:v>1.4916059817794989</c:v>
                </c:pt>
                <c:pt idx="227">
                  <c:v>1.5237466289905293</c:v>
                </c:pt>
                <c:pt idx="228">
                  <c:v>1.5575432357847121</c:v>
                </c:pt>
                <c:pt idx="229">
                  <c:v>1.59321881802305</c:v>
                </c:pt>
                <c:pt idx="230">
                  <c:v>1.6310457876315667</c:v>
                </c:pt>
                <c:pt idx="231">
                  <c:v>1.6713619553031227</c:v>
                </c:pt>
                <c:pt idx="232">
                  <c:v>1.7145936537660904</c:v>
                </c:pt>
                <c:pt idx="233">
                  <c:v>1.7612901851318292</c:v>
                </c:pt>
                <c:pt idx="234">
                  <c:v>1.8121770257485288</c:v>
                </c:pt>
                <c:pt idx="235">
                  <c:v>1.8682416548639302</c:v>
                </c:pt>
                <c:pt idx="236">
                  <c:v>1.9308796091598426</c:v>
                </c:pt>
                <c:pt idx="237">
                  <c:v>2.0021603391646638</c:v>
                </c:pt>
                <c:pt idx="238">
                  <c:v>2.0853555660318293</c:v>
                </c:pt>
                <c:pt idx="239">
                  <c:v>2.1861233191315868</c:v>
                </c:pt>
                <c:pt idx="240">
                  <c:v>2.3156729634461346</c:v>
                </c:pt>
                <c:pt idx="241">
                  <c:v>2.5021064733430629</c:v>
                </c:pt>
                <c:pt idx="242">
                  <c:v>2.8691914432193188</c:v>
                </c:pt>
              </c:numCache>
            </c:numRef>
          </c:xVal>
          <c:yVal>
            <c:numRef>
              <c:f>'F1 - EF1 Analysis'!$I$12:$I$310</c:f>
              <c:numCache>
                <c:formatCode>General</c:formatCode>
                <c:ptCount val="299"/>
                <c:pt idx="0">
                  <c:v>-8.6770418923581332</c:v>
                </c:pt>
                <c:pt idx="1">
                  <c:v>-7.9838947117981878</c:v>
                </c:pt>
                <c:pt idx="2">
                  <c:v>-7.4730690880321973</c:v>
                </c:pt>
                <c:pt idx="3">
                  <c:v>-7.4730690880321973</c:v>
                </c:pt>
                <c:pt idx="4">
                  <c:v>-7.4730690880321973</c:v>
                </c:pt>
                <c:pt idx="5">
                  <c:v>-7.4730690880321973</c:v>
                </c:pt>
                <c:pt idx="6">
                  <c:v>-7.4730690880321973</c:v>
                </c:pt>
                <c:pt idx="7">
                  <c:v>-7.4730690880321973</c:v>
                </c:pt>
                <c:pt idx="8">
                  <c:v>-7.4730690880321973</c:v>
                </c:pt>
                <c:pt idx="9">
                  <c:v>-7.4730690880321973</c:v>
                </c:pt>
                <c:pt idx="10">
                  <c:v>-7.4730690880321973</c:v>
                </c:pt>
                <c:pt idx="11">
                  <c:v>-7.4730690880321973</c:v>
                </c:pt>
                <c:pt idx="12">
                  <c:v>-7.4730690880321973</c:v>
                </c:pt>
                <c:pt idx="13">
                  <c:v>-7.4730690880321973</c:v>
                </c:pt>
                <c:pt idx="14">
                  <c:v>-7.4730690880321973</c:v>
                </c:pt>
                <c:pt idx="15">
                  <c:v>-7.4730690880321973</c:v>
                </c:pt>
                <c:pt idx="16">
                  <c:v>-7.4730690880321973</c:v>
                </c:pt>
                <c:pt idx="17">
                  <c:v>-7.4730690880321973</c:v>
                </c:pt>
                <c:pt idx="18">
                  <c:v>-7.4730690880321973</c:v>
                </c:pt>
                <c:pt idx="19">
                  <c:v>-7.4730690880321973</c:v>
                </c:pt>
                <c:pt idx="20">
                  <c:v>-7.4730690880321973</c:v>
                </c:pt>
                <c:pt idx="21">
                  <c:v>-7.4730690880321973</c:v>
                </c:pt>
                <c:pt idx="22">
                  <c:v>-7.4730690880321973</c:v>
                </c:pt>
                <c:pt idx="23">
                  <c:v>-7.4730690880321973</c:v>
                </c:pt>
                <c:pt idx="24">
                  <c:v>-7.4730690880321973</c:v>
                </c:pt>
                <c:pt idx="25">
                  <c:v>-6.942440836970027</c:v>
                </c:pt>
                <c:pt idx="26">
                  <c:v>-6.942440836970027</c:v>
                </c:pt>
                <c:pt idx="27">
                  <c:v>-6.942440836970027</c:v>
                </c:pt>
                <c:pt idx="28">
                  <c:v>-6.942440836970027</c:v>
                </c:pt>
                <c:pt idx="29">
                  <c:v>-6.942440836970027</c:v>
                </c:pt>
                <c:pt idx="30">
                  <c:v>-6.7799219074722519</c:v>
                </c:pt>
                <c:pt idx="31">
                  <c:v>-6.7799219074722519</c:v>
                </c:pt>
                <c:pt idx="32">
                  <c:v>-6.7799219074722519</c:v>
                </c:pt>
                <c:pt idx="33">
                  <c:v>-6.7799219074722519</c:v>
                </c:pt>
                <c:pt idx="34">
                  <c:v>-6.7799219074722519</c:v>
                </c:pt>
                <c:pt idx="35">
                  <c:v>-6.7799219074722519</c:v>
                </c:pt>
                <c:pt idx="36">
                  <c:v>-6.5567783561580422</c:v>
                </c:pt>
                <c:pt idx="37">
                  <c:v>-6.5175576430047615</c:v>
                </c:pt>
                <c:pt idx="38">
                  <c:v>-6.3744567993640882</c:v>
                </c:pt>
                <c:pt idx="39">
                  <c:v>-6.3744567993640882</c:v>
                </c:pt>
                <c:pt idx="40">
                  <c:v>-6.2791466195597634</c:v>
                </c:pt>
                <c:pt idx="41">
                  <c:v>-6.0867747269123065</c:v>
                </c:pt>
                <c:pt idx="42">
                  <c:v>-5.8636311755980968</c:v>
                </c:pt>
                <c:pt idx="43">
                  <c:v>-5.8636311755980968</c:v>
                </c:pt>
                <c:pt idx="44">
                  <c:v>-5.843828548301917</c:v>
                </c:pt>
                <c:pt idx="45">
                  <c:v>-5.6813096188041428</c:v>
                </c:pt>
                <c:pt idx="46">
                  <c:v>-5.6813096188041428</c:v>
                </c:pt>
                <c:pt idx="47">
                  <c:v>-5.6813096188041428</c:v>
                </c:pt>
                <c:pt idx="48">
                  <c:v>-5.3330029245359265</c:v>
                </c:pt>
                <c:pt idx="49">
                  <c:v>-5.2538656039772027</c:v>
                </c:pt>
                <c:pt idx="50">
                  <c:v>-5.1704839950381514</c:v>
                </c:pt>
                <c:pt idx="51">
                  <c:v>-5.1704839950381514</c:v>
                </c:pt>
                <c:pt idx="52">
                  <c:v>-5.1704839950381514</c:v>
                </c:pt>
                <c:pt idx="53">
                  <c:v>-5.1704839950381514</c:v>
                </c:pt>
                <c:pt idx="54">
                  <c:v>-5.1704839950381514</c:v>
                </c:pt>
                <c:pt idx="55">
                  <c:v>-5.1704839950381514</c:v>
                </c:pt>
                <c:pt idx="56">
                  <c:v>-5.1704839950381514</c:v>
                </c:pt>
                <c:pt idx="57">
                  <c:v>-4.9473404437239417</c:v>
                </c:pt>
                <c:pt idx="58">
                  <c:v>-4.908119730570661</c:v>
                </c:pt>
                <c:pt idx="59">
                  <c:v>-4.7650188869299877</c:v>
                </c:pt>
                <c:pt idx="60">
                  <c:v>-4.7650188869299877</c:v>
                </c:pt>
                <c:pt idx="61">
                  <c:v>-4.7650188869299877</c:v>
                </c:pt>
                <c:pt idx="62">
                  <c:v>-4.6697087071256629</c:v>
                </c:pt>
                <c:pt idx="63">
                  <c:v>-4.6697087071256629</c:v>
                </c:pt>
                <c:pt idx="64">
                  <c:v>-4.6697087071256629</c:v>
                </c:pt>
                <c:pt idx="65">
                  <c:v>-4.6398557439759811</c:v>
                </c:pt>
                <c:pt idx="66">
                  <c:v>-4.6398557439759811</c:v>
                </c:pt>
                <c:pt idx="67">
                  <c:v>-4.6398557439759811</c:v>
                </c:pt>
                <c:pt idx="68">
                  <c:v>-4.6398557439759811</c:v>
                </c:pt>
                <c:pt idx="69">
                  <c:v>-4.6398557439759811</c:v>
                </c:pt>
                <c:pt idx="70">
                  <c:v>-4.5826973301360328</c:v>
                </c:pt>
                <c:pt idx="71">
                  <c:v>-4.5826973301360328</c:v>
                </c:pt>
                <c:pt idx="72">
                  <c:v>-4.5339071659666006</c:v>
                </c:pt>
                <c:pt idx="73">
                  <c:v>-4.4773368144782069</c:v>
                </c:pt>
                <c:pt idx="74">
                  <c:v>-4.4773368144782069</c:v>
                </c:pt>
                <c:pt idx="75">
                  <c:v>-4.4773368144782069</c:v>
                </c:pt>
                <c:pt idx="76">
                  <c:v>-4.4773368144782069</c:v>
                </c:pt>
                <c:pt idx="77">
                  <c:v>-4.4773368144782069</c:v>
                </c:pt>
                <c:pt idx="78">
                  <c:v>-4.4773368144782069</c:v>
                </c:pt>
                <c:pt idx="79">
                  <c:v>-4.4773368144782069</c:v>
                </c:pt>
                <c:pt idx="80">
                  <c:v>-4.4773368144782069</c:v>
                </c:pt>
                <c:pt idx="81">
                  <c:v>-4.4773368144782069</c:v>
                </c:pt>
                <c:pt idx="82">
                  <c:v>-4.4773368144782069</c:v>
                </c:pt>
                <c:pt idx="83">
                  <c:v>-4.4773368144782069</c:v>
                </c:pt>
                <c:pt idx="84">
                  <c:v>-4.3820266346738812</c:v>
                </c:pt>
                <c:pt idx="85">
                  <c:v>-4.359553778821823</c:v>
                </c:pt>
                <c:pt idx="86">
                  <c:v>-4.2541932631639972</c:v>
                </c:pt>
                <c:pt idx="87">
                  <c:v>-4.0718717063700423</c:v>
                </c:pt>
                <c:pt idx="88">
                  <c:v>-4.0718717063700423</c:v>
                </c:pt>
                <c:pt idx="89">
                  <c:v>-4.0718717063700423</c:v>
                </c:pt>
                <c:pt idx="90">
                  <c:v>-3.9765615265657175</c:v>
                </c:pt>
                <c:pt idx="91">
                  <c:v>-3.8354829283058116</c:v>
                </c:pt>
                <c:pt idx="92">
                  <c:v>-3.822410846738459</c:v>
                </c:pt>
                <c:pt idx="93">
                  <c:v>-3.784189633918261</c:v>
                </c:pt>
                <c:pt idx="94">
                  <c:v>-3.784189633918261</c:v>
                </c:pt>
                <c:pt idx="95">
                  <c:v>-3.784189633918261</c:v>
                </c:pt>
                <c:pt idx="96">
                  <c:v>-3.7141972620982262</c:v>
                </c:pt>
                <c:pt idx="97">
                  <c:v>-3.6888794541139363</c:v>
                </c:pt>
                <c:pt idx="98">
                  <c:v>-3.6664065982618776</c:v>
                </c:pt>
                <c:pt idx="99">
                  <c:v>-3.6444276915431026</c:v>
                </c:pt>
                <c:pt idx="100">
                  <c:v>-3.5610460826040513</c:v>
                </c:pt>
                <c:pt idx="101">
                  <c:v>-3.5610460826040513</c:v>
                </c:pt>
                <c:pt idx="102">
                  <c:v>-3.5610460826040513</c:v>
                </c:pt>
                <c:pt idx="103">
                  <c:v>-3.4840850414679232</c:v>
                </c:pt>
                <c:pt idx="104">
                  <c:v>-3.4657359027997265</c:v>
                </c:pt>
                <c:pt idx="105">
                  <c:v>-3.4657359027997265</c:v>
                </c:pt>
                <c:pt idx="106">
                  <c:v>-3.3787245258100969</c:v>
                </c:pt>
                <c:pt idx="107">
                  <c:v>-3.3787245258100969</c:v>
                </c:pt>
                <c:pt idx="108">
                  <c:v>-3.3787245258100969</c:v>
                </c:pt>
                <c:pt idx="109">
                  <c:v>-3.3787245258100969</c:v>
                </c:pt>
                <c:pt idx="110">
                  <c:v>-3.3787245258100969</c:v>
                </c:pt>
                <c:pt idx="111">
                  <c:v>-3.3787245258100969</c:v>
                </c:pt>
                <c:pt idx="112">
                  <c:v>-3.3787245258100969</c:v>
                </c:pt>
                <c:pt idx="113">
                  <c:v>-3.360557221854648</c:v>
                </c:pt>
                <c:pt idx="114">
                  <c:v>-3.2834143460057721</c:v>
                </c:pt>
                <c:pt idx="115">
                  <c:v>-3.2834143460057721</c:v>
                </c:pt>
                <c:pt idx="116">
                  <c:v>-3.196402969016142</c:v>
                </c:pt>
                <c:pt idx="117">
                  <c:v>-3.1690039948280275</c:v>
                </c:pt>
                <c:pt idx="118">
                  <c:v>-3.1555809744958871</c:v>
                </c:pt>
                <c:pt idx="119">
                  <c:v>-3.0187217917786899</c:v>
                </c:pt>
                <c:pt idx="120">
                  <c:v>-2.9732594177019327</c:v>
                </c:pt>
                <c:pt idx="121">
                  <c:v>-2.9732594177019327</c:v>
                </c:pt>
                <c:pt idx="122">
                  <c:v>-2.8779492378976075</c:v>
                </c:pt>
                <c:pt idx="123">
                  <c:v>-2.8678989020441059</c:v>
                </c:pt>
                <c:pt idx="124">
                  <c:v>-2.8678989020441059</c:v>
                </c:pt>
                <c:pt idx="125">
                  <c:v>-2.8678989020441059</c:v>
                </c:pt>
                <c:pt idx="126">
                  <c:v>-2.8678989020441059</c:v>
                </c:pt>
                <c:pt idx="127">
                  <c:v>-2.8678989020441059</c:v>
                </c:pt>
                <c:pt idx="128">
                  <c:v>-2.8678989020441059</c:v>
                </c:pt>
                <c:pt idx="129">
                  <c:v>-2.8678989020441059</c:v>
                </c:pt>
                <c:pt idx="130">
                  <c:v>-2.8678989020441059</c:v>
                </c:pt>
                <c:pt idx="131">
                  <c:v>-2.8678989020441059</c:v>
                </c:pt>
                <c:pt idx="132">
                  <c:v>-2.7023844635665326</c:v>
                </c:pt>
                <c:pt idx="133">
                  <c:v>-2.6855773452501515</c:v>
                </c:pt>
                <c:pt idx="134">
                  <c:v>-2.6367871810807193</c:v>
                </c:pt>
                <c:pt idx="135">
                  <c:v>-2.6210388241125804</c:v>
                </c:pt>
                <c:pt idx="136">
                  <c:v>-2.5458154028749931</c:v>
                </c:pt>
                <c:pt idx="137">
                  <c:v>-2.5179465038662006</c:v>
                </c:pt>
                <c:pt idx="138">
                  <c:v>-2.4758568142680826</c:v>
                </c:pt>
                <c:pt idx="139">
                  <c:v>-2.4624337939359418</c:v>
                </c:pt>
                <c:pt idx="140">
                  <c:v>-2.4624337939359418</c:v>
                </c:pt>
                <c:pt idx="141">
                  <c:v>-2.4624337939359418</c:v>
                </c:pt>
                <c:pt idx="142">
                  <c:v>-2.4624337939359418</c:v>
                </c:pt>
                <c:pt idx="143">
                  <c:v>-2.367123614131617</c:v>
                </c:pt>
                <c:pt idx="144">
                  <c:v>-2.2801122371419869</c:v>
                </c:pt>
                <c:pt idx="145">
                  <c:v>-2.174751721484161</c:v>
                </c:pt>
                <c:pt idx="146">
                  <c:v>-2.174751721484161</c:v>
                </c:pt>
                <c:pt idx="147">
                  <c:v>-2.174751721484161</c:v>
                </c:pt>
                <c:pt idx="148">
                  <c:v>-2.174751721484161</c:v>
                </c:pt>
                <c:pt idx="149">
                  <c:v>-2.0569686858277771</c:v>
                </c:pt>
                <c:pt idx="150">
                  <c:v>-1.9924301646902063</c:v>
                </c:pt>
                <c:pt idx="151">
                  <c:v>-1.9924301646902063</c:v>
                </c:pt>
                <c:pt idx="152">
                  <c:v>-1.984131361875511</c:v>
                </c:pt>
                <c:pt idx="153">
                  <c:v>-1.975081526355593</c:v>
                </c:pt>
                <c:pt idx="154">
                  <c:v>-1.951608170169951</c:v>
                </c:pt>
                <c:pt idx="155">
                  <c:v>-1.8971199848858813</c:v>
                </c:pt>
                <c:pt idx="156">
                  <c:v>-1.8562979903656263</c:v>
                </c:pt>
                <c:pt idx="157">
                  <c:v>-1.8382794848629478</c:v>
                </c:pt>
                <c:pt idx="158">
                  <c:v>-1.7692866133759966</c:v>
                </c:pt>
                <c:pt idx="159">
                  <c:v>-1.7692866133759966</c:v>
                </c:pt>
                <c:pt idx="160">
                  <c:v>-1.7692866133759966</c:v>
                </c:pt>
                <c:pt idx="161">
                  <c:v>-1.7692866133759966</c:v>
                </c:pt>
                <c:pt idx="162">
                  <c:v>-1.6094379124341003</c:v>
                </c:pt>
                <c:pt idx="163">
                  <c:v>-1.5869650565820419</c:v>
                </c:pt>
                <c:pt idx="164">
                  <c:v>-1.5869650565820419</c:v>
                </c:pt>
                <c:pt idx="165">
                  <c:v>-1.5461430620617869</c:v>
                </c:pt>
                <c:pt idx="166">
                  <c:v>-1.5069223489085053</c:v>
                </c:pt>
                <c:pt idx="167">
                  <c:v>-1.4916548767777169</c:v>
                </c:pt>
                <c:pt idx="168">
                  <c:v>-1.4816045409242156</c:v>
                </c:pt>
                <c:pt idx="169">
                  <c:v>-1.4716542100710475</c:v>
                </c:pt>
                <c:pt idx="170">
                  <c:v>-1.2786636969275254</c:v>
                </c:pt>
                <c:pt idx="171">
                  <c:v>-1.2584609896100056</c:v>
                </c:pt>
                <c:pt idx="172">
                  <c:v>-1.216551586532796</c:v>
                </c:pt>
                <c:pt idx="173">
                  <c:v>-1.1631508098056809</c:v>
                </c:pt>
                <c:pt idx="174">
                  <c:v>-1.1353587924760224</c:v>
                </c:pt>
                <c:pt idx="175">
                  <c:v>-1.0761394328160512</c:v>
                </c:pt>
                <c:pt idx="176">
                  <c:v>-1.0761394328160512</c:v>
                </c:pt>
                <c:pt idx="177">
                  <c:v>-1.0761394328160512</c:v>
                </c:pt>
                <c:pt idx="178">
                  <c:v>-1.0761394328160512</c:v>
                </c:pt>
                <c:pt idx="179">
                  <c:v>-1.0761394328160512</c:v>
                </c:pt>
                <c:pt idx="180">
                  <c:v>-1.0761394328160512</c:v>
                </c:pt>
                <c:pt idx="181">
                  <c:v>-1.0761394328160512</c:v>
                </c:pt>
                <c:pt idx="182">
                  <c:v>-1.0761394328160512</c:v>
                </c:pt>
                <c:pt idx="183">
                  <c:v>-1.0194440891395058</c:v>
                </c:pt>
                <c:pt idx="184">
                  <c:v>-0.96281074750904783</c:v>
                </c:pt>
                <c:pt idx="185">
                  <c:v>-0.88002455388976064</c:v>
                </c:pt>
                <c:pt idx="186">
                  <c:v>-0.79096049058238882</c:v>
                </c:pt>
                <c:pt idx="187">
                  <c:v>-0.78845736036427017</c:v>
                </c:pt>
                <c:pt idx="188">
                  <c:v>-0.78845736036427017</c:v>
                </c:pt>
                <c:pt idx="189">
                  <c:v>-0.78845736036427005</c:v>
                </c:pt>
                <c:pt idx="190">
                  <c:v>-0.75164338724155377</c:v>
                </c:pt>
                <c:pt idx="191">
                  <c:v>-0.73966719619483812</c:v>
                </c:pt>
                <c:pt idx="192">
                  <c:v>-0.69456864490732273</c:v>
                </c:pt>
                <c:pt idx="193">
                  <c:v>-0.67067432470788668</c:v>
                </c:pt>
                <c:pt idx="194">
                  <c:v>-0.62718921276814799</c:v>
                </c:pt>
                <c:pt idx="195">
                  <c:v>-0.56531380905006057</c:v>
                </c:pt>
                <c:pt idx="196">
                  <c:v>-0.56531380905006057</c:v>
                </c:pt>
                <c:pt idx="197">
                  <c:v>-0.56531380905006057</c:v>
                </c:pt>
                <c:pt idx="198">
                  <c:v>-0.56531380905006035</c:v>
                </c:pt>
                <c:pt idx="199">
                  <c:v>-0.54423748344814415</c:v>
                </c:pt>
                <c:pt idx="200">
                  <c:v>-0.531879032963823</c:v>
                </c:pt>
                <c:pt idx="201">
                  <c:v>-0.47867750239051388</c:v>
                </c:pt>
                <c:pt idx="202">
                  <c:v>-0.45198512374305727</c:v>
                </c:pt>
                <c:pt idx="203">
                  <c:v>-0.42555186667490169</c:v>
                </c:pt>
                <c:pt idx="204">
                  <c:v>-0.42346708482182405</c:v>
                </c:pt>
                <c:pt idx="205">
                  <c:v>-0.42034803879987465</c:v>
                </c:pt>
                <c:pt idx="206">
                  <c:v>-0.41388110528985111</c:v>
                </c:pt>
                <c:pt idx="207">
                  <c:v>-0.351009206403055</c:v>
                </c:pt>
                <c:pt idx="208">
                  <c:v>-0.34217025773585069</c:v>
                </c:pt>
                <c:pt idx="209">
                  <c:v>-0.31183505793977778</c:v>
                </c:pt>
                <c:pt idx="210">
                  <c:v>-0.22884157242884753</c:v>
                </c:pt>
                <c:pt idx="211">
                  <c:v>-0.22314355131420971</c:v>
                </c:pt>
                <c:pt idx="212">
                  <c:v>-0.21072103131565253</c:v>
                </c:pt>
                <c:pt idx="213">
                  <c:v>-0.18332205712753813</c:v>
                </c:pt>
                <c:pt idx="214">
                  <c:v>-0.10725625082272555</c:v>
                </c:pt>
                <c:pt idx="215">
                  <c:v>-6.5751377562780419E-2</c:v>
                </c:pt>
                <c:pt idx="216">
                  <c:v>-6.4538521137571178E-2</c:v>
                </c:pt>
                <c:pt idx="217">
                  <c:v>-5.3688505113505487E-2</c:v>
                </c:pt>
                <c:pt idx="218">
                  <c:v>7.2320661579626078E-2</c:v>
                </c:pt>
                <c:pt idx="219">
                  <c:v>0.17662353567931685</c:v>
                </c:pt>
                <c:pt idx="220">
                  <c:v>0.20294084399669038</c:v>
                </c:pt>
                <c:pt idx="221">
                  <c:v>0.35097692282409476</c:v>
                </c:pt>
                <c:pt idx="222">
                  <c:v>0.40546510810816438</c:v>
                </c:pt>
                <c:pt idx="223">
                  <c:v>0.40546510810816438</c:v>
                </c:pt>
                <c:pt idx="224">
                  <c:v>0.40713038742722557</c:v>
                </c:pt>
                <c:pt idx="225">
                  <c:v>0.41045264961920352</c:v>
                </c:pt>
                <c:pt idx="226">
                  <c:v>0.53329847961804921</c:v>
                </c:pt>
                <c:pt idx="227">
                  <c:v>0.57941841523160231</c:v>
                </c:pt>
                <c:pt idx="228">
                  <c:v>0.62860865942237409</c:v>
                </c:pt>
                <c:pt idx="229">
                  <c:v>0.66957609791059713</c:v>
                </c:pt>
                <c:pt idx="230">
                  <c:v>0.82148042711148106</c:v>
                </c:pt>
                <c:pt idx="231">
                  <c:v>0.93095540527840204</c:v>
                </c:pt>
                <c:pt idx="232">
                  <c:v>1.0473189942805592</c:v>
                </c:pt>
                <c:pt idx="233">
                  <c:v>1.1175975885791904</c:v>
                </c:pt>
                <c:pt idx="234">
                  <c:v>1.1303017996250924</c:v>
                </c:pt>
                <c:pt idx="235">
                  <c:v>1.3293030456177024</c:v>
                </c:pt>
                <c:pt idx="236">
                  <c:v>1.4169833717432898</c:v>
                </c:pt>
                <c:pt idx="237">
                  <c:v>1.6770965609079151</c:v>
                </c:pt>
                <c:pt idx="238">
                  <c:v>1.7001922757025645</c:v>
                </c:pt>
                <c:pt idx="239">
                  <c:v>1.7137979277583431</c:v>
                </c:pt>
                <c:pt idx="240">
                  <c:v>1.9139771019523042</c:v>
                </c:pt>
                <c:pt idx="241">
                  <c:v>1.9154174693274593</c:v>
                </c:pt>
                <c:pt idx="242">
                  <c:v>2.0149030205422647</c:v>
                </c:pt>
              </c:numCache>
            </c:numRef>
          </c:yVal>
          <c:smooth val="0"/>
        </c:ser>
        <c:dLbls>
          <c:showLegendKey val="0"/>
          <c:showVal val="0"/>
          <c:showCatName val="0"/>
          <c:showSerName val="0"/>
          <c:showPercent val="0"/>
          <c:showBubbleSize val="0"/>
        </c:dLbls>
        <c:axId val="112299008"/>
        <c:axId val="112326144"/>
      </c:scatterChart>
      <c:valAx>
        <c:axId val="112299008"/>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722530521642638"/>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26144"/>
        <c:crossesAt val="-10"/>
        <c:crossBetween val="midCat"/>
      </c:valAx>
      <c:valAx>
        <c:axId val="1123261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299008"/>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223085460599334"/>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-2.6600674686174592</c:v>
                </c:pt>
                <c:pt idx="1">
                  <c:v>-2.2662268092096522</c:v>
                </c:pt>
                <c:pt idx="2">
                  <c:v>-2.0635278983162442</c:v>
                </c:pt>
                <c:pt idx="3">
                  <c:v>-1.921350774293703</c:v>
                </c:pt>
                <c:pt idx="4">
                  <c:v>-1.8098922384806082</c:v>
                </c:pt>
                <c:pt idx="5">
                  <c:v>-1.7172281175057413</c:v>
                </c:pt>
                <c:pt idx="6">
                  <c:v>-1.6373253827680638</c:v>
                </c:pt>
                <c:pt idx="7">
                  <c:v>-1.566688586068413</c:v>
                </c:pt>
                <c:pt idx="8">
                  <c:v>-1.5031029431292737</c:v>
                </c:pt>
                <c:pt idx="9">
                  <c:v>-1.4450725798180741</c:v>
                </c:pt>
                <c:pt idx="10">
                  <c:v>-1.3915374879959002</c:v>
                </c:pt>
                <c:pt idx="11">
                  <c:v>-1.3417178410802544</c:v>
                </c:pt>
                <c:pt idx="12">
                  <c:v>-1.2950224067058156</c:v>
                </c:pt>
                <c:pt idx="13">
                  <c:v>-1.2509917154625458</c:v>
                </c:pt>
                <c:pt idx="14">
                  <c:v>-1.2092612317091556</c:v>
                </c:pt>
                <c:pt idx="15">
                  <c:v>-1.1695366102071427</c:v>
                </c:pt>
                <c:pt idx="16">
                  <c:v>-1.1315765583861888</c:v>
                </c:pt>
                <c:pt idx="17">
                  <c:v>-1.0951806527613885</c:v>
                </c:pt>
                <c:pt idx="18">
                  <c:v>-1.0601804794353551</c:v>
                </c:pt>
                <c:pt idx="19">
                  <c:v>-1.0264330631379093</c:v>
                </c:pt>
                <c:pt idx="20">
                  <c:v>-0.99381590786088292</c:v>
                </c:pt>
                <c:pt idx="21">
                  <c:v>-0.96222319529541966</c:v>
                </c:pt>
                <c:pt idx="22">
                  <c:v>-0.93156283000711515</c:v>
                </c:pt>
                <c:pt idx="23">
                  <c:v>-0.90175411383009907</c:v>
                </c:pt>
                <c:pt idx="24">
                  <c:v>-0.87272589462704031</c:v>
                </c:pt>
                <c:pt idx="25">
                  <c:v>-0.84441507737525745</c:v>
                </c:pt>
                <c:pt idx="26">
                  <c:v>-0.8167654153150905</c:v>
                </c:pt>
                <c:pt idx="27">
                  <c:v>-0.78972651994326604</c:v>
                </c:pt>
                <c:pt idx="28">
                  <c:v>-0.76325304373257086</c:v>
                </c:pt>
                <c:pt idx="29">
                  <c:v>-0.73730400043865463</c:v>
                </c:pt>
                <c:pt idx="30">
                  <c:v>-0.71184219593941889</c:v>
                </c:pt>
                <c:pt idx="31">
                  <c:v>-0.68683374857473101</c:v>
                </c:pt>
                <c:pt idx="32">
                  <c:v>-0.66224768248841404</c:v>
                </c:pt>
                <c:pt idx="33">
                  <c:v>-0.63805558092251702</c:v>
                </c:pt>
                <c:pt idx="34">
                  <c:v>-0.61423128906024538</c:v>
                </c:pt>
                <c:pt idx="35">
                  <c:v>-0.59075065806281868</c:v>
                </c:pt>
                <c:pt idx="36">
                  <c:v>-0.5675913235445692</c:v>
                </c:pt>
                <c:pt idx="37">
                  <c:v>-0.54473251298817593</c:v>
                </c:pt>
                <c:pt idx="38">
                  <c:v>-0.52215487759800161</c:v>
                </c:pt>
                <c:pt idx="39">
                  <c:v>-0.49984034488373513</c:v>
                </c:pt>
                <c:pt idx="40">
                  <c:v>-0.47777198890388606</c:v>
                </c:pt>
                <c:pt idx="41">
                  <c:v>-0.45593391561313878</c:v>
                </c:pt>
                <c:pt idx="42">
                  <c:v>-0.43431116117520968</c:v>
                </c:pt>
                <c:pt idx="43">
                  <c:v>-0.41288960144365422</c:v>
                </c:pt>
                <c:pt idx="44">
                  <c:v>-0.39165587109259159</c:v>
                </c:pt>
                <c:pt idx="45">
                  <c:v>-0.3705972911096293</c:v>
                </c:pt>
                <c:pt idx="46">
                  <c:v>-0.3497018035538953</c:v>
                </c:pt>
                <c:pt idx="47">
                  <c:v>-0.32895791264049112</c:v>
                </c:pt>
                <c:pt idx="48">
                  <c:v>-0.30835463134483726</c:v>
                </c:pt>
                <c:pt idx="49">
                  <c:v>-0.28788143283101186</c:v>
                </c:pt>
                <c:pt idx="50">
                  <c:v>-0.26752820610109723</c:v>
                </c:pt>
                <c:pt idx="51">
                  <c:v>-0.24728521534080491</c:v>
                </c:pt>
                <c:pt idx="52">
                  <c:v>-0.22714306250271532</c:v>
                </c:pt>
                <c:pt idx="53">
                  <c:v>-0.20709265272436031</c:v>
                </c:pt>
                <c:pt idx="54">
                  <c:v>-0.18712516222572084</c:v>
                </c:pt>
                <c:pt idx="55">
                  <c:v>-0.16723200837085012</c:v>
                </c:pt>
                <c:pt idx="56">
                  <c:v>-0.14740482161235485</c:v>
                </c:pt>
                <c:pt idx="57">
                  <c:v>-0.12763541906627035</c:v>
                </c:pt>
                <c:pt idx="58">
                  <c:v>-0.10791577948918657</c:v>
                </c:pt>
                <c:pt idx="59">
                  <c:v>-8.823801944992446E-2</c:v>
                </c:pt>
                <c:pt idx="60">
                  <c:v>-6.8594370505118116E-2</c:v>
                </c:pt>
                <c:pt idx="61">
                  <c:v>-4.8977157202131943E-2</c:v>
                </c:pt>
                <c:pt idx="62">
                  <c:v>-2.9378775744157051E-2</c:v>
                </c:pt>
                <c:pt idx="63">
                  <c:v>-9.7916731613453475E-3</c:v>
                </c:pt>
                <c:pt idx="64">
                  <c:v>9.7916731613453475E-3</c:v>
                </c:pt>
                <c:pt idx="65">
                  <c:v>2.9378775744157051E-2</c:v>
                </c:pt>
                <c:pt idx="66">
                  <c:v>4.8977157202131943E-2</c:v>
                </c:pt>
                <c:pt idx="67">
                  <c:v>6.8594370505118116E-2</c:v>
                </c:pt>
                <c:pt idx="68">
                  <c:v>8.823801944992446E-2</c:v>
                </c:pt>
                <c:pt idx="69">
                  <c:v>0.10791577948918657</c:v>
                </c:pt>
                <c:pt idx="70">
                  <c:v>0.12763541906627035</c:v>
                </c:pt>
                <c:pt idx="71">
                  <c:v>0.14740482161235485</c:v>
                </c:pt>
                <c:pt idx="72">
                  <c:v>0.16723200837085012</c:v>
                </c:pt>
                <c:pt idx="73">
                  <c:v>0.18712516222572084</c:v>
                </c:pt>
                <c:pt idx="74">
                  <c:v>0.20709265272436031</c:v>
                </c:pt>
                <c:pt idx="75">
                  <c:v>0.22714306250271532</c:v>
                </c:pt>
                <c:pt idx="76">
                  <c:v>0.24728521534080491</c:v>
                </c:pt>
                <c:pt idx="77">
                  <c:v>0.26752820610109723</c:v>
                </c:pt>
                <c:pt idx="78">
                  <c:v>0.28788143283101186</c:v>
                </c:pt>
                <c:pt idx="79">
                  <c:v>0.30835463134483726</c:v>
                </c:pt>
                <c:pt idx="80">
                  <c:v>0.32895791264049112</c:v>
                </c:pt>
                <c:pt idx="81">
                  <c:v>0.3497018035538953</c:v>
                </c:pt>
                <c:pt idx="82">
                  <c:v>0.3705972911096293</c:v>
                </c:pt>
                <c:pt idx="83">
                  <c:v>0.39165587109259159</c:v>
                </c:pt>
                <c:pt idx="84">
                  <c:v>0.41288960144365422</c:v>
                </c:pt>
                <c:pt idx="85">
                  <c:v>0.43431116117520968</c:v>
                </c:pt>
                <c:pt idx="86">
                  <c:v>0.45593391561313878</c:v>
                </c:pt>
                <c:pt idx="87">
                  <c:v>0.47777198890388606</c:v>
                </c:pt>
                <c:pt idx="88">
                  <c:v>0.49984034488373513</c:v>
                </c:pt>
                <c:pt idx="89">
                  <c:v>0.52215487759800161</c:v>
                </c:pt>
                <c:pt idx="90">
                  <c:v>0.54473251298817593</c:v>
                </c:pt>
                <c:pt idx="91">
                  <c:v>0.5675913235445692</c:v>
                </c:pt>
                <c:pt idx="92">
                  <c:v>0.59075065806281868</c:v>
                </c:pt>
                <c:pt idx="93">
                  <c:v>0.61423128906024538</c:v>
                </c:pt>
                <c:pt idx="94">
                  <c:v>0.63805558092251702</c:v>
                </c:pt>
                <c:pt idx="95">
                  <c:v>0.66224768248841404</c:v>
                </c:pt>
                <c:pt idx="96">
                  <c:v>0.68683374857473101</c:v>
                </c:pt>
                <c:pt idx="97">
                  <c:v>0.71184219593941889</c:v>
                </c:pt>
                <c:pt idx="98">
                  <c:v>0.73730400043865463</c:v>
                </c:pt>
                <c:pt idx="99">
                  <c:v>0.76325304373257086</c:v>
                </c:pt>
                <c:pt idx="100">
                  <c:v>0.78972651994326604</c:v>
                </c:pt>
                <c:pt idx="101">
                  <c:v>0.8167654153150905</c:v>
                </c:pt>
                <c:pt idx="102">
                  <c:v>0.84441507737525745</c:v>
                </c:pt>
                <c:pt idx="103">
                  <c:v>0.87272589462704031</c:v>
                </c:pt>
                <c:pt idx="104">
                  <c:v>0.90175411383009907</c:v>
                </c:pt>
                <c:pt idx="105">
                  <c:v>0.93156283000711515</c:v>
                </c:pt>
                <c:pt idx="106">
                  <c:v>0.96222319529541966</c:v>
                </c:pt>
                <c:pt idx="107">
                  <c:v>0.99381590786088292</c:v>
                </c:pt>
                <c:pt idx="108">
                  <c:v>1.0264330631379093</c:v>
                </c:pt>
                <c:pt idx="109">
                  <c:v>1.0601804794353551</c:v>
                </c:pt>
                <c:pt idx="110">
                  <c:v>1.0951806527613885</c:v>
                </c:pt>
                <c:pt idx="111">
                  <c:v>1.1315765583861888</c:v>
                </c:pt>
                <c:pt idx="112">
                  <c:v>1.1695366102071427</c:v>
                </c:pt>
                <c:pt idx="113">
                  <c:v>1.2092612317091556</c:v>
                </c:pt>
                <c:pt idx="114">
                  <c:v>1.2509917154625458</c:v>
                </c:pt>
                <c:pt idx="115">
                  <c:v>1.2950224067058156</c:v>
                </c:pt>
                <c:pt idx="116">
                  <c:v>1.3417178410802544</c:v>
                </c:pt>
                <c:pt idx="117">
                  <c:v>1.3915374879959002</c:v>
                </c:pt>
                <c:pt idx="118">
                  <c:v>1.4450725798180746</c:v>
                </c:pt>
                <c:pt idx="119">
                  <c:v>1.5031029431292742</c:v>
                </c:pt>
                <c:pt idx="120">
                  <c:v>1.566688586068413</c:v>
                </c:pt>
                <c:pt idx="121">
                  <c:v>1.6373253827680638</c:v>
                </c:pt>
                <c:pt idx="122">
                  <c:v>1.7172281175057413</c:v>
                </c:pt>
                <c:pt idx="123">
                  <c:v>1.8098922384806082</c:v>
                </c:pt>
                <c:pt idx="124">
                  <c:v>1.921350774293703</c:v>
                </c:pt>
                <c:pt idx="125">
                  <c:v>2.0635278983162442</c:v>
                </c:pt>
                <c:pt idx="126">
                  <c:v>2.2662268092096522</c:v>
                </c:pt>
                <c:pt idx="127">
                  <c:v>2.6600674686174592</c:v>
                </c:pt>
              </c:numCache>
            </c:numRef>
          </c:xVal>
          <c:yVal>
            <c:numRef>
              <c:f>'F2 - EF2 Analysis'!$G$12:$G$210</c:f>
              <c:numCache>
                <c:formatCode>General</c:formatCode>
                <c:ptCount val="199"/>
                <c:pt idx="0">
                  <c:v>2.3025850929940459</c:v>
                </c:pt>
                <c:pt idx="1">
                  <c:v>2.3025850929940459</c:v>
                </c:pt>
                <c:pt idx="2">
                  <c:v>2.3025850929940459</c:v>
                </c:pt>
                <c:pt idx="3">
                  <c:v>2.3025850929940459</c:v>
                </c:pt>
                <c:pt idx="4">
                  <c:v>2.3025850929940459</c:v>
                </c:pt>
                <c:pt idx="5">
                  <c:v>2.3025850929940459</c:v>
                </c:pt>
                <c:pt idx="6">
                  <c:v>2.3025850929940459</c:v>
                </c:pt>
                <c:pt idx="7">
                  <c:v>2.3025850929940459</c:v>
                </c:pt>
                <c:pt idx="8">
                  <c:v>2.3025850929940459</c:v>
                </c:pt>
                <c:pt idx="9">
                  <c:v>2.3025850929940459</c:v>
                </c:pt>
                <c:pt idx="10">
                  <c:v>2.3025850929940459</c:v>
                </c:pt>
                <c:pt idx="11">
                  <c:v>2.3025850929940459</c:v>
                </c:pt>
                <c:pt idx="12">
                  <c:v>2.3025850929940459</c:v>
                </c:pt>
                <c:pt idx="13">
                  <c:v>2.3025850929940459</c:v>
                </c:pt>
                <c:pt idx="14">
                  <c:v>2.3025850929940459</c:v>
                </c:pt>
                <c:pt idx="15">
                  <c:v>2.3025850929940459</c:v>
                </c:pt>
                <c:pt idx="16">
                  <c:v>2.3025850929940459</c:v>
                </c:pt>
                <c:pt idx="17">
                  <c:v>2.3025850929940459</c:v>
                </c:pt>
                <c:pt idx="18">
                  <c:v>2.3025850929940459</c:v>
                </c:pt>
                <c:pt idx="19">
                  <c:v>2.3025850929940459</c:v>
                </c:pt>
                <c:pt idx="20">
                  <c:v>2.3025850929940459</c:v>
                </c:pt>
                <c:pt idx="21">
                  <c:v>2.3025850929940459</c:v>
                </c:pt>
                <c:pt idx="22">
                  <c:v>2.3025850929940459</c:v>
                </c:pt>
                <c:pt idx="23">
                  <c:v>2.3025850929940459</c:v>
                </c:pt>
                <c:pt idx="24">
                  <c:v>2.3025850929940459</c:v>
                </c:pt>
                <c:pt idx="25">
                  <c:v>2.3025850929940459</c:v>
                </c:pt>
                <c:pt idx="26">
                  <c:v>2.8332133440562162</c:v>
                </c:pt>
                <c:pt idx="27">
                  <c:v>2.8332133440562162</c:v>
                </c:pt>
                <c:pt idx="28">
                  <c:v>2.9957322735539909</c:v>
                </c:pt>
                <c:pt idx="29">
                  <c:v>2.9957322735539909</c:v>
                </c:pt>
                <c:pt idx="30">
                  <c:v>3.1354942159291497</c:v>
                </c:pt>
                <c:pt idx="31">
                  <c:v>3.2958368660043291</c:v>
                </c:pt>
                <c:pt idx="32">
                  <c:v>3.2958368660043291</c:v>
                </c:pt>
                <c:pt idx="33">
                  <c:v>3.4011973816621555</c:v>
                </c:pt>
                <c:pt idx="34">
                  <c:v>3.4965075614664802</c:v>
                </c:pt>
                <c:pt idx="35">
                  <c:v>3.4965075614664802</c:v>
                </c:pt>
                <c:pt idx="36">
                  <c:v>3.4965075614664802</c:v>
                </c:pt>
                <c:pt idx="37">
                  <c:v>3.4965075614664802</c:v>
                </c:pt>
                <c:pt idx="38">
                  <c:v>3.4965075614664802</c:v>
                </c:pt>
                <c:pt idx="39">
                  <c:v>3.4965075614664802</c:v>
                </c:pt>
                <c:pt idx="40">
                  <c:v>3.4965075614664802</c:v>
                </c:pt>
                <c:pt idx="41">
                  <c:v>3.4965075614664802</c:v>
                </c:pt>
                <c:pt idx="42">
                  <c:v>3.912023005428146</c:v>
                </c:pt>
                <c:pt idx="43">
                  <c:v>3.912023005428146</c:v>
                </c:pt>
                <c:pt idx="44">
                  <c:v>3.912023005428146</c:v>
                </c:pt>
                <c:pt idx="45">
                  <c:v>3.912023005428146</c:v>
                </c:pt>
                <c:pt idx="46">
                  <c:v>3.912023005428146</c:v>
                </c:pt>
                <c:pt idx="47">
                  <c:v>3.912023005428146</c:v>
                </c:pt>
                <c:pt idx="48">
                  <c:v>3.912023005428146</c:v>
                </c:pt>
                <c:pt idx="49">
                  <c:v>3.912023005428146</c:v>
                </c:pt>
                <c:pt idx="50">
                  <c:v>4.2046926193909657</c:v>
                </c:pt>
                <c:pt idx="51">
                  <c:v>4.2046926193909657</c:v>
                </c:pt>
                <c:pt idx="52">
                  <c:v>4.2046926193909657</c:v>
                </c:pt>
                <c:pt idx="53">
                  <c:v>4.4188406077965983</c:v>
                </c:pt>
                <c:pt idx="54">
                  <c:v>4.4188406077965983</c:v>
                </c:pt>
                <c:pt idx="55">
                  <c:v>4.6051701859880918</c:v>
                </c:pt>
                <c:pt idx="56">
                  <c:v>4.6051701859880918</c:v>
                </c:pt>
                <c:pt idx="57">
                  <c:v>4.6051701859880918</c:v>
                </c:pt>
                <c:pt idx="58">
                  <c:v>4.6051701859880918</c:v>
                </c:pt>
                <c:pt idx="59">
                  <c:v>4.6051701859880918</c:v>
                </c:pt>
                <c:pt idx="60">
                  <c:v>4.6051701859880918</c:v>
                </c:pt>
                <c:pt idx="61">
                  <c:v>4.6051701859880918</c:v>
                </c:pt>
                <c:pt idx="62">
                  <c:v>4.6051701859880918</c:v>
                </c:pt>
                <c:pt idx="63">
                  <c:v>4.6051701859880918</c:v>
                </c:pt>
                <c:pt idx="64">
                  <c:v>4.6051701859880918</c:v>
                </c:pt>
                <c:pt idx="65">
                  <c:v>4.6051701859880918</c:v>
                </c:pt>
                <c:pt idx="66">
                  <c:v>4.6051701859880918</c:v>
                </c:pt>
                <c:pt idx="67">
                  <c:v>4.6051701859880918</c:v>
                </c:pt>
                <c:pt idx="68">
                  <c:v>4.6051701859880918</c:v>
                </c:pt>
                <c:pt idx="69">
                  <c:v>4.6051701859880918</c:v>
                </c:pt>
                <c:pt idx="70">
                  <c:v>5.0106352940962555</c:v>
                </c:pt>
                <c:pt idx="71">
                  <c:v>5.0106352940962555</c:v>
                </c:pt>
                <c:pt idx="72">
                  <c:v>5.0106352940962555</c:v>
                </c:pt>
                <c:pt idx="73">
                  <c:v>5.0106352940962555</c:v>
                </c:pt>
                <c:pt idx="74">
                  <c:v>5.0106352940962555</c:v>
                </c:pt>
                <c:pt idx="75">
                  <c:v>5.0106352940962555</c:v>
                </c:pt>
                <c:pt idx="76">
                  <c:v>5.0106352940962555</c:v>
                </c:pt>
                <c:pt idx="77">
                  <c:v>5.0106352940962555</c:v>
                </c:pt>
                <c:pt idx="78">
                  <c:v>5.0106352940962555</c:v>
                </c:pt>
                <c:pt idx="79">
                  <c:v>5.0106352940962555</c:v>
                </c:pt>
                <c:pt idx="80">
                  <c:v>5.0106352940962555</c:v>
                </c:pt>
                <c:pt idx="81">
                  <c:v>5.0106352940962555</c:v>
                </c:pt>
                <c:pt idx="82">
                  <c:v>5.0106352940962555</c:v>
                </c:pt>
                <c:pt idx="83">
                  <c:v>5.0106352940962555</c:v>
                </c:pt>
                <c:pt idx="84">
                  <c:v>5.0751738152338266</c:v>
                </c:pt>
                <c:pt idx="85">
                  <c:v>5.1532915944977793</c:v>
                </c:pt>
                <c:pt idx="86">
                  <c:v>5.1647859739235145</c:v>
                </c:pt>
                <c:pt idx="87">
                  <c:v>5.1647859739235145</c:v>
                </c:pt>
                <c:pt idx="88">
                  <c:v>5.2983173665480363</c:v>
                </c:pt>
                <c:pt idx="89">
                  <c:v>5.2983173665480363</c:v>
                </c:pt>
                <c:pt idx="90">
                  <c:v>5.2983173665480363</c:v>
                </c:pt>
                <c:pt idx="91">
                  <c:v>5.2983173665480363</c:v>
                </c:pt>
                <c:pt idx="92">
                  <c:v>5.2983173665480363</c:v>
                </c:pt>
                <c:pt idx="93">
                  <c:v>5.2983173665480363</c:v>
                </c:pt>
                <c:pt idx="94">
                  <c:v>5.2983173665480363</c:v>
                </c:pt>
                <c:pt idx="95">
                  <c:v>5.2983173665480363</c:v>
                </c:pt>
                <c:pt idx="96">
                  <c:v>5.2983173665480363</c:v>
                </c:pt>
                <c:pt idx="97">
                  <c:v>5.2983173665480363</c:v>
                </c:pt>
                <c:pt idx="98">
                  <c:v>5.2983173665480363</c:v>
                </c:pt>
                <c:pt idx="99">
                  <c:v>5.2983173665480363</c:v>
                </c:pt>
                <c:pt idx="100">
                  <c:v>5.598421958998375</c:v>
                </c:pt>
                <c:pt idx="101">
                  <c:v>5.7037824746562009</c:v>
                </c:pt>
                <c:pt idx="102">
                  <c:v>5.7037824746562009</c:v>
                </c:pt>
                <c:pt idx="103">
                  <c:v>5.7037824746562009</c:v>
                </c:pt>
                <c:pt idx="104">
                  <c:v>5.7037824746562009</c:v>
                </c:pt>
                <c:pt idx="105">
                  <c:v>5.7037824746562009</c:v>
                </c:pt>
                <c:pt idx="106">
                  <c:v>5.9914645471079817</c:v>
                </c:pt>
                <c:pt idx="107">
                  <c:v>5.9914645471079817</c:v>
                </c:pt>
                <c:pt idx="108">
                  <c:v>6.0867747269123065</c:v>
                </c:pt>
                <c:pt idx="109">
                  <c:v>6.0867747269123065</c:v>
                </c:pt>
                <c:pt idx="110">
                  <c:v>6.0867747269123065</c:v>
                </c:pt>
                <c:pt idx="111">
                  <c:v>6.0867747269123065</c:v>
                </c:pt>
                <c:pt idx="112">
                  <c:v>6.1092475827643655</c:v>
                </c:pt>
                <c:pt idx="113">
                  <c:v>6.2146080984221914</c:v>
                </c:pt>
                <c:pt idx="114">
                  <c:v>6.2690962837062614</c:v>
                </c:pt>
                <c:pt idx="115">
                  <c:v>6.2690962837062614</c:v>
                </c:pt>
                <c:pt idx="116">
                  <c:v>6.3969296552161463</c:v>
                </c:pt>
                <c:pt idx="117">
                  <c:v>6.5567783561580422</c:v>
                </c:pt>
                <c:pt idx="118">
                  <c:v>6.7799219074722519</c:v>
                </c:pt>
                <c:pt idx="119">
                  <c:v>6.7799219074722519</c:v>
                </c:pt>
                <c:pt idx="120">
                  <c:v>6.7799219074722519</c:v>
                </c:pt>
                <c:pt idx="121">
                  <c:v>7.0900768357760917</c:v>
                </c:pt>
                <c:pt idx="122">
                  <c:v>7.1853870155804165</c:v>
                </c:pt>
                <c:pt idx="123">
                  <c:v>7.1853870155804165</c:v>
                </c:pt>
                <c:pt idx="124">
                  <c:v>7.3777589082278725</c:v>
                </c:pt>
                <c:pt idx="125">
                  <c:v>7.3777589082278725</c:v>
                </c:pt>
                <c:pt idx="126">
                  <c:v>7.4730690880321973</c:v>
                </c:pt>
                <c:pt idx="127">
                  <c:v>7.4730690880321973</c:v>
                </c:pt>
              </c:numCache>
            </c:numRef>
          </c:yVal>
          <c:smooth val="0"/>
        </c:ser>
        <c:dLbls>
          <c:showLegendKey val="0"/>
          <c:showVal val="0"/>
          <c:showCatName val="0"/>
          <c:showSerName val="0"/>
          <c:showPercent val="0"/>
          <c:showBubbleSize val="0"/>
        </c:dLbls>
        <c:axId val="111080960"/>
        <c:axId val="111255552"/>
      </c:scatterChart>
      <c:valAx>
        <c:axId val="111080960"/>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0566037735850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255552"/>
        <c:crosses val="autoZero"/>
        <c:crossBetween val="midCat"/>
      </c:valAx>
      <c:valAx>
        <c:axId val="111255552"/>
        <c:scaling>
          <c:orientation val="minMax"/>
          <c:min val="2"/>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080960"/>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-2.6600674686174592</c:v>
                </c:pt>
                <c:pt idx="1">
                  <c:v>-2.2662268092096522</c:v>
                </c:pt>
                <c:pt idx="2">
                  <c:v>-2.0635278983162442</c:v>
                </c:pt>
                <c:pt idx="3">
                  <c:v>-1.921350774293703</c:v>
                </c:pt>
                <c:pt idx="4">
                  <c:v>-1.8098922384806082</c:v>
                </c:pt>
                <c:pt idx="5">
                  <c:v>-1.7172281175057413</c:v>
                </c:pt>
                <c:pt idx="6">
                  <c:v>-1.6373253827680638</c:v>
                </c:pt>
                <c:pt idx="7">
                  <c:v>-1.566688586068413</c:v>
                </c:pt>
                <c:pt idx="8">
                  <c:v>-1.5031029431292737</c:v>
                </c:pt>
                <c:pt idx="9">
                  <c:v>-1.4450725798180741</c:v>
                </c:pt>
                <c:pt idx="10">
                  <c:v>-1.3915374879959002</c:v>
                </c:pt>
                <c:pt idx="11">
                  <c:v>-1.3417178410802544</c:v>
                </c:pt>
                <c:pt idx="12">
                  <c:v>-1.2950224067058156</c:v>
                </c:pt>
                <c:pt idx="13">
                  <c:v>-1.2509917154625458</c:v>
                </c:pt>
                <c:pt idx="14">
                  <c:v>-1.2092612317091556</c:v>
                </c:pt>
                <c:pt idx="15">
                  <c:v>-1.1695366102071427</c:v>
                </c:pt>
                <c:pt idx="16">
                  <c:v>-1.1315765583861888</c:v>
                </c:pt>
                <c:pt idx="17">
                  <c:v>-1.0951806527613885</c:v>
                </c:pt>
                <c:pt idx="18">
                  <c:v>-1.0601804794353551</c:v>
                </c:pt>
                <c:pt idx="19">
                  <c:v>-1.0264330631379093</c:v>
                </c:pt>
                <c:pt idx="20">
                  <c:v>-0.99381590786088292</c:v>
                </c:pt>
                <c:pt idx="21">
                  <c:v>-0.96222319529541966</c:v>
                </c:pt>
                <c:pt idx="22">
                  <c:v>-0.93156283000711515</c:v>
                </c:pt>
                <c:pt idx="23">
                  <c:v>-0.90175411383009907</c:v>
                </c:pt>
                <c:pt idx="24">
                  <c:v>-0.87272589462704031</c:v>
                </c:pt>
                <c:pt idx="25">
                  <c:v>-0.84441507737525745</c:v>
                </c:pt>
                <c:pt idx="26">
                  <c:v>-0.8167654153150905</c:v>
                </c:pt>
                <c:pt idx="27">
                  <c:v>-0.78972651994326604</c:v>
                </c:pt>
                <c:pt idx="28">
                  <c:v>-0.76325304373257086</c:v>
                </c:pt>
                <c:pt idx="29">
                  <c:v>-0.73730400043865463</c:v>
                </c:pt>
                <c:pt idx="30">
                  <c:v>-0.71184219593941889</c:v>
                </c:pt>
                <c:pt idx="31">
                  <c:v>-0.68683374857473101</c:v>
                </c:pt>
                <c:pt idx="32">
                  <c:v>-0.66224768248841404</c:v>
                </c:pt>
                <c:pt idx="33">
                  <c:v>-0.63805558092251702</c:v>
                </c:pt>
                <c:pt idx="34">
                  <c:v>-0.61423128906024538</c:v>
                </c:pt>
                <c:pt idx="35">
                  <c:v>-0.59075065806281868</c:v>
                </c:pt>
                <c:pt idx="36">
                  <c:v>-0.5675913235445692</c:v>
                </c:pt>
                <c:pt idx="37">
                  <c:v>-0.54473251298817593</c:v>
                </c:pt>
                <c:pt idx="38">
                  <c:v>-0.52215487759800161</c:v>
                </c:pt>
                <c:pt idx="39">
                  <c:v>-0.49984034488373513</c:v>
                </c:pt>
                <c:pt idx="40">
                  <c:v>-0.47777198890388606</c:v>
                </c:pt>
                <c:pt idx="41">
                  <c:v>-0.45593391561313878</c:v>
                </c:pt>
                <c:pt idx="42">
                  <c:v>-0.43431116117520968</c:v>
                </c:pt>
                <c:pt idx="43">
                  <c:v>-0.41288960144365422</c:v>
                </c:pt>
                <c:pt idx="44">
                  <c:v>-0.39165587109259159</c:v>
                </c:pt>
                <c:pt idx="45">
                  <c:v>-0.3705972911096293</c:v>
                </c:pt>
                <c:pt idx="46">
                  <c:v>-0.3497018035538953</c:v>
                </c:pt>
                <c:pt idx="47">
                  <c:v>-0.32895791264049112</c:v>
                </c:pt>
                <c:pt idx="48">
                  <c:v>-0.30835463134483726</c:v>
                </c:pt>
                <c:pt idx="49">
                  <c:v>-0.28788143283101186</c:v>
                </c:pt>
                <c:pt idx="50">
                  <c:v>-0.26752820610109723</c:v>
                </c:pt>
                <c:pt idx="51">
                  <c:v>-0.24728521534080491</c:v>
                </c:pt>
                <c:pt idx="52">
                  <c:v>-0.22714306250271532</c:v>
                </c:pt>
                <c:pt idx="53">
                  <c:v>-0.20709265272436031</c:v>
                </c:pt>
                <c:pt idx="54">
                  <c:v>-0.18712516222572084</c:v>
                </c:pt>
                <c:pt idx="55">
                  <c:v>-0.16723200837085012</c:v>
                </c:pt>
                <c:pt idx="56">
                  <c:v>-0.14740482161235485</c:v>
                </c:pt>
                <c:pt idx="57">
                  <c:v>-0.12763541906627035</c:v>
                </c:pt>
                <c:pt idx="58">
                  <c:v>-0.10791577948918657</c:v>
                </c:pt>
                <c:pt idx="59">
                  <c:v>-8.823801944992446E-2</c:v>
                </c:pt>
                <c:pt idx="60">
                  <c:v>-6.8594370505118116E-2</c:v>
                </c:pt>
                <c:pt idx="61">
                  <c:v>-4.8977157202131943E-2</c:v>
                </c:pt>
                <c:pt idx="62">
                  <c:v>-2.9378775744157051E-2</c:v>
                </c:pt>
                <c:pt idx="63">
                  <c:v>-9.7916731613453475E-3</c:v>
                </c:pt>
                <c:pt idx="64">
                  <c:v>9.7916731613453475E-3</c:v>
                </c:pt>
                <c:pt idx="65">
                  <c:v>2.9378775744157051E-2</c:v>
                </c:pt>
                <c:pt idx="66">
                  <c:v>4.8977157202131943E-2</c:v>
                </c:pt>
                <c:pt idx="67">
                  <c:v>6.8594370505118116E-2</c:v>
                </c:pt>
                <c:pt idx="68">
                  <c:v>8.823801944992446E-2</c:v>
                </c:pt>
                <c:pt idx="69">
                  <c:v>0.10791577948918657</c:v>
                </c:pt>
                <c:pt idx="70">
                  <c:v>0.12763541906627035</c:v>
                </c:pt>
                <c:pt idx="71">
                  <c:v>0.14740482161235485</c:v>
                </c:pt>
                <c:pt idx="72">
                  <c:v>0.16723200837085012</c:v>
                </c:pt>
                <c:pt idx="73">
                  <c:v>0.18712516222572084</c:v>
                </c:pt>
                <c:pt idx="74">
                  <c:v>0.20709265272436031</c:v>
                </c:pt>
                <c:pt idx="75">
                  <c:v>0.22714306250271532</c:v>
                </c:pt>
                <c:pt idx="76">
                  <c:v>0.24728521534080491</c:v>
                </c:pt>
                <c:pt idx="77">
                  <c:v>0.26752820610109723</c:v>
                </c:pt>
                <c:pt idx="78">
                  <c:v>0.28788143283101186</c:v>
                </c:pt>
                <c:pt idx="79">
                  <c:v>0.30835463134483726</c:v>
                </c:pt>
                <c:pt idx="80">
                  <c:v>0.32895791264049112</c:v>
                </c:pt>
                <c:pt idx="81">
                  <c:v>0.3497018035538953</c:v>
                </c:pt>
                <c:pt idx="82">
                  <c:v>0.3705972911096293</c:v>
                </c:pt>
                <c:pt idx="83">
                  <c:v>0.39165587109259159</c:v>
                </c:pt>
                <c:pt idx="84">
                  <c:v>0.41288960144365422</c:v>
                </c:pt>
                <c:pt idx="85">
                  <c:v>0.43431116117520968</c:v>
                </c:pt>
                <c:pt idx="86">
                  <c:v>0.45593391561313878</c:v>
                </c:pt>
                <c:pt idx="87">
                  <c:v>0.47777198890388606</c:v>
                </c:pt>
                <c:pt idx="88">
                  <c:v>0.49984034488373513</c:v>
                </c:pt>
                <c:pt idx="89">
                  <c:v>0.52215487759800161</c:v>
                </c:pt>
                <c:pt idx="90">
                  <c:v>0.54473251298817593</c:v>
                </c:pt>
                <c:pt idx="91">
                  <c:v>0.5675913235445692</c:v>
                </c:pt>
                <c:pt idx="92">
                  <c:v>0.59075065806281868</c:v>
                </c:pt>
                <c:pt idx="93">
                  <c:v>0.61423128906024538</c:v>
                </c:pt>
                <c:pt idx="94">
                  <c:v>0.63805558092251702</c:v>
                </c:pt>
                <c:pt idx="95">
                  <c:v>0.66224768248841404</c:v>
                </c:pt>
                <c:pt idx="96">
                  <c:v>0.68683374857473101</c:v>
                </c:pt>
                <c:pt idx="97">
                  <c:v>0.71184219593941889</c:v>
                </c:pt>
                <c:pt idx="98">
                  <c:v>0.73730400043865463</c:v>
                </c:pt>
                <c:pt idx="99">
                  <c:v>0.76325304373257086</c:v>
                </c:pt>
                <c:pt idx="100">
                  <c:v>0.78972651994326604</c:v>
                </c:pt>
                <c:pt idx="101">
                  <c:v>0.8167654153150905</c:v>
                </c:pt>
                <c:pt idx="102">
                  <c:v>0.84441507737525745</c:v>
                </c:pt>
                <c:pt idx="103">
                  <c:v>0.87272589462704031</c:v>
                </c:pt>
                <c:pt idx="104">
                  <c:v>0.90175411383009907</c:v>
                </c:pt>
                <c:pt idx="105">
                  <c:v>0.93156283000711515</c:v>
                </c:pt>
                <c:pt idx="106">
                  <c:v>0.96222319529541966</c:v>
                </c:pt>
                <c:pt idx="107">
                  <c:v>0.99381590786088292</c:v>
                </c:pt>
                <c:pt idx="108">
                  <c:v>1.0264330631379093</c:v>
                </c:pt>
                <c:pt idx="109">
                  <c:v>1.0601804794353551</c:v>
                </c:pt>
                <c:pt idx="110">
                  <c:v>1.0951806527613885</c:v>
                </c:pt>
                <c:pt idx="111">
                  <c:v>1.1315765583861888</c:v>
                </c:pt>
                <c:pt idx="112">
                  <c:v>1.1695366102071427</c:v>
                </c:pt>
                <c:pt idx="113">
                  <c:v>1.2092612317091556</c:v>
                </c:pt>
                <c:pt idx="114">
                  <c:v>1.2509917154625458</c:v>
                </c:pt>
                <c:pt idx="115">
                  <c:v>1.2950224067058156</c:v>
                </c:pt>
                <c:pt idx="116">
                  <c:v>1.3417178410802544</c:v>
                </c:pt>
                <c:pt idx="117">
                  <c:v>1.3915374879959002</c:v>
                </c:pt>
                <c:pt idx="118">
                  <c:v>1.4450725798180746</c:v>
                </c:pt>
                <c:pt idx="119">
                  <c:v>1.5031029431292742</c:v>
                </c:pt>
                <c:pt idx="120">
                  <c:v>1.566688586068413</c:v>
                </c:pt>
                <c:pt idx="121">
                  <c:v>1.6373253827680638</c:v>
                </c:pt>
                <c:pt idx="122">
                  <c:v>1.7172281175057413</c:v>
                </c:pt>
                <c:pt idx="123">
                  <c:v>1.8098922384806082</c:v>
                </c:pt>
                <c:pt idx="124">
                  <c:v>1.921350774293703</c:v>
                </c:pt>
                <c:pt idx="125">
                  <c:v>2.0635278983162442</c:v>
                </c:pt>
                <c:pt idx="126">
                  <c:v>2.2662268092096522</c:v>
                </c:pt>
                <c:pt idx="127">
                  <c:v>2.6600674686174592</c:v>
                </c:pt>
              </c:numCache>
            </c:numRef>
          </c:xVal>
          <c:yVal>
            <c:numRef>
              <c:f>'F2 - EF2 Analysis'!$H$12:$H$210</c:f>
              <c:numCache>
                <c:formatCode>General</c:formatCode>
                <c:ptCount val="199"/>
                <c:pt idx="0">
                  <c:v>-2.3025850929940455</c:v>
                </c:pt>
                <c:pt idx="1">
                  <c:v>-2.3025850929940455</c:v>
                </c:pt>
                <c:pt idx="2">
                  <c:v>-2.3025850929940455</c:v>
                </c:pt>
                <c:pt idx="3">
                  <c:v>-2.3025850929940455</c:v>
                </c:pt>
                <c:pt idx="4">
                  <c:v>-2.3025850929940455</c:v>
                </c:pt>
                <c:pt idx="5">
                  <c:v>-2.3025850929940455</c:v>
                </c:pt>
                <c:pt idx="6">
                  <c:v>-2.3025850929940455</c:v>
                </c:pt>
                <c:pt idx="7">
                  <c:v>-2.3025850929940455</c:v>
                </c:pt>
                <c:pt idx="8">
                  <c:v>-2.3025850929940455</c:v>
                </c:pt>
                <c:pt idx="9">
                  <c:v>-2.3025850929940455</c:v>
                </c:pt>
                <c:pt idx="10">
                  <c:v>-2.3025850929940455</c:v>
                </c:pt>
                <c:pt idx="11">
                  <c:v>-2.3025850929940455</c:v>
                </c:pt>
                <c:pt idx="12">
                  <c:v>-2.3025850929940455</c:v>
                </c:pt>
                <c:pt idx="13">
                  <c:v>-2.3025850929940455</c:v>
                </c:pt>
                <c:pt idx="14">
                  <c:v>-2.3025850929940455</c:v>
                </c:pt>
                <c:pt idx="15">
                  <c:v>-2.3025850929940455</c:v>
                </c:pt>
                <c:pt idx="16">
                  <c:v>-2.3025850929940455</c:v>
                </c:pt>
                <c:pt idx="17">
                  <c:v>-2.3025850929940455</c:v>
                </c:pt>
                <c:pt idx="18">
                  <c:v>-2.3025850929940455</c:v>
                </c:pt>
                <c:pt idx="19">
                  <c:v>-2.3025850929940455</c:v>
                </c:pt>
                <c:pt idx="20">
                  <c:v>-2.3025850929940455</c:v>
                </c:pt>
                <c:pt idx="21">
                  <c:v>-2.3025850929940455</c:v>
                </c:pt>
                <c:pt idx="22">
                  <c:v>-2.3025850929940455</c:v>
                </c:pt>
                <c:pt idx="23">
                  <c:v>-2.3025850929940455</c:v>
                </c:pt>
                <c:pt idx="24">
                  <c:v>-2.3025850929940455</c:v>
                </c:pt>
                <c:pt idx="25">
                  <c:v>-2.3025850929940455</c:v>
                </c:pt>
                <c:pt idx="26">
                  <c:v>-2.3025850929940455</c:v>
                </c:pt>
                <c:pt idx="27">
                  <c:v>-2.3025850929940455</c:v>
                </c:pt>
                <c:pt idx="28">
                  <c:v>-2.3025850929940455</c:v>
                </c:pt>
                <c:pt idx="29">
                  <c:v>-1.6094379124341003</c:v>
                </c:pt>
                <c:pt idx="30">
                  <c:v>-1.2039728043259361</c:v>
                </c:pt>
                <c:pt idx="31">
                  <c:v>-1.2039728043259361</c:v>
                </c:pt>
                <c:pt idx="32">
                  <c:v>-1.2039728043259361</c:v>
                </c:pt>
                <c:pt idx="33">
                  <c:v>-1.2039728043259361</c:v>
                </c:pt>
                <c:pt idx="34">
                  <c:v>-0.69314718055994529</c:v>
                </c:pt>
                <c:pt idx="35">
                  <c:v>-0.69314718055994529</c:v>
                </c:pt>
                <c:pt idx="36">
                  <c:v>-0.69314718055994529</c:v>
                </c:pt>
                <c:pt idx="37">
                  <c:v>-0.69314718055994529</c:v>
                </c:pt>
                <c:pt idx="38">
                  <c:v>-0.69314718055994529</c:v>
                </c:pt>
                <c:pt idx="39">
                  <c:v>-0.69314718055994529</c:v>
                </c:pt>
                <c:pt idx="40">
                  <c:v>-0.35667494393873245</c:v>
                </c:pt>
                <c:pt idx="41">
                  <c:v>-0.22314355131420971</c:v>
                </c:pt>
                <c:pt idx="42">
                  <c:v>0</c:v>
                </c:pt>
                <c:pt idx="43">
                  <c:v>0</c:v>
                </c:pt>
                <c:pt idx="44">
                  <c:v>0</c:v>
                </c:pt>
                <c:pt idx="45">
                  <c:v>0</c:v>
                </c:pt>
                <c:pt idx="46">
                  <c:v>0</c:v>
                </c:pt>
                <c:pt idx="47">
                  <c:v>0</c:v>
                </c:pt>
                <c:pt idx="48">
                  <c:v>0</c:v>
                </c:pt>
                <c:pt idx="49">
                  <c:v>0.26236426446749106</c:v>
                </c:pt>
                <c:pt idx="50">
                  <c:v>0.3148107398400336</c:v>
                </c:pt>
                <c:pt idx="51">
                  <c:v>0.3293037471426003</c:v>
                </c:pt>
                <c:pt idx="52">
                  <c:v>0.33647223662121289</c:v>
                </c:pt>
                <c:pt idx="53">
                  <c:v>0.40546510810816438</c:v>
                </c:pt>
                <c:pt idx="54">
                  <c:v>0.47000362924573563</c:v>
                </c:pt>
                <c:pt idx="55">
                  <c:v>0.64185388617239469</c:v>
                </c:pt>
                <c:pt idx="56">
                  <c:v>0.69314718055994529</c:v>
                </c:pt>
                <c:pt idx="57">
                  <c:v>0.69314718055994529</c:v>
                </c:pt>
                <c:pt idx="58">
                  <c:v>0.69314718055994529</c:v>
                </c:pt>
                <c:pt idx="59">
                  <c:v>0.69314718055994529</c:v>
                </c:pt>
                <c:pt idx="60">
                  <c:v>0.69314718055994529</c:v>
                </c:pt>
                <c:pt idx="61">
                  <c:v>0.69314718055994529</c:v>
                </c:pt>
                <c:pt idx="62">
                  <c:v>0.69314718055994529</c:v>
                </c:pt>
                <c:pt idx="63">
                  <c:v>0.83290912293510388</c:v>
                </c:pt>
                <c:pt idx="64">
                  <c:v>0.95551144502743635</c:v>
                </c:pt>
                <c:pt idx="65">
                  <c:v>0.99325177301028345</c:v>
                </c:pt>
                <c:pt idx="66">
                  <c:v>1.0986122886681098</c:v>
                </c:pt>
                <c:pt idx="67">
                  <c:v>1.0986122886681098</c:v>
                </c:pt>
                <c:pt idx="68">
                  <c:v>1.0986122886681098</c:v>
                </c:pt>
                <c:pt idx="69">
                  <c:v>1.0986122886681098</c:v>
                </c:pt>
                <c:pt idx="70">
                  <c:v>1.0986122886681098</c:v>
                </c:pt>
                <c:pt idx="71">
                  <c:v>1.0986122886681098</c:v>
                </c:pt>
                <c:pt idx="72">
                  <c:v>1.2837077723447896</c:v>
                </c:pt>
                <c:pt idx="73">
                  <c:v>1.3862943611198906</c:v>
                </c:pt>
                <c:pt idx="74">
                  <c:v>1.3862943611198906</c:v>
                </c:pt>
                <c:pt idx="75">
                  <c:v>1.3862943611198906</c:v>
                </c:pt>
                <c:pt idx="76">
                  <c:v>1.3862943611198906</c:v>
                </c:pt>
                <c:pt idx="77">
                  <c:v>1.3862943611198906</c:v>
                </c:pt>
                <c:pt idx="78">
                  <c:v>1.410986973710262</c:v>
                </c:pt>
                <c:pt idx="79">
                  <c:v>1.423108334242607</c:v>
                </c:pt>
                <c:pt idx="80">
                  <c:v>1.5040773967762742</c:v>
                </c:pt>
                <c:pt idx="81">
                  <c:v>1.5040773967762742</c:v>
                </c:pt>
                <c:pt idx="82">
                  <c:v>1.5107219394949427</c:v>
                </c:pt>
                <c:pt idx="83">
                  <c:v>1.547562508716013</c:v>
                </c:pt>
                <c:pt idx="84">
                  <c:v>1.6074359097634274</c:v>
                </c:pt>
                <c:pt idx="85">
                  <c:v>1.6094379124341003</c:v>
                </c:pt>
                <c:pt idx="86">
                  <c:v>1.6094379124341003</c:v>
                </c:pt>
                <c:pt idx="87">
                  <c:v>1.6094379124341003</c:v>
                </c:pt>
                <c:pt idx="88">
                  <c:v>1.6094379124341003</c:v>
                </c:pt>
                <c:pt idx="89">
                  <c:v>1.7047480922384253</c:v>
                </c:pt>
                <c:pt idx="90">
                  <c:v>1.7404661748405046</c:v>
                </c:pt>
                <c:pt idx="91">
                  <c:v>1.7749523509116738</c:v>
                </c:pt>
                <c:pt idx="92">
                  <c:v>1.791759469228055</c:v>
                </c:pt>
                <c:pt idx="93">
                  <c:v>1.791759469228055</c:v>
                </c:pt>
                <c:pt idx="94">
                  <c:v>1.791759469228055</c:v>
                </c:pt>
                <c:pt idx="95">
                  <c:v>1.791759469228055</c:v>
                </c:pt>
                <c:pt idx="96">
                  <c:v>1.791759469228055</c:v>
                </c:pt>
                <c:pt idx="97">
                  <c:v>1.791759469228055</c:v>
                </c:pt>
                <c:pt idx="98">
                  <c:v>1.791759469228055</c:v>
                </c:pt>
                <c:pt idx="99">
                  <c:v>1.791759469228055</c:v>
                </c:pt>
                <c:pt idx="100">
                  <c:v>1.9459101490553132</c:v>
                </c:pt>
                <c:pt idx="101">
                  <c:v>1.9459101490553132</c:v>
                </c:pt>
                <c:pt idx="102">
                  <c:v>1.9530276168241774</c:v>
                </c:pt>
                <c:pt idx="103">
                  <c:v>1.9740810260220096</c:v>
                </c:pt>
                <c:pt idx="104">
                  <c:v>2.0149030205422647</c:v>
                </c:pt>
                <c:pt idx="105">
                  <c:v>2.0794415416798357</c:v>
                </c:pt>
                <c:pt idx="106">
                  <c:v>2.0794415416798357</c:v>
                </c:pt>
                <c:pt idx="107">
                  <c:v>2.0794415416798357</c:v>
                </c:pt>
                <c:pt idx="108">
                  <c:v>2.1517622032594619</c:v>
                </c:pt>
                <c:pt idx="109">
                  <c:v>2.2027647577118348</c:v>
                </c:pt>
                <c:pt idx="110">
                  <c:v>2.2192034840549946</c:v>
                </c:pt>
                <c:pt idx="111">
                  <c:v>2.3025850929940459</c:v>
                </c:pt>
                <c:pt idx="112">
                  <c:v>2.3025850929940459</c:v>
                </c:pt>
                <c:pt idx="113">
                  <c:v>2.3025850929940459</c:v>
                </c:pt>
                <c:pt idx="114">
                  <c:v>2.4790562361098245</c:v>
                </c:pt>
                <c:pt idx="115">
                  <c:v>2.4849066497880004</c:v>
                </c:pt>
                <c:pt idx="116">
                  <c:v>2.4849066497880004</c:v>
                </c:pt>
                <c:pt idx="117">
                  <c:v>2.4865719291070616</c:v>
                </c:pt>
                <c:pt idx="118">
                  <c:v>2.5014359517392109</c:v>
                </c:pt>
                <c:pt idx="119">
                  <c:v>2.5160822672564502</c:v>
                </c:pt>
                <c:pt idx="120">
                  <c:v>2.7725887222397811</c:v>
                </c:pt>
                <c:pt idx="121">
                  <c:v>2.7788192719904172</c:v>
                </c:pt>
                <c:pt idx="122">
                  <c:v>2.7850112422383382</c:v>
                </c:pt>
                <c:pt idx="123">
                  <c:v>2.7850112422383382</c:v>
                </c:pt>
                <c:pt idx="124">
                  <c:v>2.9444389791664403</c:v>
                </c:pt>
                <c:pt idx="125">
                  <c:v>2.9790946324009679</c:v>
                </c:pt>
                <c:pt idx="126">
                  <c:v>3.3499040872746049</c:v>
                </c:pt>
                <c:pt idx="127">
                  <c:v>4.0253516907351496</c:v>
                </c:pt>
              </c:numCache>
            </c:numRef>
          </c:yVal>
          <c:smooth val="0"/>
        </c:ser>
        <c:dLbls>
          <c:showLegendKey val="0"/>
          <c:showVal val="0"/>
          <c:showCatName val="0"/>
          <c:showSerName val="0"/>
          <c:showPercent val="0"/>
          <c:showBubbleSize val="0"/>
        </c:dLbls>
        <c:axId val="111874432"/>
        <c:axId val="111876352"/>
      </c:scatterChart>
      <c:valAx>
        <c:axId val="111874432"/>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876352"/>
        <c:crossesAt val="-4"/>
        <c:crossBetween val="midCat"/>
      </c:valAx>
      <c:valAx>
        <c:axId val="1118763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874432"/>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F2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78690344062157"/>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'F2 - EF2 Analysis'!$F$12:$F$210</c:f>
              <c:numCache>
                <c:formatCode>General</c:formatCode>
                <c:ptCount val="199"/>
                <c:pt idx="0">
                  <c:v>-2.6600674686174592</c:v>
                </c:pt>
                <c:pt idx="1">
                  <c:v>-2.2662268092096522</c:v>
                </c:pt>
                <c:pt idx="2">
                  <c:v>-2.0635278983162442</c:v>
                </c:pt>
                <c:pt idx="3">
                  <c:v>-1.921350774293703</c:v>
                </c:pt>
                <c:pt idx="4">
                  <c:v>-1.8098922384806082</c:v>
                </c:pt>
                <c:pt idx="5">
                  <c:v>-1.7172281175057413</c:v>
                </c:pt>
                <c:pt idx="6">
                  <c:v>-1.6373253827680638</c:v>
                </c:pt>
                <c:pt idx="7">
                  <c:v>-1.566688586068413</c:v>
                </c:pt>
                <c:pt idx="8">
                  <c:v>-1.5031029431292737</c:v>
                </c:pt>
                <c:pt idx="9">
                  <c:v>-1.4450725798180741</c:v>
                </c:pt>
                <c:pt idx="10">
                  <c:v>-1.3915374879959002</c:v>
                </c:pt>
                <c:pt idx="11">
                  <c:v>-1.3417178410802544</c:v>
                </c:pt>
                <c:pt idx="12">
                  <c:v>-1.2950224067058156</c:v>
                </c:pt>
                <c:pt idx="13">
                  <c:v>-1.2509917154625458</c:v>
                </c:pt>
                <c:pt idx="14">
                  <c:v>-1.2092612317091556</c:v>
                </c:pt>
                <c:pt idx="15">
                  <c:v>-1.1695366102071427</c:v>
                </c:pt>
                <c:pt idx="16">
                  <c:v>-1.1315765583861888</c:v>
                </c:pt>
                <c:pt idx="17">
                  <c:v>-1.0951806527613885</c:v>
                </c:pt>
                <c:pt idx="18">
                  <c:v>-1.0601804794353551</c:v>
                </c:pt>
                <c:pt idx="19">
                  <c:v>-1.0264330631379093</c:v>
                </c:pt>
                <c:pt idx="20">
                  <c:v>-0.99381590786088292</c:v>
                </c:pt>
                <c:pt idx="21">
                  <c:v>-0.96222319529541966</c:v>
                </c:pt>
                <c:pt idx="22">
                  <c:v>-0.93156283000711515</c:v>
                </c:pt>
                <c:pt idx="23">
                  <c:v>-0.90175411383009907</c:v>
                </c:pt>
                <c:pt idx="24">
                  <c:v>-0.87272589462704031</c:v>
                </c:pt>
                <c:pt idx="25">
                  <c:v>-0.84441507737525745</c:v>
                </c:pt>
                <c:pt idx="26">
                  <c:v>-0.8167654153150905</c:v>
                </c:pt>
                <c:pt idx="27">
                  <c:v>-0.78972651994326604</c:v>
                </c:pt>
                <c:pt idx="28">
                  <c:v>-0.76325304373257086</c:v>
                </c:pt>
                <c:pt idx="29">
                  <c:v>-0.73730400043865463</c:v>
                </c:pt>
                <c:pt idx="30">
                  <c:v>-0.71184219593941889</c:v>
                </c:pt>
                <c:pt idx="31">
                  <c:v>-0.68683374857473101</c:v>
                </c:pt>
                <c:pt idx="32">
                  <c:v>-0.66224768248841404</c:v>
                </c:pt>
                <c:pt idx="33">
                  <c:v>-0.63805558092251702</c:v>
                </c:pt>
                <c:pt idx="34">
                  <c:v>-0.61423128906024538</c:v>
                </c:pt>
                <c:pt idx="35">
                  <c:v>-0.59075065806281868</c:v>
                </c:pt>
                <c:pt idx="36">
                  <c:v>-0.5675913235445692</c:v>
                </c:pt>
                <c:pt idx="37">
                  <c:v>-0.54473251298817593</c:v>
                </c:pt>
                <c:pt idx="38">
                  <c:v>-0.52215487759800161</c:v>
                </c:pt>
                <c:pt idx="39">
                  <c:v>-0.49984034488373513</c:v>
                </c:pt>
                <c:pt idx="40">
                  <c:v>-0.47777198890388606</c:v>
                </c:pt>
                <c:pt idx="41">
                  <c:v>-0.45593391561313878</c:v>
                </c:pt>
                <c:pt idx="42">
                  <c:v>-0.43431116117520968</c:v>
                </c:pt>
                <c:pt idx="43">
                  <c:v>-0.41288960144365422</c:v>
                </c:pt>
                <c:pt idx="44">
                  <c:v>-0.39165587109259159</c:v>
                </c:pt>
                <c:pt idx="45">
                  <c:v>-0.3705972911096293</c:v>
                </c:pt>
                <c:pt idx="46">
                  <c:v>-0.3497018035538953</c:v>
                </c:pt>
                <c:pt idx="47">
                  <c:v>-0.32895791264049112</c:v>
                </c:pt>
                <c:pt idx="48">
                  <c:v>-0.30835463134483726</c:v>
                </c:pt>
                <c:pt idx="49">
                  <c:v>-0.28788143283101186</c:v>
                </c:pt>
                <c:pt idx="50">
                  <c:v>-0.26752820610109723</c:v>
                </c:pt>
                <c:pt idx="51">
                  <c:v>-0.24728521534080491</c:v>
                </c:pt>
                <c:pt idx="52">
                  <c:v>-0.22714306250271532</c:v>
                </c:pt>
                <c:pt idx="53">
                  <c:v>-0.20709265272436031</c:v>
                </c:pt>
                <c:pt idx="54">
                  <c:v>-0.18712516222572084</c:v>
                </c:pt>
                <c:pt idx="55">
                  <c:v>-0.16723200837085012</c:v>
                </c:pt>
                <c:pt idx="56">
                  <c:v>-0.14740482161235485</c:v>
                </c:pt>
                <c:pt idx="57">
                  <c:v>-0.12763541906627035</c:v>
                </c:pt>
                <c:pt idx="58">
                  <c:v>-0.10791577948918657</c:v>
                </c:pt>
                <c:pt idx="59">
                  <c:v>-8.823801944992446E-2</c:v>
                </c:pt>
                <c:pt idx="60">
                  <c:v>-6.8594370505118116E-2</c:v>
                </c:pt>
                <c:pt idx="61">
                  <c:v>-4.8977157202131943E-2</c:v>
                </c:pt>
                <c:pt idx="62">
                  <c:v>-2.9378775744157051E-2</c:v>
                </c:pt>
                <c:pt idx="63">
                  <c:v>-9.7916731613453475E-3</c:v>
                </c:pt>
                <c:pt idx="64">
                  <c:v>9.7916731613453475E-3</c:v>
                </c:pt>
                <c:pt idx="65">
                  <c:v>2.9378775744157051E-2</c:v>
                </c:pt>
                <c:pt idx="66">
                  <c:v>4.8977157202131943E-2</c:v>
                </c:pt>
                <c:pt idx="67">
                  <c:v>6.8594370505118116E-2</c:v>
                </c:pt>
                <c:pt idx="68">
                  <c:v>8.823801944992446E-2</c:v>
                </c:pt>
                <c:pt idx="69">
                  <c:v>0.10791577948918657</c:v>
                </c:pt>
                <c:pt idx="70">
                  <c:v>0.12763541906627035</c:v>
                </c:pt>
                <c:pt idx="71">
                  <c:v>0.14740482161235485</c:v>
                </c:pt>
                <c:pt idx="72">
                  <c:v>0.16723200837085012</c:v>
                </c:pt>
                <c:pt idx="73">
                  <c:v>0.18712516222572084</c:v>
                </c:pt>
                <c:pt idx="74">
                  <c:v>0.20709265272436031</c:v>
                </c:pt>
                <c:pt idx="75">
                  <c:v>0.22714306250271532</c:v>
                </c:pt>
                <c:pt idx="76">
                  <c:v>0.24728521534080491</c:v>
                </c:pt>
                <c:pt idx="77">
                  <c:v>0.26752820610109723</c:v>
                </c:pt>
                <c:pt idx="78">
                  <c:v>0.28788143283101186</c:v>
                </c:pt>
                <c:pt idx="79">
                  <c:v>0.30835463134483726</c:v>
                </c:pt>
                <c:pt idx="80">
                  <c:v>0.32895791264049112</c:v>
                </c:pt>
                <c:pt idx="81">
                  <c:v>0.3497018035538953</c:v>
                </c:pt>
                <c:pt idx="82">
                  <c:v>0.3705972911096293</c:v>
                </c:pt>
                <c:pt idx="83">
                  <c:v>0.39165587109259159</c:v>
                </c:pt>
                <c:pt idx="84">
                  <c:v>0.41288960144365422</c:v>
                </c:pt>
                <c:pt idx="85">
                  <c:v>0.43431116117520968</c:v>
                </c:pt>
                <c:pt idx="86">
                  <c:v>0.45593391561313878</c:v>
                </c:pt>
                <c:pt idx="87">
                  <c:v>0.47777198890388606</c:v>
                </c:pt>
                <c:pt idx="88">
                  <c:v>0.49984034488373513</c:v>
                </c:pt>
                <c:pt idx="89">
                  <c:v>0.52215487759800161</c:v>
                </c:pt>
                <c:pt idx="90">
                  <c:v>0.54473251298817593</c:v>
                </c:pt>
                <c:pt idx="91">
                  <c:v>0.5675913235445692</c:v>
                </c:pt>
                <c:pt idx="92">
                  <c:v>0.59075065806281868</c:v>
                </c:pt>
                <c:pt idx="93">
                  <c:v>0.61423128906024538</c:v>
                </c:pt>
                <c:pt idx="94">
                  <c:v>0.63805558092251702</c:v>
                </c:pt>
                <c:pt idx="95">
                  <c:v>0.66224768248841404</c:v>
                </c:pt>
                <c:pt idx="96">
                  <c:v>0.68683374857473101</c:v>
                </c:pt>
                <c:pt idx="97">
                  <c:v>0.71184219593941889</c:v>
                </c:pt>
                <c:pt idx="98">
                  <c:v>0.73730400043865463</c:v>
                </c:pt>
                <c:pt idx="99">
                  <c:v>0.76325304373257086</c:v>
                </c:pt>
                <c:pt idx="100">
                  <c:v>0.78972651994326604</c:v>
                </c:pt>
                <c:pt idx="101">
                  <c:v>0.8167654153150905</c:v>
                </c:pt>
                <c:pt idx="102">
                  <c:v>0.84441507737525745</c:v>
                </c:pt>
                <c:pt idx="103">
                  <c:v>0.87272589462704031</c:v>
                </c:pt>
                <c:pt idx="104">
                  <c:v>0.90175411383009907</c:v>
                </c:pt>
                <c:pt idx="105">
                  <c:v>0.93156283000711515</c:v>
                </c:pt>
                <c:pt idx="106">
                  <c:v>0.96222319529541966</c:v>
                </c:pt>
                <c:pt idx="107">
                  <c:v>0.99381590786088292</c:v>
                </c:pt>
                <c:pt idx="108">
                  <c:v>1.0264330631379093</c:v>
                </c:pt>
                <c:pt idx="109">
                  <c:v>1.0601804794353551</c:v>
                </c:pt>
                <c:pt idx="110">
                  <c:v>1.0951806527613885</c:v>
                </c:pt>
                <c:pt idx="111">
                  <c:v>1.1315765583861888</c:v>
                </c:pt>
                <c:pt idx="112">
                  <c:v>1.1695366102071427</c:v>
                </c:pt>
                <c:pt idx="113">
                  <c:v>1.2092612317091556</c:v>
                </c:pt>
                <c:pt idx="114">
                  <c:v>1.2509917154625458</c:v>
                </c:pt>
                <c:pt idx="115">
                  <c:v>1.2950224067058156</c:v>
                </c:pt>
                <c:pt idx="116">
                  <c:v>1.3417178410802544</c:v>
                </c:pt>
                <c:pt idx="117">
                  <c:v>1.3915374879959002</c:v>
                </c:pt>
                <c:pt idx="118">
                  <c:v>1.4450725798180746</c:v>
                </c:pt>
                <c:pt idx="119">
                  <c:v>1.5031029431292742</c:v>
                </c:pt>
                <c:pt idx="120">
                  <c:v>1.566688586068413</c:v>
                </c:pt>
                <c:pt idx="121">
                  <c:v>1.6373253827680638</c:v>
                </c:pt>
                <c:pt idx="122">
                  <c:v>1.7172281175057413</c:v>
                </c:pt>
                <c:pt idx="123">
                  <c:v>1.8098922384806082</c:v>
                </c:pt>
                <c:pt idx="124">
                  <c:v>1.921350774293703</c:v>
                </c:pt>
                <c:pt idx="125">
                  <c:v>2.0635278983162442</c:v>
                </c:pt>
                <c:pt idx="126">
                  <c:v>2.2662268092096522</c:v>
                </c:pt>
                <c:pt idx="127">
                  <c:v>2.6600674686174592</c:v>
                </c:pt>
              </c:numCache>
            </c:numRef>
          </c:xVal>
          <c:yVal>
            <c:numRef>
              <c:f>'F2 - EF2 Analysis'!$I$12:$I$210</c:f>
              <c:numCache>
                <c:formatCode>General</c:formatCode>
                <c:ptCount val="199"/>
                <c:pt idx="0">
                  <c:v>-7.4730690880321973</c:v>
                </c:pt>
                <c:pt idx="1">
                  <c:v>-7.4730690880321973</c:v>
                </c:pt>
                <c:pt idx="2">
                  <c:v>-7.4730690880321973</c:v>
                </c:pt>
                <c:pt idx="3">
                  <c:v>-7.4730690880321973</c:v>
                </c:pt>
                <c:pt idx="4">
                  <c:v>-7.4730690880321973</c:v>
                </c:pt>
                <c:pt idx="5">
                  <c:v>-7.4730690880321973</c:v>
                </c:pt>
                <c:pt idx="6">
                  <c:v>-7.4730690880321973</c:v>
                </c:pt>
                <c:pt idx="7">
                  <c:v>-7.4730690880321973</c:v>
                </c:pt>
                <c:pt idx="8">
                  <c:v>-7.4730690880321973</c:v>
                </c:pt>
                <c:pt idx="9">
                  <c:v>-7.4730690880321973</c:v>
                </c:pt>
                <c:pt idx="10">
                  <c:v>-7.4730690880321973</c:v>
                </c:pt>
                <c:pt idx="11">
                  <c:v>-7.4730690880321973</c:v>
                </c:pt>
                <c:pt idx="12">
                  <c:v>-7.4730690880321973</c:v>
                </c:pt>
                <c:pt idx="13">
                  <c:v>-7.4730690880321973</c:v>
                </c:pt>
                <c:pt idx="14">
                  <c:v>-7.4730690880321973</c:v>
                </c:pt>
                <c:pt idx="15">
                  <c:v>-7.4730690880321973</c:v>
                </c:pt>
                <c:pt idx="16">
                  <c:v>-7.4730690880321973</c:v>
                </c:pt>
                <c:pt idx="17">
                  <c:v>-7.4730690880321973</c:v>
                </c:pt>
                <c:pt idx="18">
                  <c:v>-7.4730690880321973</c:v>
                </c:pt>
                <c:pt idx="19">
                  <c:v>-7.4730690880321973</c:v>
                </c:pt>
                <c:pt idx="20">
                  <c:v>-7.4730690880321973</c:v>
                </c:pt>
                <c:pt idx="21">
                  <c:v>-7.4730690880321973</c:v>
                </c:pt>
                <c:pt idx="22">
                  <c:v>-7.4730690880321973</c:v>
                </c:pt>
                <c:pt idx="23">
                  <c:v>-7.4730690880321973</c:v>
                </c:pt>
                <c:pt idx="24">
                  <c:v>-7.4730690880321973</c:v>
                </c:pt>
                <c:pt idx="25">
                  <c:v>-7.4730690880321973</c:v>
                </c:pt>
                <c:pt idx="26">
                  <c:v>-6.942440836970027</c:v>
                </c:pt>
                <c:pt idx="27">
                  <c:v>-6.2791466195597634</c:v>
                </c:pt>
                <c:pt idx="28">
                  <c:v>-6.2492936564100816</c:v>
                </c:pt>
                <c:pt idx="29">
                  <c:v>-5.8636311755980968</c:v>
                </c:pt>
                <c:pt idx="30">
                  <c:v>-5.1805343308916534</c:v>
                </c:pt>
                <c:pt idx="31">
                  <c:v>-5.030722052662993</c:v>
                </c:pt>
                <c:pt idx="32">
                  <c:v>-4.7650188869299877</c:v>
                </c:pt>
                <c:pt idx="33">
                  <c:v>-4.6697087071256629</c:v>
                </c:pt>
                <c:pt idx="34">
                  <c:v>-4.6697087071256629</c:v>
                </c:pt>
                <c:pt idx="35">
                  <c:v>-4.4773368144782069</c:v>
                </c:pt>
                <c:pt idx="36">
                  <c:v>-4.4773368144782069</c:v>
                </c:pt>
                <c:pt idx="37">
                  <c:v>-4.1997050778799272</c:v>
                </c:pt>
                <c:pt idx="38">
                  <c:v>-4.1772322220278681</c:v>
                </c:pt>
                <c:pt idx="39">
                  <c:v>-4.0718717063700423</c:v>
                </c:pt>
                <c:pt idx="40">
                  <c:v>-3.771767113919704</c:v>
                </c:pt>
                <c:pt idx="41">
                  <c:v>-3.7141972620982262</c:v>
                </c:pt>
                <c:pt idx="42">
                  <c:v>-3.5610460826040513</c:v>
                </c:pt>
                <c:pt idx="43">
                  <c:v>-3.5610460826040513</c:v>
                </c:pt>
                <c:pt idx="44">
                  <c:v>-3.5610460826040513</c:v>
                </c:pt>
                <c:pt idx="45">
                  <c:v>-3.2834143460057721</c:v>
                </c:pt>
                <c:pt idx="46">
                  <c:v>-3.0786199333597586</c:v>
                </c:pt>
                <c:pt idx="47">
                  <c:v>-3.0542284802355995</c:v>
                </c:pt>
                <c:pt idx="48">
                  <c:v>-2.9319042320200186</c:v>
                </c:pt>
                <c:pt idx="49">
                  <c:v>-2.9191921964316569</c:v>
                </c:pt>
                <c:pt idx="50">
                  <c:v>-2.8678989020441059</c:v>
                </c:pt>
                <c:pt idx="51">
                  <c:v>-2.8678989020441059</c:v>
                </c:pt>
                <c:pt idx="52">
                  <c:v>-2.8678989020441059</c:v>
                </c:pt>
                <c:pt idx="53">
                  <c:v>-2.6764524374731509</c:v>
                </c:pt>
                <c:pt idx="54">
                  <c:v>-2.4354673457061273</c:v>
                </c:pt>
                <c:pt idx="55">
                  <c:v>-2.4289990178497045</c:v>
                </c:pt>
                <c:pt idx="56">
                  <c:v>-2.2969193554583685</c:v>
                </c:pt>
                <c:pt idx="57">
                  <c:v>-2.174751721484161</c:v>
                </c:pt>
                <c:pt idx="58">
                  <c:v>-2.174751721484161</c:v>
                </c:pt>
                <c:pt idx="59">
                  <c:v>-2.1697641799731215</c:v>
                </c:pt>
                <c:pt idx="60">
                  <c:v>-2.0794415416798357</c:v>
                </c:pt>
                <c:pt idx="61">
                  <c:v>-1.9934723742686498</c:v>
                </c:pt>
                <c:pt idx="62">
                  <c:v>-1.8746471290338227</c:v>
                </c:pt>
                <c:pt idx="63">
                  <c:v>-1.8205799077635469</c:v>
                </c:pt>
                <c:pt idx="64">
                  <c:v>-1.7692866133759966</c:v>
                </c:pt>
                <c:pt idx="65">
                  <c:v>-1.7692866133759966</c:v>
                </c:pt>
                <c:pt idx="66">
                  <c:v>-1.7047480922384253</c:v>
                </c:pt>
                <c:pt idx="67">
                  <c:v>-1.4816045409242156</c:v>
                </c:pt>
                <c:pt idx="68">
                  <c:v>-1.4816045409242156</c:v>
                </c:pt>
                <c:pt idx="69">
                  <c:v>-1.4569119283338441</c:v>
                </c:pt>
                <c:pt idx="70">
                  <c:v>-1.363821505267832</c:v>
                </c:pt>
                <c:pt idx="71">
                  <c:v>-1.2584609896100059</c:v>
                </c:pt>
                <c:pt idx="72">
                  <c:v>-1.0761394328160512</c:v>
                </c:pt>
                <c:pt idx="73">
                  <c:v>-1.0761394328160512</c:v>
                </c:pt>
                <c:pt idx="74">
                  <c:v>-1.0761394328160512</c:v>
                </c:pt>
                <c:pt idx="75">
                  <c:v>-1.0761394328160512</c:v>
                </c:pt>
                <c:pt idx="76">
                  <c:v>-0.95835639715966769</c:v>
                </c:pt>
                <c:pt idx="77">
                  <c:v>-0.89104394913937124</c:v>
                </c:pt>
                <c:pt idx="78">
                  <c:v>-0.81377516834856001</c:v>
                </c:pt>
                <c:pt idx="79">
                  <c:v>-0.78845736036427017</c:v>
                </c:pt>
                <c:pt idx="80">
                  <c:v>-0.78845736036427017</c:v>
                </c:pt>
                <c:pt idx="81">
                  <c:v>-0.78222681061363408</c:v>
                </c:pt>
                <c:pt idx="82">
                  <c:v>-0.75164338724155388</c:v>
                </c:pt>
                <c:pt idx="83">
                  <c:v>-0.71613669878464414</c:v>
                </c:pt>
                <c:pt idx="84">
                  <c:v>-0.67067432470788668</c:v>
                </c:pt>
                <c:pt idx="85">
                  <c:v>-0.67067432470788668</c:v>
                </c:pt>
                <c:pt idx="86">
                  <c:v>-0.67067432470788668</c:v>
                </c:pt>
                <c:pt idx="87">
                  <c:v>-0.67067432470788668</c:v>
                </c:pt>
                <c:pt idx="88">
                  <c:v>-0.66402978198921814</c:v>
                </c:pt>
                <c:pt idx="89">
                  <c:v>-0.48835276791393206</c:v>
                </c:pt>
                <c:pt idx="90">
                  <c:v>-0.38299225225610584</c:v>
                </c:pt>
                <c:pt idx="91">
                  <c:v>-0.38299225225610584</c:v>
                </c:pt>
                <c:pt idx="92">
                  <c:v>-0.36646295030489529</c:v>
                </c:pt>
                <c:pt idx="93">
                  <c:v>-0.2876820724517809</c:v>
                </c:pt>
                <c:pt idx="94">
                  <c:v>-0.2652092165997223</c:v>
                </c:pt>
                <c:pt idx="95">
                  <c:v>-0.22884157242884753</c:v>
                </c:pt>
                <c:pt idx="96">
                  <c:v>-0.16185070361256909</c:v>
                </c:pt>
                <c:pt idx="97">
                  <c:v>-0.15984870094189613</c:v>
                </c:pt>
                <c:pt idx="98">
                  <c:v>-0.10551835639684862</c:v>
                </c:pt>
                <c:pt idx="99">
                  <c:v>-9.5310179804324893E-2</c:v>
                </c:pt>
                <c:pt idx="100">
                  <c:v>-8.2887659805767747E-2</c:v>
                </c:pt>
                <c:pt idx="101">
                  <c:v>-5.3688505113505487E-2</c:v>
                </c:pt>
                <c:pt idx="102">
                  <c:v>0.21913552991667101</c:v>
                </c:pt>
                <c:pt idx="103">
                  <c:v>0.31015492830383945</c:v>
                </c:pt>
                <c:pt idx="104">
                  <c:v>0.31015492830383945</c:v>
                </c:pt>
                <c:pt idx="105">
                  <c:v>0.31015492830383945</c:v>
                </c:pt>
                <c:pt idx="106">
                  <c:v>0.31015492830383945</c:v>
                </c:pt>
                <c:pt idx="107">
                  <c:v>0.31182020762290064</c:v>
                </c:pt>
                <c:pt idx="108">
                  <c:v>0.38711596943996779</c:v>
                </c:pt>
                <c:pt idx="109">
                  <c:v>0.40546510810816438</c:v>
                </c:pt>
                <c:pt idx="110">
                  <c:v>0.48200518523049862</c:v>
                </c:pt>
                <c:pt idx="111">
                  <c:v>0.53329847961804921</c:v>
                </c:pt>
                <c:pt idx="112">
                  <c:v>0.55961578793542266</c:v>
                </c:pt>
                <c:pt idx="113">
                  <c:v>0.62860865942237409</c:v>
                </c:pt>
                <c:pt idx="114">
                  <c:v>0.87546873735389985</c:v>
                </c:pt>
                <c:pt idx="115">
                  <c:v>0.88747029333866301</c:v>
                </c:pt>
                <c:pt idx="116">
                  <c:v>0.91629073187415511</c:v>
                </c:pt>
                <c:pt idx="117">
                  <c:v>0.91629073187415511</c:v>
                </c:pt>
                <c:pt idx="118">
                  <c:v>1.04412410338404</c:v>
                </c:pt>
                <c:pt idx="119">
                  <c:v>1.1297879061365594</c:v>
                </c:pt>
                <c:pt idx="120">
                  <c:v>1.5627655042356696</c:v>
                </c:pt>
                <c:pt idx="121">
                  <c:v>1.5629178967992075</c:v>
                </c:pt>
                <c:pt idx="122">
                  <c:v>1.6653455443723963</c:v>
                </c:pt>
                <c:pt idx="123">
                  <c:v>1.69644928942373</c:v>
                </c:pt>
                <c:pt idx="124">
                  <c:v>1.791759469228055</c:v>
                </c:pt>
                <c:pt idx="125">
                  <c:v>1.9195928407379399</c:v>
                </c:pt>
                <c:pt idx="126">
                  <c:v>2.2192034840549946</c:v>
                </c:pt>
                <c:pt idx="127">
                  <c:v>2.6914125599491867</c:v>
                </c:pt>
              </c:numCache>
            </c:numRef>
          </c:yVal>
          <c:smooth val="0"/>
        </c:ser>
        <c:dLbls>
          <c:showLegendKey val="0"/>
          <c:showVal val="0"/>
          <c:showCatName val="0"/>
          <c:showSerName val="0"/>
          <c:showPercent val="0"/>
          <c:showBubbleSize val="0"/>
        </c:dLbls>
        <c:axId val="111916544"/>
        <c:axId val="111923200"/>
      </c:scatterChart>
      <c:valAx>
        <c:axId val="111916544"/>
        <c:scaling>
          <c:orientation val="minMax"/>
          <c:max val="3"/>
          <c:min val="-3"/>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27857935627088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923200"/>
        <c:crossesAt val="-10"/>
        <c:crossBetween val="midCat"/>
      </c:valAx>
      <c:valAx>
        <c:axId val="1119232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1916544"/>
        <c:crossesAt val="-3"/>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5.8823529411764705E-2"/>
          <c:y val="0.12234910277324648"/>
          <c:w val="0.91564927857935818"/>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Analysis'!$G$12:$G$110</c:f>
              <c:numCache>
                <c:formatCode>General</c:formatCode>
                <c:ptCount val="99"/>
                <c:pt idx="0">
                  <c:v>2.3025850929940459</c:v>
                </c:pt>
                <c:pt idx="1">
                  <c:v>3.4965075614664802</c:v>
                </c:pt>
                <c:pt idx="2">
                  <c:v>3.4965075614664802</c:v>
                </c:pt>
                <c:pt idx="3">
                  <c:v>3.6888794541139363</c:v>
                </c:pt>
                <c:pt idx="4">
                  <c:v>3.6888794541139363</c:v>
                </c:pt>
                <c:pt idx="5">
                  <c:v>3.912023005428146</c:v>
                </c:pt>
                <c:pt idx="6">
                  <c:v>3.912023005428146</c:v>
                </c:pt>
                <c:pt idx="7">
                  <c:v>4.2046926193909657</c:v>
                </c:pt>
                <c:pt idx="8">
                  <c:v>4.6051701859880918</c:v>
                </c:pt>
                <c:pt idx="9">
                  <c:v>4.6051701859880918</c:v>
                </c:pt>
                <c:pt idx="10">
                  <c:v>4.6051701859880918</c:v>
                </c:pt>
                <c:pt idx="11">
                  <c:v>4.6051701859880918</c:v>
                </c:pt>
                <c:pt idx="12">
                  <c:v>4.6051701859880918</c:v>
                </c:pt>
                <c:pt idx="13">
                  <c:v>4.6051701859880918</c:v>
                </c:pt>
                <c:pt idx="14">
                  <c:v>4.8903491282217537</c:v>
                </c:pt>
                <c:pt idx="15">
                  <c:v>5.2983173665480363</c:v>
                </c:pt>
                <c:pt idx="16">
                  <c:v>5.393627546352362</c:v>
                </c:pt>
                <c:pt idx="17">
                  <c:v>5.7037824746562009</c:v>
                </c:pt>
                <c:pt idx="18">
                  <c:v>5.7037824746562009</c:v>
                </c:pt>
                <c:pt idx="19">
                  <c:v>6.0867747269123065</c:v>
                </c:pt>
                <c:pt idx="20">
                  <c:v>6.0867747269123065</c:v>
                </c:pt>
                <c:pt idx="21">
                  <c:v>6.1092475827643655</c:v>
                </c:pt>
                <c:pt idx="22">
                  <c:v>6.1092475827643655</c:v>
                </c:pt>
                <c:pt idx="23">
                  <c:v>6.2146080984221914</c:v>
                </c:pt>
                <c:pt idx="24">
                  <c:v>6.2146080984221914</c:v>
                </c:pt>
                <c:pt idx="25">
                  <c:v>6.2146080984221914</c:v>
                </c:pt>
                <c:pt idx="26">
                  <c:v>6.2146080984221914</c:v>
                </c:pt>
                <c:pt idx="27">
                  <c:v>6.2146080984221914</c:v>
                </c:pt>
                <c:pt idx="28">
                  <c:v>6.2728770065461674</c:v>
                </c:pt>
                <c:pt idx="29">
                  <c:v>6.3750248198280968</c:v>
                </c:pt>
                <c:pt idx="30">
                  <c:v>6.3969296552161463</c:v>
                </c:pt>
                <c:pt idx="31">
                  <c:v>6.3969296552161463</c:v>
                </c:pt>
                <c:pt idx="32">
                  <c:v>6.3969296552161463</c:v>
                </c:pt>
                <c:pt idx="33">
                  <c:v>6.5510803350434044</c:v>
                </c:pt>
                <c:pt idx="34">
                  <c:v>6.620073206530356</c:v>
                </c:pt>
                <c:pt idx="35">
                  <c:v>6.620073206530356</c:v>
                </c:pt>
                <c:pt idx="36">
                  <c:v>6.7799219074722519</c:v>
                </c:pt>
                <c:pt idx="37">
                  <c:v>6.7799219074722519</c:v>
                </c:pt>
                <c:pt idx="38">
                  <c:v>7.0900768357760917</c:v>
                </c:pt>
                <c:pt idx="39">
                  <c:v>7.1853870155804165</c:v>
                </c:pt>
                <c:pt idx="40">
                  <c:v>7.2492150571143892</c:v>
                </c:pt>
                <c:pt idx="41">
                  <c:v>7.2499255367179876</c:v>
                </c:pt>
                <c:pt idx="42">
                  <c:v>7.4730690880321973</c:v>
                </c:pt>
              </c:numCache>
            </c:numRef>
          </c:yVal>
          <c:smooth val="0"/>
        </c:ser>
        <c:dLbls>
          <c:showLegendKey val="0"/>
          <c:showVal val="0"/>
          <c:showCatName val="0"/>
          <c:showSerName val="0"/>
          <c:showPercent val="0"/>
          <c:showBubbleSize val="0"/>
        </c:dLbls>
        <c:axId val="112533504"/>
        <c:axId val="112535808"/>
      </c:scatterChart>
      <c:valAx>
        <c:axId val="112533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723640399556106"/>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535808"/>
        <c:crosses val="autoZero"/>
        <c:crossBetween val="midCat"/>
      </c:valAx>
      <c:valAx>
        <c:axId val="112535808"/>
        <c:scaling>
          <c:orientation val="minMax"/>
          <c:min val="2"/>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53350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CCFFCC"/>
                </a:solidFill>
                <a:latin typeface="Arial"/>
                <a:ea typeface="Arial"/>
                <a:cs typeface="Arial"/>
              </a:defRPr>
            </a:pPr>
            <a:r>
              <a:rPr lang="en-US" sz="1400"/>
              <a:t>TORNADOES BY CLASSIFICATION
Amarillo NWS CWA</a:t>
            </a:r>
          </a:p>
        </c:rich>
      </c:tx>
      <c:layout>
        <c:manualLayout>
          <c:xMode val="edge"/>
          <c:yMode val="edge"/>
          <c:x val="0.32790567845686036"/>
          <c:y val="2.7439084677522194E-2"/>
        </c:manualLayout>
      </c:layout>
      <c:overlay val="0"/>
      <c:spPr>
        <a:noFill/>
        <a:ln w="38100">
          <a:solidFill>
            <a:srgbClr val="0000FF"/>
          </a:solidFill>
          <a:prstDash val="solid"/>
        </a:ln>
      </c:spPr>
    </c:title>
    <c:autoTitleDeleted val="0"/>
    <c:plotArea>
      <c:layout>
        <c:manualLayout>
          <c:layoutTarget val="inner"/>
          <c:xMode val="edge"/>
          <c:yMode val="edge"/>
          <c:x val="7.8501338090990191E-2"/>
          <c:y val="0.25609756097560982"/>
          <c:w val="0.90900981266726255"/>
          <c:h val="0.59756097560975441"/>
        </c:manualLayout>
      </c:layout>
      <c:barChart>
        <c:barDir val="col"/>
        <c:grouping val="clustered"/>
        <c:varyColors val="0"/>
        <c:ser>
          <c:idx val="0"/>
          <c:order val="0"/>
          <c:tx>
            <c:v/>
          </c:tx>
          <c:spPr>
            <a:solidFill>
              <a:srgbClr val="9999FF"/>
            </a:solidFill>
            <a:ln w="25400" cap="rnd">
              <a:solidFill>
                <a:schemeClr val="tx1"/>
              </a:solidFill>
            </a:ln>
          </c:spPr>
          <c:invertIfNegative val="0"/>
          <c:dPt>
            <c:idx val="0"/>
            <c:invertIfNegative val="0"/>
            <c:bubble3D val="0"/>
            <c:spPr>
              <a:solidFill>
                <a:srgbClr val="FF0000"/>
              </a:solidFill>
              <a:ln w="25400" cap="rnd">
                <a:solidFill>
                  <a:srgbClr val="000000"/>
                </a:solidFill>
                <a:prstDash val="solid"/>
              </a:ln>
            </c:spPr>
          </c:dPt>
          <c:dPt>
            <c:idx val="1"/>
            <c:invertIfNegative val="0"/>
            <c:bubble3D val="0"/>
            <c:spPr>
              <a:solidFill>
                <a:srgbClr val="00FF00"/>
              </a:solidFill>
              <a:ln w="25400" cap="rnd">
                <a:solidFill>
                  <a:srgbClr val="000000"/>
                </a:solidFill>
                <a:prstDash val="solid"/>
              </a:ln>
            </c:spPr>
          </c:dPt>
          <c:dPt>
            <c:idx val="2"/>
            <c:invertIfNegative val="0"/>
            <c:bubble3D val="0"/>
            <c:spPr>
              <a:solidFill>
                <a:srgbClr val="0000FF"/>
              </a:solidFill>
              <a:ln w="25400" cap="rnd">
                <a:solidFill>
                  <a:srgbClr val="000000"/>
                </a:solidFill>
                <a:prstDash val="solid"/>
              </a:ln>
            </c:spPr>
          </c:dPt>
          <c:dLbls>
            <c:spPr>
              <a:noFill/>
              <a:ln w="25400">
                <a:noFill/>
              </a:ln>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Graphs!$A$299:$A$301</c:f>
              <c:strCache>
                <c:ptCount val="3"/>
                <c:pt idx="0">
                  <c:v>Weak (F0 / EF0 &amp; F1 / EF1)</c:v>
                </c:pt>
                <c:pt idx="1">
                  <c:v>Strong (F2 / EF2 &amp; F3 / EF3)</c:v>
                </c:pt>
                <c:pt idx="2">
                  <c:v>Violent (F4 / EF4 &amp; F5 / EF5)</c:v>
                </c:pt>
              </c:strCache>
            </c:strRef>
          </c:cat>
          <c:val>
            <c:numRef>
              <c:f>Graphs!$D$299:$D$301</c:f>
              <c:numCache>
                <c:formatCode>0.0%</c:formatCode>
                <c:ptCount val="3"/>
                <c:pt idx="0">
                  <c:v>0.84523809523809523</c:v>
                </c:pt>
                <c:pt idx="1">
                  <c:v>0.14377289377289376</c:v>
                </c:pt>
                <c:pt idx="2">
                  <c:v>1.098901098901099E-2</c:v>
                </c:pt>
              </c:numCache>
            </c:numRef>
          </c:val>
        </c:ser>
        <c:dLbls>
          <c:showLegendKey val="0"/>
          <c:showVal val="1"/>
          <c:showCatName val="0"/>
          <c:showSerName val="0"/>
          <c:showPercent val="0"/>
          <c:showBubbleSize val="0"/>
        </c:dLbls>
        <c:gapWidth val="150"/>
        <c:axId val="106291968"/>
        <c:axId val="109511808"/>
      </c:barChart>
      <c:catAx>
        <c:axId val="106291968"/>
        <c:scaling>
          <c:orientation val="minMax"/>
        </c:scaling>
        <c:delete val="0"/>
        <c:axPos val="b"/>
        <c:title>
          <c:tx>
            <c:rich>
              <a:bodyPr/>
              <a:lstStyle/>
              <a:p>
                <a:pPr>
                  <a:defRPr sz="1400" b="1" i="0" u="none" strike="noStrike" baseline="0">
                    <a:solidFill>
                      <a:srgbClr val="FFFFFF"/>
                    </a:solidFill>
                    <a:latin typeface="Arial"/>
                    <a:ea typeface="Arial"/>
                    <a:cs typeface="Arial"/>
                  </a:defRPr>
                </a:pPr>
                <a:r>
                  <a:rPr lang="en-US" sz="1400"/>
                  <a:t>Classification</a:t>
                </a:r>
              </a:p>
            </c:rich>
          </c:tx>
          <c:layout>
            <c:manualLayout>
              <c:xMode val="edge"/>
              <c:yMode val="edge"/>
              <c:x val="0.47011599740508631"/>
              <c:y val="0.92073164640827843"/>
            </c:manualLayout>
          </c:layout>
          <c:overlay val="0"/>
          <c:spPr>
            <a:noFill/>
            <a:ln w="25400">
              <a:noFill/>
            </a:ln>
          </c:spPr>
        </c:title>
        <c:numFmt formatCode="General" sourceLinked="1"/>
        <c:majorTickMark val="out"/>
        <c:minorTickMark val="none"/>
        <c:tickLblPos val="nextTo"/>
        <c:spPr>
          <a:ln w="25400">
            <a:solidFill>
              <a:srgbClr val="00FFFF"/>
            </a:solidFill>
            <a:prstDash val="solid"/>
          </a:ln>
        </c:spPr>
        <c:txPr>
          <a:bodyPr rot="0" vert="horz"/>
          <a:lstStyle/>
          <a:p>
            <a:pPr>
              <a:defRPr sz="1100" b="1" i="0" u="none" strike="noStrike" baseline="0">
                <a:solidFill>
                  <a:srgbClr val="3366FF"/>
                </a:solidFill>
                <a:latin typeface="Arial"/>
                <a:ea typeface="Arial"/>
                <a:cs typeface="Arial"/>
              </a:defRPr>
            </a:pPr>
            <a:endParaRPr lang="en-US"/>
          </a:p>
        </c:txPr>
        <c:crossAx val="109511808"/>
        <c:crosses val="autoZero"/>
        <c:auto val="1"/>
        <c:lblAlgn val="ctr"/>
        <c:lblOffset val="100"/>
        <c:tickLblSkip val="1"/>
        <c:tickMarkSkip val="1"/>
        <c:noMultiLvlLbl val="0"/>
      </c:catAx>
      <c:valAx>
        <c:axId val="109511808"/>
        <c:scaling>
          <c:orientation val="minMax"/>
        </c:scaling>
        <c:delete val="0"/>
        <c:axPos val="l"/>
        <c:numFmt formatCode="0.0%" sourceLinked="1"/>
        <c:majorTickMark val="out"/>
        <c:minorTickMark val="none"/>
        <c:tickLblPos val="nextTo"/>
        <c:spPr>
          <a:ln w="25400">
            <a:solidFill>
              <a:srgbClr val="00FFFF"/>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106291968"/>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120976692563749"/>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Analysis'!$H$12:$H$110</c:f>
              <c:numCache>
                <c:formatCode>General</c:formatCode>
                <c:ptCount val="99"/>
                <c:pt idx="0">
                  <c:v>-2.3025850929940455</c:v>
                </c:pt>
                <c:pt idx="1">
                  <c:v>-0.69314718055994529</c:v>
                </c:pt>
                <c:pt idx="2">
                  <c:v>0</c:v>
                </c:pt>
                <c:pt idx="3">
                  <c:v>0.40546510810816438</c:v>
                </c:pt>
                <c:pt idx="4">
                  <c:v>0.69314718055994529</c:v>
                </c:pt>
                <c:pt idx="5">
                  <c:v>0.69314718055994529</c:v>
                </c:pt>
                <c:pt idx="6">
                  <c:v>0.83290912293510388</c:v>
                </c:pt>
                <c:pt idx="7">
                  <c:v>0.83290912293510388</c:v>
                </c:pt>
                <c:pt idx="8">
                  <c:v>1.0986122886681098</c:v>
                </c:pt>
                <c:pt idx="9">
                  <c:v>1.0986122886681098</c:v>
                </c:pt>
                <c:pt idx="10">
                  <c:v>1.0986122886681098</c:v>
                </c:pt>
                <c:pt idx="11">
                  <c:v>1.0986122886681098</c:v>
                </c:pt>
                <c:pt idx="12">
                  <c:v>1.2089603458369751</c:v>
                </c:pt>
                <c:pt idx="13">
                  <c:v>1.3862943611198906</c:v>
                </c:pt>
                <c:pt idx="14">
                  <c:v>1.3862943611198906</c:v>
                </c:pt>
                <c:pt idx="15">
                  <c:v>1.3862943611198906</c:v>
                </c:pt>
                <c:pt idx="16">
                  <c:v>1.5040773967762742</c:v>
                </c:pt>
                <c:pt idx="17">
                  <c:v>1.547562508716013</c:v>
                </c:pt>
                <c:pt idx="18">
                  <c:v>1.6094379124341003</c:v>
                </c:pt>
                <c:pt idx="19">
                  <c:v>1.791759469228055</c:v>
                </c:pt>
                <c:pt idx="20">
                  <c:v>1.8082887711792655</c:v>
                </c:pt>
                <c:pt idx="21">
                  <c:v>1.9169226121820611</c:v>
                </c:pt>
                <c:pt idx="22">
                  <c:v>1.9459101490553132</c:v>
                </c:pt>
                <c:pt idx="23">
                  <c:v>2.050270164379556</c:v>
                </c:pt>
                <c:pt idx="24">
                  <c:v>2.0781907597781832</c:v>
                </c:pt>
                <c:pt idx="25">
                  <c:v>2.1633230256605378</c:v>
                </c:pt>
                <c:pt idx="26">
                  <c:v>2.174751721484161</c:v>
                </c:pt>
                <c:pt idx="27">
                  <c:v>2.1860512767380942</c:v>
                </c:pt>
                <c:pt idx="28">
                  <c:v>2.1972245773362196</c:v>
                </c:pt>
                <c:pt idx="29">
                  <c:v>2.3025850929940459</c:v>
                </c:pt>
                <c:pt idx="30">
                  <c:v>2.3223877202902252</c:v>
                </c:pt>
                <c:pt idx="31">
                  <c:v>2.341805806147327</c:v>
                </c:pt>
                <c:pt idx="32">
                  <c:v>2.3905959703167592</c:v>
                </c:pt>
                <c:pt idx="33">
                  <c:v>2.3978952727983707</c:v>
                </c:pt>
                <c:pt idx="34">
                  <c:v>2.4849066497880004</c:v>
                </c:pt>
                <c:pt idx="35">
                  <c:v>2.4849066497880004</c:v>
                </c:pt>
                <c:pt idx="36">
                  <c:v>2.6390573296152584</c:v>
                </c:pt>
                <c:pt idx="37">
                  <c:v>2.6672282065819548</c:v>
                </c:pt>
                <c:pt idx="38">
                  <c:v>2.7850112422383382</c:v>
                </c:pt>
                <c:pt idx="39">
                  <c:v>2.8154087194227095</c:v>
                </c:pt>
                <c:pt idx="40">
                  <c:v>3.1424266527047946</c:v>
                </c:pt>
                <c:pt idx="41">
                  <c:v>3.3672958299864741</c:v>
                </c:pt>
                <c:pt idx="42">
                  <c:v>3.4011973816621555</c:v>
                </c:pt>
              </c:numCache>
            </c:numRef>
          </c:yVal>
          <c:smooth val="0"/>
        </c:ser>
        <c:dLbls>
          <c:showLegendKey val="0"/>
          <c:showVal val="0"/>
          <c:showCatName val="0"/>
          <c:showSerName val="0"/>
          <c:showPercent val="0"/>
          <c:showBubbleSize val="0"/>
        </c:dLbls>
        <c:axId val="112564096"/>
        <c:axId val="112591232"/>
      </c:scatterChart>
      <c:valAx>
        <c:axId val="1125640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945615982242013"/>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591232"/>
        <c:crossesAt val="-4"/>
        <c:crossBetween val="midCat"/>
      </c:valAx>
      <c:valAx>
        <c:axId val="1125912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564096"/>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F3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6.3263041065482792E-2"/>
          <c:y val="0.12234910277324648"/>
          <c:w val="0.91120976692563749"/>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'F3 - EF3 Analysis'!$F$12:$F$110</c:f>
              <c:numCache>
                <c:formatCode>General</c:formatCode>
                <c:ptCount val="99"/>
                <c:pt idx="0">
                  <c:v>-2.2692057962849637</c:v>
                </c:pt>
                <c:pt idx="1">
                  <c:v>-1.8134175686740344</c:v>
                </c:pt>
                <c:pt idx="2">
                  <c:v>-1.5705850285674188</c:v>
                </c:pt>
                <c:pt idx="3">
                  <c:v>-1.39574699294967</c:v>
                </c:pt>
                <c:pt idx="4">
                  <c:v>-1.2554861698244286</c:v>
                </c:pt>
                <c:pt idx="5">
                  <c:v>-1.1363408192553905</c:v>
                </c:pt>
                <c:pt idx="6">
                  <c:v>-1.0314590939212436</c:v>
                </c:pt>
                <c:pt idx="7">
                  <c:v>-0.93684710835836804</c:v>
                </c:pt>
                <c:pt idx="8">
                  <c:v>-0.8499572808920578</c:v>
                </c:pt>
                <c:pt idx="9">
                  <c:v>-0.76905532945127975</c:v>
                </c:pt>
                <c:pt idx="10">
                  <c:v>-0.69290034522758903</c:v>
                </c:pt>
                <c:pt idx="11">
                  <c:v>-0.62056827180753826</c:v>
                </c:pt>
                <c:pt idx="12">
                  <c:v>-0.55134769512053772</c:v>
                </c:pt>
                <c:pt idx="13">
                  <c:v>-0.48467489602278113</c:v>
                </c:pt>
                <c:pt idx="14">
                  <c:v>-0.4200915099394113</c:v>
                </c:pt>
                <c:pt idx="15">
                  <c:v>-0.35721583463458467</c:v>
                </c:pt>
                <c:pt idx="16">
                  <c:v>-0.29572269945216134</c:v>
                </c:pt>
                <c:pt idx="17">
                  <c:v>-0.23532887106951692</c:v>
                </c:pt>
                <c:pt idx="18">
                  <c:v>-0.17578212101566829</c:v>
                </c:pt>
                <c:pt idx="19">
                  <c:v>-0.116852746716332</c:v>
                </c:pt>
                <c:pt idx="20">
                  <c:v>-5.8326735272993049E-2</c:v>
                </c:pt>
                <c:pt idx="21">
                  <c:v>0</c:v>
                </c:pt>
                <c:pt idx="22">
                  <c:v>5.8326735272993181E-2</c:v>
                </c:pt>
                <c:pt idx="23">
                  <c:v>0.11685274671633186</c:v>
                </c:pt>
                <c:pt idx="24">
                  <c:v>0.17578212101566829</c:v>
                </c:pt>
                <c:pt idx="25">
                  <c:v>0.23532887106951708</c:v>
                </c:pt>
                <c:pt idx="26">
                  <c:v>0.29572269945216134</c:v>
                </c:pt>
                <c:pt idx="27">
                  <c:v>0.35721583463458467</c:v>
                </c:pt>
                <c:pt idx="28">
                  <c:v>0.42009150993941113</c:v>
                </c:pt>
                <c:pt idx="29">
                  <c:v>0.48467489602278113</c:v>
                </c:pt>
                <c:pt idx="30">
                  <c:v>0.55134769512053794</c:v>
                </c:pt>
                <c:pt idx="31">
                  <c:v>0.62056827180753793</c:v>
                </c:pt>
                <c:pt idx="32">
                  <c:v>0.69290034522758903</c:v>
                </c:pt>
                <c:pt idx="33">
                  <c:v>0.76905532945128019</c:v>
                </c:pt>
                <c:pt idx="34">
                  <c:v>0.8499572808920578</c:v>
                </c:pt>
                <c:pt idx="35">
                  <c:v>0.93684710835836804</c:v>
                </c:pt>
                <c:pt idx="36">
                  <c:v>1.0314590939212447</c:v>
                </c:pt>
                <c:pt idx="37">
                  <c:v>1.1363408192553905</c:v>
                </c:pt>
                <c:pt idx="38">
                  <c:v>1.2554861698244288</c:v>
                </c:pt>
                <c:pt idx="39">
                  <c:v>1.39574699294967</c:v>
                </c:pt>
                <c:pt idx="40">
                  <c:v>1.5705850285674188</c:v>
                </c:pt>
                <c:pt idx="41">
                  <c:v>1.813417568674035</c:v>
                </c:pt>
                <c:pt idx="42">
                  <c:v>2.2692057962849623</c:v>
                </c:pt>
              </c:numCache>
            </c:numRef>
          </c:xVal>
          <c:yVal>
            <c:numRef>
              <c:f>'F3 - EF3 Analysis'!$I$12:$I$110</c:f>
              <c:numCache>
                <c:formatCode>General</c:formatCode>
                <c:ptCount val="99"/>
                <c:pt idx="0">
                  <c:v>-7.4730690880321973</c:v>
                </c:pt>
                <c:pt idx="1">
                  <c:v>-3.5610460826040513</c:v>
                </c:pt>
                <c:pt idx="2">
                  <c:v>-3.1436524036306133</c:v>
                </c:pt>
                <c:pt idx="3">
                  <c:v>-3.0910424533583156</c:v>
                </c:pt>
                <c:pt idx="4">
                  <c:v>-2.174751721484161</c:v>
                </c:pt>
                <c:pt idx="5">
                  <c:v>-2.0794415416798357</c:v>
                </c:pt>
                <c:pt idx="6">
                  <c:v>-2.0349897791090021</c:v>
                </c:pt>
                <c:pt idx="7">
                  <c:v>-1.9924301646902063</c:v>
                </c:pt>
                <c:pt idx="8">
                  <c:v>-1.8018098050815563</c:v>
                </c:pt>
                <c:pt idx="9">
                  <c:v>-1.6441234704219905</c:v>
                </c:pt>
                <c:pt idx="10">
                  <c:v>-1.2386583623138261</c:v>
                </c:pt>
                <c:pt idx="11">
                  <c:v>-0.77443118863117832</c:v>
                </c:pt>
                <c:pt idx="12">
                  <c:v>-0.69257916009593667</c:v>
                </c:pt>
                <c:pt idx="13">
                  <c:v>-0.68184762530601184</c:v>
                </c:pt>
                <c:pt idx="14">
                  <c:v>-0.67067432470788668</c:v>
                </c:pt>
                <c:pt idx="15">
                  <c:v>-0.52609309589677911</c:v>
                </c:pt>
                <c:pt idx="16">
                  <c:v>-0.48336522640289303</c:v>
                </c:pt>
                <c:pt idx="17">
                  <c:v>-0.20067069546215124</c:v>
                </c:pt>
                <c:pt idx="18">
                  <c:v>-0.15984870094189613</c:v>
                </c:pt>
                <c:pt idx="19">
                  <c:v>-0.15984870094189602</c:v>
                </c:pt>
                <c:pt idx="20">
                  <c:v>-0.10157979281792022</c:v>
                </c:pt>
                <c:pt idx="21">
                  <c:v>2.2472855852058576E-2</c:v>
                </c:pt>
                <c:pt idx="22">
                  <c:v>2.2472855852058576E-2</c:v>
                </c:pt>
                <c:pt idx="23">
                  <c:v>0.127833371509885</c:v>
                </c:pt>
                <c:pt idx="24">
                  <c:v>0.132820913020924</c:v>
                </c:pt>
                <c:pt idx="25">
                  <c:v>0.17662353567931685</c:v>
                </c:pt>
                <c:pt idx="26">
                  <c:v>0.17662353567931685</c:v>
                </c:pt>
                <c:pt idx="27">
                  <c:v>0.69314718055994529</c:v>
                </c:pt>
                <c:pt idx="28">
                  <c:v>0.91629073187415511</c:v>
                </c:pt>
                <c:pt idx="29">
                  <c:v>1.1210851445201682</c:v>
                </c:pt>
                <c:pt idx="30">
                  <c:v>1.1210851445201684</c:v>
                </c:pt>
                <c:pt idx="31">
                  <c:v>1.1321349807067533</c:v>
                </c:pt>
                <c:pt idx="32">
                  <c:v>1.2264456601779945</c:v>
                </c:pt>
                <c:pt idx="33">
                  <c:v>1.259880436264232</c:v>
                </c:pt>
                <c:pt idx="34">
                  <c:v>1.3103271441586966</c:v>
                </c:pt>
                <c:pt idx="35">
                  <c:v>1.5569477298127037</c:v>
                </c:pt>
                <c:pt idx="36">
                  <c:v>1.8271266130653463</c:v>
                </c:pt>
                <c:pt idx="37">
                  <c:v>2.0149030205422647</c:v>
                </c:pt>
                <c:pt idx="38">
                  <c:v>2.0149030205422647</c:v>
                </c:pt>
                <c:pt idx="39">
                  <c:v>2.0781907597781832</c:v>
                </c:pt>
                <c:pt idx="40">
                  <c:v>2.2894307712029534</c:v>
                </c:pt>
                <c:pt idx="41">
                  <c:v>2.4152032986974503</c:v>
                </c:pt>
                <c:pt idx="42">
                  <c:v>2.6741486494265287</c:v>
                </c:pt>
              </c:numCache>
            </c:numRef>
          </c:yVal>
          <c:smooth val="0"/>
        </c:ser>
        <c:dLbls>
          <c:showLegendKey val="0"/>
          <c:showVal val="0"/>
          <c:showCatName val="0"/>
          <c:showSerName val="0"/>
          <c:showPercent val="0"/>
          <c:showBubbleSize val="0"/>
        </c:dLbls>
        <c:axId val="112615424"/>
        <c:axId val="112617728"/>
      </c:scatterChart>
      <c:valAx>
        <c:axId val="112615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8945615982242013"/>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617728"/>
        <c:crossesAt val="-10"/>
        <c:crossBetween val="midCat"/>
      </c:valAx>
      <c:valAx>
        <c:axId val="1126177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615424"/>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Width Analysis</a:t>
            </a:r>
          </a:p>
        </c:rich>
      </c:tx>
      <c:layout>
        <c:manualLayout>
          <c:xMode val="edge"/>
          <c:yMode val="edge"/>
          <c:x val="0.42064372918978932"/>
          <c:y val="1.9575856443719449E-2"/>
        </c:manualLayout>
      </c:layout>
      <c:overlay val="0"/>
      <c:spPr>
        <a:noFill/>
        <a:ln w="25400">
          <a:noFill/>
        </a:ln>
      </c:spPr>
    </c:title>
    <c:autoTitleDeleted val="0"/>
    <c:plotArea>
      <c:layout>
        <c:manualLayout>
          <c:layoutTarget val="inner"/>
          <c:xMode val="edge"/>
          <c:yMode val="edge"/>
          <c:x val="7.1032186459489471E-2"/>
          <c:y val="0.12887438825448613"/>
          <c:w val="0.90344062153163152"/>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Analysis'!$G$12:$G$110</c:f>
              <c:numCache>
                <c:formatCode>General</c:formatCode>
                <c:ptCount val="99"/>
                <c:pt idx="0">
                  <c:v>4.3174881135363101</c:v>
                </c:pt>
                <c:pt idx="1">
                  <c:v>5.2983173665480363</c:v>
                </c:pt>
                <c:pt idx="2">
                  <c:v>6.0867747269123065</c:v>
                </c:pt>
                <c:pt idx="3">
                  <c:v>6.3969296552161463</c:v>
                </c:pt>
                <c:pt idx="4">
                  <c:v>6.6846117276679271</c:v>
                </c:pt>
                <c:pt idx="5">
                  <c:v>6.7799219074722519</c:v>
                </c:pt>
                <c:pt idx="6">
                  <c:v>6.7799219074722519</c:v>
                </c:pt>
                <c:pt idx="7">
                  <c:v>6.7799219074722519</c:v>
                </c:pt>
                <c:pt idx="8">
                  <c:v>6.7799219074722519</c:v>
                </c:pt>
                <c:pt idx="9">
                  <c:v>6.7799219074722519</c:v>
                </c:pt>
                <c:pt idx="10">
                  <c:v>6.7799219074722519</c:v>
                </c:pt>
                <c:pt idx="11">
                  <c:v>6.7799219074722519</c:v>
                </c:pt>
                <c:pt idx="12">
                  <c:v>6.7799219074722519</c:v>
                </c:pt>
                <c:pt idx="13">
                  <c:v>6.7799219074722519</c:v>
                </c:pt>
                <c:pt idx="14">
                  <c:v>7.0030654587864616</c:v>
                </c:pt>
                <c:pt idx="15">
                  <c:v>7.0030654587864616</c:v>
                </c:pt>
                <c:pt idx="16">
                  <c:v>7.1853870155804165</c:v>
                </c:pt>
                <c:pt idx="17">
                  <c:v>7.3670770598810122</c:v>
                </c:pt>
                <c:pt idx="18">
                  <c:v>7.3670770598810122</c:v>
                </c:pt>
                <c:pt idx="19">
                  <c:v>7.3670770598810122</c:v>
                </c:pt>
                <c:pt idx="20">
                  <c:v>7.4673710669175595</c:v>
                </c:pt>
                <c:pt idx="21">
                  <c:v>7.4730690880321973</c:v>
                </c:pt>
                <c:pt idx="22">
                  <c:v>7.696212639346407</c:v>
                </c:pt>
              </c:numCache>
            </c:numRef>
          </c:yVal>
          <c:smooth val="0"/>
        </c:ser>
        <c:dLbls>
          <c:showLegendKey val="0"/>
          <c:showVal val="0"/>
          <c:showCatName val="0"/>
          <c:showSerName val="0"/>
          <c:showPercent val="0"/>
          <c:showBubbleSize val="0"/>
        </c:dLbls>
        <c:axId val="112716032"/>
        <c:axId val="112718592"/>
      </c:scatterChart>
      <c:valAx>
        <c:axId val="1127160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38956714761376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718592"/>
        <c:crosses val="autoZero"/>
        <c:crossBetween val="midCat"/>
      </c:valAx>
      <c:valAx>
        <c:axId val="112718592"/>
        <c:scaling>
          <c:orientation val="minMax"/>
          <c:max val="8"/>
          <c:min val="4"/>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Ln(Width)</a:t>
                </a:r>
              </a:p>
            </c:rich>
          </c:tx>
          <c:layout>
            <c:manualLayout>
              <c:xMode val="edge"/>
              <c:yMode val="edge"/>
              <c:x val="1.2208657047724751E-2"/>
              <c:y val="0.45513866231647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716032"/>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Length Analysis</a:t>
            </a:r>
          </a:p>
        </c:rich>
      </c:tx>
      <c:layout>
        <c:manualLayout>
          <c:xMode val="edge"/>
          <c:yMode val="edge"/>
          <c:x val="0.41509433962264236"/>
          <c:y val="1.9575856443719449E-2"/>
        </c:manualLayout>
      </c:layout>
      <c:overlay val="0"/>
      <c:spPr>
        <a:noFill/>
        <a:ln w="25400">
          <a:noFill/>
        </a:ln>
      </c:spPr>
    </c:title>
    <c:autoTitleDeleted val="0"/>
    <c:plotArea>
      <c:layout>
        <c:manualLayout>
          <c:layoutTarget val="inner"/>
          <c:xMode val="edge"/>
          <c:yMode val="edge"/>
          <c:x val="7.1032186459489471E-2"/>
          <c:y val="0.12234910277324648"/>
          <c:w val="0.90344062153163152"/>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Analysis'!$H$12:$H$110</c:f>
              <c:numCache>
                <c:formatCode>General</c:formatCode>
                <c:ptCount val="99"/>
                <c:pt idx="0">
                  <c:v>1.0986122886681098</c:v>
                </c:pt>
                <c:pt idx="1">
                  <c:v>1.0986122886681098</c:v>
                </c:pt>
                <c:pt idx="2">
                  <c:v>1.6094379124341003</c:v>
                </c:pt>
                <c:pt idx="3">
                  <c:v>1.6094379124341003</c:v>
                </c:pt>
                <c:pt idx="4">
                  <c:v>1.6094379124341003</c:v>
                </c:pt>
                <c:pt idx="5">
                  <c:v>1.6094379124341003</c:v>
                </c:pt>
                <c:pt idx="6">
                  <c:v>1.6094379124341003</c:v>
                </c:pt>
                <c:pt idx="7">
                  <c:v>1.6094379124341003</c:v>
                </c:pt>
                <c:pt idx="8">
                  <c:v>1.7749523509116738</c:v>
                </c:pt>
                <c:pt idx="9">
                  <c:v>1.7749523509116738</c:v>
                </c:pt>
                <c:pt idx="10">
                  <c:v>1.791759469228055</c:v>
                </c:pt>
                <c:pt idx="11">
                  <c:v>2.3025850929940459</c:v>
                </c:pt>
                <c:pt idx="12">
                  <c:v>2.3025850929940459</c:v>
                </c:pt>
                <c:pt idx="13">
                  <c:v>2.4849066497880004</c:v>
                </c:pt>
                <c:pt idx="14">
                  <c:v>2.7663191092261861</c:v>
                </c:pt>
                <c:pt idx="15">
                  <c:v>2.8332133440562162</c:v>
                </c:pt>
                <c:pt idx="16">
                  <c:v>2.8332133440562162</c:v>
                </c:pt>
                <c:pt idx="17">
                  <c:v>2.8622008809294686</c:v>
                </c:pt>
                <c:pt idx="18">
                  <c:v>2.9957322735539909</c:v>
                </c:pt>
                <c:pt idx="19">
                  <c:v>2.9957322735539909</c:v>
                </c:pt>
                <c:pt idx="20">
                  <c:v>3.1780538303479458</c:v>
                </c:pt>
                <c:pt idx="21">
                  <c:v>3.3775875160230218</c:v>
                </c:pt>
                <c:pt idx="22">
                  <c:v>3.8712010109078911</c:v>
                </c:pt>
              </c:numCache>
            </c:numRef>
          </c:yVal>
          <c:smooth val="0"/>
        </c:ser>
        <c:dLbls>
          <c:showLegendKey val="0"/>
          <c:showVal val="0"/>
          <c:showCatName val="0"/>
          <c:showSerName val="0"/>
          <c:showPercent val="0"/>
          <c:showBubbleSize val="0"/>
        </c:dLbls>
        <c:axId val="113086848"/>
        <c:axId val="113089152"/>
      </c:scatterChart>
      <c:valAx>
        <c:axId val="113086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38956714761376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089152"/>
        <c:crossesAt val="-4"/>
        <c:crossBetween val="midCat"/>
      </c:valAx>
      <c:valAx>
        <c:axId val="113089152"/>
        <c:scaling>
          <c:orientation val="minMax"/>
          <c:max val="4"/>
          <c:min val="1"/>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Ln(Length)</a:t>
                </a:r>
              </a:p>
            </c:rich>
          </c:tx>
          <c:layout>
            <c:manualLayout>
              <c:xMode val="edge"/>
              <c:yMode val="edge"/>
              <c:x val="1.2208657047724751E-2"/>
              <c:y val="0.4486133768352365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086848"/>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F4 Area Analysis</a:t>
            </a:r>
          </a:p>
        </c:rich>
      </c:tx>
      <c:layout>
        <c:manualLayout>
          <c:xMode val="edge"/>
          <c:yMode val="edge"/>
          <c:x val="0.42619311875693616"/>
          <c:y val="1.9575856443719449E-2"/>
        </c:manualLayout>
      </c:layout>
      <c:overlay val="0"/>
      <c:spPr>
        <a:noFill/>
        <a:ln w="25400">
          <a:noFill/>
        </a:ln>
      </c:spPr>
    </c:title>
    <c:autoTitleDeleted val="0"/>
    <c:plotArea>
      <c:layout>
        <c:manualLayout>
          <c:layoutTarget val="inner"/>
          <c:xMode val="edge"/>
          <c:yMode val="edge"/>
          <c:x val="7.5471698113207544E-2"/>
          <c:y val="0.12234910277324648"/>
          <c:w val="0.89900110987791171"/>
          <c:h val="0.77161500815660811"/>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'F4 - EF4 Analysis'!$F$12:$F$110</c:f>
              <c:numCache>
                <c:formatCode>General</c:formatCode>
                <c:ptCount val="99"/>
                <c:pt idx="0">
                  <c:v>-2.0190862005831423</c:v>
                </c:pt>
                <c:pt idx="1">
                  <c:v>-1.5123895860676801</c:v>
                </c:pt>
                <c:pt idx="2">
                  <c:v>-1.2334945619686917</c:v>
                </c:pt>
                <c:pt idx="3">
                  <c:v>-1.0271542729149992</c:v>
                </c:pt>
                <c:pt idx="4">
                  <c:v>-0.85725432022117776</c:v>
                </c:pt>
                <c:pt idx="5">
                  <c:v>-0.70910250340902359</c:v>
                </c:pt>
                <c:pt idx="6">
                  <c:v>-0.5751092812784383</c:v>
                </c:pt>
                <c:pt idx="7">
                  <c:v>-0.4507442126153593</c:v>
                </c:pt>
                <c:pt idx="8">
                  <c:v>-0.33300509819729662</c:v>
                </c:pt>
                <c:pt idx="9">
                  <c:v>-0.21972291581857983</c:v>
                </c:pt>
                <c:pt idx="10">
                  <c:v>-0.10920048169143172</c:v>
                </c:pt>
                <c:pt idx="11">
                  <c:v>0</c:v>
                </c:pt>
                <c:pt idx="12">
                  <c:v>0.10920048169143155</c:v>
                </c:pt>
                <c:pt idx="13">
                  <c:v>0.21972291581858003</c:v>
                </c:pt>
                <c:pt idx="14">
                  <c:v>0.33300509819729662</c:v>
                </c:pt>
                <c:pt idx="15">
                  <c:v>0.4507442126153593</c:v>
                </c:pt>
                <c:pt idx="16">
                  <c:v>0.57510928127843797</c:v>
                </c:pt>
                <c:pt idx="17">
                  <c:v>0.70910250340902437</c:v>
                </c:pt>
                <c:pt idx="18">
                  <c:v>0.85725432022117776</c:v>
                </c:pt>
                <c:pt idx="19">
                  <c:v>1.0271542729149992</c:v>
                </c:pt>
                <c:pt idx="20">
                  <c:v>1.233494561968691</c:v>
                </c:pt>
                <c:pt idx="21">
                  <c:v>1.5123895860676808</c:v>
                </c:pt>
                <c:pt idx="22">
                  <c:v>2.0190862005831423</c:v>
                </c:pt>
              </c:numCache>
            </c:numRef>
          </c:xVal>
          <c:yVal>
            <c:numRef>
              <c:f>'F4 - EF4 Analysis'!$I$12:$I$110</c:f>
              <c:numCache>
                <c:formatCode>General</c:formatCode>
                <c:ptCount val="99"/>
                <c:pt idx="0">
                  <c:v>-1.0761394328160512</c:v>
                </c:pt>
                <c:pt idx="1">
                  <c:v>-0.15984870094189613</c:v>
                </c:pt>
                <c:pt idx="2">
                  <c:v>0.53329847961804921</c:v>
                </c:pt>
                <c:pt idx="3">
                  <c:v>0.91629073187415511</c:v>
                </c:pt>
                <c:pt idx="4">
                  <c:v>0.91629073187415511</c:v>
                </c:pt>
                <c:pt idx="5">
                  <c:v>0.91629073187415511</c:v>
                </c:pt>
                <c:pt idx="6">
                  <c:v>0.99262026051692431</c:v>
                </c:pt>
                <c:pt idx="7">
                  <c:v>1.0818051703517284</c:v>
                </c:pt>
                <c:pt idx="8">
                  <c:v>1.0986122886681098</c:v>
                </c:pt>
                <c:pt idx="9">
                  <c:v>1.4872702784598928</c:v>
                </c:pt>
                <c:pt idx="10">
                  <c:v>1.503445884282915</c:v>
                </c:pt>
                <c:pt idx="11">
                  <c:v>1.6037398913194627</c:v>
                </c:pt>
                <c:pt idx="12">
                  <c:v>1.791759469228055</c:v>
                </c:pt>
                <c:pt idx="13">
                  <c:v>1.991293154903131</c:v>
                </c:pt>
                <c:pt idx="14">
                  <c:v>2.1400661634962708</c:v>
                </c:pt>
                <c:pt idx="15">
                  <c:v>2.1965930648428604</c:v>
                </c:pt>
                <c:pt idx="16">
                  <c:v>2.3025850929940459</c:v>
                </c:pt>
                <c:pt idx="17">
                  <c:v>2.3632097148104805</c:v>
                </c:pt>
                <c:pt idx="18">
                  <c:v>2.3895964699836756</c:v>
                </c:pt>
                <c:pt idx="19">
                  <c:v>2.3921972516837329</c:v>
                </c:pt>
                <c:pt idx="20">
                  <c:v>2.5257286443082556</c:v>
                </c:pt>
                <c:pt idx="21">
                  <c:v>2.7663191092261861</c:v>
                </c:pt>
                <c:pt idx="22">
                  <c:v>3.1780538303479458</c:v>
                </c:pt>
              </c:numCache>
            </c:numRef>
          </c:yVal>
          <c:smooth val="0"/>
        </c:ser>
        <c:dLbls>
          <c:showLegendKey val="0"/>
          <c:showVal val="0"/>
          <c:showCatName val="0"/>
          <c:showSerName val="0"/>
          <c:showPercent val="0"/>
          <c:showBubbleSize val="0"/>
        </c:dLbls>
        <c:axId val="113191168"/>
        <c:axId val="113193728"/>
      </c:scatterChart>
      <c:valAx>
        <c:axId val="1131911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Z Score</a:t>
                </a:r>
              </a:p>
            </c:rich>
          </c:tx>
          <c:layout>
            <c:manualLayout>
              <c:xMode val="edge"/>
              <c:yMode val="edge"/>
              <c:x val="0.49611542730299735"/>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193728"/>
        <c:crossesAt val="-10"/>
        <c:crossBetween val="midCat"/>
      </c:valAx>
      <c:valAx>
        <c:axId val="1131937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Ln(Area)</a:t>
                </a:r>
              </a:p>
            </c:rich>
          </c:tx>
          <c:layout>
            <c:manualLayout>
              <c:xMode val="edge"/>
              <c:yMode val="edge"/>
              <c:x val="1.2208657047724751E-2"/>
              <c:y val="0.460032626427406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3191168"/>
        <c:crossesAt val="-4"/>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TORNADOES BY MONTH
Amarillo NWS CWA</a:t>
            </a:r>
          </a:p>
        </c:rich>
      </c:tx>
      <c:layout>
        <c:manualLayout>
          <c:xMode val="edge"/>
          <c:yMode val="edge"/>
          <c:x val="0.31453389304255025"/>
          <c:y val="5.1655634679131333E-2"/>
        </c:manualLayout>
      </c:layout>
      <c:overlay val="0"/>
      <c:spPr>
        <a:noFill/>
        <a:ln w="38100">
          <a:solidFill>
            <a:srgbClr val="00FF00"/>
          </a:solidFill>
          <a:prstDash val="solid"/>
        </a:ln>
      </c:spPr>
    </c:title>
    <c:autoTitleDeleted val="0"/>
    <c:plotArea>
      <c:layout>
        <c:manualLayout>
          <c:layoutTarget val="inner"/>
          <c:xMode val="edge"/>
          <c:yMode val="edge"/>
          <c:x val="0.13417431192660537"/>
          <c:y val="0.27682119205298078"/>
          <c:w val="0.80045871559633031"/>
          <c:h val="0.46225165562913845"/>
        </c:manualLayout>
      </c:layout>
      <c:barChart>
        <c:barDir val="col"/>
        <c:grouping val="clustered"/>
        <c:varyColors val="0"/>
        <c:ser>
          <c:idx val="0"/>
          <c:order val="0"/>
          <c:spPr>
            <a:gradFill flip="none" rotWithShape="1">
              <a:gsLst>
                <a:gs pos="0">
                  <a:prstClr val="black"/>
                </a:gs>
                <a:gs pos="50000">
                  <a:srgbClr val="FFFF00"/>
                </a:gs>
                <a:gs pos="100000">
                  <a:prstClr val="black"/>
                </a:gs>
              </a:gsLst>
              <a:lin ang="0" scaled="1"/>
              <a:tileRect/>
            </a:gradFill>
            <a:ln w="25400">
              <a:noFill/>
            </a:ln>
          </c:spPr>
          <c:invertIfNegative val="0"/>
          <c:dLbls>
            <c:spPr>
              <a:noFill/>
              <a:ln w="25400">
                <a:noFill/>
              </a:ln>
            </c:spPr>
            <c:txPr>
              <a:bodyPr/>
              <a:lstStyle/>
              <a:p>
                <a:pPr>
                  <a:defRPr sz="1200" b="0" i="0" u="none" strike="noStrike" baseline="0">
                    <a:solidFill>
                      <a:srgbClr val="FF6600"/>
                    </a:solidFill>
                    <a:latin typeface="Arial"/>
                    <a:ea typeface="Arial"/>
                    <a:cs typeface="Arial"/>
                  </a:defRPr>
                </a:pPr>
                <a:endParaRPr lang="en-US"/>
              </a:p>
            </c:txPr>
            <c:showLegendKey val="0"/>
            <c:showVal val="1"/>
            <c:showCatName val="0"/>
            <c:showSerName val="0"/>
            <c:showPercent val="0"/>
            <c:showBubbleSize val="0"/>
            <c:showLeaderLines val="0"/>
          </c:dLbls>
          <c:cat>
            <c:strRef>
              <c:f>Graphs!$A$335:$A$346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Graphs!$C$335:$C$346</c:f>
              <c:numCache>
                <c:formatCode>0.0%</c:formatCode>
                <c:ptCount val="12"/>
                <c:pt idx="0">
                  <c:v>0</c:v>
                </c:pt>
                <c:pt idx="1">
                  <c:v>3.663003663003663E-3</c:v>
                </c:pt>
                <c:pt idx="2">
                  <c:v>3.388278388278388E-2</c:v>
                </c:pt>
                <c:pt idx="3">
                  <c:v>0.10164835164835165</c:v>
                </c:pt>
                <c:pt idx="4">
                  <c:v>0.39468864468864467</c:v>
                </c:pt>
                <c:pt idx="5">
                  <c:v>0.32600732600732601</c:v>
                </c:pt>
                <c:pt idx="6">
                  <c:v>5.7692307692307696E-2</c:v>
                </c:pt>
                <c:pt idx="7">
                  <c:v>3.2051282051282048E-2</c:v>
                </c:pt>
                <c:pt idx="8">
                  <c:v>1.4652014652014652E-2</c:v>
                </c:pt>
                <c:pt idx="9">
                  <c:v>1.3736263736263736E-2</c:v>
                </c:pt>
                <c:pt idx="10">
                  <c:v>1.8315018315018316E-2</c:v>
                </c:pt>
                <c:pt idx="11">
                  <c:v>3.663003663003663E-3</c:v>
                </c:pt>
              </c:numCache>
            </c:numRef>
          </c:val>
        </c:ser>
        <c:dLbls>
          <c:showLegendKey val="0"/>
          <c:showVal val="1"/>
          <c:showCatName val="0"/>
          <c:showSerName val="0"/>
          <c:showPercent val="0"/>
          <c:showBubbleSize val="0"/>
        </c:dLbls>
        <c:gapWidth val="150"/>
        <c:axId val="109547520"/>
        <c:axId val="109550592"/>
      </c:barChart>
      <c:catAx>
        <c:axId val="109547520"/>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a:solidFill>
                      <a:schemeClr val="bg1"/>
                    </a:solidFill>
                  </a:rPr>
                  <a:t>Month</a:t>
                </a:r>
              </a:p>
            </c:rich>
          </c:tx>
          <c:layout>
            <c:manualLayout>
              <c:xMode val="edge"/>
              <c:yMode val="edge"/>
              <c:x val="0.48279821489190822"/>
              <c:y val="0.91655634679131115"/>
            </c:manualLayout>
          </c:layout>
          <c:overlay val="0"/>
          <c:spPr>
            <a:noFill/>
            <a:ln w="25400">
              <a:noFill/>
            </a:ln>
          </c:spPr>
        </c:title>
        <c:numFmt formatCode="General" sourceLinked="1"/>
        <c:majorTickMark val="out"/>
        <c:minorTickMark val="none"/>
        <c:tickLblPos val="nextTo"/>
        <c:spPr>
          <a:ln w="25400">
            <a:solidFill>
              <a:srgbClr val="00CCFF"/>
            </a:solidFill>
            <a:prstDash val="solid"/>
          </a:ln>
        </c:spPr>
        <c:txPr>
          <a:bodyPr rot="-2700000" vert="horz"/>
          <a:lstStyle/>
          <a:p>
            <a:pPr>
              <a:defRPr sz="1100" b="1" i="0" u="none" strike="noStrike" baseline="0">
                <a:solidFill>
                  <a:srgbClr val="FF0000"/>
                </a:solidFill>
                <a:latin typeface="Arial"/>
                <a:ea typeface="Arial"/>
                <a:cs typeface="Arial"/>
              </a:defRPr>
            </a:pPr>
            <a:endParaRPr lang="en-US"/>
          </a:p>
        </c:txPr>
        <c:crossAx val="109550592"/>
        <c:crosses val="autoZero"/>
        <c:auto val="1"/>
        <c:lblAlgn val="ctr"/>
        <c:lblOffset val="0"/>
        <c:tickLblSkip val="1"/>
        <c:tickMarkSkip val="1"/>
        <c:noMultiLvlLbl val="0"/>
      </c:catAx>
      <c:valAx>
        <c:axId val="109550592"/>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solidFill>
                      <a:schemeClr val="bg1"/>
                    </a:solidFill>
                  </a:rPr>
                  <a:t>Percent of All Tornadoes</a:t>
                </a:r>
              </a:p>
            </c:rich>
          </c:tx>
          <c:layout>
            <c:manualLayout>
              <c:xMode val="edge"/>
              <c:yMode val="edge"/>
              <c:x val="6.7690040322246911E-3"/>
              <c:y val="0.28319038805408286"/>
            </c:manualLayout>
          </c:layout>
          <c:overlay val="0"/>
          <c:spPr>
            <a:noFill/>
            <a:ln w="25400">
              <a:noFill/>
            </a:ln>
          </c:spPr>
        </c:title>
        <c:numFmt formatCode="0.0%" sourceLinked="1"/>
        <c:majorTickMark val="out"/>
        <c:minorTickMark val="none"/>
        <c:tickLblPos val="nextTo"/>
        <c:spPr>
          <a:ln w="25400">
            <a:solidFill>
              <a:srgbClr val="00CCFF"/>
            </a:solidFill>
            <a:prstDash val="solid"/>
          </a:ln>
        </c:spPr>
        <c:txPr>
          <a:bodyPr rot="0" vert="horz"/>
          <a:lstStyle/>
          <a:p>
            <a:pPr>
              <a:defRPr sz="1000" b="1" i="0" u="none" strike="noStrike" baseline="0">
                <a:solidFill>
                  <a:srgbClr val="FF0000"/>
                </a:solidFill>
                <a:latin typeface="Arial"/>
                <a:ea typeface="Arial"/>
                <a:cs typeface="Arial"/>
              </a:defRPr>
            </a:pPr>
            <a:endParaRPr lang="en-US"/>
          </a:p>
        </c:txPr>
        <c:crossAx val="109547520"/>
        <c:crosses val="autoZero"/>
        <c:crossBetween val="between"/>
      </c:valAx>
      <c:spPr>
        <a:noFill/>
        <a:ln w="25400">
          <a:noFill/>
        </a:ln>
      </c:spPr>
    </c:plotArea>
    <c:plotVisOnly val="0"/>
    <c:dispBlanksAs val="gap"/>
    <c:showDLblsOverMax val="0"/>
  </c:chart>
  <c:spPr>
    <a:solidFill>
      <a:srgbClr val="002060"/>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TORNADOES BY HOUR
Amarillo NWS CWA</a:t>
            </a:r>
          </a:p>
        </c:rich>
      </c:tx>
      <c:layout>
        <c:manualLayout>
          <c:xMode val="edge"/>
          <c:yMode val="edge"/>
          <c:x val="0.33428251389836217"/>
          <c:y val="3.1796597944340928E-2"/>
        </c:manualLayout>
      </c:layout>
      <c:overlay val="0"/>
      <c:spPr>
        <a:noFill/>
        <a:ln w="38100">
          <a:solidFill>
            <a:srgbClr val="FFFF00"/>
          </a:solidFill>
          <a:prstDash val="solid"/>
        </a:ln>
      </c:spPr>
    </c:title>
    <c:autoTitleDeleted val="0"/>
    <c:plotArea>
      <c:layout>
        <c:manualLayout>
          <c:layoutTarget val="inner"/>
          <c:xMode val="edge"/>
          <c:yMode val="edge"/>
          <c:x val="0.14089362839797706"/>
          <c:y val="0.22098569157392717"/>
          <c:w val="0.83276152719779961"/>
          <c:h val="0.55325914149443567"/>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85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Graphs!$A$378:$A$401</c:f>
              <c:strCache>
                <c:ptCount val="24"/>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AM</c:v>
                </c:pt>
                <c:pt idx="13">
                  <c:v>1 PM</c:v>
                </c:pt>
                <c:pt idx="14">
                  <c:v>2 PM</c:v>
                </c:pt>
                <c:pt idx="15">
                  <c:v>3 PM</c:v>
                </c:pt>
                <c:pt idx="16">
                  <c:v>4 PM</c:v>
                </c:pt>
                <c:pt idx="17">
                  <c:v>5 PM</c:v>
                </c:pt>
                <c:pt idx="18">
                  <c:v>6 PM</c:v>
                </c:pt>
                <c:pt idx="19">
                  <c:v>7 PM</c:v>
                </c:pt>
                <c:pt idx="20">
                  <c:v>8 PM</c:v>
                </c:pt>
                <c:pt idx="21">
                  <c:v>9 PM</c:v>
                </c:pt>
                <c:pt idx="22">
                  <c:v>10 PM</c:v>
                </c:pt>
                <c:pt idx="23">
                  <c:v>11 PM</c:v>
                </c:pt>
              </c:strCache>
            </c:strRef>
          </c:cat>
          <c:val>
            <c:numRef>
              <c:f>Graphs!$C$378:$C$401</c:f>
              <c:numCache>
                <c:formatCode>0.0%</c:formatCode>
                <c:ptCount val="24"/>
                <c:pt idx="0">
                  <c:v>1.4652014652014652E-2</c:v>
                </c:pt>
                <c:pt idx="1">
                  <c:v>9.1575091575091579E-3</c:v>
                </c:pt>
                <c:pt idx="2">
                  <c:v>4.578754578754579E-3</c:v>
                </c:pt>
                <c:pt idx="3">
                  <c:v>2.7472527472527475E-3</c:v>
                </c:pt>
                <c:pt idx="4">
                  <c:v>9.1575091575091575E-4</c:v>
                </c:pt>
                <c:pt idx="5">
                  <c:v>0</c:v>
                </c:pt>
                <c:pt idx="6">
                  <c:v>9.1575091575091575E-4</c:v>
                </c:pt>
                <c:pt idx="7">
                  <c:v>1.8315018315018315E-3</c:v>
                </c:pt>
                <c:pt idx="8">
                  <c:v>1.8315018315018315E-3</c:v>
                </c:pt>
                <c:pt idx="9">
                  <c:v>1.8315018315018315E-3</c:v>
                </c:pt>
                <c:pt idx="10">
                  <c:v>0</c:v>
                </c:pt>
                <c:pt idx="11">
                  <c:v>1.8315018315018315E-3</c:v>
                </c:pt>
                <c:pt idx="12">
                  <c:v>1.0073260073260074E-2</c:v>
                </c:pt>
                <c:pt idx="13">
                  <c:v>2.2893772893772892E-2</c:v>
                </c:pt>
                <c:pt idx="14">
                  <c:v>4.1208791208791208E-2</c:v>
                </c:pt>
                <c:pt idx="15">
                  <c:v>7.5091575091575088E-2</c:v>
                </c:pt>
                <c:pt idx="16">
                  <c:v>0.13644688644688643</c:v>
                </c:pt>
                <c:pt idx="17">
                  <c:v>0.16483516483516483</c:v>
                </c:pt>
                <c:pt idx="18">
                  <c:v>0.17032967032967034</c:v>
                </c:pt>
                <c:pt idx="19">
                  <c:v>0.15018315018315018</c:v>
                </c:pt>
                <c:pt idx="20">
                  <c:v>8.7912087912087919E-2</c:v>
                </c:pt>
                <c:pt idx="21">
                  <c:v>4.5787545787545784E-2</c:v>
                </c:pt>
                <c:pt idx="22">
                  <c:v>2.7472527472527472E-2</c:v>
                </c:pt>
                <c:pt idx="23">
                  <c:v>2.7472527472527472E-2</c:v>
                </c:pt>
              </c:numCache>
            </c:numRef>
          </c:val>
        </c:ser>
        <c:dLbls>
          <c:showLegendKey val="0"/>
          <c:showVal val="1"/>
          <c:showCatName val="0"/>
          <c:showSerName val="0"/>
          <c:showPercent val="0"/>
          <c:showBubbleSize val="0"/>
        </c:dLbls>
        <c:gapWidth val="150"/>
        <c:axId val="109388544"/>
        <c:axId val="109408256"/>
      </c:barChart>
      <c:catAx>
        <c:axId val="109388544"/>
        <c:scaling>
          <c:orientation val="minMax"/>
        </c:scaling>
        <c:delete val="0"/>
        <c:axPos val="b"/>
        <c:title>
          <c:tx>
            <c:rich>
              <a:bodyPr/>
              <a:lstStyle/>
              <a:p>
                <a:pPr>
                  <a:defRPr sz="1400" b="1" i="0" u="none" strike="noStrike" baseline="0">
                    <a:solidFill>
                      <a:schemeClr val="bg2"/>
                    </a:solidFill>
                    <a:latin typeface="Arial"/>
                    <a:ea typeface="Arial"/>
                    <a:cs typeface="Arial"/>
                  </a:defRPr>
                </a:pPr>
                <a:r>
                  <a:rPr lang="en-US" sz="1400" b="1">
                    <a:solidFill>
                      <a:schemeClr val="bg2"/>
                    </a:solidFill>
                  </a:rPr>
                  <a:t>Hour (CST)</a:t>
                </a:r>
              </a:p>
            </c:rich>
          </c:tx>
          <c:layout>
            <c:manualLayout>
              <c:xMode val="edge"/>
              <c:yMode val="edge"/>
              <c:x val="0.48630499927666659"/>
              <c:y val="0.9195622207529375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5400000" vert="horz"/>
          <a:lstStyle/>
          <a:p>
            <a:pPr>
              <a:defRPr sz="1000" b="1" i="0" u="none" strike="noStrike" baseline="0">
                <a:solidFill>
                  <a:srgbClr val="00FFFF"/>
                </a:solidFill>
                <a:latin typeface="Arial"/>
                <a:ea typeface="Arial"/>
                <a:cs typeface="Arial"/>
              </a:defRPr>
            </a:pPr>
            <a:endParaRPr lang="en-US"/>
          </a:p>
        </c:txPr>
        <c:crossAx val="109408256"/>
        <c:crosses val="autoZero"/>
        <c:auto val="1"/>
        <c:lblAlgn val="ctr"/>
        <c:lblOffset val="100"/>
        <c:tickLblSkip val="1"/>
        <c:tickMarkSkip val="1"/>
        <c:noMultiLvlLbl val="0"/>
      </c:catAx>
      <c:valAx>
        <c:axId val="109408256"/>
        <c:scaling>
          <c:orientation val="minMax"/>
        </c:scaling>
        <c:delete val="0"/>
        <c:axPos val="l"/>
        <c:title>
          <c:tx>
            <c:rich>
              <a:bodyPr/>
              <a:lstStyle/>
              <a:p>
                <a:pPr>
                  <a:defRPr sz="1400" b="1" i="0" u="none" strike="noStrike" baseline="0">
                    <a:solidFill>
                      <a:srgbClr val="000000"/>
                    </a:solidFill>
                    <a:latin typeface="Arial"/>
                    <a:ea typeface="Arial"/>
                    <a:cs typeface="Arial"/>
                  </a:defRPr>
                </a:pPr>
                <a:r>
                  <a:rPr lang="en-US" sz="1400"/>
                  <a:t>Percent of all Tornadoes </a:t>
                </a:r>
              </a:p>
            </c:rich>
          </c:tx>
          <c:layout>
            <c:manualLayout>
              <c:xMode val="edge"/>
              <c:yMode val="edge"/>
              <c:x val="1.3530907061814123E-2"/>
              <c:y val="0.29410150067119473"/>
            </c:manualLayout>
          </c:layout>
          <c:overlay val="0"/>
          <c:spPr>
            <a:noFill/>
            <a:ln w="25400">
              <a:noFill/>
            </a:ln>
          </c:spPr>
        </c:title>
        <c:numFmt formatCode="0.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388544"/>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0000"/>
                </a:solidFill>
                <a:latin typeface="Arial"/>
                <a:ea typeface="Arial"/>
                <a:cs typeface="Arial"/>
              </a:defRPr>
            </a:pPr>
            <a:r>
              <a:rPr lang="en-US" sz="1400"/>
              <a:t>TORNADOES BY DAY OF THE MONTH</a:t>
            </a:r>
          </a:p>
          <a:p>
            <a:pPr>
              <a:defRPr sz="1400" b="0" i="0" u="none" strike="noStrike" baseline="0">
                <a:solidFill>
                  <a:srgbClr val="FF0000"/>
                </a:solidFill>
                <a:latin typeface="Arial"/>
                <a:ea typeface="Arial"/>
                <a:cs typeface="Arial"/>
              </a:defRPr>
            </a:pPr>
            <a:r>
              <a:rPr lang="en-US" sz="1400"/>
              <a:t>Amarillo NWS CWA</a:t>
            </a:r>
          </a:p>
        </c:rich>
      </c:tx>
      <c:layout>
        <c:manualLayout>
          <c:xMode val="edge"/>
          <c:yMode val="edge"/>
          <c:x val="0.22788720130362847"/>
          <c:y val="2.7692371786860064E-2"/>
        </c:manualLayout>
      </c:layout>
      <c:overlay val="0"/>
      <c:spPr>
        <a:noFill/>
        <a:ln w="38100">
          <a:solidFill>
            <a:srgbClr val="00FFFF"/>
          </a:solidFill>
          <a:prstDash val="solid"/>
        </a:ln>
      </c:spPr>
    </c:title>
    <c:autoTitleDeleted val="0"/>
    <c:plotArea>
      <c:layout>
        <c:manualLayout>
          <c:layoutTarget val="inner"/>
          <c:xMode val="edge"/>
          <c:yMode val="edge"/>
          <c:x val="0.1216992645504813"/>
          <c:y val="0.25384615384615383"/>
          <c:w val="0.86222780827746504"/>
          <c:h val="0.61076923076923073"/>
        </c:manualLayout>
      </c:layout>
      <c:barChart>
        <c:barDir val="col"/>
        <c:grouping val="clustered"/>
        <c:varyColors val="0"/>
        <c:ser>
          <c:idx val="0"/>
          <c:order val="0"/>
          <c:spPr>
            <a:gradFill rotWithShape="0">
              <a:gsLst>
                <a:gs pos="0">
                  <a:srgbClr val="0000FF"/>
                </a:gs>
                <a:gs pos="100000">
                  <a:srgbClr val="FFFF00"/>
                </a:gs>
              </a:gsLst>
              <a:lin ang="2700000" scaled="1"/>
            </a:gradFill>
            <a:ln w="12700">
              <a:solidFill>
                <a:srgbClr val="FF0000"/>
              </a:solidFill>
              <a:prstDash val="solid"/>
            </a:ln>
          </c:spPr>
          <c:invertIfNegative val="0"/>
          <c:val>
            <c:numRef>
              <c:f>Graphs!$C$498:$C$528</c:f>
              <c:numCache>
                <c:formatCode>0.0%</c:formatCode>
                <c:ptCount val="31"/>
                <c:pt idx="0">
                  <c:v>1.1904761904761904E-2</c:v>
                </c:pt>
                <c:pt idx="1">
                  <c:v>2.2893772893772892E-2</c:v>
                </c:pt>
                <c:pt idx="2">
                  <c:v>2.3809523809523808E-2</c:v>
                </c:pt>
                <c:pt idx="3">
                  <c:v>2.197802197802198E-2</c:v>
                </c:pt>
                <c:pt idx="4">
                  <c:v>4.6703296703296704E-2</c:v>
                </c:pt>
                <c:pt idx="5">
                  <c:v>2.1062271062271064E-2</c:v>
                </c:pt>
                <c:pt idx="6">
                  <c:v>3.021978021978022E-2</c:v>
                </c:pt>
                <c:pt idx="7">
                  <c:v>4.3956043956043959E-2</c:v>
                </c:pt>
                <c:pt idx="8">
                  <c:v>4.2124542124542128E-2</c:v>
                </c:pt>
                <c:pt idx="9">
                  <c:v>3.2051282051282048E-2</c:v>
                </c:pt>
                <c:pt idx="10">
                  <c:v>4.1208791208791208E-2</c:v>
                </c:pt>
                <c:pt idx="11">
                  <c:v>2.0146520146520148E-2</c:v>
                </c:pt>
                <c:pt idx="12">
                  <c:v>1.9230769230769232E-2</c:v>
                </c:pt>
                <c:pt idx="13">
                  <c:v>3.9377289377289376E-2</c:v>
                </c:pt>
                <c:pt idx="14">
                  <c:v>6.2271062271062272E-2</c:v>
                </c:pt>
                <c:pt idx="15">
                  <c:v>5.9523809523809521E-2</c:v>
                </c:pt>
                <c:pt idx="16">
                  <c:v>3.2967032967032968E-2</c:v>
                </c:pt>
                <c:pt idx="17">
                  <c:v>3.2967032967032968E-2</c:v>
                </c:pt>
                <c:pt idx="18">
                  <c:v>3.7545787545787544E-2</c:v>
                </c:pt>
                <c:pt idx="19">
                  <c:v>1.282051282051282E-2</c:v>
                </c:pt>
                <c:pt idx="20">
                  <c:v>3.7545787545787544E-2</c:v>
                </c:pt>
                <c:pt idx="21">
                  <c:v>3.021978021978022E-2</c:v>
                </c:pt>
                <c:pt idx="22">
                  <c:v>3.47985347985348E-2</c:v>
                </c:pt>
                <c:pt idx="23">
                  <c:v>3.6630036630036632E-2</c:v>
                </c:pt>
                <c:pt idx="24">
                  <c:v>3.8461538461538464E-2</c:v>
                </c:pt>
                <c:pt idx="25">
                  <c:v>1.73992673992674E-2</c:v>
                </c:pt>
                <c:pt idx="26">
                  <c:v>2.8388278388278388E-2</c:v>
                </c:pt>
                <c:pt idx="27">
                  <c:v>3.8461538461538464E-2</c:v>
                </c:pt>
                <c:pt idx="28">
                  <c:v>3.47985347985348E-2</c:v>
                </c:pt>
                <c:pt idx="29">
                  <c:v>1.9230769230769232E-2</c:v>
                </c:pt>
                <c:pt idx="30">
                  <c:v>2.9304029304029304E-2</c:v>
                </c:pt>
              </c:numCache>
            </c:numRef>
          </c:val>
        </c:ser>
        <c:dLbls>
          <c:showLegendKey val="0"/>
          <c:showVal val="0"/>
          <c:showCatName val="0"/>
          <c:showSerName val="0"/>
          <c:showPercent val="0"/>
          <c:showBubbleSize val="0"/>
        </c:dLbls>
        <c:gapWidth val="150"/>
        <c:axId val="109424000"/>
        <c:axId val="109581824"/>
      </c:barChart>
      <c:catAx>
        <c:axId val="109424000"/>
        <c:scaling>
          <c:orientation val="minMax"/>
        </c:scaling>
        <c:delete val="0"/>
        <c:axPos val="b"/>
        <c:title>
          <c:tx>
            <c:rich>
              <a:bodyPr/>
              <a:lstStyle/>
              <a:p>
                <a:pPr>
                  <a:defRPr sz="1400" b="1" i="0" u="none" strike="noStrike" baseline="0">
                    <a:solidFill>
                      <a:srgbClr val="FFFF00"/>
                    </a:solidFill>
                    <a:latin typeface="Arial"/>
                    <a:ea typeface="Arial"/>
                    <a:cs typeface="Arial"/>
                  </a:defRPr>
                </a:pPr>
                <a:r>
                  <a:rPr lang="en-US" sz="1400"/>
                  <a:t>Day of the Month</a:t>
                </a:r>
              </a:p>
            </c:rich>
          </c:tx>
          <c:layout>
            <c:manualLayout>
              <c:xMode val="edge"/>
              <c:yMode val="edge"/>
              <c:x val="0.4407564694223649"/>
              <c:y val="0.93058201058201051"/>
            </c:manualLayout>
          </c:layout>
          <c:overlay val="0"/>
          <c:spPr>
            <a:noFill/>
            <a:ln w="25400">
              <a:noFill/>
            </a:ln>
          </c:spPr>
        </c:title>
        <c:numFmt formatCode="General" sourceLinked="1"/>
        <c:majorTickMark val="out"/>
        <c:minorTickMark val="none"/>
        <c:tickLblPos val="nextTo"/>
        <c:spPr>
          <a:ln w="254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581824"/>
        <c:crosses val="autoZero"/>
        <c:auto val="1"/>
        <c:lblAlgn val="ctr"/>
        <c:lblOffset val="100"/>
        <c:tickLblSkip val="1"/>
        <c:tickMarkSkip val="1"/>
        <c:noMultiLvlLbl val="0"/>
      </c:catAx>
      <c:valAx>
        <c:axId val="109581824"/>
        <c:scaling>
          <c:orientation val="minMax"/>
          <c:max val="0.1"/>
        </c:scaling>
        <c:delete val="0"/>
        <c:axPos val="l"/>
        <c:title>
          <c:tx>
            <c:rich>
              <a:bodyPr/>
              <a:lstStyle/>
              <a:p>
                <a:pPr>
                  <a:defRPr sz="1400" b="1" i="0" u="none" strike="noStrike" baseline="0">
                    <a:solidFill>
                      <a:srgbClr val="FFFF00"/>
                    </a:solidFill>
                    <a:latin typeface="Arial"/>
                    <a:ea typeface="Arial"/>
                    <a:cs typeface="Arial"/>
                  </a:defRPr>
                </a:pPr>
                <a:r>
                  <a:rPr lang="en-US" sz="1400"/>
                  <a:t>Percentage of All Tornadoes</a:t>
                </a:r>
              </a:p>
            </c:rich>
          </c:tx>
          <c:layout>
            <c:manualLayout>
              <c:xMode val="edge"/>
              <c:yMode val="edge"/>
              <c:x val="1.650599362283509E-3"/>
              <c:y val="0.30039078448527323"/>
            </c:manualLayout>
          </c:layout>
          <c:overlay val="0"/>
          <c:spPr>
            <a:noFill/>
            <a:ln w="25400">
              <a:noFill/>
            </a:ln>
          </c:spPr>
        </c:title>
        <c:numFmt formatCode="0.0%" sourceLinked="1"/>
        <c:majorTickMark val="out"/>
        <c:minorTickMark val="none"/>
        <c:tickLblPos val="nextTo"/>
        <c:spPr>
          <a:ln w="254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424000"/>
        <c:crosses val="autoZero"/>
        <c:crossBetween val="between"/>
      </c:valAx>
      <c:spPr>
        <a:noFill/>
        <a:ln w="25400">
          <a:noFill/>
        </a:ln>
      </c:spPr>
    </c:plotArea>
    <c:plotVisOnly val="1"/>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00FF"/>
                </a:solidFill>
                <a:latin typeface="Arial"/>
                <a:ea typeface="Arial"/>
                <a:cs typeface="Arial"/>
              </a:defRPr>
            </a:pPr>
            <a:r>
              <a:rPr lang="en-US" sz="1400"/>
              <a:t>TORNADO SEGMENTS BY COUNTY
Amarillo NWS CWA</a:t>
            </a:r>
          </a:p>
        </c:rich>
      </c:tx>
      <c:layout>
        <c:manualLayout>
          <c:xMode val="edge"/>
          <c:yMode val="edge"/>
          <c:x val="0.32540521902485969"/>
          <c:y val="2.7456567929008881E-2"/>
        </c:manualLayout>
      </c:layout>
      <c:overlay val="0"/>
      <c:spPr>
        <a:noFill/>
        <a:ln w="38100">
          <a:solidFill>
            <a:srgbClr val="FF6600"/>
          </a:solidFill>
          <a:prstDash val="solid"/>
        </a:ln>
      </c:spPr>
    </c:title>
    <c:autoTitleDeleted val="0"/>
    <c:plotArea>
      <c:layout>
        <c:manualLayout>
          <c:layoutTarget val="inner"/>
          <c:xMode val="edge"/>
          <c:yMode val="edge"/>
          <c:x val="8.1996506305448524E-2"/>
          <c:y val="0.20664739884393113"/>
          <c:w val="0.89839650386839198"/>
          <c:h val="0.54768786127167635"/>
        </c:manualLayout>
      </c:layout>
      <c:barChart>
        <c:barDir val="col"/>
        <c:grouping val="clustered"/>
        <c:varyColors val="0"/>
        <c:ser>
          <c:idx val="0"/>
          <c:order val="0"/>
          <c:spPr>
            <a:gradFill rotWithShape="0">
              <a:gsLst>
                <a:gs pos="0">
                  <a:srgbClr val="9999FF"/>
                </a:gs>
                <a:gs pos="100000">
                  <a:srgbClr val="CCFFCC"/>
                </a:gs>
              </a:gsLst>
              <a:lin ang="5400000" scaled="1"/>
            </a:gradFill>
            <a:ln w="25400">
              <a:noFill/>
            </a:ln>
          </c:spPr>
          <c:invertIfNegative val="0"/>
          <c:dLbls>
            <c:spPr>
              <a:noFill/>
              <a:ln w="25400">
                <a:noFill/>
              </a:ln>
            </c:spPr>
            <c:txPr>
              <a:bodyPr/>
              <a:lstStyle/>
              <a:p>
                <a:pPr>
                  <a:defRPr sz="12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Graphs!$A$182:$A$204</c:f>
              <c:strCache>
                <c:ptCount val="23"/>
                <c:pt idx="0">
                  <c:v>Carson</c:v>
                </c:pt>
                <c:pt idx="1">
                  <c:v>Gray</c:v>
                </c:pt>
                <c:pt idx="2">
                  <c:v>Randall</c:v>
                </c:pt>
                <c:pt idx="3">
                  <c:v>Hutchinson</c:v>
                </c:pt>
                <c:pt idx="4">
                  <c:v>Texas</c:v>
                </c:pt>
                <c:pt idx="5">
                  <c:v>Beaver</c:v>
                </c:pt>
                <c:pt idx="6">
                  <c:v>Hansford</c:v>
                </c:pt>
                <c:pt idx="7">
                  <c:v>Ochiltree</c:v>
                </c:pt>
                <c:pt idx="8">
                  <c:v>Donley</c:v>
                </c:pt>
                <c:pt idx="9">
                  <c:v>Moore</c:v>
                </c:pt>
                <c:pt idx="10">
                  <c:v>Wheeler</c:v>
                </c:pt>
                <c:pt idx="11">
                  <c:v>Hemphill</c:v>
                </c:pt>
                <c:pt idx="12">
                  <c:v>Cimarron</c:v>
                </c:pt>
                <c:pt idx="13">
                  <c:v>Collingsworth</c:v>
                </c:pt>
                <c:pt idx="14">
                  <c:v>Armstrong</c:v>
                </c:pt>
                <c:pt idx="15">
                  <c:v>Sherman</c:v>
                </c:pt>
                <c:pt idx="16">
                  <c:v>Deaf Smith</c:v>
                </c:pt>
                <c:pt idx="17">
                  <c:v>Roberts</c:v>
                </c:pt>
                <c:pt idx="18">
                  <c:v>Potter</c:v>
                </c:pt>
                <c:pt idx="19">
                  <c:v>Lipscomb</c:v>
                </c:pt>
                <c:pt idx="20">
                  <c:v>Hartley</c:v>
                </c:pt>
                <c:pt idx="21">
                  <c:v>Dallam</c:v>
                </c:pt>
                <c:pt idx="22">
                  <c:v>Oldham</c:v>
                </c:pt>
              </c:strCache>
            </c:strRef>
          </c:cat>
          <c:val>
            <c:numRef>
              <c:f>Graphs!$H$182:$H$204</c:f>
              <c:numCache>
                <c:formatCode>General</c:formatCode>
                <c:ptCount val="23"/>
                <c:pt idx="0">
                  <c:v>85</c:v>
                </c:pt>
                <c:pt idx="1">
                  <c:v>81</c:v>
                </c:pt>
                <c:pt idx="2">
                  <c:v>74</c:v>
                </c:pt>
                <c:pt idx="3">
                  <c:v>69</c:v>
                </c:pt>
                <c:pt idx="4">
                  <c:v>68</c:v>
                </c:pt>
                <c:pt idx="5">
                  <c:v>67</c:v>
                </c:pt>
                <c:pt idx="6">
                  <c:v>56</c:v>
                </c:pt>
                <c:pt idx="7">
                  <c:v>55</c:v>
                </c:pt>
                <c:pt idx="8">
                  <c:v>54</c:v>
                </c:pt>
                <c:pt idx="9">
                  <c:v>53</c:v>
                </c:pt>
                <c:pt idx="10">
                  <c:v>49</c:v>
                </c:pt>
                <c:pt idx="11">
                  <c:v>44</c:v>
                </c:pt>
                <c:pt idx="12">
                  <c:v>38</c:v>
                </c:pt>
                <c:pt idx="13">
                  <c:v>38</c:v>
                </c:pt>
                <c:pt idx="14">
                  <c:v>38</c:v>
                </c:pt>
                <c:pt idx="15">
                  <c:v>38</c:v>
                </c:pt>
                <c:pt idx="16">
                  <c:v>37</c:v>
                </c:pt>
                <c:pt idx="17">
                  <c:v>37</c:v>
                </c:pt>
                <c:pt idx="18">
                  <c:v>36</c:v>
                </c:pt>
                <c:pt idx="19">
                  <c:v>35</c:v>
                </c:pt>
                <c:pt idx="20">
                  <c:v>34</c:v>
                </c:pt>
                <c:pt idx="21">
                  <c:v>29</c:v>
                </c:pt>
                <c:pt idx="22">
                  <c:v>19</c:v>
                </c:pt>
              </c:numCache>
            </c:numRef>
          </c:val>
        </c:ser>
        <c:dLbls>
          <c:showLegendKey val="0"/>
          <c:showVal val="1"/>
          <c:showCatName val="0"/>
          <c:showSerName val="0"/>
          <c:showPercent val="0"/>
          <c:showBubbleSize val="0"/>
        </c:dLbls>
        <c:gapWidth val="150"/>
        <c:axId val="109606016"/>
        <c:axId val="109621632"/>
      </c:barChart>
      <c:catAx>
        <c:axId val="109606016"/>
        <c:scaling>
          <c:orientation val="minMax"/>
        </c:scaling>
        <c:delete val="0"/>
        <c:axPos val="b"/>
        <c:title>
          <c:tx>
            <c:rich>
              <a:bodyPr/>
              <a:lstStyle/>
              <a:p>
                <a:pPr>
                  <a:defRPr sz="1400" b="1" i="0" u="none" strike="noStrike" baseline="0">
                    <a:solidFill>
                      <a:srgbClr val="FFFFFF"/>
                    </a:solidFill>
                    <a:latin typeface="Arial"/>
                    <a:ea typeface="Arial"/>
                    <a:cs typeface="Arial"/>
                  </a:defRPr>
                </a:pPr>
                <a:r>
                  <a:rPr lang="en-US" sz="1400"/>
                  <a:t>County</a:t>
                </a:r>
              </a:p>
            </c:rich>
          </c:tx>
          <c:layout>
            <c:manualLayout>
              <c:xMode val="edge"/>
              <c:yMode val="edge"/>
              <c:x val="0.49643538045852975"/>
              <c:y val="0.93930638670166045"/>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2700000" vert="horz"/>
          <a:lstStyle/>
          <a:p>
            <a:pPr>
              <a:defRPr sz="1000" b="1" i="0" u="none" strike="noStrike" baseline="0">
                <a:solidFill>
                  <a:srgbClr val="FFFFFF"/>
                </a:solidFill>
                <a:latin typeface="Arial"/>
                <a:ea typeface="Arial"/>
                <a:cs typeface="Arial"/>
              </a:defRPr>
            </a:pPr>
            <a:endParaRPr lang="en-US"/>
          </a:p>
        </c:txPr>
        <c:crossAx val="109621632"/>
        <c:crosses val="autoZero"/>
        <c:auto val="1"/>
        <c:lblAlgn val="ctr"/>
        <c:lblOffset val="100"/>
        <c:tickLblSkip val="1"/>
        <c:tickMarkSkip val="1"/>
        <c:noMultiLvlLbl val="0"/>
      </c:catAx>
      <c:valAx>
        <c:axId val="109621632"/>
        <c:scaling>
          <c:orientation val="minMax"/>
        </c:scaling>
        <c:delete val="0"/>
        <c:axPos val="l"/>
        <c:title>
          <c:tx>
            <c:rich>
              <a:bodyPr/>
              <a:lstStyle/>
              <a:p>
                <a:pPr>
                  <a:defRPr sz="1400" b="1" i="0" u="none" strike="noStrike" baseline="0">
                    <a:solidFill>
                      <a:srgbClr val="FFFFFF"/>
                    </a:solidFill>
                    <a:latin typeface="Arial"/>
                    <a:ea typeface="Arial"/>
                    <a:cs typeface="Arial"/>
                  </a:defRPr>
                </a:pPr>
                <a:r>
                  <a:rPr lang="en-US" sz="1400"/>
                  <a:t>Total Number of Tornadoes </a:t>
                </a:r>
              </a:p>
            </c:rich>
          </c:tx>
          <c:layout>
            <c:manualLayout>
              <c:xMode val="edge"/>
              <c:yMode val="edge"/>
              <c:x val="5.3475535263641334E-3"/>
              <c:y val="0.27601149856267981"/>
            </c:manualLayout>
          </c:layout>
          <c:overlay val="0"/>
          <c:spPr>
            <a:noFill/>
            <a:ln w="25400">
              <a:noFill/>
            </a:ln>
          </c:spPr>
        </c:title>
        <c:numFmt formatCode="General" sourceLinked="1"/>
        <c:majorTickMark val="out"/>
        <c:minorTickMark val="none"/>
        <c:tickLblPos val="nextTo"/>
        <c:spPr>
          <a:ln w="25400">
            <a:solidFill>
              <a:srgbClr val="FFFFFF"/>
            </a:solidFill>
            <a:prstDash val="solid"/>
          </a:ln>
        </c:spPr>
        <c:txPr>
          <a:bodyPr rot="0" vert="horz"/>
          <a:lstStyle/>
          <a:p>
            <a:pPr>
              <a:defRPr sz="1100" b="1" i="0" u="none" strike="noStrike" baseline="0">
                <a:solidFill>
                  <a:srgbClr val="FFFFFF"/>
                </a:solidFill>
                <a:latin typeface="Arial"/>
                <a:ea typeface="Arial"/>
                <a:cs typeface="Arial"/>
              </a:defRPr>
            </a:pPr>
            <a:endParaRPr lang="en-US"/>
          </a:p>
        </c:txPr>
        <c:crossAx val="109606016"/>
        <c:crosses val="autoZero"/>
        <c:crossBetween val="between"/>
      </c:valAx>
      <c:spPr>
        <a:noFill/>
        <a:ln w="25400">
          <a:noFill/>
        </a:ln>
      </c:spPr>
    </c:plotArea>
    <c:plotVisOnly val="0"/>
    <c:dispBlanksAs val="gap"/>
    <c:showDLblsOverMax val="0"/>
  </c:chart>
  <c:spPr>
    <a:blipFill dpi="0" rotWithShape="0">
      <a:blip xmlns:r="http://schemas.openxmlformats.org/officeDocument/2006/relationships" r:embed="rId1"/>
      <a:srcRect/>
      <a:stretch>
        <a:fillRect/>
      </a:stretch>
    </a:blipFill>
    <a:ln w="9525">
      <a:noFill/>
    </a:ln>
  </c:spPr>
  <c:txPr>
    <a:bodyPr/>
    <a:lstStyle/>
    <a:p>
      <a:pPr>
        <a:defRPr sz="1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FFFF00"/>
                </a:solidFill>
                <a:latin typeface="Arial"/>
                <a:ea typeface="Arial"/>
                <a:cs typeface="Arial"/>
              </a:defRPr>
            </a:pPr>
            <a:r>
              <a:rPr lang="en-US" sz="1400"/>
              <a:t>F0 / EF0  TORNADOES BY YEAR
Amarillo NWS CWA</a:t>
            </a:r>
          </a:p>
        </c:rich>
      </c:tx>
      <c:layout>
        <c:manualLayout>
          <c:xMode val="edge"/>
          <c:yMode val="edge"/>
          <c:x val="0.33653258918256096"/>
          <c:y val="1.6339029765567926E-2"/>
        </c:manualLayout>
      </c:layout>
      <c:overlay val="0"/>
      <c:spPr>
        <a:noFill/>
        <a:ln w="38100">
          <a:solidFill>
            <a:srgbClr val="CCFFFF"/>
          </a:solidFill>
          <a:prstDash val="solid"/>
        </a:ln>
      </c:spPr>
    </c:title>
    <c:autoTitleDeleted val="0"/>
    <c:plotArea>
      <c:layout>
        <c:manualLayout>
          <c:layoutTarget val="inner"/>
          <c:xMode val="edge"/>
          <c:yMode val="edge"/>
          <c:x val="6.9357814471836796E-2"/>
          <c:y val="0.12837837837837837"/>
          <c:w val="0.90487845339874406"/>
          <c:h val="0.7972972972972977"/>
        </c:manualLayout>
      </c:layout>
      <c:lineChart>
        <c:grouping val="standard"/>
        <c:varyColors val="0"/>
        <c:ser>
          <c:idx val="0"/>
          <c:order val="0"/>
          <c:tx>
            <c:v>Annual Total</c:v>
          </c:tx>
          <c:spPr>
            <a:ln w="25400">
              <a:solidFill>
                <a:srgbClr val="FFFFFF"/>
              </a:solidFill>
              <a:prstDash val="solid"/>
            </a:ln>
          </c:spPr>
          <c:marker>
            <c:symbol val="diamond"/>
            <c:size val="9"/>
            <c:spPr>
              <a:solidFill>
                <a:srgbClr val="FF6600"/>
              </a:solidFill>
              <a:ln>
                <a:solidFill>
                  <a:srgbClr val="FFFF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Tornadoes'!$C$12:$C$87</c:f>
              <c:numCache>
                <c:formatCode>0</c:formatCode>
                <c:ptCount val="76"/>
                <c:pt idx="0">
                  <c:v>1</c:v>
                </c:pt>
                <c:pt idx="1">
                  <c:v>1</c:v>
                </c:pt>
                <c:pt idx="2">
                  <c:v>0</c:v>
                </c:pt>
                <c:pt idx="3">
                  <c:v>1</c:v>
                </c:pt>
                <c:pt idx="4">
                  <c:v>1</c:v>
                </c:pt>
                <c:pt idx="5">
                  <c:v>12</c:v>
                </c:pt>
                <c:pt idx="6">
                  <c:v>1</c:v>
                </c:pt>
                <c:pt idx="7">
                  <c:v>3</c:v>
                </c:pt>
                <c:pt idx="8">
                  <c:v>4</c:v>
                </c:pt>
                <c:pt idx="9">
                  <c:v>2</c:v>
                </c:pt>
                <c:pt idx="10">
                  <c:v>6</c:v>
                </c:pt>
                <c:pt idx="11">
                  <c:v>5</c:v>
                </c:pt>
                <c:pt idx="12">
                  <c:v>9</c:v>
                </c:pt>
                <c:pt idx="13">
                  <c:v>2</c:v>
                </c:pt>
                <c:pt idx="14">
                  <c:v>3</c:v>
                </c:pt>
                <c:pt idx="15">
                  <c:v>6</c:v>
                </c:pt>
                <c:pt idx="16">
                  <c:v>8</c:v>
                </c:pt>
                <c:pt idx="17">
                  <c:v>14</c:v>
                </c:pt>
                <c:pt idx="18">
                  <c:v>17</c:v>
                </c:pt>
                <c:pt idx="19">
                  <c:v>14</c:v>
                </c:pt>
                <c:pt idx="20">
                  <c:v>1</c:v>
                </c:pt>
                <c:pt idx="21">
                  <c:v>4</c:v>
                </c:pt>
                <c:pt idx="22">
                  <c:v>1</c:v>
                </c:pt>
                <c:pt idx="23">
                  <c:v>1</c:v>
                </c:pt>
                <c:pt idx="24">
                  <c:v>6</c:v>
                </c:pt>
                <c:pt idx="25">
                  <c:v>10</c:v>
                </c:pt>
                <c:pt idx="26">
                  <c:v>9</c:v>
                </c:pt>
                <c:pt idx="27">
                  <c:v>7</c:v>
                </c:pt>
                <c:pt idx="28">
                  <c:v>14</c:v>
                </c:pt>
                <c:pt idx="29">
                  <c:v>10</c:v>
                </c:pt>
                <c:pt idx="30">
                  <c:v>6</c:v>
                </c:pt>
                <c:pt idx="31">
                  <c:v>10</c:v>
                </c:pt>
                <c:pt idx="32">
                  <c:v>19</c:v>
                </c:pt>
                <c:pt idx="33">
                  <c:v>8</c:v>
                </c:pt>
                <c:pt idx="34">
                  <c:v>6</c:v>
                </c:pt>
                <c:pt idx="35">
                  <c:v>3</c:v>
                </c:pt>
                <c:pt idx="36">
                  <c:v>14</c:v>
                </c:pt>
                <c:pt idx="37">
                  <c:v>13</c:v>
                </c:pt>
                <c:pt idx="38">
                  <c:v>2</c:v>
                </c:pt>
                <c:pt idx="39">
                  <c:v>23</c:v>
                </c:pt>
                <c:pt idx="40">
                  <c:v>24</c:v>
                </c:pt>
                <c:pt idx="41">
                  <c:v>19</c:v>
                </c:pt>
                <c:pt idx="42">
                  <c:v>13</c:v>
                </c:pt>
                <c:pt idx="43">
                  <c:v>12</c:v>
                </c:pt>
                <c:pt idx="44">
                  <c:v>3</c:v>
                </c:pt>
                <c:pt idx="45">
                  <c:v>25</c:v>
                </c:pt>
                <c:pt idx="46">
                  <c:v>32</c:v>
                </c:pt>
                <c:pt idx="47">
                  <c:v>22</c:v>
                </c:pt>
                <c:pt idx="48">
                  <c:v>1</c:v>
                </c:pt>
                <c:pt idx="49">
                  <c:v>25</c:v>
                </c:pt>
                <c:pt idx="50">
                  <c:v>7</c:v>
                </c:pt>
                <c:pt idx="51">
                  <c:v>13</c:v>
                </c:pt>
                <c:pt idx="52">
                  <c:v>19</c:v>
                </c:pt>
                <c:pt idx="53">
                  <c:v>27</c:v>
                </c:pt>
                <c:pt idx="54">
                  <c:v>13</c:v>
                </c:pt>
                <c:pt idx="55">
                  <c:v>15</c:v>
                </c:pt>
                <c:pt idx="56">
                  <c:v>12</c:v>
                </c:pt>
                <c:pt idx="57">
                  <c:v>30</c:v>
                </c:pt>
                <c:pt idx="58">
                  <c:v>10</c:v>
                </c:pt>
                <c:pt idx="59">
                  <c:v>10</c:v>
                </c:pt>
                <c:pt idx="60">
                  <c:v>34</c:v>
                </c:pt>
                <c:pt idx="61">
                  <c:v>4</c:v>
                </c:pt>
                <c:pt idx="62">
                  <c:v>5</c:v>
                </c:pt>
                <c:pt idx="63">
                  <c:v>7</c:v>
                </c:pt>
                <c:pt idx="64">
                  <c:v>9</c:v>
                </c:pt>
                <c:pt idx="65">
                  <c:v>22</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Tornadoes'!$N$12:$N$87</c:f>
              <c:numCache>
                <c:formatCode>0.0</c:formatCode>
                <c:ptCount val="76"/>
                <c:pt idx="0">
                  <c:v>1</c:v>
                </c:pt>
                <c:pt idx="1">
                  <c:v>1</c:v>
                </c:pt>
                <c:pt idx="2">
                  <c:v>0.66666666666666663</c:v>
                </c:pt>
                <c:pt idx="3">
                  <c:v>0.75</c:v>
                </c:pt>
                <c:pt idx="4">
                  <c:v>0.8</c:v>
                </c:pt>
                <c:pt idx="5">
                  <c:v>2.6666666666666665</c:v>
                </c:pt>
                <c:pt idx="6">
                  <c:v>2.4285714285714284</c:v>
                </c:pt>
                <c:pt idx="7">
                  <c:v>2.5</c:v>
                </c:pt>
                <c:pt idx="8">
                  <c:v>2.6666666666666665</c:v>
                </c:pt>
                <c:pt idx="9">
                  <c:v>2.6</c:v>
                </c:pt>
                <c:pt idx="10">
                  <c:v>2.9090909090909092</c:v>
                </c:pt>
                <c:pt idx="11">
                  <c:v>3.0833333333333335</c:v>
                </c:pt>
                <c:pt idx="12">
                  <c:v>3.5384615384615383</c:v>
                </c:pt>
                <c:pt idx="13">
                  <c:v>3.4285714285714284</c:v>
                </c:pt>
                <c:pt idx="14">
                  <c:v>3.4</c:v>
                </c:pt>
                <c:pt idx="15">
                  <c:v>3.5625</c:v>
                </c:pt>
                <c:pt idx="16">
                  <c:v>3.8235294117647061</c:v>
                </c:pt>
                <c:pt idx="17">
                  <c:v>4.3888888888888893</c:v>
                </c:pt>
                <c:pt idx="18">
                  <c:v>5.0526315789473681</c:v>
                </c:pt>
                <c:pt idx="19">
                  <c:v>5.5</c:v>
                </c:pt>
                <c:pt idx="20">
                  <c:v>5.2857142857142856</c:v>
                </c:pt>
                <c:pt idx="21">
                  <c:v>5.2272727272727275</c:v>
                </c:pt>
                <c:pt idx="22">
                  <c:v>5.0434782608695654</c:v>
                </c:pt>
                <c:pt idx="23">
                  <c:v>4.875</c:v>
                </c:pt>
                <c:pt idx="24">
                  <c:v>4.92</c:v>
                </c:pt>
                <c:pt idx="25">
                  <c:v>5.115384615384615</c:v>
                </c:pt>
                <c:pt idx="26">
                  <c:v>5.2592592592592595</c:v>
                </c:pt>
                <c:pt idx="27">
                  <c:v>5.3214285714285712</c:v>
                </c:pt>
                <c:pt idx="28">
                  <c:v>5.6206896551724137</c:v>
                </c:pt>
                <c:pt idx="29">
                  <c:v>5.7666666666666666</c:v>
                </c:pt>
                <c:pt idx="30">
                  <c:v>5.774193548387097</c:v>
                </c:pt>
                <c:pt idx="31">
                  <c:v>5.90625</c:v>
                </c:pt>
                <c:pt idx="32">
                  <c:v>6.3030303030303028</c:v>
                </c:pt>
                <c:pt idx="33">
                  <c:v>6.3529411764705879</c:v>
                </c:pt>
                <c:pt idx="34">
                  <c:v>6.3428571428571425</c:v>
                </c:pt>
                <c:pt idx="35">
                  <c:v>6.25</c:v>
                </c:pt>
                <c:pt idx="36">
                  <c:v>6.4594594594594597</c:v>
                </c:pt>
                <c:pt idx="37">
                  <c:v>6.6315789473684212</c:v>
                </c:pt>
                <c:pt idx="38">
                  <c:v>6.5128205128205128</c:v>
                </c:pt>
                <c:pt idx="39">
                  <c:v>6.9249999999999998</c:v>
                </c:pt>
                <c:pt idx="40">
                  <c:v>7.3414634146341466</c:v>
                </c:pt>
                <c:pt idx="41">
                  <c:v>7.6190476190476186</c:v>
                </c:pt>
                <c:pt idx="42">
                  <c:v>7.7441860465116283</c:v>
                </c:pt>
                <c:pt idx="43">
                  <c:v>7.8409090909090908</c:v>
                </c:pt>
                <c:pt idx="44">
                  <c:v>7.7333333333333334</c:v>
                </c:pt>
                <c:pt idx="45">
                  <c:v>8.1086956521739122</c:v>
                </c:pt>
                <c:pt idx="46">
                  <c:v>8.6170212765957448</c:v>
                </c:pt>
                <c:pt idx="47">
                  <c:v>8.8958333333333339</c:v>
                </c:pt>
                <c:pt idx="48">
                  <c:v>8.7346938775510203</c:v>
                </c:pt>
                <c:pt idx="49">
                  <c:v>9.06</c:v>
                </c:pt>
                <c:pt idx="50">
                  <c:v>9.0196078431372548</c:v>
                </c:pt>
                <c:pt idx="51">
                  <c:v>9.0961538461538467</c:v>
                </c:pt>
                <c:pt idx="52">
                  <c:v>9.2830188679245289</c:v>
                </c:pt>
                <c:pt idx="53">
                  <c:v>9.6111111111111107</c:v>
                </c:pt>
                <c:pt idx="54">
                  <c:v>9.672727272727272</c:v>
                </c:pt>
                <c:pt idx="55">
                  <c:v>9.7678571428571423</c:v>
                </c:pt>
                <c:pt idx="56">
                  <c:v>9.807017543859649</c:v>
                </c:pt>
                <c:pt idx="57">
                  <c:v>10.155172413793103</c:v>
                </c:pt>
                <c:pt idx="58">
                  <c:v>10.152542372881356</c:v>
                </c:pt>
                <c:pt idx="59">
                  <c:v>10.15</c:v>
                </c:pt>
                <c:pt idx="60">
                  <c:v>10.540983606557377</c:v>
                </c:pt>
                <c:pt idx="61">
                  <c:v>10.435483870967742</c:v>
                </c:pt>
                <c:pt idx="62">
                  <c:v>10.34920634920635</c:v>
                </c:pt>
                <c:pt idx="63">
                  <c:v>10.296875</c:v>
                </c:pt>
                <c:pt idx="64">
                  <c:v>10.276923076923078</c:v>
                </c:pt>
                <c:pt idx="65">
                  <c:v>10.454545454545455</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09662592"/>
        <c:axId val="109664512"/>
      </c:lineChart>
      <c:catAx>
        <c:axId val="109662592"/>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664512"/>
        <c:crosses val="autoZero"/>
        <c:auto val="1"/>
        <c:lblAlgn val="ctr"/>
        <c:lblOffset val="100"/>
        <c:tickLblSkip val="5"/>
        <c:tickMarkSkip val="1"/>
        <c:noMultiLvlLbl val="0"/>
      </c:catAx>
      <c:valAx>
        <c:axId val="109664512"/>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729759513841E-3"/>
              <c:y val="0.38783793308401665"/>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662592"/>
        <c:crosses val="autoZero"/>
        <c:crossBetween val="midCat"/>
      </c:valAx>
      <c:spPr>
        <a:noFill/>
        <a:ln w="3175">
          <a:solidFill>
            <a:srgbClr val="000000"/>
          </a:solidFill>
          <a:prstDash val="solid"/>
        </a:ln>
      </c:spPr>
    </c:plotArea>
    <c:legend>
      <c:legendPos val="t"/>
      <c:legendEntry>
        <c:idx val="0"/>
        <c:txPr>
          <a:bodyPr/>
          <a:lstStyle/>
          <a:p>
            <a:pPr>
              <a:defRPr sz="1200" b="0" i="0" u="none" strike="noStrike" baseline="0">
                <a:solidFill>
                  <a:srgbClr val="000000"/>
                </a:solidFill>
                <a:latin typeface="Arial"/>
                <a:ea typeface="Arial"/>
                <a:cs typeface="Arial"/>
              </a:defRPr>
            </a:pPr>
            <a:endParaRPr lang="en-US"/>
          </a:p>
        </c:txPr>
      </c:legendEntry>
      <c:legendEntry>
        <c:idx val="1"/>
        <c:txPr>
          <a:bodyPr/>
          <a:lstStyle/>
          <a:p>
            <a:pPr>
              <a:defRPr sz="1200" b="0" i="0" u="none" strike="noStrike" baseline="0">
                <a:solidFill>
                  <a:srgbClr val="000000"/>
                </a:solidFill>
                <a:latin typeface="Arial"/>
                <a:ea typeface="Arial"/>
                <a:cs typeface="Arial"/>
              </a:defRPr>
            </a:pPr>
            <a:endParaRPr lang="en-US"/>
          </a:p>
        </c:txPr>
      </c:legendEntry>
      <c:layout>
        <c:manualLayout>
          <c:xMode val="edge"/>
          <c:yMode val="edge"/>
          <c:x val="0.73775297275199514"/>
          <c:y val="1.1197197544695697E-2"/>
          <c:w val="0.22460164827026419"/>
          <c:h val="0.104053987239571"/>
        </c:manualLayout>
      </c:layout>
      <c:overlay val="0"/>
      <c:spPr>
        <a:noFill/>
        <a:ln w="3175">
          <a:solidFill>
            <a:srgbClr val="000000"/>
          </a:solidFill>
          <a:prstDash val="solid"/>
        </a:ln>
      </c:spPr>
      <c:txPr>
        <a:bodyPr/>
        <a:lstStyle/>
        <a:p>
          <a:pPr>
            <a:defRPr sz="1560" b="0" i="0" u="none" strike="noStrike" baseline="0">
              <a:solidFill>
                <a:srgbClr val="000000"/>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FFFFFF"/>
                </a:solidFill>
                <a:latin typeface="Arial"/>
                <a:ea typeface="Arial"/>
                <a:cs typeface="Arial"/>
              </a:defRPr>
            </a:pPr>
            <a:r>
              <a:rPr lang="en-US" sz="1400"/>
              <a:t>F1 / EF1 TORNADOES BY YEAR
Amarillo NWS CWA</a:t>
            </a:r>
          </a:p>
        </c:rich>
      </c:tx>
      <c:layout>
        <c:manualLayout>
          <c:xMode val="edge"/>
          <c:yMode val="edge"/>
          <c:x val="0.33051302560092005"/>
          <c:y val="2.6385158768981551E-2"/>
        </c:manualLayout>
      </c:layout>
      <c:overlay val="0"/>
      <c:spPr>
        <a:noFill/>
        <a:ln w="38100">
          <a:solidFill>
            <a:srgbClr val="FFFF00"/>
          </a:solidFill>
          <a:prstDash val="solid"/>
        </a:ln>
      </c:spPr>
    </c:title>
    <c:autoTitleDeleted val="0"/>
    <c:plotArea>
      <c:layout>
        <c:manualLayout>
          <c:layoutTarget val="inner"/>
          <c:xMode val="edge"/>
          <c:yMode val="edge"/>
          <c:x val="7.1476274269328094E-2"/>
          <c:y val="0.13588390501319261"/>
          <c:w val="0.90142040371364418"/>
          <c:h val="0.79419525065963215"/>
        </c:manualLayout>
      </c:layout>
      <c:lineChart>
        <c:grouping val="standard"/>
        <c:varyColors val="0"/>
        <c:ser>
          <c:idx val="0"/>
          <c:order val="0"/>
          <c:tx>
            <c:v>Annual Total</c:v>
          </c:tx>
          <c:spPr>
            <a:ln w="25400">
              <a:solidFill>
                <a:srgbClr val="FFFFFF"/>
              </a:solidFill>
              <a:prstDash val="solid"/>
            </a:ln>
          </c:spPr>
          <c:marker>
            <c:symbol val="circle"/>
            <c:size val="9"/>
            <c:spPr>
              <a:solidFill>
                <a:srgbClr val="FFFFCC"/>
              </a:solidFill>
              <a:ln>
                <a:solidFill>
                  <a:srgbClr val="FFCC99"/>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Tornadoes'!$D$12:$D$87</c:f>
              <c:numCache>
                <c:formatCode>0</c:formatCode>
                <c:ptCount val="76"/>
                <c:pt idx="0">
                  <c:v>2</c:v>
                </c:pt>
                <c:pt idx="1">
                  <c:v>5</c:v>
                </c:pt>
                <c:pt idx="2">
                  <c:v>1</c:v>
                </c:pt>
                <c:pt idx="3">
                  <c:v>1</c:v>
                </c:pt>
                <c:pt idx="4">
                  <c:v>1</c:v>
                </c:pt>
                <c:pt idx="5">
                  <c:v>2</c:v>
                </c:pt>
                <c:pt idx="6">
                  <c:v>1</c:v>
                </c:pt>
                <c:pt idx="7">
                  <c:v>3</c:v>
                </c:pt>
                <c:pt idx="8">
                  <c:v>7</c:v>
                </c:pt>
                <c:pt idx="9">
                  <c:v>4</c:v>
                </c:pt>
                <c:pt idx="10">
                  <c:v>6</c:v>
                </c:pt>
                <c:pt idx="11">
                  <c:v>5</c:v>
                </c:pt>
                <c:pt idx="12">
                  <c:v>12</c:v>
                </c:pt>
                <c:pt idx="13">
                  <c:v>1</c:v>
                </c:pt>
                <c:pt idx="14">
                  <c:v>0</c:v>
                </c:pt>
                <c:pt idx="15">
                  <c:v>0</c:v>
                </c:pt>
                <c:pt idx="16">
                  <c:v>3</c:v>
                </c:pt>
                <c:pt idx="17">
                  <c:v>6</c:v>
                </c:pt>
                <c:pt idx="18">
                  <c:v>2</c:v>
                </c:pt>
                <c:pt idx="19">
                  <c:v>0</c:v>
                </c:pt>
                <c:pt idx="20">
                  <c:v>1</c:v>
                </c:pt>
                <c:pt idx="21">
                  <c:v>13</c:v>
                </c:pt>
                <c:pt idx="22">
                  <c:v>15</c:v>
                </c:pt>
                <c:pt idx="23">
                  <c:v>3</c:v>
                </c:pt>
                <c:pt idx="24">
                  <c:v>6</c:v>
                </c:pt>
                <c:pt idx="25">
                  <c:v>4</c:v>
                </c:pt>
                <c:pt idx="26">
                  <c:v>1</c:v>
                </c:pt>
                <c:pt idx="27">
                  <c:v>9</c:v>
                </c:pt>
                <c:pt idx="28">
                  <c:v>0</c:v>
                </c:pt>
                <c:pt idx="29">
                  <c:v>1</c:v>
                </c:pt>
                <c:pt idx="30">
                  <c:v>4</c:v>
                </c:pt>
                <c:pt idx="31">
                  <c:v>3</c:v>
                </c:pt>
                <c:pt idx="32">
                  <c:v>7</c:v>
                </c:pt>
                <c:pt idx="33">
                  <c:v>4</c:v>
                </c:pt>
                <c:pt idx="34">
                  <c:v>2</c:v>
                </c:pt>
                <c:pt idx="35">
                  <c:v>0</c:v>
                </c:pt>
                <c:pt idx="36">
                  <c:v>0</c:v>
                </c:pt>
                <c:pt idx="37">
                  <c:v>8</c:v>
                </c:pt>
                <c:pt idx="38">
                  <c:v>1</c:v>
                </c:pt>
                <c:pt idx="39">
                  <c:v>7</c:v>
                </c:pt>
                <c:pt idx="40">
                  <c:v>9</c:v>
                </c:pt>
                <c:pt idx="41">
                  <c:v>1</c:v>
                </c:pt>
                <c:pt idx="42">
                  <c:v>3</c:v>
                </c:pt>
                <c:pt idx="43">
                  <c:v>4</c:v>
                </c:pt>
                <c:pt idx="44">
                  <c:v>2</c:v>
                </c:pt>
                <c:pt idx="45">
                  <c:v>8</c:v>
                </c:pt>
                <c:pt idx="46">
                  <c:v>2</c:v>
                </c:pt>
                <c:pt idx="47">
                  <c:v>6</c:v>
                </c:pt>
                <c:pt idx="48">
                  <c:v>1</c:v>
                </c:pt>
                <c:pt idx="49">
                  <c:v>0</c:v>
                </c:pt>
                <c:pt idx="50">
                  <c:v>1</c:v>
                </c:pt>
                <c:pt idx="51">
                  <c:v>3</c:v>
                </c:pt>
                <c:pt idx="52">
                  <c:v>2</c:v>
                </c:pt>
                <c:pt idx="53">
                  <c:v>5</c:v>
                </c:pt>
                <c:pt idx="54">
                  <c:v>1</c:v>
                </c:pt>
                <c:pt idx="55">
                  <c:v>0</c:v>
                </c:pt>
                <c:pt idx="56">
                  <c:v>1</c:v>
                </c:pt>
                <c:pt idx="57">
                  <c:v>15</c:v>
                </c:pt>
                <c:pt idx="58">
                  <c:v>0</c:v>
                </c:pt>
                <c:pt idx="59">
                  <c:v>2</c:v>
                </c:pt>
                <c:pt idx="60">
                  <c:v>3</c:v>
                </c:pt>
                <c:pt idx="61">
                  <c:v>0</c:v>
                </c:pt>
                <c:pt idx="62">
                  <c:v>1</c:v>
                </c:pt>
                <c:pt idx="63">
                  <c:v>0</c:v>
                </c:pt>
                <c:pt idx="64">
                  <c:v>3</c:v>
                </c:pt>
                <c:pt idx="65">
                  <c:v>9</c:v>
                </c:pt>
                <c:pt idx="66">
                  <c:v>0</c:v>
                </c:pt>
                <c:pt idx="67">
                  <c:v>0</c:v>
                </c:pt>
                <c:pt idx="68">
                  <c:v>0</c:v>
                </c:pt>
                <c:pt idx="69">
                  <c:v>0</c:v>
                </c:pt>
                <c:pt idx="70">
                  <c:v>0</c:v>
                </c:pt>
                <c:pt idx="71">
                  <c:v>0</c:v>
                </c:pt>
                <c:pt idx="72">
                  <c:v>0</c:v>
                </c:pt>
                <c:pt idx="73">
                  <c:v>0</c:v>
                </c:pt>
                <c:pt idx="74">
                  <c:v>0</c:v>
                </c:pt>
                <c:pt idx="75">
                  <c:v>0</c:v>
                </c:pt>
              </c:numCache>
            </c:numRef>
          </c:val>
          <c:smooth val="0"/>
        </c:ser>
        <c:ser>
          <c:idx val="1"/>
          <c:order val="1"/>
          <c:tx>
            <c:v>Cumulative Average</c:v>
          </c:tx>
          <c:spPr>
            <a:ln w="12700">
              <a:solidFill>
                <a:srgbClr val="FF00FF"/>
              </a:solidFill>
              <a:prstDash val="solid"/>
            </a:ln>
          </c:spPr>
          <c:marker>
            <c:symbol val="square"/>
            <c:size val="5"/>
            <c:spPr>
              <a:solidFill>
                <a:srgbClr val="FF00FF"/>
              </a:solidFill>
              <a:ln>
                <a:solidFill>
                  <a:srgbClr val="FF00FF"/>
                </a:solidFill>
                <a:prstDash val="solid"/>
              </a:ln>
            </c:spPr>
          </c:marker>
          <c:cat>
            <c:numRef>
              <c:f>'Summary - Tornado Segments'!$B$12:$B$87</c:f>
              <c:numCache>
                <c:formatCode>General</c:formatCode>
                <c:ptCount val="76"/>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numCache>
            </c:numRef>
          </c:cat>
          <c:val>
            <c:numRef>
              <c:f>'Summary - Whole Tornadoes'!$P$12:$P$87</c:f>
              <c:numCache>
                <c:formatCode>0.0</c:formatCode>
                <c:ptCount val="76"/>
                <c:pt idx="0">
                  <c:v>2</c:v>
                </c:pt>
                <c:pt idx="1">
                  <c:v>3.5</c:v>
                </c:pt>
                <c:pt idx="2">
                  <c:v>2.6666666666666665</c:v>
                </c:pt>
                <c:pt idx="3">
                  <c:v>2.25</c:v>
                </c:pt>
                <c:pt idx="4">
                  <c:v>2</c:v>
                </c:pt>
                <c:pt idx="5">
                  <c:v>2</c:v>
                </c:pt>
                <c:pt idx="6">
                  <c:v>1.8571428571428572</c:v>
                </c:pt>
                <c:pt idx="7">
                  <c:v>2</c:v>
                </c:pt>
                <c:pt idx="8">
                  <c:v>2.5555555555555554</c:v>
                </c:pt>
                <c:pt idx="9">
                  <c:v>2.7</c:v>
                </c:pt>
                <c:pt idx="10">
                  <c:v>3</c:v>
                </c:pt>
                <c:pt idx="11">
                  <c:v>3.1666666666666665</c:v>
                </c:pt>
                <c:pt idx="12">
                  <c:v>3.8461538461538463</c:v>
                </c:pt>
                <c:pt idx="13">
                  <c:v>3.6428571428571428</c:v>
                </c:pt>
                <c:pt idx="14">
                  <c:v>3.4</c:v>
                </c:pt>
                <c:pt idx="15">
                  <c:v>3.1875</c:v>
                </c:pt>
                <c:pt idx="16">
                  <c:v>3.1764705882352939</c:v>
                </c:pt>
                <c:pt idx="17">
                  <c:v>3.3333333333333335</c:v>
                </c:pt>
                <c:pt idx="18">
                  <c:v>3.263157894736842</c:v>
                </c:pt>
                <c:pt idx="19">
                  <c:v>3.1</c:v>
                </c:pt>
                <c:pt idx="20">
                  <c:v>3</c:v>
                </c:pt>
                <c:pt idx="21">
                  <c:v>3.4545454545454546</c:v>
                </c:pt>
                <c:pt idx="22">
                  <c:v>3.9565217391304346</c:v>
                </c:pt>
                <c:pt idx="23">
                  <c:v>3.9166666666666665</c:v>
                </c:pt>
                <c:pt idx="24">
                  <c:v>4</c:v>
                </c:pt>
                <c:pt idx="25">
                  <c:v>4</c:v>
                </c:pt>
                <c:pt idx="26">
                  <c:v>3.8888888888888888</c:v>
                </c:pt>
                <c:pt idx="27">
                  <c:v>4.0714285714285712</c:v>
                </c:pt>
                <c:pt idx="28">
                  <c:v>3.9310344827586206</c:v>
                </c:pt>
                <c:pt idx="29">
                  <c:v>3.8333333333333335</c:v>
                </c:pt>
                <c:pt idx="30">
                  <c:v>3.838709677419355</c:v>
                </c:pt>
                <c:pt idx="31">
                  <c:v>3.8125</c:v>
                </c:pt>
                <c:pt idx="32">
                  <c:v>3.9090909090909092</c:v>
                </c:pt>
                <c:pt idx="33">
                  <c:v>3.9117647058823528</c:v>
                </c:pt>
                <c:pt idx="34">
                  <c:v>3.8571428571428572</c:v>
                </c:pt>
                <c:pt idx="35">
                  <c:v>3.75</c:v>
                </c:pt>
                <c:pt idx="36">
                  <c:v>3.6486486486486487</c:v>
                </c:pt>
                <c:pt idx="37">
                  <c:v>3.763157894736842</c:v>
                </c:pt>
                <c:pt idx="38">
                  <c:v>3.6923076923076925</c:v>
                </c:pt>
                <c:pt idx="39">
                  <c:v>3.7749999999999999</c:v>
                </c:pt>
                <c:pt idx="40">
                  <c:v>3.9024390243902438</c:v>
                </c:pt>
                <c:pt idx="41">
                  <c:v>3.8333333333333335</c:v>
                </c:pt>
                <c:pt idx="42">
                  <c:v>3.8139534883720931</c:v>
                </c:pt>
                <c:pt idx="43">
                  <c:v>3.8181818181818183</c:v>
                </c:pt>
                <c:pt idx="44">
                  <c:v>3.7777777777777777</c:v>
                </c:pt>
                <c:pt idx="45">
                  <c:v>3.8695652173913042</c:v>
                </c:pt>
                <c:pt idx="46">
                  <c:v>3.8297872340425534</c:v>
                </c:pt>
                <c:pt idx="47">
                  <c:v>3.875</c:v>
                </c:pt>
                <c:pt idx="48">
                  <c:v>3.8163265306122449</c:v>
                </c:pt>
                <c:pt idx="49">
                  <c:v>3.74</c:v>
                </c:pt>
                <c:pt idx="50">
                  <c:v>3.6862745098039214</c:v>
                </c:pt>
                <c:pt idx="51">
                  <c:v>3.6730769230769229</c:v>
                </c:pt>
                <c:pt idx="52">
                  <c:v>3.641509433962264</c:v>
                </c:pt>
                <c:pt idx="53">
                  <c:v>3.6666666666666665</c:v>
                </c:pt>
                <c:pt idx="54">
                  <c:v>3.6181818181818182</c:v>
                </c:pt>
                <c:pt idx="55">
                  <c:v>3.5535714285714284</c:v>
                </c:pt>
                <c:pt idx="56">
                  <c:v>3.5087719298245612</c:v>
                </c:pt>
                <c:pt idx="57">
                  <c:v>3.7068965517241379</c:v>
                </c:pt>
                <c:pt idx="58">
                  <c:v>3.6440677966101696</c:v>
                </c:pt>
                <c:pt idx="59">
                  <c:v>3.6166666666666667</c:v>
                </c:pt>
                <c:pt idx="60">
                  <c:v>3.6065573770491803</c:v>
                </c:pt>
                <c:pt idx="61">
                  <c:v>3.5483870967741935</c:v>
                </c:pt>
                <c:pt idx="62">
                  <c:v>3.5079365079365079</c:v>
                </c:pt>
                <c:pt idx="63">
                  <c:v>3.453125</c:v>
                </c:pt>
                <c:pt idx="64">
                  <c:v>3.4461538461538463</c:v>
                </c:pt>
                <c:pt idx="65">
                  <c:v>3.5303030303030303</c:v>
                </c:pt>
                <c:pt idx="66">
                  <c:v>0</c:v>
                </c:pt>
                <c:pt idx="67">
                  <c:v>0</c:v>
                </c:pt>
                <c:pt idx="68">
                  <c:v>0</c:v>
                </c:pt>
                <c:pt idx="69">
                  <c:v>0</c:v>
                </c:pt>
                <c:pt idx="70">
                  <c:v>0</c:v>
                </c:pt>
                <c:pt idx="71">
                  <c:v>0</c:v>
                </c:pt>
                <c:pt idx="72">
                  <c:v>0</c:v>
                </c:pt>
                <c:pt idx="73">
                  <c:v>0</c:v>
                </c:pt>
                <c:pt idx="74">
                  <c:v>0</c:v>
                </c:pt>
                <c:pt idx="75">
                  <c:v>0</c:v>
                </c:pt>
              </c:numCache>
            </c:numRef>
          </c:val>
          <c:smooth val="0"/>
        </c:ser>
        <c:dLbls>
          <c:showLegendKey val="0"/>
          <c:showVal val="0"/>
          <c:showCatName val="0"/>
          <c:showSerName val="0"/>
          <c:showPercent val="0"/>
          <c:showBubbleSize val="0"/>
        </c:dLbls>
        <c:marker val="1"/>
        <c:smooth val="0"/>
        <c:axId val="109696896"/>
        <c:axId val="110051328"/>
      </c:lineChart>
      <c:catAx>
        <c:axId val="109696896"/>
        <c:scaling>
          <c:orientation val="minMax"/>
        </c:scaling>
        <c:delete val="0"/>
        <c:axPos val="b"/>
        <c:numFmt formatCode="General" sourceLinked="0"/>
        <c:majorTickMark val="cross"/>
        <c:minorTickMark val="none"/>
        <c:tickLblPos val="nextTo"/>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10051328"/>
        <c:crosses val="autoZero"/>
        <c:auto val="1"/>
        <c:lblAlgn val="ctr"/>
        <c:lblOffset val="100"/>
        <c:tickLblSkip val="5"/>
        <c:tickMarkSkip val="1"/>
        <c:noMultiLvlLbl val="0"/>
      </c:catAx>
      <c:valAx>
        <c:axId val="110051328"/>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FFFF00"/>
                    </a:solidFill>
                    <a:latin typeface="Arial"/>
                    <a:ea typeface="Arial"/>
                    <a:cs typeface="Arial"/>
                  </a:defRPr>
                </a:pPr>
                <a:r>
                  <a:rPr lang="en-US" sz="1400"/>
                  <a:t>Number of Tornadoes</a:t>
                </a:r>
              </a:p>
            </c:rich>
          </c:tx>
          <c:layout>
            <c:manualLayout>
              <c:xMode val="edge"/>
              <c:yMode val="edge"/>
              <c:x val="4.4563729759513841E-3"/>
              <c:y val="0.39709760728806764"/>
            </c:manualLayout>
          </c:layout>
          <c:overlay val="0"/>
          <c:spPr>
            <a:noFill/>
            <a:ln w="25400">
              <a:noFill/>
            </a:ln>
          </c:spPr>
        </c:title>
        <c:numFmt formatCode="General" sourceLinked="0"/>
        <c:majorTickMark val="in"/>
        <c:minorTickMark val="none"/>
        <c:tickLblPos val="low"/>
        <c:spPr>
          <a:ln w="12700">
            <a:solidFill>
              <a:srgbClr val="FFFF00"/>
            </a:solidFill>
            <a:prstDash val="solid"/>
          </a:ln>
        </c:spPr>
        <c:txPr>
          <a:bodyPr rot="0" vert="horz"/>
          <a:lstStyle/>
          <a:p>
            <a:pPr>
              <a:defRPr sz="1000" b="0" i="0" u="none" strike="noStrike" baseline="0">
                <a:solidFill>
                  <a:srgbClr val="FFFF00"/>
                </a:solidFill>
                <a:latin typeface="Arial"/>
                <a:ea typeface="Arial"/>
                <a:cs typeface="Arial"/>
              </a:defRPr>
            </a:pPr>
            <a:endParaRPr lang="en-US"/>
          </a:p>
        </c:txPr>
        <c:crossAx val="109696896"/>
        <c:crosses val="autoZero"/>
        <c:crossBetween val="midCat"/>
      </c:valAx>
      <c:spPr>
        <a:noFill/>
        <a:ln w="3175">
          <a:solidFill>
            <a:srgbClr val="000000"/>
          </a:solidFill>
          <a:prstDash val="solid"/>
        </a:ln>
      </c:spPr>
    </c:plotArea>
    <c:legend>
      <c:legendPos val="t"/>
      <c:layout>
        <c:manualLayout>
          <c:xMode val="edge"/>
          <c:yMode val="edge"/>
          <c:x val="0.72727336283867461"/>
          <c:y val="9.2348476480520105E-3"/>
          <c:w val="0.22549024487063313"/>
          <c:h val="8.5751976393732693E-2"/>
        </c:manualLayout>
      </c:layout>
      <c:overlay val="0"/>
      <c:spPr>
        <a:noFill/>
        <a:ln w="3175">
          <a:solidFill>
            <a:srgbClr val="0066CC"/>
          </a:solidFill>
          <a:prstDash val="solid"/>
        </a:ln>
      </c:spPr>
      <c:txPr>
        <a:bodyPr/>
        <a:lstStyle/>
        <a:p>
          <a:pPr>
            <a:defRPr sz="1200" b="0" i="0" u="none" strike="noStrike" baseline="0">
              <a:solidFill>
                <a:srgbClr val="FFFFFF"/>
              </a:solidFill>
              <a:latin typeface="Arial"/>
              <a:ea typeface="Arial"/>
              <a:cs typeface="Arial"/>
            </a:defRPr>
          </a:pPr>
          <a:endParaRPr lang="en-US"/>
        </a:p>
      </c:txPr>
    </c:legend>
    <c:plotVisOnly val="0"/>
    <c:dispBlanksAs val="gap"/>
    <c:showDLblsOverMax val="0"/>
  </c:chart>
  <c:spPr>
    <a:blipFill dpi="0" rotWithShape="0">
      <a:blip xmlns:r="http://schemas.openxmlformats.org/officeDocument/2006/relationships" r:embed="rId1"/>
      <a:srcRect/>
      <a:stretch>
        <a:fillRect/>
      </a:stretch>
    </a:blipFill>
    <a:ln w="3175">
      <a:solidFill>
        <a:srgbClr val="000000"/>
      </a:solidFill>
      <a:prstDash val="solid"/>
    </a:ln>
  </c:spPr>
  <c:txPr>
    <a:bodyPr/>
    <a:lstStyle/>
    <a:p>
      <a:pPr>
        <a:defRPr sz="17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228600</xdr:colOff>
      <xdr:row>148</xdr:row>
      <xdr:rowOff>0</xdr:rowOff>
    </xdr:from>
    <xdr:to>
      <xdr:col>10</xdr:col>
      <xdr:colOff>1190625</xdr:colOff>
      <xdr:row>172</xdr:row>
      <xdr:rowOff>180975</xdr:rowOff>
    </xdr:to>
    <xdr:graphicFrame macro="">
      <xdr:nvGraphicFramePr>
        <xdr:cNvPr id="152108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268</xdr:row>
      <xdr:rowOff>9525</xdr:rowOff>
    </xdr:from>
    <xdr:to>
      <xdr:col>10</xdr:col>
      <xdr:colOff>714375</xdr:colOff>
      <xdr:row>293</xdr:row>
      <xdr:rowOff>9525</xdr:rowOff>
    </xdr:to>
    <xdr:graphicFrame macro="">
      <xdr:nvGraphicFramePr>
        <xdr:cNvPr id="152108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304</xdr:row>
      <xdr:rowOff>0</xdr:rowOff>
    </xdr:from>
    <xdr:to>
      <xdr:col>11</xdr:col>
      <xdr:colOff>0</xdr:colOff>
      <xdr:row>328</xdr:row>
      <xdr:rowOff>180975</xdr:rowOff>
    </xdr:to>
    <xdr:graphicFrame macro="">
      <xdr:nvGraphicFramePr>
        <xdr:cNvPr id="152108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334</xdr:row>
      <xdr:rowOff>0</xdr:rowOff>
    </xdr:from>
    <xdr:to>
      <xdr:col>11</xdr:col>
      <xdr:colOff>0</xdr:colOff>
      <xdr:row>357</xdr:row>
      <xdr:rowOff>190500</xdr:rowOff>
    </xdr:to>
    <xdr:graphicFrame macro="">
      <xdr:nvGraphicFramePr>
        <xdr:cNvPr id="152108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377</xdr:row>
      <xdr:rowOff>0</xdr:rowOff>
    </xdr:from>
    <xdr:to>
      <xdr:col>11</xdr:col>
      <xdr:colOff>0</xdr:colOff>
      <xdr:row>402</xdr:row>
      <xdr:rowOff>0</xdr:rowOff>
    </xdr:to>
    <xdr:graphicFrame macro="">
      <xdr:nvGraphicFramePr>
        <xdr:cNvPr id="152108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19050</xdr:colOff>
      <xdr:row>497</xdr:row>
      <xdr:rowOff>0</xdr:rowOff>
    </xdr:from>
    <xdr:to>
      <xdr:col>11</xdr:col>
      <xdr:colOff>0</xdr:colOff>
      <xdr:row>521</xdr:row>
      <xdr:rowOff>0</xdr:rowOff>
    </xdr:to>
    <xdr:graphicFrame macro="">
      <xdr:nvGraphicFramePr>
        <xdr:cNvPr id="152108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200025</xdr:colOff>
      <xdr:row>212</xdr:row>
      <xdr:rowOff>0</xdr:rowOff>
    </xdr:from>
    <xdr:to>
      <xdr:col>10</xdr:col>
      <xdr:colOff>1190625</xdr:colOff>
      <xdr:row>237</xdr:row>
      <xdr:rowOff>0</xdr:rowOff>
    </xdr:to>
    <xdr:graphicFrame macro="">
      <xdr:nvGraphicFramePr>
        <xdr:cNvPr id="15210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xdr:colOff>
      <xdr:row>8</xdr:row>
      <xdr:rowOff>0</xdr:rowOff>
    </xdr:from>
    <xdr:to>
      <xdr:col>10</xdr:col>
      <xdr:colOff>1190625</xdr:colOff>
      <xdr:row>32</xdr:row>
      <xdr:rowOff>180975</xdr:rowOff>
    </xdr:to>
    <xdr:graphicFrame macro="">
      <xdr:nvGraphicFramePr>
        <xdr:cNvPr id="1521086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171450</xdr:colOff>
      <xdr:row>36</xdr:row>
      <xdr:rowOff>0</xdr:rowOff>
    </xdr:from>
    <xdr:to>
      <xdr:col>11</xdr:col>
      <xdr:colOff>0</xdr:colOff>
      <xdr:row>60</xdr:row>
      <xdr:rowOff>180975</xdr:rowOff>
    </xdr:to>
    <xdr:graphicFrame macro="">
      <xdr:nvGraphicFramePr>
        <xdr:cNvPr id="1521086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190500</xdr:colOff>
      <xdr:row>64</xdr:row>
      <xdr:rowOff>0</xdr:rowOff>
    </xdr:from>
    <xdr:to>
      <xdr:col>11</xdr:col>
      <xdr:colOff>0</xdr:colOff>
      <xdr:row>89</xdr:row>
      <xdr:rowOff>0</xdr:rowOff>
    </xdr:to>
    <xdr:graphicFrame macro="">
      <xdr:nvGraphicFramePr>
        <xdr:cNvPr id="15210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228601</xdr:colOff>
      <xdr:row>92</xdr:row>
      <xdr:rowOff>0</xdr:rowOff>
    </xdr:from>
    <xdr:to>
      <xdr:col>11</xdr:col>
      <xdr:colOff>1</xdr:colOff>
      <xdr:row>117</xdr:row>
      <xdr:rowOff>0</xdr:rowOff>
    </xdr:to>
    <xdr:graphicFrame macro="">
      <xdr:nvGraphicFramePr>
        <xdr:cNvPr id="1521086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219075</xdr:colOff>
      <xdr:row>120</xdr:row>
      <xdr:rowOff>0</xdr:rowOff>
    </xdr:from>
    <xdr:to>
      <xdr:col>10</xdr:col>
      <xdr:colOff>1181100</xdr:colOff>
      <xdr:row>144</xdr:row>
      <xdr:rowOff>180975</xdr:rowOff>
    </xdr:to>
    <xdr:graphicFrame macro="">
      <xdr:nvGraphicFramePr>
        <xdr:cNvPr id="1521086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9525</xdr:colOff>
      <xdr:row>407</xdr:row>
      <xdr:rowOff>0</xdr:rowOff>
    </xdr:from>
    <xdr:to>
      <xdr:col>10</xdr:col>
      <xdr:colOff>742950</xdr:colOff>
      <xdr:row>431</xdr:row>
      <xdr:rowOff>180975</xdr:rowOff>
    </xdr:to>
    <xdr:graphicFrame macro="">
      <xdr:nvGraphicFramePr>
        <xdr:cNvPr id="152108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9525</xdr:colOff>
      <xdr:row>437</xdr:row>
      <xdr:rowOff>0</xdr:rowOff>
    </xdr:from>
    <xdr:to>
      <xdr:col>10</xdr:col>
      <xdr:colOff>742950</xdr:colOff>
      <xdr:row>461</xdr:row>
      <xdr:rowOff>180975</xdr:rowOff>
    </xdr:to>
    <xdr:graphicFrame macro="">
      <xdr:nvGraphicFramePr>
        <xdr:cNvPr id="1521086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9525</xdr:colOff>
      <xdr:row>467</xdr:row>
      <xdr:rowOff>0</xdr:rowOff>
    </xdr:from>
    <xdr:to>
      <xdr:col>10</xdr:col>
      <xdr:colOff>742950</xdr:colOff>
      <xdr:row>491</xdr:row>
      <xdr:rowOff>180975</xdr:rowOff>
    </xdr:to>
    <xdr:graphicFrame macro="">
      <xdr:nvGraphicFramePr>
        <xdr:cNvPr id="152108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9524</xdr:colOff>
      <xdr:row>86</xdr:row>
      <xdr:rowOff>28575</xdr:rowOff>
    </xdr:from>
    <xdr:to>
      <xdr:col>15</xdr:col>
      <xdr:colOff>761999</xdr:colOff>
      <xdr:row>111</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115</xdr:row>
      <xdr:rowOff>0</xdr:rowOff>
    </xdr:from>
    <xdr:to>
      <xdr:col>15</xdr:col>
      <xdr:colOff>752475</xdr:colOff>
      <xdr:row>140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200</xdr:row>
      <xdr:rowOff>85725</xdr:rowOff>
    </xdr:from>
    <xdr:to>
      <xdr:col>9</xdr:col>
      <xdr:colOff>695325</xdr:colOff>
      <xdr:row>230</xdr:row>
      <xdr:rowOff>104775</xdr:rowOff>
    </xdr:to>
    <xdr:graphicFrame macro="">
      <xdr:nvGraphicFramePr>
        <xdr:cNvPr id="162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119</xdr:row>
      <xdr:rowOff>95250</xdr:rowOff>
    </xdr:from>
    <xdr:to>
      <xdr:col>11</xdr:col>
      <xdr:colOff>0</xdr:colOff>
      <xdr:row>143</xdr:row>
      <xdr:rowOff>85725</xdr:rowOff>
    </xdr:to>
    <xdr:graphicFrame macro="">
      <xdr:nvGraphicFramePr>
        <xdr:cNvPr id="169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9</xdr:col>
      <xdr:colOff>76199</xdr:colOff>
      <xdr:row>11</xdr:row>
      <xdr:rowOff>85725</xdr:rowOff>
    </xdr:from>
    <xdr:to>
      <xdr:col>20</xdr:col>
      <xdr:colOff>342899</xdr:colOff>
      <xdr:row>39</xdr:row>
      <xdr:rowOff>142874</xdr:rowOff>
    </xdr:to>
    <xdr:graphicFrame macro="">
      <xdr:nvGraphicFramePr>
        <xdr:cNvPr id="15089749"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66675</xdr:colOff>
      <xdr:row>40</xdr:row>
      <xdr:rowOff>114300</xdr:rowOff>
    </xdr:from>
    <xdr:to>
      <xdr:col>20</xdr:col>
      <xdr:colOff>352425</xdr:colOff>
      <xdr:row>71</xdr:row>
      <xdr:rowOff>47625</xdr:rowOff>
    </xdr:to>
    <xdr:graphicFrame macro="">
      <xdr:nvGraphicFramePr>
        <xdr:cNvPr id="15089750"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72</xdr:row>
      <xdr:rowOff>28575</xdr:rowOff>
    </xdr:from>
    <xdr:to>
      <xdr:col>20</xdr:col>
      <xdr:colOff>352425</xdr:colOff>
      <xdr:row>102</xdr:row>
      <xdr:rowOff>152400</xdr:rowOff>
    </xdr:to>
    <xdr:graphicFrame macro="">
      <xdr:nvGraphicFramePr>
        <xdr:cNvPr id="15089751"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9</xdr:col>
      <xdr:colOff>57150</xdr:colOff>
      <xdr:row>11</xdr:row>
      <xdr:rowOff>76200</xdr:rowOff>
    </xdr:from>
    <xdr:to>
      <xdr:col>20</xdr:col>
      <xdr:colOff>371475</xdr:colOff>
      <xdr:row>39</xdr:row>
      <xdr:rowOff>133350</xdr:rowOff>
    </xdr:to>
    <xdr:graphicFrame macro="">
      <xdr:nvGraphicFramePr>
        <xdr:cNvPr id="15093845"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47625</xdr:colOff>
      <xdr:row>40</xdr:row>
      <xdr:rowOff>133350</xdr:rowOff>
    </xdr:from>
    <xdr:to>
      <xdr:col>20</xdr:col>
      <xdr:colOff>333375</xdr:colOff>
      <xdr:row>71</xdr:row>
      <xdr:rowOff>66675</xdr:rowOff>
    </xdr:to>
    <xdr:graphicFrame macro="">
      <xdr:nvGraphicFramePr>
        <xdr:cNvPr id="15093846"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73</xdr:row>
      <xdr:rowOff>9525</xdr:rowOff>
    </xdr:from>
    <xdr:to>
      <xdr:col>20</xdr:col>
      <xdr:colOff>352425</xdr:colOff>
      <xdr:row>103</xdr:row>
      <xdr:rowOff>133350</xdr:rowOff>
    </xdr:to>
    <xdr:graphicFrame macro="">
      <xdr:nvGraphicFramePr>
        <xdr:cNvPr id="15093847"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9</xdr:col>
      <xdr:colOff>76199</xdr:colOff>
      <xdr:row>11</xdr:row>
      <xdr:rowOff>57151</xdr:rowOff>
    </xdr:from>
    <xdr:to>
      <xdr:col>20</xdr:col>
      <xdr:colOff>342899</xdr:colOff>
      <xdr:row>39</xdr:row>
      <xdr:rowOff>133350</xdr:rowOff>
    </xdr:to>
    <xdr:graphicFrame macro="">
      <xdr:nvGraphicFramePr>
        <xdr:cNvPr id="15097941"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57150</xdr:colOff>
      <xdr:row>40</xdr:row>
      <xdr:rowOff>180975</xdr:rowOff>
    </xdr:from>
    <xdr:to>
      <xdr:col>20</xdr:col>
      <xdr:colOff>342900</xdr:colOff>
      <xdr:row>71</xdr:row>
      <xdr:rowOff>114300</xdr:rowOff>
    </xdr:to>
    <xdr:graphicFrame macro="">
      <xdr:nvGraphicFramePr>
        <xdr:cNvPr id="15097942"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76200</xdr:colOff>
      <xdr:row>72</xdr:row>
      <xdr:rowOff>9525</xdr:rowOff>
    </xdr:from>
    <xdr:to>
      <xdr:col>20</xdr:col>
      <xdr:colOff>361950</xdr:colOff>
      <xdr:row>102</xdr:row>
      <xdr:rowOff>133350</xdr:rowOff>
    </xdr:to>
    <xdr:graphicFrame macro="">
      <xdr:nvGraphicFramePr>
        <xdr:cNvPr id="15097943"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9</xdr:col>
      <xdr:colOff>66675</xdr:colOff>
      <xdr:row>11</xdr:row>
      <xdr:rowOff>66675</xdr:rowOff>
    </xdr:from>
    <xdr:to>
      <xdr:col>20</xdr:col>
      <xdr:colOff>352425</xdr:colOff>
      <xdr:row>39</xdr:row>
      <xdr:rowOff>133350</xdr:rowOff>
    </xdr:to>
    <xdr:graphicFrame macro="">
      <xdr:nvGraphicFramePr>
        <xdr:cNvPr id="15102037"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57150</xdr:colOff>
      <xdr:row>41</xdr:row>
      <xdr:rowOff>19050</xdr:rowOff>
    </xdr:from>
    <xdr:to>
      <xdr:col>20</xdr:col>
      <xdr:colOff>342900</xdr:colOff>
      <xdr:row>71</xdr:row>
      <xdr:rowOff>142875</xdr:rowOff>
    </xdr:to>
    <xdr:graphicFrame macro="">
      <xdr:nvGraphicFramePr>
        <xdr:cNvPr id="15102038"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66675</xdr:colOff>
      <xdr:row>73</xdr:row>
      <xdr:rowOff>19050</xdr:rowOff>
    </xdr:from>
    <xdr:to>
      <xdr:col>20</xdr:col>
      <xdr:colOff>352425</xdr:colOff>
      <xdr:row>103</xdr:row>
      <xdr:rowOff>142875</xdr:rowOff>
    </xdr:to>
    <xdr:graphicFrame macro="">
      <xdr:nvGraphicFramePr>
        <xdr:cNvPr id="15102039"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9</xdr:col>
      <xdr:colOff>66675</xdr:colOff>
      <xdr:row>11</xdr:row>
      <xdr:rowOff>76200</xdr:rowOff>
    </xdr:from>
    <xdr:to>
      <xdr:col>20</xdr:col>
      <xdr:colOff>361950</xdr:colOff>
      <xdr:row>39</xdr:row>
      <xdr:rowOff>114300</xdr:rowOff>
    </xdr:to>
    <xdr:graphicFrame macro="">
      <xdr:nvGraphicFramePr>
        <xdr:cNvPr id="15071317"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66675</xdr:colOff>
      <xdr:row>41</xdr:row>
      <xdr:rowOff>9525</xdr:rowOff>
    </xdr:from>
    <xdr:to>
      <xdr:col>20</xdr:col>
      <xdr:colOff>352425</xdr:colOff>
      <xdr:row>71</xdr:row>
      <xdr:rowOff>133350</xdr:rowOff>
    </xdr:to>
    <xdr:graphicFrame macro="">
      <xdr:nvGraphicFramePr>
        <xdr:cNvPr id="15071318"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76200</xdr:colOff>
      <xdr:row>74</xdr:row>
      <xdr:rowOff>9525</xdr:rowOff>
    </xdr:from>
    <xdr:to>
      <xdr:col>20</xdr:col>
      <xdr:colOff>361950</xdr:colOff>
      <xdr:row>104</xdr:row>
      <xdr:rowOff>133350</xdr:rowOff>
    </xdr:to>
    <xdr:graphicFrame macro="">
      <xdr:nvGraphicFramePr>
        <xdr:cNvPr id="15071319"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7"/>
  <sheetViews>
    <sheetView topLeftCell="A6" zoomScaleNormal="100" workbookViewId="0">
      <selection activeCell="B5" sqref="B5:E5"/>
    </sheetView>
    <sheetView topLeftCell="A7" workbookViewId="1">
      <selection activeCell="C11" sqref="C11"/>
    </sheetView>
  </sheetViews>
  <sheetFormatPr defaultColWidth="0" defaultRowHeight="15" zeroHeight="1"/>
  <cols>
    <col min="1" max="1" width="8.77734375" customWidth="1"/>
    <col min="2" max="2" width="21.109375" customWidth="1"/>
    <col min="3" max="3" width="18" customWidth="1"/>
    <col min="4" max="4" width="44.44140625" customWidth="1"/>
    <col min="5" max="5" width="8.88671875" customWidth="1"/>
    <col min="6" max="6" width="8.77734375" customWidth="1"/>
  </cols>
  <sheetData>
    <row r="1" spans="1:6" s="342" customFormat="1" ht="15" customHeight="1" thickBot="1">
      <c r="A1" s="336"/>
      <c r="B1" s="346"/>
      <c r="C1" s="346"/>
      <c r="D1" s="346"/>
      <c r="E1" s="347"/>
    </row>
    <row r="2" spans="1:6" s="342" customFormat="1" ht="21" thickTop="1">
      <c r="A2" s="337"/>
      <c r="B2" s="1043" t="s">
        <v>675</v>
      </c>
      <c r="C2" s="1044"/>
      <c r="D2" s="1044"/>
      <c r="E2" s="1045"/>
      <c r="F2" s="341"/>
    </row>
    <row r="3" spans="1:6" s="342" customFormat="1">
      <c r="A3" s="337"/>
      <c r="B3" s="1046" t="s">
        <v>646</v>
      </c>
      <c r="C3" s="1047"/>
      <c r="D3" s="1047"/>
      <c r="E3" s="1048"/>
      <c r="F3" s="341"/>
    </row>
    <row r="4" spans="1:6" s="342" customFormat="1">
      <c r="A4" s="337"/>
      <c r="B4" s="650"/>
      <c r="C4" s="648"/>
      <c r="D4" s="649"/>
      <c r="E4" s="651"/>
      <c r="F4" s="341"/>
    </row>
    <row r="5" spans="1:6" s="342" customFormat="1" ht="360" customHeight="1" thickBot="1">
      <c r="A5" s="337"/>
      <c r="B5" s="1039" t="s">
        <v>1281</v>
      </c>
      <c r="C5" s="1040"/>
      <c r="D5" s="1041"/>
      <c r="E5" s="1042"/>
      <c r="F5" s="341"/>
    </row>
    <row r="6" spans="1:6" s="342" customFormat="1" ht="15" customHeight="1" thickTop="1">
      <c r="A6" s="337"/>
      <c r="B6" s="762" t="s">
        <v>967</v>
      </c>
      <c r="C6" s="763"/>
      <c r="D6" s="757"/>
      <c r="E6" s="758"/>
      <c r="F6" s="341"/>
    </row>
    <row r="7" spans="1:6" s="351" customFormat="1" ht="15" customHeight="1" thickBot="1">
      <c r="A7" s="338"/>
      <c r="B7" s="761" t="s">
        <v>968</v>
      </c>
      <c r="C7" s="759"/>
      <c r="D7" s="760"/>
      <c r="E7" s="652"/>
      <c r="F7" s="350"/>
    </row>
    <row r="8" spans="1:6" s="342" customFormat="1" ht="16.5" thickTop="1" thickBot="1">
      <c r="A8" s="337"/>
      <c r="B8" s="362"/>
      <c r="C8" s="340"/>
      <c r="D8" s="348"/>
      <c r="E8" s="349"/>
    </row>
    <row r="9" spans="1:6" s="342" customFormat="1" ht="16.5" thickTop="1">
      <c r="A9" s="337"/>
      <c r="B9" s="355" t="s">
        <v>647</v>
      </c>
      <c r="C9" s="356">
        <v>8</v>
      </c>
      <c r="D9" s="354"/>
      <c r="E9" s="344"/>
    </row>
    <row r="10" spans="1:6" s="342" customFormat="1" ht="16.5" thickBot="1">
      <c r="A10" s="339"/>
      <c r="B10" s="357" t="s">
        <v>648</v>
      </c>
      <c r="C10" s="381">
        <v>42501</v>
      </c>
      <c r="D10" s="354"/>
      <c r="E10" s="344"/>
    </row>
    <row r="11" spans="1:6" s="342" customFormat="1" ht="15" customHeight="1" thickTop="1">
      <c r="A11" s="341"/>
      <c r="B11" s="348"/>
      <c r="C11" s="348"/>
      <c r="D11" s="343"/>
      <c r="E11" s="344"/>
    </row>
    <row r="12" spans="1:6" s="342" customFormat="1" ht="6.95" hidden="1" customHeight="1">
      <c r="A12" s="341"/>
      <c r="D12" s="343"/>
      <c r="E12" s="344"/>
    </row>
    <row r="13" spans="1:6" s="342" customFormat="1" hidden="1">
      <c r="A13" s="341"/>
      <c r="D13" s="343"/>
      <c r="E13" s="344"/>
    </row>
    <row r="14" spans="1:6" s="342" customFormat="1" hidden="1">
      <c r="A14" s="341"/>
      <c r="D14" s="343"/>
      <c r="E14" s="344"/>
    </row>
    <row r="15" spans="1:6" s="342" customFormat="1" hidden="1">
      <c r="A15" s="341"/>
      <c r="D15" s="343"/>
      <c r="E15" s="344"/>
    </row>
    <row r="16" spans="1:6" s="342" customFormat="1" hidden="1">
      <c r="A16" s="341"/>
      <c r="D16" s="343"/>
      <c r="E16" s="344"/>
    </row>
    <row r="17" spans="1:5" s="342" customFormat="1" hidden="1">
      <c r="A17" s="341"/>
      <c r="D17" s="343"/>
      <c r="E17" s="344"/>
    </row>
    <row r="18" spans="1:5" s="342" customFormat="1" hidden="1">
      <c r="A18" s="341"/>
      <c r="D18" s="343"/>
      <c r="E18" s="344"/>
    </row>
    <row r="19" spans="1:5" s="342" customFormat="1" hidden="1">
      <c r="A19" s="341"/>
      <c r="E19" s="344"/>
    </row>
    <row r="20" spans="1:5" s="342" customFormat="1" hidden="1">
      <c r="A20" s="341"/>
    </row>
    <row r="21" spans="1:5" s="342" customFormat="1" hidden="1">
      <c r="A21" s="341"/>
    </row>
    <row r="22" spans="1:5" s="342" customFormat="1" hidden="1">
      <c r="A22" s="341"/>
    </row>
    <row r="23" spans="1:5" s="342" customFormat="1" hidden="1">
      <c r="A23" s="341"/>
    </row>
    <row r="24" spans="1:5" s="342" customFormat="1" hidden="1">
      <c r="A24" s="341"/>
    </row>
    <row r="25" spans="1:5" s="342" customFormat="1" hidden="1">
      <c r="A25" s="341"/>
    </row>
    <row r="26" spans="1:5" s="342" customFormat="1" hidden="1">
      <c r="A26" s="341"/>
    </row>
    <row r="27" spans="1:5" s="342" customFormat="1" hidden="1">
      <c r="A27" s="341"/>
    </row>
    <row r="28" spans="1:5" s="342" customFormat="1" hidden="1">
      <c r="A28" s="341"/>
    </row>
    <row r="29" spans="1:5" s="342" customFormat="1" hidden="1">
      <c r="A29" s="341"/>
    </row>
    <row r="30" spans="1:5" s="342" customFormat="1" hidden="1">
      <c r="A30" s="341"/>
    </row>
    <row r="31" spans="1:5" s="342" customFormat="1" hidden="1">
      <c r="A31" s="341"/>
    </row>
    <row r="32" spans="1:5" s="342" customFormat="1" hidden="1">
      <c r="A32" s="341"/>
    </row>
    <row r="33" spans="1:1" s="342" customFormat="1" hidden="1">
      <c r="A33" s="341"/>
    </row>
    <row r="34" spans="1:1" s="342" customFormat="1" hidden="1">
      <c r="A34" s="341"/>
    </row>
    <row r="35" spans="1:1" s="342" customFormat="1" hidden="1">
      <c r="A35" s="341"/>
    </row>
    <row r="36" spans="1:1" s="342" customFormat="1" hidden="1">
      <c r="A36" s="341"/>
    </row>
    <row r="37" spans="1:1" s="342" customFormat="1" hidden="1">
      <c r="A37" s="341"/>
    </row>
    <row r="38" spans="1:1" s="342" customFormat="1" hidden="1">
      <c r="A38" s="341"/>
    </row>
    <row r="39" spans="1:1" s="342" customFormat="1" hidden="1">
      <c r="A39" s="341"/>
    </row>
    <row r="40" spans="1:1" s="342" customFormat="1" hidden="1">
      <c r="A40" s="341"/>
    </row>
    <row r="41" spans="1:1" s="342" customFormat="1" hidden="1">
      <c r="A41" s="341"/>
    </row>
    <row r="42" spans="1:1" s="342" customFormat="1" hidden="1">
      <c r="A42" s="341"/>
    </row>
    <row r="43" spans="1:1" s="342" customFormat="1" hidden="1">
      <c r="A43" s="341"/>
    </row>
    <row r="44" spans="1:1" s="342" customFormat="1" hidden="1">
      <c r="A44" s="341"/>
    </row>
    <row r="45" spans="1:1" s="342" customFormat="1" hidden="1">
      <c r="A45" s="341"/>
    </row>
    <row r="46" spans="1:1" s="342" customFormat="1" hidden="1">
      <c r="A46" s="341"/>
    </row>
    <row r="47" spans="1:1" s="342" customFormat="1" hidden="1">
      <c r="A47" s="341"/>
    </row>
    <row r="48" spans="1:1" s="342" customFormat="1" hidden="1">
      <c r="A48" s="341"/>
    </row>
    <row r="49" spans="1:1" s="342" customFormat="1" hidden="1">
      <c r="A49" s="341"/>
    </row>
    <row r="50" spans="1:1" s="342" customFormat="1" hidden="1">
      <c r="A50" s="341"/>
    </row>
    <row r="51" spans="1:1" s="342" customFormat="1" hidden="1">
      <c r="A51" s="341"/>
    </row>
    <row r="52" spans="1:1" s="342" customFormat="1" hidden="1">
      <c r="A52" s="341"/>
    </row>
    <row r="53" spans="1:1" s="342" customFormat="1" hidden="1">
      <c r="A53" s="341"/>
    </row>
    <row r="54" spans="1:1" s="342" customFormat="1" hidden="1">
      <c r="A54" s="341"/>
    </row>
    <row r="55" spans="1:1" s="342" customFormat="1" hidden="1">
      <c r="A55" s="341"/>
    </row>
    <row r="56" spans="1:1" s="342" customFormat="1" hidden="1">
      <c r="A56" s="341"/>
    </row>
    <row r="57" spans="1:1" s="342" customFormat="1" hidden="1">
      <c r="A57" s="341"/>
    </row>
    <row r="58" spans="1:1" s="342" customFormat="1" hidden="1">
      <c r="A58" s="341"/>
    </row>
    <row r="59" spans="1:1" s="342" customFormat="1" hidden="1">
      <c r="A59" s="341"/>
    </row>
    <row r="60" spans="1:1" s="342" customFormat="1" hidden="1">
      <c r="A60" s="341"/>
    </row>
    <row r="61" spans="1:1" s="342" customFormat="1" hidden="1">
      <c r="A61" s="341"/>
    </row>
    <row r="62" spans="1:1" s="342" customFormat="1" hidden="1">
      <c r="A62" s="341"/>
    </row>
    <row r="63" spans="1:1" s="342" customFormat="1" hidden="1">
      <c r="A63" s="341"/>
    </row>
    <row r="64" spans="1:1" s="342" customFormat="1" hidden="1">
      <c r="A64" s="341"/>
    </row>
    <row r="65" spans="1:1" s="342" customFormat="1" hidden="1">
      <c r="A65" s="341"/>
    </row>
    <row r="66" spans="1:1" s="342" customFormat="1" hidden="1">
      <c r="A66" s="341"/>
    </row>
    <row r="67" spans="1:1" s="342" customFormat="1" hidden="1">
      <c r="A67" s="341"/>
    </row>
    <row r="68" spans="1:1" s="342" customFormat="1" hidden="1">
      <c r="A68" s="341"/>
    </row>
    <row r="69" spans="1:1" s="342" customFormat="1" hidden="1">
      <c r="A69" s="341"/>
    </row>
    <row r="70" spans="1:1" s="342" customFormat="1" hidden="1">
      <c r="A70" s="341"/>
    </row>
    <row r="71" spans="1:1" s="342" customFormat="1" hidden="1">
      <c r="A71" s="341"/>
    </row>
    <row r="72" spans="1:1" s="342" customFormat="1" hidden="1">
      <c r="A72" s="341"/>
    </row>
    <row r="73" spans="1:1" s="342" customFormat="1" hidden="1">
      <c r="A73" s="341"/>
    </row>
    <row r="74" spans="1:1" s="342" customFormat="1" hidden="1">
      <c r="A74" s="341"/>
    </row>
    <row r="75" spans="1:1" s="342" customFormat="1" hidden="1">
      <c r="A75" s="341"/>
    </row>
    <row r="76" spans="1:1" s="342" customFormat="1" hidden="1">
      <c r="A76" s="341"/>
    </row>
    <row r="77" spans="1:1" s="342" customFormat="1" hidden="1">
      <c r="A77" s="341"/>
    </row>
    <row r="78" spans="1:1" s="342" customFormat="1" hidden="1">
      <c r="A78" s="341"/>
    </row>
    <row r="79" spans="1:1" s="342" customFormat="1" hidden="1">
      <c r="A79" s="341"/>
    </row>
    <row r="80" spans="1:1" s="342" customFormat="1" hidden="1">
      <c r="A80" s="341"/>
    </row>
    <row r="81" spans="1:1" s="342" customFormat="1" hidden="1">
      <c r="A81" s="341"/>
    </row>
    <row r="82" spans="1:1" s="342" customFormat="1" hidden="1">
      <c r="A82" s="341"/>
    </row>
    <row r="83" spans="1:1" s="342" customFormat="1" hidden="1">
      <c r="A83" s="341"/>
    </row>
    <row r="84" spans="1:1" s="342" customFormat="1" hidden="1">
      <c r="A84" s="341"/>
    </row>
    <row r="85" spans="1:1" s="342" customFormat="1" hidden="1">
      <c r="A85" s="341"/>
    </row>
    <row r="86" spans="1:1" s="342" customFormat="1" hidden="1">
      <c r="A86" s="341"/>
    </row>
    <row r="87" spans="1:1" s="342" customFormat="1" hidden="1">
      <c r="A87" s="341"/>
    </row>
    <row r="88" spans="1:1" s="342" customFormat="1" hidden="1">
      <c r="A88" s="341"/>
    </row>
    <row r="89" spans="1:1" s="342" customFormat="1" hidden="1">
      <c r="A89" s="341"/>
    </row>
    <row r="90" spans="1:1" s="342" customFormat="1" hidden="1">
      <c r="A90" s="341"/>
    </row>
    <row r="91" spans="1:1" s="342" customFormat="1" hidden="1">
      <c r="A91" s="341"/>
    </row>
    <row r="92" spans="1:1" s="342" customFormat="1" hidden="1">
      <c r="A92" s="341"/>
    </row>
    <row r="93" spans="1:1" s="342" customFormat="1" hidden="1">
      <c r="A93" s="341"/>
    </row>
    <row r="94" spans="1:1" s="342" customFormat="1" hidden="1">
      <c r="A94" s="341"/>
    </row>
    <row r="95" spans="1:1" s="342" customFormat="1" hidden="1">
      <c r="A95" s="341"/>
    </row>
    <row r="96" spans="1:1" s="342" customFormat="1" hidden="1">
      <c r="A96" s="341"/>
    </row>
    <row r="97" spans="1:1" s="342" customFormat="1" hidden="1">
      <c r="A97" s="341"/>
    </row>
    <row r="98" spans="1:1" s="342" customFormat="1" hidden="1">
      <c r="A98" s="341"/>
    </row>
    <row r="99" spans="1:1" s="342" customFormat="1" hidden="1">
      <c r="A99" s="341"/>
    </row>
    <row r="100" spans="1:1" s="342" customFormat="1" hidden="1">
      <c r="A100" s="341"/>
    </row>
    <row r="101" spans="1:1" s="342" customFormat="1" hidden="1">
      <c r="A101" s="341"/>
    </row>
    <row r="102" spans="1:1" s="342" customFormat="1" hidden="1">
      <c r="A102" s="341"/>
    </row>
    <row r="103" spans="1:1" s="342" customFormat="1" hidden="1">
      <c r="A103" s="341"/>
    </row>
    <row r="104" spans="1:1" s="342" customFormat="1" hidden="1">
      <c r="A104" s="341"/>
    </row>
    <row r="105" spans="1:1" s="342" customFormat="1" hidden="1">
      <c r="A105" s="341"/>
    </row>
    <row r="106" spans="1:1" s="342" customFormat="1" hidden="1">
      <c r="A106" s="341"/>
    </row>
    <row r="107" spans="1:1" s="342" customFormat="1" hidden="1">
      <c r="A107" s="341"/>
    </row>
    <row r="108" spans="1:1" s="342" customFormat="1" hidden="1">
      <c r="A108" s="341"/>
    </row>
    <row r="109" spans="1:1" s="342" customFormat="1" hidden="1">
      <c r="A109" s="341"/>
    </row>
    <row r="110" spans="1:1" s="342" customFormat="1" hidden="1">
      <c r="A110" s="341"/>
    </row>
    <row r="111" spans="1:1" s="342" customFormat="1" hidden="1">
      <c r="A111" s="341"/>
    </row>
    <row r="112" spans="1:1" s="342" customFormat="1" hidden="1">
      <c r="A112" s="341"/>
    </row>
    <row r="113" spans="1:1" s="342" customFormat="1" hidden="1">
      <c r="A113" s="341"/>
    </row>
    <row r="114" spans="1:1" s="342" customFormat="1" hidden="1">
      <c r="A114" s="341"/>
    </row>
    <row r="115" spans="1:1" s="342" customFormat="1" hidden="1">
      <c r="A115" s="341"/>
    </row>
    <row r="116" spans="1:1" s="342" customFormat="1" hidden="1">
      <c r="A116" s="341"/>
    </row>
    <row r="117" spans="1:1" s="342" customFormat="1" hidden="1">
      <c r="A117" s="341"/>
    </row>
    <row r="118" spans="1:1" s="342" customFormat="1" hidden="1">
      <c r="A118" s="341"/>
    </row>
    <row r="119" spans="1:1" s="342" customFormat="1" hidden="1">
      <c r="A119" s="341"/>
    </row>
    <row r="120" spans="1:1" s="342" customFormat="1" hidden="1">
      <c r="A120" s="341"/>
    </row>
    <row r="121" spans="1:1" s="342" customFormat="1" hidden="1">
      <c r="A121" s="341"/>
    </row>
    <row r="122" spans="1:1" s="342" customFormat="1" hidden="1">
      <c r="A122" s="341"/>
    </row>
    <row r="123" spans="1:1" s="342" customFormat="1" hidden="1">
      <c r="A123" s="341"/>
    </row>
    <row r="124" spans="1:1" s="342" customFormat="1" hidden="1">
      <c r="A124" s="341"/>
    </row>
    <row r="125" spans="1:1" s="342" customFormat="1" hidden="1">
      <c r="A125" s="341"/>
    </row>
    <row r="126" spans="1:1" s="342" customFormat="1" hidden="1">
      <c r="A126" s="341"/>
    </row>
    <row r="127" spans="1:1" s="342" customFormat="1" hidden="1">
      <c r="A127" s="341"/>
    </row>
    <row r="128" spans="1:1" s="342" customFormat="1" hidden="1">
      <c r="A128" s="341"/>
    </row>
    <row r="129" spans="1:1" s="342" customFormat="1" hidden="1">
      <c r="A129" s="341"/>
    </row>
    <row r="130" spans="1:1" s="342" customFormat="1" hidden="1">
      <c r="A130" s="341"/>
    </row>
    <row r="131" spans="1:1" s="342" customFormat="1" hidden="1">
      <c r="A131" s="341"/>
    </row>
    <row r="132" spans="1:1" s="342" customFormat="1" hidden="1">
      <c r="A132" s="341"/>
    </row>
    <row r="133" spans="1:1" s="342" customFormat="1" hidden="1">
      <c r="A133" s="341"/>
    </row>
    <row r="134" spans="1:1" s="342" customFormat="1" hidden="1">
      <c r="A134" s="341"/>
    </row>
    <row r="135" spans="1:1" s="342" customFormat="1" hidden="1">
      <c r="A135" s="341"/>
    </row>
    <row r="136" spans="1:1" s="342" customFormat="1" hidden="1">
      <c r="A136" s="341"/>
    </row>
    <row r="137" spans="1:1" s="342" customFormat="1" hidden="1">
      <c r="A137" s="341"/>
    </row>
    <row r="138" spans="1:1" s="342" customFormat="1" hidden="1">
      <c r="A138" s="341"/>
    </row>
    <row r="139" spans="1:1" s="342" customFormat="1" hidden="1">
      <c r="A139" s="341"/>
    </row>
    <row r="140" spans="1:1" s="342" customFormat="1" hidden="1">
      <c r="A140" s="341"/>
    </row>
    <row r="141" spans="1:1" s="342" customFormat="1" hidden="1">
      <c r="A141" s="341"/>
    </row>
    <row r="142" spans="1:1" s="342" customFormat="1" hidden="1">
      <c r="A142" s="341"/>
    </row>
    <row r="143" spans="1:1" s="342" customFormat="1" hidden="1">
      <c r="A143" s="341"/>
    </row>
    <row r="144" spans="1:1" s="342" customFormat="1" hidden="1">
      <c r="A144" s="341"/>
    </row>
    <row r="145" spans="1:1" s="342" customFormat="1" hidden="1">
      <c r="A145" s="341"/>
    </row>
    <row r="146" spans="1:1" s="342" customFormat="1" hidden="1">
      <c r="A146" s="341"/>
    </row>
    <row r="147" spans="1:1" s="342" customFormat="1" hidden="1">
      <c r="A147" s="341"/>
    </row>
    <row r="148" spans="1:1" s="342" customFormat="1" hidden="1">
      <c r="A148" s="341"/>
    </row>
    <row r="149" spans="1:1" s="342" customFormat="1" hidden="1">
      <c r="A149" s="341"/>
    </row>
    <row r="150" spans="1:1" s="342" customFormat="1" hidden="1">
      <c r="A150" s="341"/>
    </row>
    <row r="151" spans="1:1" s="342" customFormat="1" hidden="1">
      <c r="A151" s="341"/>
    </row>
    <row r="152" spans="1:1" s="342" customFormat="1" hidden="1">
      <c r="A152" s="341"/>
    </row>
    <row r="153" spans="1:1" s="342" customFormat="1" hidden="1">
      <c r="A153" s="341"/>
    </row>
    <row r="154" spans="1:1" s="342" customFormat="1" hidden="1">
      <c r="A154" s="341"/>
    </row>
    <row r="155" spans="1:1" s="342" customFormat="1" hidden="1">
      <c r="A155" s="341"/>
    </row>
    <row r="156" spans="1:1" s="342" customFormat="1" hidden="1">
      <c r="A156" s="341"/>
    </row>
    <row r="157" spans="1:1" s="342" customFormat="1" hidden="1">
      <c r="A157" s="341"/>
    </row>
    <row r="158" spans="1:1" s="342" customFormat="1" hidden="1">
      <c r="A158" s="341"/>
    </row>
    <row r="159" spans="1:1" s="342" customFormat="1" hidden="1">
      <c r="A159" s="341"/>
    </row>
    <row r="160" spans="1:1" s="342" customFormat="1" hidden="1">
      <c r="A160" s="341"/>
    </row>
    <row r="161" spans="1:6" s="342" customFormat="1" hidden="1">
      <c r="A161" s="341"/>
    </row>
    <row r="162" spans="1:6" s="341" customFormat="1" hidden="1">
      <c r="B162" s="342"/>
      <c r="C162" s="342"/>
      <c r="D162" s="342"/>
      <c r="E162" s="342"/>
      <c r="F162" s="342"/>
    </row>
    <row r="163" spans="1:6" s="341" customFormat="1" hidden="1">
      <c r="B163" s="342"/>
      <c r="C163" s="342"/>
      <c r="D163" s="342"/>
      <c r="E163" s="342"/>
      <c r="F163" s="342"/>
    </row>
    <row r="164" spans="1:6" s="341" customFormat="1" hidden="1">
      <c r="B164" s="342"/>
      <c r="C164" s="342"/>
      <c r="D164" s="342"/>
      <c r="E164" s="342"/>
      <c r="F164" s="342"/>
    </row>
    <row r="165" spans="1:6" s="341" customFormat="1" hidden="1">
      <c r="B165" s="342"/>
      <c r="C165" s="342"/>
      <c r="D165" s="342"/>
      <c r="E165" s="342"/>
      <c r="F165" s="342"/>
    </row>
    <row r="166" spans="1:6" s="341" customFormat="1" hidden="1">
      <c r="B166" s="342"/>
      <c r="C166" s="342"/>
      <c r="D166" s="342"/>
      <c r="E166" s="342"/>
      <c r="F166" s="342"/>
    </row>
    <row r="167" spans="1:6" s="341" customFormat="1" hidden="1">
      <c r="B167" s="342"/>
      <c r="C167" s="342"/>
      <c r="D167" s="342"/>
      <c r="E167" s="342"/>
      <c r="F167" s="342"/>
    </row>
    <row r="168" spans="1:6" s="341" customFormat="1" hidden="1">
      <c r="B168" s="342"/>
      <c r="C168" s="342"/>
      <c r="D168" s="342"/>
      <c r="E168" s="342"/>
      <c r="F168" s="342"/>
    </row>
    <row r="169" spans="1:6" s="341" customFormat="1" hidden="1">
      <c r="B169" s="342"/>
      <c r="C169" s="342"/>
      <c r="D169" s="342"/>
      <c r="E169" s="342"/>
      <c r="F169" s="342"/>
    </row>
    <row r="170" spans="1:6" s="341" customFormat="1" hidden="1">
      <c r="B170" s="342"/>
      <c r="C170" s="342"/>
      <c r="D170" s="342"/>
      <c r="E170" s="342"/>
      <c r="F170" s="342"/>
    </row>
    <row r="171" spans="1:6" s="341" customFormat="1" hidden="1">
      <c r="B171" s="342"/>
      <c r="C171" s="342"/>
      <c r="D171" s="342"/>
      <c r="E171" s="342"/>
      <c r="F171" s="342"/>
    </row>
    <row r="172" spans="1:6" s="341" customFormat="1" hidden="1">
      <c r="B172" s="342"/>
      <c r="C172" s="342"/>
      <c r="D172" s="342"/>
      <c r="E172" s="342"/>
      <c r="F172" s="342"/>
    </row>
    <row r="173" spans="1:6" s="341" customFormat="1" hidden="1">
      <c r="B173" s="342"/>
      <c r="C173" s="342"/>
      <c r="D173" s="342"/>
      <c r="E173" s="342"/>
      <c r="F173" s="342"/>
    </row>
    <row r="174" spans="1:6" s="341" customFormat="1" hidden="1">
      <c r="B174" s="342"/>
      <c r="C174" s="342"/>
      <c r="D174" s="342"/>
      <c r="E174" s="342"/>
      <c r="F174" s="342"/>
    </row>
    <row r="175" spans="1:6" s="341" customFormat="1" hidden="1">
      <c r="B175" s="342"/>
      <c r="C175" s="342"/>
      <c r="D175" s="342"/>
      <c r="E175" s="342"/>
      <c r="F175" s="342"/>
    </row>
    <row r="176" spans="1:6" s="341" customFormat="1" hidden="1">
      <c r="B176" s="342"/>
      <c r="C176" s="342"/>
      <c r="D176" s="342"/>
      <c r="E176" s="342"/>
      <c r="F176" s="342"/>
    </row>
    <row r="177" spans="2:6" s="341" customFormat="1" hidden="1">
      <c r="B177" s="342"/>
      <c r="C177" s="342"/>
      <c r="D177" s="342"/>
      <c r="E177" s="342"/>
      <c r="F177" s="342"/>
    </row>
    <row r="178" spans="2:6" s="341" customFormat="1" hidden="1">
      <c r="B178" s="342"/>
      <c r="C178" s="342"/>
      <c r="D178" s="342"/>
      <c r="E178" s="342"/>
      <c r="F178" s="342"/>
    </row>
    <row r="179" spans="2:6" s="341" customFormat="1" hidden="1">
      <c r="B179" s="342"/>
      <c r="C179" s="342"/>
      <c r="D179" s="342"/>
      <c r="E179" s="342"/>
      <c r="F179" s="342"/>
    </row>
    <row r="180" spans="2:6" s="341" customFormat="1" hidden="1">
      <c r="B180" s="342"/>
      <c r="C180" s="342"/>
      <c r="D180" s="342"/>
      <c r="E180" s="342"/>
      <c r="F180" s="342"/>
    </row>
    <row r="181" spans="2:6" s="341" customFormat="1" hidden="1">
      <c r="B181" s="342"/>
      <c r="C181" s="342"/>
      <c r="D181" s="342"/>
      <c r="E181" s="342"/>
      <c r="F181" s="342"/>
    </row>
    <row r="182" spans="2:6" s="341" customFormat="1" hidden="1">
      <c r="B182" s="342"/>
      <c r="C182" s="342"/>
      <c r="D182" s="342"/>
      <c r="E182" s="342"/>
      <c r="F182" s="342"/>
    </row>
    <row r="183" spans="2:6" s="341" customFormat="1" hidden="1">
      <c r="B183" s="342"/>
      <c r="C183" s="342"/>
      <c r="D183" s="342"/>
      <c r="E183" s="342"/>
      <c r="F183" s="342"/>
    </row>
    <row r="184" spans="2:6" s="341" customFormat="1" hidden="1">
      <c r="B184" s="342"/>
      <c r="C184" s="342"/>
      <c r="D184" s="342"/>
      <c r="E184" s="342"/>
      <c r="F184" s="342"/>
    </row>
    <row r="185" spans="2:6" s="341" customFormat="1" hidden="1">
      <c r="B185" s="342"/>
      <c r="C185" s="342"/>
      <c r="D185" s="342"/>
      <c r="E185" s="342"/>
      <c r="F185" s="342"/>
    </row>
    <row r="186" spans="2:6" s="341" customFormat="1" hidden="1">
      <c r="B186" s="342"/>
      <c r="C186" s="342"/>
      <c r="D186" s="342"/>
      <c r="E186" s="342"/>
      <c r="F186" s="342"/>
    </row>
    <row r="187" spans="2:6" s="341" customFormat="1" hidden="1">
      <c r="B187" s="342"/>
      <c r="C187" s="342"/>
      <c r="D187" s="342"/>
      <c r="E187" s="342"/>
      <c r="F187" s="342"/>
    </row>
    <row r="188" spans="2:6" s="341" customFormat="1" hidden="1">
      <c r="B188" s="342"/>
      <c r="C188" s="342"/>
      <c r="D188" s="342"/>
      <c r="E188" s="342"/>
      <c r="F188" s="342"/>
    </row>
    <row r="189" spans="2:6" s="341" customFormat="1" hidden="1">
      <c r="B189" s="342"/>
      <c r="C189" s="342"/>
      <c r="D189" s="342"/>
      <c r="E189" s="342"/>
      <c r="F189" s="342"/>
    </row>
    <row r="190" spans="2:6" s="341" customFormat="1" hidden="1">
      <c r="B190" s="342"/>
      <c r="C190" s="342"/>
      <c r="D190" s="342"/>
      <c r="E190" s="342"/>
      <c r="F190" s="342"/>
    </row>
    <row r="191" spans="2:6" s="341" customFormat="1" hidden="1">
      <c r="B191" s="342"/>
      <c r="C191" s="342"/>
      <c r="D191" s="342"/>
      <c r="E191" s="342"/>
      <c r="F191" s="342"/>
    </row>
    <row r="192" spans="2:6" s="341" customFormat="1" hidden="1">
      <c r="B192" s="342"/>
      <c r="C192" s="342"/>
      <c r="D192" s="342"/>
      <c r="E192" s="342"/>
      <c r="F192" s="342"/>
    </row>
    <row r="193" spans="2:6" s="341" customFormat="1" hidden="1">
      <c r="B193" s="342"/>
      <c r="C193" s="342"/>
      <c r="D193" s="342"/>
      <c r="E193" s="342"/>
      <c r="F193" s="342"/>
    </row>
    <row r="194" spans="2:6" s="341" customFormat="1" hidden="1">
      <c r="B194" s="342"/>
      <c r="C194" s="342"/>
      <c r="D194" s="342"/>
      <c r="E194" s="342"/>
      <c r="F194" s="342"/>
    </row>
    <row r="195" spans="2:6" s="341" customFormat="1" hidden="1">
      <c r="B195" s="342"/>
      <c r="C195" s="342"/>
      <c r="D195" s="342"/>
      <c r="E195" s="342"/>
      <c r="F195" s="342"/>
    </row>
    <row r="196" spans="2:6" s="341" customFormat="1" hidden="1">
      <c r="B196" s="342"/>
      <c r="C196" s="342"/>
      <c r="D196" s="342"/>
      <c r="E196" s="342"/>
      <c r="F196" s="342"/>
    </row>
    <row r="197" spans="2:6" s="341" customFormat="1" hidden="1">
      <c r="B197" s="342"/>
      <c r="C197" s="342"/>
      <c r="D197" s="342"/>
      <c r="E197" s="342"/>
      <c r="F197" s="342"/>
    </row>
    <row r="198" spans="2:6" s="341" customFormat="1" hidden="1">
      <c r="B198" s="342"/>
      <c r="C198" s="342"/>
      <c r="D198" s="342"/>
      <c r="E198" s="342"/>
      <c r="F198" s="342"/>
    </row>
    <row r="199" spans="2:6" s="341" customFormat="1" hidden="1">
      <c r="B199" s="342"/>
      <c r="C199" s="342"/>
      <c r="D199" s="342"/>
      <c r="E199" s="342"/>
      <c r="F199" s="342"/>
    </row>
    <row r="200" spans="2:6" s="341" customFormat="1" hidden="1">
      <c r="B200" s="342"/>
      <c r="C200" s="342"/>
      <c r="D200" s="342"/>
      <c r="E200" s="342"/>
      <c r="F200" s="342"/>
    </row>
    <row r="201" spans="2:6" s="341" customFormat="1" hidden="1">
      <c r="B201" s="342"/>
      <c r="C201" s="342"/>
      <c r="D201" s="342"/>
      <c r="E201" s="342"/>
      <c r="F201" s="342"/>
    </row>
    <row r="202" spans="2:6" s="341" customFormat="1" hidden="1">
      <c r="B202" s="342"/>
      <c r="C202" s="342"/>
      <c r="D202" s="342"/>
      <c r="E202" s="342"/>
      <c r="F202" s="342"/>
    </row>
    <row r="203" spans="2:6" s="341" customFormat="1" hidden="1">
      <c r="B203" s="342"/>
      <c r="C203" s="342"/>
      <c r="D203" s="342"/>
      <c r="E203" s="342"/>
      <c r="F203" s="342"/>
    </row>
    <row r="204" spans="2:6" s="341" customFormat="1" hidden="1">
      <c r="B204" s="342"/>
      <c r="C204" s="342"/>
      <c r="D204" s="342"/>
      <c r="E204" s="342"/>
      <c r="F204" s="342"/>
    </row>
    <row r="205" spans="2:6" s="341" customFormat="1" hidden="1">
      <c r="B205" s="342"/>
      <c r="C205" s="342"/>
      <c r="D205" s="342"/>
      <c r="E205" s="342"/>
      <c r="F205" s="342"/>
    </row>
    <row r="206" spans="2:6" s="341" customFormat="1" hidden="1">
      <c r="B206" s="342"/>
      <c r="C206" s="342"/>
      <c r="D206" s="342"/>
      <c r="E206" s="342"/>
      <c r="F206" s="342"/>
    </row>
    <row r="207" spans="2:6" s="341" customFormat="1" hidden="1">
      <c r="B207" s="342"/>
      <c r="C207" s="342"/>
      <c r="D207" s="342"/>
      <c r="E207" s="342"/>
      <c r="F207" s="342"/>
    </row>
    <row r="208" spans="2:6" s="341" customFormat="1" hidden="1">
      <c r="B208" s="342"/>
      <c r="C208" s="342"/>
      <c r="D208" s="342"/>
      <c r="E208" s="342"/>
      <c r="F208" s="342"/>
    </row>
    <row r="209" spans="2:6" s="341" customFormat="1" hidden="1">
      <c r="B209" s="342"/>
      <c r="C209" s="342"/>
      <c r="D209" s="342"/>
      <c r="E209" s="342"/>
      <c r="F209" s="342"/>
    </row>
    <row r="210" spans="2:6" s="341" customFormat="1" hidden="1">
      <c r="B210" s="342"/>
      <c r="C210" s="342"/>
      <c r="D210" s="342"/>
      <c r="E210" s="342"/>
      <c r="F210" s="342"/>
    </row>
    <row r="211" spans="2:6" s="341" customFormat="1" hidden="1">
      <c r="B211" s="342"/>
      <c r="C211" s="342"/>
      <c r="D211" s="342"/>
      <c r="E211" s="342"/>
      <c r="F211" s="342"/>
    </row>
    <row r="212" spans="2:6" s="341" customFormat="1" hidden="1">
      <c r="B212" s="342"/>
      <c r="C212" s="342"/>
      <c r="D212" s="342"/>
      <c r="E212" s="342"/>
      <c r="F212" s="342"/>
    </row>
    <row r="213" spans="2:6" s="341" customFormat="1" hidden="1">
      <c r="B213" s="342"/>
      <c r="C213" s="342"/>
      <c r="D213" s="342"/>
      <c r="E213" s="342"/>
      <c r="F213" s="342"/>
    </row>
    <row r="214" spans="2:6" s="341" customFormat="1" hidden="1">
      <c r="B214" s="342"/>
      <c r="C214" s="342"/>
      <c r="D214" s="342"/>
      <c r="E214" s="342"/>
      <c r="F214" s="342"/>
    </row>
    <row r="215" spans="2:6" s="341" customFormat="1" hidden="1">
      <c r="B215" s="342"/>
      <c r="C215" s="342"/>
      <c r="D215" s="342"/>
      <c r="E215" s="342"/>
      <c r="F215" s="342"/>
    </row>
    <row r="216" spans="2:6" s="341" customFormat="1" hidden="1">
      <c r="B216" s="342"/>
      <c r="C216" s="342"/>
      <c r="D216" s="342"/>
      <c r="E216" s="342"/>
      <c r="F216" s="342"/>
    </row>
    <row r="217" spans="2:6" s="341" customFormat="1" hidden="1">
      <c r="B217" s="342"/>
      <c r="C217" s="342"/>
      <c r="D217" s="342"/>
      <c r="E217" s="342"/>
      <c r="F217" s="342"/>
    </row>
    <row r="218" spans="2:6" s="341" customFormat="1" hidden="1">
      <c r="B218" s="342"/>
      <c r="C218" s="342"/>
      <c r="D218" s="342"/>
      <c r="E218" s="342"/>
      <c r="F218" s="342"/>
    </row>
    <row r="219" spans="2:6" s="341" customFormat="1" hidden="1">
      <c r="B219" s="342"/>
      <c r="C219" s="342"/>
      <c r="D219" s="342"/>
      <c r="E219" s="342"/>
      <c r="F219" s="342"/>
    </row>
    <row r="220" spans="2:6" s="341" customFormat="1" hidden="1">
      <c r="B220" s="342"/>
      <c r="C220" s="342"/>
      <c r="D220" s="342"/>
      <c r="E220" s="342"/>
      <c r="F220" s="342"/>
    </row>
    <row r="221" spans="2:6" s="341" customFormat="1" hidden="1">
      <c r="B221" s="342"/>
      <c r="C221" s="342"/>
      <c r="D221" s="342"/>
      <c r="E221" s="342"/>
      <c r="F221" s="342"/>
    </row>
    <row r="222" spans="2:6" s="341" customFormat="1" hidden="1">
      <c r="B222" s="342"/>
      <c r="C222" s="342"/>
      <c r="D222" s="342"/>
      <c r="E222" s="342"/>
      <c r="F222" s="342"/>
    </row>
    <row r="223" spans="2:6" s="341" customFormat="1" hidden="1">
      <c r="B223" s="342"/>
      <c r="C223" s="342"/>
      <c r="D223" s="342"/>
      <c r="E223" s="342"/>
      <c r="F223" s="342"/>
    </row>
    <row r="224" spans="2:6" s="341" customFormat="1" hidden="1">
      <c r="B224" s="342"/>
      <c r="C224" s="342"/>
      <c r="D224" s="342"/>
      <c r="E224" s="342"/>
      <c r="F224" s="342"/>
    </row>
    <row r="225" spans="2:6" s="341" customFormat="1" hidden="1">
      <c r="B225" s="342"/>
      <c r="C225" s="342"/>
      <c r="D225" s="342"/>
      <c r="E225" s="342"/>
      <c r="F225" s="342"/>
    </row>
    <row r="226" spans="2:6" s="341" customFormat="1" hidden="1">
      <c r="B226" s="342"/>
      <c r="C226" s="342"/>
      <c r="D226" s="342"/>
      <c r="E226" s="342"/>
      <c r="F226" s="342"/>
    </row>
    <row r="227" spans="2:6" s="341" customFormat="1" hidden="1">
      <c r="B227" s="342"/>
      <c r="C227" s="342"/>
      <c r="D227" s="342"/>
      <c r="E227" s="342"/>
      <c r="F227" s="342"/>
    </row>
    <row r="228" spans="2:6" s="341" customFormat="1" hidden="1">
      <c r="B228" s="342"/>
      <c r="C228" s="342"/>
      <c r="D228" s="342"/>
      <c r="E228" s="342"/>
      <c r="F228" s="342"/>
    </row>
    <row r="229" spans="2:6" s="341" customFormat="1" hidden="1">
      <c r="B229" s="342"/>
      <c r="C229" s="342"/>
      <c r="D229" s="342"/>
      <c r="E229" s="342"/>
      <c r="F229" s="342"/>
    </row>
    <row r="230" spans="2:6" s="341" customFormat="1" hidden="1">
      <c r="B230" s="342"/>
      <c r="C230" s="342"/>
      <c r="D230" s="342"/>
      <c r="E230" s="342"/>
      <c r="F230" s="342"/>
    </row>
    <row r="231" spans="2:6" s="341" customFormat="1" hidden="1">
      <c r="B231" s="342"/>
      <c r="C231" s="342"/>
      <c r="D231" s="342"/>
      <c r="E231" s="342"/>
      <c r="F231" s="342"/>
    </row>
    <row r="232" spans="2:6" s="341" customFormat="1" hidden="1">
      <c r="B232" s="342"/>
      <c r="C232" s="342"/>
      <c r="D232" s="342"/>
      <c r="E232" s="342"/>
      <c r="F232" s="342"/>
    </row>
    <row r="233" spans="2:6" s="341" customFormat="1" hidden="1">
      <c r="B233" s="342"/>
      <c r="C233" s="342"/>
      <c r="D233" s="342"/>
      <c r="E233" s="342"/>
      <c r="F233" s="342"/>
    </row>
    <row r="234" spans="2:6" s="341" customFormat="1" hidden="1">
      <c r="B234" s="342"/>
      <c r="C234" s="342"/>
      <c r="D234" s="342"/>
      <c r="E234" s="342"/>
      <c r="F234" s="342"/>
    </row>
    <row r="235" spans="2:6" s="341" customFormat="1" hidden="1">
      <c r="B235" s="342"/>
      <c r="C235" s="342"/>
      <c r="D235" s="342"/>
      <c r="E235" s="342"/>
      <c r="F235" s="342"/>
    </row>
    <row r="236" spans="2:6" s="341" customFormat="1" hidden="1">
      <c r="B236" s="342"/>
      <c r="C236" s="342"/>
      <c r="D236" s="342"/>
      <c r="E236" s="342"/>
      <c r="F236" s="342"/>
    </row>
    <row r="237" spans="2:6" s="341" customFormat="1" hidden="1">
      <c r="B237" s="342"/>
      <c r="C237" s="342"/>
      <c r="D237" s="342"/>
      <c r="E237" s="342"/>
      <c r="F237" s="342"/>
    </row>
    <row r="238" spans="2:6" s="341" customFormat="1" hidden="1">
      <c r="B238" s="342"/>
      <c r="C238" s="342"/>
      <c r="D238" s="342"/>
      <c r="E238" s="342"/>
      <c r="F238" s="342"/>
    </row>
    <row r="239" spans="2:6" s="341" customFormat="1" hidden="1">
      <c r="B239" s="342"/>
      <c r="C239" s="342"/>
      <c r="D239" s="342"/>
      <c r="E239" s="342"/>
      <c r="F239" s="342"/>
    </row>
    <row r="240" spans="2:6" s="341" customFormat="1" hidden="1">
      <c r="B240" s="342"/>
      <c r="C240" s="342"/>
      <c r="D240" s="342"/>
      <c r="E240" s="342"/>
      <c r="F240" s="342"/>
    </row>
    <row r="241" spans="2:6" s="341" customFormat="1" hidden="1">
      <c r="B241" s="342"/>
      <c r="C241" s="342"/>
      <c r="D241" s="342"/>
      <c r="E241" s="342"/>
      <c r="F241" s="342"/>
    </row>
    <row r="242" spans="2:6" s="341" customFormat="1" hidden="1">
      <c r="B242" s="342"/>
      <c r="C242" s="342"/>
      <c r="D242" s="342"/>
      <c r="E242" s="342"/>
      <c r="F242" s="342"/>
    </row>
    <row r="243" spans="2:6" s="341" customFormat="1" hidden="1">
      <c r="B243" s="342"/>
      <c r="C243" s="342"/>
      <c r="D243" s="342"/>
      <c r="E243" s="342"/>
      <c r="F243" s="342"/>
    </row>
    <row r="244" spans="2:6" s="341" customFormat="1" hidden="1">
      <c r="B244" s="342"/>
      <c r="C244" s="342"/>
      <c r="D244" s="342"/>
      <c r="E244" s="342"/>
      <c r="F244" s="342"/>
    </row>
    <row r="245" spans="2:6" s="341" customFormat="1" hidden="1">
      <c r="B245" s="342"/>
      <c r="C245" s="342"/>
      <c r="D245" s="342"/>
      <c r="E245" s="342"/>
      <c r="F245" s="342"/>
    </row>
    <row r="246" spans="2:6" s="341" customFormat="1" hidden="1">
      <c r="B246" s="342"/>
      <c r="C246" s="342"/>
      <c r="D246" s="342"/>
      <c r="E246" s="342"/>
      <c r="F246" s="342"/>
    </row>
    <row r="247" spans="2:6" s="341" customFormat="1" hidden="1">
      <c r="B247" s="342"/>
      <c r="C247" s="342"/>
      <c r="D247" s="342"/>
      <c r="E247" s="342"/>
      <c r="F247" s="342"/>
    </row>
    <row r="248" spans="2:6" s="341" customFormat="1" hidden="1">
      <c r="B248" s="342"/>
      <c r="C248" s="342"/>
      <c r="D248" s="342"/>
      <c r="E248" s="342"/>
      <c r="F248" s="342"/>
    </row>
    <row r="249" spans="2:6" s="341" customFormat="1" hidden="1">
      <c r="B249" s="342"/>
      <c r="C249" s="342"/>
      <c r="D249" s="342"/>
      <c r="E249" s="342"/>
      <c r="F249" s="342"/>
    </row>
    <row r="250" spans="2:6" s="341" customFormat="1" hidden="1">
      <c r="B250" s="342"/>
      <c r="C250" s="342"/>
      <c r="D250" s="342"/>
      <c r="E250" s="342"/>
      <c r="F250" s="342"/>
    </row>
    <row r="251" spans="2:6" s="341" customFormat="1" hidden="1">
      <c r="B251" s="342"/>
      <c r="C251" s="342"/>
      <c r="D251" s="342"/>
      <c r="E251" s="342"/>
      <c r="F251" s="342"/>
    </row>
    <row r="252" spans="2:6" s="341" customFormat="1" hidden="1">
      <c r="B252" s="342"/>
      <c r="C252" s="342"/>
      <c r="D252" s="342"/>
      <c r="E252" s="342"/>
      <c r="F252" s="342"/>
    </row>
    <row r="253" spans="2:6" s="341" customFormat="1" hidden="1">
      <c r="B253" s="342"/>
      <c r="C253" s="342"/>
      <c r="D253" s="342"/>
      <c r="E253" s="342"/>
      <c r="F253" s="342"/>
    </row>
    <row r="254" spans="2:6" s="341" customFormat="1" hidden="1">
      <c r="B254" s="342"/>
      <c r="C254" s="342"/>
      <c r="D254" s="342"/>
      <c r="E254" s="342"/>
      <c r="F254" s="342"/>
    </row>
    <row r="255" spans="2:6" s="341" customFormat="1" hidden="1">
      <c r="B255" s="342"/>
      <c r="C255" s="342"/>
      <c r="D255" s="342"/>
      <c r="E255" s="342"/>
      <c r="F255" s="342"/>
    </row>
    <row r="256" spans="2:6" s="341" customFormat="1" hidden="1">
      <c r="B256" s="342"/>
      <c r="C256" s="342"/>
      <c r="D256" s="342"/>
      <c r="E256" s="342"/>
      <c r="F256" s="342"/>
    </row>
    <row r="257" spans="2:6" s="341" customFormat="1" hidden="1">
      <c r="B257" s="342"/>
      <c r="C257" s="342"/>
      <c r="D257" s="342"/>
      <c r="E257" s="342"/>
      <c r="F257" s="342"/>
    </row>
    <row r="258" spans="2:6" s="341" customFormat="1" hidden="1">
      <c r="B258" s="342"/>
      <c r="C258" s="342"/>
      <c r="D258" s="342"/>
      <c r="E258" s="342"/>
      <c r="F258" s="342"/>
    </row>
    <row r="259" spans="2:6" s="341" customFormat="1" hidden="1">
      <c r="B259" s="342"/>
      <c r="C259" s="342"/>
      <c r="D259" s="342"/>
      <c r="E259" s="342"/>
      <c r="F259" s="342"/>
    </row>
    <row r="260" spans="2:6" s="341" customFormat="1" hidden="1">
      <c r="B260" s="342"/>
      <c r="C260" s="342"/>
      <c r="D260" s="342"/>
      <c r="E260" s="342"/>
      <c r="F260" s="342"/>
    </row>
    <row r="261" spans="2:6" s="341" customFormat="1" hidden="1">
      <c r="B261" s="342"/>
      <c r="C261" s="342"/>
      <c r="D261" s="342"/>
      <c r="E261" s="342"/>
      <c r="F261" s="342"/>
    </row>
    <row r="262" spans="2:6" s="341" customFormat="1" hidden="1">
      <c r="B262" s="342"/>
      <c r="C262" s="342"/>
      <c r="D262" s="342"/>
      <c r="E262" s="342"/>
      <c r="F262" s="342"/>
    </row>
    <row r="263" spans="2:6" s="341" customFormat="1" hidden="1">
      <c r="B263" s="342"/>
      <c r="C263" s="342"/>
      <c r="D263" s="342"/>
      <c r="E263" s="342"/>
      <c r="F263" s="342"/>
    </row>
    <row r="264" spans="2:6" s="341" customFormat="1" hidden="1">
      <c r="B264" s="342"/>
      <c r="C264" s="342"/>
      <c r="D264" s="342"/>
      <c r="E264" s="342"/>
      <c r="F264" s="342"/>
    </row>
    <row r="265" spans="2:6" s="341" customFormat="1" hidden="1">
      <c r="B265" s="342"/>
      <c r="C265" s="342"/>
      <c r="D265" s="342"/>
      <c r="E265" s="342"/>
      <c r="F265" s="342"/>
    </row>
    <row r="266" spans="2:6" s="341" customFormat="1" hidden="1">
      <c r="B266" s="342"/>
      <c r="C266" s="342"/>
      <c r="D266" s="342"/>
      <c r="E266" s="342"/>
      <c r="F266" s="342"/>
    </row>
    <row r="267" spans="2:6" s="341" customFormat="1" hidden="1">
      <c r="B267" s="342"/>
      <c r="C267" s="342"/>
      <c r="D267" s="342"/>
      <c r="E267" s="342"/>
      <c r="F267" s="342"/>
    </row>
    <row r="268" spans="2:6" s="341" customFormat="1" hidden="1">
      <c r="B268" s="342"/>
      <c r="C268" s="342"/>
      <c r="D268" s="342"/>
      <c r="E268" s="342"/>
      <c r="F268" s="342"/>
    </row>
    <row r="269" spans="2:6" s="341" customFormat="1" hidden="1">
      <c r="B269" s="342"/>
      <c r="C269" s="342"/>
      <c r="D269" s="342"/>
      <c r="E269" s="342"/>
      <c r="F269" s="342"/>
    </row>
    <row r="270" spans="2:6" s="341" customFormat="1" hidden="1">
      <c r="B270" s="342"/>
      <c r="C270" s="342"/>
      <c r="D270" s="342"/>
      <c r="E270" s="342"/>
      <c r="F270" s="342"/>
    </row>
    <row r="271" spans="2:6" s="341" customFormat="1" hidden="1">
      <c r="B271" s="342"/>
      <c r="C271" s="342"/>
      <c r="D271" s="342"/>
      <c r="E271" s="342"/>
      <c r="F271" s="342"/>
    </row>
    <row r="272" spans="2:6" s="341" customFormat="1" hidden="1">
      <c r="B272" s="342"/>
      <c r="C272" s="342"/>
      <c r="D272" s="342"/>
      <c r="E272" s="342"/>
      <c r="F272" s="342"/>
    </row>
    <row r="273" spans="2:6" s="341" customFormat="1" hidden="1">
      <c r="B273" s="342"/>
      <c r="C273" s="342"/>
      <c r="D273" s="342"/>
      <c r="E273" s="342"/>
      <c r="F273" s="342"/>
    </row>
    <row r="274" spans="2:6" s="341" customFormat="1" hidden="1">
      <c r="B274" s="342"/>
      <c r="C274" s="342"/>
      <c r="D274" s="342"/>
      <c r="E274" s="342"/>
      <c r="F274" s="342"/>
    </row>
    <row r="275" spans="2:6" s="341" customFormat="1" hidden="1">
      <c r="B275" s="342"/>
      <c r="C275" s="342"/>
      <c r="D275" s="342"/>
      <c r="E275" s="342"/>
      <c r="F275" s="342"/>
    </row>
    <row r="276" spans="2:6" s="341" customFormat="1" hidden="1">
      <c r="B276" s="342"/>
      <c r="C276" s="342"/>
      <c r="D276" s="342"/>
      <c r="E276" s="342"/>
      <c r="F276" s="342"/>
    </row>
    <row r="277" spans="2:6" s="341" customFormat="1" hidden="1">
      <c r="B277" s="342"/>
      <c r="C277" s="342"/>
      <c r="D277" s="342"/>
      <c r="E277" s="342"/>
      <c r="F277" s="342"/>
    </row>
    <row r="278" spans="2:6" s="341" customFormat="1" hidden="1">
      <c r="B278" s="342"/>
      <c r="C278" s="342"/>
      <c r="D278" s="342"/>
      <c r="E278" s="342"/>
      <c r="F278" s="342"/>
    </row>
    <row r="279" spans="2:6" s="341" customFormat="1" hidden="1">
      <c r="B279" s="342"/>
      <c r="C279" s="342"/>
      <c r="D279" s="342"/>
      <c r="E279" s="342"/>
      <c r="F279" s="342"/>
    </row>
    <row r="280" spans="2:6" s="341" customFormat="1" hidden="1">
      <c r="B280" s="342"/>
      <c r="C280" s="342"/>
      <c r="D280" s="342"/>
      <c r="E280" s="342"/>
      <c r="F280" s="342"/>
    </row>
    <row r="281" spans="2:6" s="341" customFormat="1" hidden="1">
      <c r="B281" s="342"/>
      <c r="C281" s="342"/>
      <c r="D281" s="342"/>
      <c r="E281" s="342"/>
      <c r="F281" s="342"/>
    </row>
    <row r="282" spans="2:6" s="341" customFormat="1" hidden="1">
      <c r="B282" s="342"/>
      <c r="C282" s="342"/>
      <c r="D282" s="342"/>
      <c r="E282" s="342"/>
      <c r="F282" s="342"/>
    </row>
    <row r="283" spans="2:6" s="341" customFormat="1" hidden="1">
      <c r="B283" s="342"/>
      <c r="C283" s="342"/>
      <c r="D283" s="342"/>
      <c r="E283" s="342"/>
      <c r="F283" s="342"/>
    </row>
    <row r="284" spans="2:6" s="341" customFormat="1" hidden="1">
      <c r="B284" s="342"/>
      <c r="C284" s="342"/>
      <c r="D284" s="342"/>
      <c r="E284" s="342"/>
      <c r="F284" s="342"/>
    </row>
    <row r="285" spans="2:6" s="341" customFormat="1" hidden="1">
      <c r="B285" s="342"/>
      <c r="C285" s="342"/>
      <c r="D285" s="342"/>
      <c r="E285" s="342"/>
      <c r="F285" s="342"/>
    </row>
    <row r="286" spans="2:6" s="341" customFormat="1" hidden="1">
      <c r="B286" s="342"/>
      <c r="C286" s="342"/>
      <c r="D286" s="342"/>
      <c r="E286" s="342"/>
      <c r="F286" s="342"/>
    </row>
    <row r="287" spans="2:6" s="341" customFormat="1" hidden="1">
      <c r="B287" s="342"/>
      <c r="C287" s="342"/>
      <c r="D287" s="342"/>
      <c r="E287" s="342"/>
      <c r="F287" s="342"/>
    </row>
    <row r="288" spans="2:6" s="341" customFormat="1" hidden="1">
      <c r="B288" s="342"/>
      <c r="C288" s="342"/>
      <c r="D288" s="342"/>
      <c r="E288" s="342"/>
      <c r="F288" s="342"/>
    </row>
    <row r="289" spans="2:6" s="341" customFormat="1" hidden="1">
      <c r="B289" s="342"/>
      <c r="C289" s="342"/>
      <c r="D289" s="342"/>
      <c r="E289" s="342"/>
      <c r="F289" s="342"/>
    </row>
    <row r="290" spans="2:6" s="341" customFormat="1" hidden="1">
      <c r="B290" s="342"/>
      <c r="C290" s="342"/>
      <c r="D290" s="342"/>
      <c r="E290" s="342"/>
      <c r="F290" s="342"/>
    </row>
    <row r="291" spans="2:6" s="341" customFormat="1" hidden="1">
      <c r="B291" s="342"/>
      <c r="C291" s="342"/>
      <c r="D291" s="342"/>
      <c r="E291" s="342"/>
      <c r="F291" s="342"/>
    </row>
    <row r="292" spans="2:6" s="341" customFormat="1" hidden="1">
      <c r="B292" s="342"/>
      <c r="C292" s="342"/>
      <c r="D292" s="342"/>
      <c r="E292" s="342"/>
      <c r="F292" s="342"/>
    </row>
    <row r="293" spans="2:6" s="341" customFormat="1" hidden="1">
      <c r="B293" s="342"/>
      <c r="C293" s="342"/>
      <c r="D293" s="342"/>
      <c r="E293" s="342"/>
      <c r="F293" s="342"/>
    </row>
    <row r="294" spans="2:6" s="341" customFormat="1" hidden="1">
      <c r="B294" s="342"/>
      <c r="C294" s="342"/>
      <c r="D294" s="342"/>
      <c r="E294" s="342"/>
      <c r="F294" s="342"/>
    </row>
    <row r="295" spans="2:6" s="341" customFormat="1" hidden="1">
      <c r="B295" s="342"/>
      <c r="C295" s="342"/>
      <c r="D295" s="342"/>
      <c r="E295" s="342"/>
      <c r="F295" s="342"/>
    </row>
    <row r="296" spans="2:6" s="341" customFormat="1" hidden="1">
      <c r="B296" s="342"/>
      <c r="C296" s="342"/>
      <c r="D296" s="342"/>
      <c r="E296" s="342"/>
      <c r="F296" s="342"/>
    </row>
    <row r="297" spans="2:6" s="341" customFormat="1" hidden="1">
      <c r="B297" s="342"/>
      <c r="C297" s="342"/>
      <c r="D297" s="342"/>
      <c r="E297" s="342"/>
      <c r="F297" s="342"/>
    </row>
    <row r="298" spans="2:6" s="341" customFormat="1" hidden="1">
      <c r="B298" s="342"/>
      <c r="C298" s="342"/>
      <c r="D298" s="342"/>
      <c r="E298" s="342"/>
      <c r="F298" s="342"/>
    </row>
    <row r="299" spans="2:6" s="341" customFormat="1" hidden="1">
      <c r="B299" s="342"/>
      <c r="C299" s="342"/>
      <c r="D299" s="342"/>
      <c r="E299" s="342"/>
      <c r="F299" s="342"/>
    </row>
    <row r="300" spans="2:6" s="341" customFormat="1" hidden="1">
      <c r="B300" s="342"/>
      <c r="C300" s="342"/>
      <c r="D300" s="342"/>
      <c r="E300" s="342"/>
      <c r="F300" s="342"/>
    </row>
    <row r="301" spans="2:6" s="341" customFormat="1" hidden="1">
      <c r="B301" s="342"/>
      <c r="C301" s="342"/>
      <c r="D301" s="342"/>
      <c r="E301" s="342"/>
      <c r="F301" s="342"/>
    </row>
    <row r="302" spans="2:6" s="341" customFormat="1" hidden="1">
      <c r="B302" s="342"/>
      <c r="C302" s="342"/>
      <c r="D302" s="342"/>
      <c r="E302" s="342"/>
      <c r="F302" s="342"/>
    </row>
    <row r="303" spans="2:6" s="341" customFormat="1" hidden="1">
      <c r="B303" s="342"/>
      <c r="C303" s="342"/>
      <c r="D303" s="342"/>
      <c r="E303" s="342"/>
      <c r="F303" s="342"/>
    </row>
    <row r="304" spans="2:6" s="341" customFormat="1" hidden="1">
      <c r="B304" s="342"/>
      <c r="C304" s="342"/>
      <c r="D304" s="342"/>
      <c r="E304" s="342"/>
      <c r="F304" s="342"/>
    </row>
    <row r="305" spans="2:6" s="341" customFormat="1" hidden="1">
      <c r="B305" s="342"/>
      <c r="C305" s="342"/>
      <c r="D305" s="342"/>
      <c r="E305" s="342"/>
      <c r="F305" s="342"/>
    </row>
    <row r="306" spans="2:6" s="341" customFormat="1" hidden="1">
      <c r="B306" s="342"/>
      <c r="C306" s="342"/>
      <c r="D306" s="342"/>
      <c r="E306" s="342"/>
      <c r="F306" s="342"/>
    </row>
    <row r="307" spans="2:6" s="341" customFormat="1" hidden="1">
      <c r="B307" s="342"/>
      <c r="C307" s="342"/>
      <c r="D307" s="342"/>
      <c r="E307" s="342"/>
      <c r="F307" s="342"/>
    </row>
    <row r="308" spans="2:6" s="341" customFormat="1" hidden="1">
      <c r="B308" s="342"/>
      <c r="C308" s="342"/>
      <c r="D308" s="342"/>
      <c r="E308" s="342"/>
      <c r="F308" s="342"/>
    </row>
    <row r="309" spans="2:6" s="341" customFormat="1" hidden="1">
      <c r="B309" s="342"/>
      <c r="C309" s="342"/>
      <c r="D309" s="342"/>
      <c r="E309" s="342"/>
      <c r="F309" s="342"/>
    </row>
    <row r="310" spans="2:6" s="341" customFormat="1" hidden="1">
      <c r="B310" s="342"/>
      <c r="C310" s="342"/>
      <c r="D310" s="342"/>
      <c r="E310" s="342"/>
      <c r="F310" s="342"/>
    </row>
    <row r="311" spans="2:6" s="341" customFormat="1" hidden="1">
      <c r="B311" s="342"/>
      <c r="C311" s="342"/>
      <c r="D311" s="342"/>
      <c r="E311" s="342"/>
      <c r="F311" s="342"/>
    </row>
    <row r="312" spans="2:6" s="341" customFormat="1" hidden="1">
      <c r="B312" s="342"/>
      <c r="C312" s="342"/>
      <c r="D312" s="342"/>
      <c r="E312" s="342"/>
      <c r="F312" s="342"/>
    </row>
    <row r="313" spans="2:6" s="341" customFormat="1" hidden="1">
      <c r="B313" s="342"/>
      <c r="C313" s="342"/>
      <c r="D313" s="342"/>
      <c r="E313" s="342"/>
      <c r="F313" s="342"/>
    </row>
    <row r="314" spans="2:6" s="341" customFormat="1" hidden="1">
      <c r="B314" s="342"/>
      <c r="C314" s="342"/>
      <c r="D314" s="342"/>
      <c r="E314" s="342"/>
      <c r="F314" s="342"/>
    </row>
    <row r="315" spans="2:6" s="341" customFormat="1" hidden="1">
      <c r="B315" s="342"/>
      <c r="C315" s="342"/>
      <c r="D315" s="342"/>
      <c r="E315" s="342"/>
      <c r="F315" s="342"/>
    </row>
    <row r="316" spans="2:6" s="341" customFormat="1" hidden="1">
      <c r="B316" s="342"/>
      <c r="C316" s="342"/>
      <c r="D316" s="342"/>
      <c r="E316" s="342"/>
      <c r="F316" s="342"/>
    </row>
    <row r="317" spans="2:6" s="341" customFormat="1" hidden="1">
      <c r="B317" s="342"/>
      <c r="C317" s="342"/>
      <c r="D317" s="342"/>
      <c r="E317" s="342"/>
      <c r="F317" s="342"/>
    </row>
    <row r="318" spans="2:6" s="341" customFormat="1" hidden="1">
      <c r="B318" s="342"/>
      <c r="C318" s="342"/>
      <c r="D318" s="342"/>
      <c r="E318" s="342"/>
      <c r="F318" s="342"/>
    </row>
    <row r="319" spans="2:6" s="341" customFormat="1" hidden="1">
      <c r="B319" s="342"/>
      <c r="C319" s="342"/>
      <c r="D319" s="342"/>
      <c r="E319" s="342"/>
      <c r="F319" s="342"/>
    </row>
    <row r="320" spans="2:6" s="341" customFormat="1" hidden="1">
      <c r="B320" s="342"/>
      <c r="C320" s="342"/>
      <c r="D320" s="342"/>
      <c r="E320" s="342"/>
      <c r="F320" s="342"/>
    </row>
    <row r="321" spans="2:6" s="341" customFormat="1" hidden="1">
      <c r="B321" s="342"/>
      <c r="C321" s="342"/>
      <c r="D321" s="342"/>
      <c r="E321" s="342"/>
      <c r="F321" s="342"/>
    </row>
    <row r="322" spans="2:6" s="341" customFormat="1" hidden="1">
      <c r="B322" s="342"/>
      <c r="C322" s="342"/>
      <c r="D322" s="342"/>
      <c r="E322" s="342"/>
      <c r="F322" s="342"/>
    </row>
    <row r="323" spans="2:6" s="341" customFormat="1" hidden="1">
      <c r="B323" s="342"/>
      <c r="C323" s="342"/>
      <c r="D323" s="342"/>
      <c r="E323" s="342"/>
      <c r="F323" s="342"/>
    </row>
    <row r="324" spans="2:6" s="341" customFormat="1" hidden="1">
      <c r="B324" s="342"/>
      <c r="C324" s="342"/>
      <c r="D324" s="342"/>
      <c r="E324" s="342"/>
      <c r="F324" s="342"/>
    </row>
    <row r="325" spans="2:6" s="341" customFormat="1" hidden="1">
      <c r="B325" s="342"/>
      <c r="C325" s="342"/>
      <c r="D325" s="342"/>
      <c r="E325" s="342"/>
      <c r="F325" s="342"/>
    </row>
    <row r="326" spans="2:6" s="341" customFormat="1" hidden="1">
      <c r="B326" s="342"/>
      <c r="C326" s="342"/>
      <c r="D326" s="342"/>
      <c r="E326" s="342"/>
      <c r="F326" s="342"/>
    </row>
    <row r="327" spans="2:6" s="341" customFormat="1" hidden="1">
      <c r="B327" s="342"/>
      <c r="C327" s="342"/>
      <c r="D327" s="342"/>
      <c r="E327" s="342"/>
      <c r="F327" s="342"/>
    </row>
    <row r="328" spans="2:6" s="341" customFormat="1" hidden="1">
      <c r="B328" s="342"/>
      <c r="C328" s="342"/>
      <c r="D328" s="342"/>
      <c r="E328" s="342"/>
      <c r="F328" s="342"/>
    </row>
    <row r="329" spans="2:6" s="341" customFormat="1" hidden="1">
      <c r="B329" s="342"/>
      <c r="C329" s="342"/>
      <c r="D329" s="342"/>
      <c r="E329" s="342"/>
      <c r="F329" s="342"/>
    </row>
    <row r="330" spans="2:6" s="341" customFormat="1" hidden="1">
      <c r="B330" s="342"/>
      <c r="C330" s="342"/>
      <c r="D330" s="342"/>
      <c r="E330" s="342"/>
      <c r="F330" s="342"/>
    </row>
    <row r="331" spans="2:6" s="341" customFormat="1" hidden="1">
      <c r="B331" s="342"/>
      <c r="C331" s="342"/>
      <c r="D331" s="342"/>
      <c r="E331" s="342"/>
      <c r="F331" s="342"/>
    </row>
    <row r="332" spans="2:6" s="341" customFormat="1" hidden="1">
      <c r="B332" s="342"/>
      <c r="C332" s="342"/>
      <c r="D332" s="342"/>
      <c r="E332" s="342"/>
      <c r="F332" s="342"/>
    </row>
    <row r="333" spans="2:6" s="341" customFormat="1" hidden="1">
      <c r="B333" s="342"/>
      <c r="C333" s="342"/>
      <c r="D333" s="342"/>
      <c r="E333" s="342"/>
      <c r="F333" s="342"/>
    </row>
    <row r="334" spans="2:6" s="341" customFormat="1" hidden="1">
      <c r="B334" s="342"/>
      <c r="C334" s="342"/>
      <c r="D334" s="342"/>
      <c r="E334" s="342"/>
      <c r="F334" s="342"/>
    </row>
    <row r="335" spans="2:6" s="341" customFormat="1" hidden="1">
      <c r="B335" s="342"/>
      <c r="C335" s="342"/>
      <c r="D335" s="342"/>
      <c r="E335" s="342"/>
      <c r="F335" s="342"/>
    </row>
    <row r="336" spans="2:6" s="341" customFormat="1" hidden="1">
      <c r="B336" s="342"/>
      <c r="C336" s="342"/>
      <c r="D336" s="342"/>
      <c r="E336" s="342"/>
      <c r="F336" s="342"/>
    </row>
    <row r="337" spans="2:6" s="341" customFormat="1" hidden="1">
      <c r="B337" s="342"/>
      <c r="C337" s="342"/>
      <c r="D337" s="342"/>
      <c r="E337" s="342"/>
      <c r="F337" s="342"/>
    </row>
    <row r="338" spans="2:6" s="341" customFormat="1" hidden="1">
      <c r="B338" s="342"/>
      <c r="C338" s="342"/>
      <c r="D338" s="342"/>
      <c r="E338" s="342"/>
      <c r="F338" s="342"/>
    </row>
    <row r="339" spans="2:6" s="341" customFormat="1" hidden="1">
      <c r="B339" s="342"/>
      <c r="C339" s="342"/>
      <c r="D339" s="342"/>
      <c r="E339" s="342"/>
      <c r="F339" s="342"/>
    </row>
    <row r="340" spans="2:6" s="341" customFormat="1" hidden="1">
      <c r="B340" s="342"/>
      <c r="C340" s="342"/>
      <c r="D340" s="342"/>
      <c r="E340" s="342"/>
      <c r="F340" s="342"/>
    </row>
    <row r="341" spans="2:6" s="341" customFormat="1" hidden="1">
      <c r="B341" s="342"/>
      <c r="C341" s="342"/>
      <c r="D341" s="342"/>
      <c r="E341" s="342"/>
      <c r="F341" s="342"/>
    </row>
    <row r="342" spans="2:6" s="341" customFormat="1" hidden="1">
      <c r="B342" s="342"/>
      <c r="C342" s="342"/>
      <c r="D342" s="342"/>
      <c r="E342" s="342"/>
      <c r="F342" s="342"/>
    </row>
    <row r="343" spans="2:6" s="341" customFormat="1" hidden="1">
      <c r="B343" s="342"/>
      <c r="C343" s="342"/>
      <c r="D343" s="342"/>
      <c r="E343" s="342"/>
      <c r="F343" s="342"/>
    </row>
    <row r="344" spans="2:6" s="341" customFormat="1" hidden="1">
      <c r="B344" s="342"/>
      <c r="C344" s="342"/>
      <c r="D344" s="342"/>
      <c r="E344" s="342"/>
      <c r="F344" s="342"/>
    </row>
    <row r="345" spans="2:6" s="341" customFormat="1" hidden="1">
      <c r="B345" s="342"/>
      <c r="C345" s="342"/>
      <c r="D345" s="342"/>
      <c r="E345" s="342"/>
      <c r="F345" s="342"/>
    </row>
    <row r="346" spans="2:6" s="341" customFormat="1" hidden="1">
      <c r="B346" s="342"/>
      <c r="C346" s="342"/>
      <c r="D346" s="342"/>
      <c r="E346" s="342"/>
      <c r="F346" s="342"/>
    </row>
    <row r="347" spans="2:6" s="341" customFormat="1" hidden="1">
      <c r="B347" s="342"/>
      <c r="C347" s="342"/>
      <c r="D347" s="342"/>
      <c r="E347" s="342"/>
      <c r="F347" s="342"/>
    </row>
    <row r="348" spans="2:6" s="341" customFormat="1" hidden="1">
      <c r="B348" s="342"/>
      <c r="C348" s="342"/>
      <c r="D348" s="342"/>
      <c r="E348" s="342"/>
      <c r="F348" s="342"/>
    </row>
    <row r="349" spans="2:6" s="341" customFormat="1" hidden="1">
      <c r="B349" s="342"/>
      <c r="C349" s="342"/>
      <c r="D349" s="342"/>
      <c r="E349" s="342"/>
      <c r="F349" s="342"/>
    </row>
    <row r="350" spans="2:6" s="341" customFormat="1" hidden="1">
      <c r="B350" s="342"/>
      <c r="C350" s="342"/>
      <c r="D350" s="342"/>
      <c r="E350" s="342"/>
      <c r="F350" s="342"/>
    </row>
    <row r="351" spans="2:6" s="341" customFormat="1" hidden="1">
      <c r="B351" s="342"/>
      <c r="C351" s="342"/>
      <c r="D351" s="342"/>
      <c r="E351" s="342"/>
      <c r="F351" s="342"/>
    </row>
    <row r="352" spans="2:6" s="341" customFormat="1" hidden="1">
      <c r="B352" s="342"/>
      <c r="C352" s="342"/>
      <c r="D352" s="342"/>
      <c r="E352" s="342"/>
      <c r="F352" s="342"/>
    </row>
    <row r="353" spans="2:6" s="341" customFormat="1" hidden="1">
      <c r="B353" s="342"/>
      <c r="C353" s="342"/>
      <c r="D353" s="342"/>
      <c r="E353" s="342"/>
      <c r="F353" s="342"/>
    </row>
    <row r="354" spans="2:6" s="341" customFormat="1" hidden="1">
      <c r="B354" s="342"/>
      <c r="C354" s="342"/>
      <c r="D354" s="342"/>
      <c r="E354" s="342"/>
      <c r="F354" s="342"/>
    </row>
    <row r="355" spans="2:6" s="341" customFormat="1" hidden="1">
      <c r="B355" s="342"/>
      <c r="C355" s="342"/>
      <c r="D355" s="342"/>
      <c r="E355" s="342"/>
      <c r="F355" s="342"/>
    </row>
    <row r="356" spans="2:6" s="341" customFormat="1" hidden="1">
      <c r="B356" s="342"/>
      <c r="C356" s="342"/>
      <c r="D356" s="342"/>
      <c r="E356" s="342"/>
      <c r="F356" s="342"/>
    </row>
    <row r="357" spans="2:6" s="341" customFormat="1" hidden="1">
      <c r="B357" s="342"/>
      <c r="C357" s="342"/>
      <c r="D357" s="342"/>
      <c r="E357" s="342"/>
      <c r="F357" s="342"/>
    </row>
    <row r="358" spans="2:6" s="341" customFormat="1" hidden="1">
      <c r="B358" s="342"/>
      <c r="C358" s="342"/>
      <c r="D358" s="342"/>
      <c r="E358" s="342"/>
      <c r="F358" s="342"/>
    </row>
    <row r="359" spans="2:6" s="341" customFormat="1" hidden="1">
      <c r="B359" s="342"/>
      <c r="C359" s="342"/>
      <c r="D359" s="342"/>
      <c r="E359" s="342"/>
      <c r="F359" s="342"/>
    </row>
    <row r="360" spans="2:6" s="341" customFormat="1" hidden="1">
      <c r="B360" s="342"/>
      <c r="C360" s="342"/>
      <c r="D360" s="342"/>
      <c r="E360" s="342"/>
      <c r="F360" s="342"/>
    </row>
    <row r="361" spans="2:6" s="341" customFormat="1" hidden="1">
      <c r="B361" s="342"/>
      <c r="C361" s="342"/>
      <c r="D361" s="342"/>
      <c r="E361" s="342"/>
      <c r="F361" s="342"/>
    </row>
    <row r="362" spans="2:6" s="341" customFormat="1" hidden="1">
      <c r="B362" s="342"/>
      <c r="C362" s="342"/>
      <c r="D362" s="342"/>
      <c r="E362" s="342"/>
      <c r="F362" s="342"/>
    </row>
    <row r="363" spans="2:6" s="341" customFormat="1" hidden="1">
      <c r="B363" s="342"/>
      <c r="C363" s="342"/>
      <c r="D363" s="342"/>
      <c r="E363" s="342"/>
      <c r="F363" s="342"/>
    </row>
    <row r="364" spans="2:6" s="341" customFormat="1" hidden="1">
      <c r="B364" s="342"/>
      <c r="C364" s="342"/>
      <c r="D364" s="342"/>
      <c r="E364" s="342"/>
      <c r="F364" s="342"/>
    </row>
    <row r="365" spans="2:6" s="341" customFormat="1" hidden="1">
      <c r="B365" s="342"/>
      <c r="C365" s="342"/>
      <c r="D365" s="342"/>
      <c r="E365" s="342"/>
      <c r="F365" s="342"/>
    </row>
    <row r="366" spans="2:6" s="341" customFormat="1" hidden="1">
      <c r="B366" s="342"/>
      <c r="C366" s="342"/>
      <c r="D366" s="342"/>
      <c r="E366" s="342"/>
      <c r="F366" s="342"/>
    </row>
    <row r="367" spans="2:6" s="341" customFormat="1" hidden="1">
      <c r="B367" s="342"/>
      <c r="C367" s="342"/>
      <c r="D367" s="342"/>
      <c r="E367" s="342"/>
      <c r="F367" s="342"/>
    </row>
    <row r="368" spans="2:6" s="341" customFormat="1" hidden="1">
      <c r="B368" s="342"/>
      <c r="C368" s="342"/>
      <c r="D368" s="342"/>
      <c r="E368" s="342"/>
      <c r="F368" s="342"/>
    </row>
    <row r="369" spans="2:6" s="341" customFormat="1" hidden="1">
      <c r="B369" s="342"/>
      <c r="C369" s="342"/>
      <c r="D369" s="342"/>
      <c r="E369" s="342"/>
      <c r="F369" s="342"/>
    </row>
    <row r="370" spans="2:6" s="341" customFormat="1" hidden="1">
      <c r="B370" s="342"/>
      <c r="C370" s="342"/>
      <c r="D370" s="342"/>
      <c r="E370" s="342"/>
      <c r="F370" s="342"/>
    </row>
    <row r="371" spans="2:6" s="341" customFormat="1" hidden="1">
      <c r="B371" s="342"/>
      <c r="C371" s="342"/>
      <c r="D371" s="342"/>
      <c r="E371" s="342"/>
      <c r="F371" s="342"/>
    </row>
    <row r="372" spans="2:6" s="341" customFormat="1" hidden="1">
      <c r="B372" s="342"/>
      <c r="C372" s="342"/>
      <c r="D372" s="342"/>
      <c r="E372" s="342"/>
      <c r="F372" s="342"/>
    </row>
    <row r="373" spans="2:6" s="341" customFormat="1" hidden="1">
      <c r="B373" s="342"/>
      <c r="C373" s="342"/>
      <c r="D373" s="342"/>
      <c r="E373" s="342"/>
      <c r="F373" s="342"/>
    </row>
    <row r="374" spans="2:6" s="341" customFormat="1" hidden="1">
      <c r="B374" s="342"/>
      <c r="C374" s="342"/>
      <c r="D374" s="342"/>
      <c r="E374" s="342"/>
      <c r="F374" s="342"/>
    </row>
    <row r="375" spans="2:6" s="341" customFormat="1" hidden="1">
      <c r="B375" s="342"/>
      <c r="C375" s="342"/>
      <c r="D375" s="342"/>
      <c r="E375" s="342"/>
      <c r="F375" s="342"/>
    </row>
    <row r="376" spans="2:6" s="341" customFormat="1" hidden="1">
      <c r="B376" s="342"/>
      <c r="C376" s="342"/>
      <c r="D376" s="342"/>
      <c r="E376" s="342"/>
      <c r="F376" s="342"/>
    </row>
    <row r="377" spans="2:6" s="341" customFormat="1" hidden="1">
      <c r="B377" s="342"/>
      <c r="C377" s="342"/>
      <c r="D377" s="342"/>
      <c r="E377" s="342"/>
      <c r="F377" s="342"/>
    </row>
    <row r="378" spans="2:6" s="341" customFormat="1" hidden="1">
      <c r="B378" s="342"/>
      <c r="C378" s="342"/>
      <c r="D378" s="342"/>
      <c r="E378" s="342"/>
      <c r="F378" s="342"/>
    </row>
    <row r="379" spans="2:6" s="341" customFormat="1" hidden="1">
      <c r="B379" s="342"/>
      <c r="C379" s="342"/>
      <c r="D379" s="342"/>
      <c r="E379" s="342"/>
      <c r="F379" s="342"/>
    </row>
    <row r="380" spans="2:6" s="341" customFormat="1" hidden="1">
      <c r="B380" s="342"/>
      <c r="C380" s="342"/>
      <c r="D380" s="342"/>
      <c r="E380" s="342"/>
      <c r="F380" s="342"/>
    </row>
    <row r="381" spans="2:6" s="341" customFormat="1" hidden="1">
      <c r="B381" s="342"/>
      <c r="C381" s="342"/>
      <c r="D381" s="342"/>
      <c r="E381" s="342"/>
      <c r="F381" s="342"/>
    </row>
    <row r="382" spans="2:6" s="341" customFormat="1" hidden="1">
      <c r="B382" s="342"/>
      <c r="C382" s="342"/>
      <c r="D382" s="342"/>
      <c r="E382" s="342"/>
      <c r="F382" s="342"/>
    </row>
    <row r="383" spans="2:6" s="341" customFormat="1" hidden="1">
      <c r="B383" s="342"/>
      <c r="C383" s="342"/>
      <c r="D383" s="342"/>
      <c r="E383" s="342"/>
      <c r="F383" s="342"/>
    </row>
    <row r="384" spans="2:6" s="341" customFormat="1" hidden="1">
      <c r="B384" s="342"/>
      <c r="C384" s="342"/>
      <c r="D384" s="342"/>
      <c r="E384" s="342"/>
      <c r="F384" s="342"/>
    </row>
    <row r="385" spans="2:6" s="341" customFormat="1" hidden="1">
      <c r="B385" s="342"/>
      <c r="C385" s="342"/>
      <c r="D385" s="342"/>
      <c r="E385" s="342"/>
      <c r="F385" s="342"/>
    </row>
    <row r="386" spans="2:6" s="341" customFormat="1" hidden="1">
      <c r="B386" s="342"/>
      <c r="C386" s="342"/>
      <c r="D386" s="342"/>
      <c r="E386" s="342"/>
      <c r="F386" s="342"/>
    </row>
    <row r="387" spans="2:6" s="341" customFormat="1" hidden="1">
      <c r="B387" s="342"/>
      <c r="C387" s="342"/>
      <c r="D387" s="342"/>
      <c r="E387" s="342"/>
      <c r="F387" s="342"/>
    </row>
    <row r="388" spans="2:6" s="341" customFormat="1" hidden="1">
      <c r="B388" s="342"/>
      <c r="C388" s="342"/>
      <c r="D388" s="342"/>
      <c r="E388" s="342"/>
      <c r="F388" s="342"/>
    </row>
    <row r="389" spans="2:6" s="341" customFormat="1" hidden="1">
      <c r="B389" s="342"/>
      <c r="C389" s="342"/>
      <c r="D389" s="342"/>
      <c r="E389" s="342"/>
      <c r="F389" s="342"/>
    </row>
    <row r="390" spans="2:6" s="341" customFormat="1" hidden="1">
      <c r="B390" s="342"/>
      <c r="C390" s="342"/>
      <c r="D390" s="342"/>
      <c r="E390" s="342"/>
      <c r="F390" s="342"/>
    </row>
    <row r="391" spans="2:6" s="341" customFormat="1" hidden="1">
      <c r="B391" s="342"/>
      <c r="C391" s="342"/>
      <c r="D391" s="342"/>
      <c r="E391" s="342"/>
      <c r="F391" s="342"/>
    </row>
    <row r="392" spans="2:6" s="341" customFormat="1" hidden="1">
      <c r="B392" s="342"/>
      <c r="C392" s="342"/>
      <c r="D392" s="342"/>
      <c r="E392" s="342"/>
      <c r="F392" s="342"/>
    </row>
    <row r="393" spans="2:6" s="341" customFormat="1" hidden="1">
      <c r="B393" s="342"/>
      <c r="C393" s="342"/>
      <c r="D393" s="342"/>
      <c r="E393" s="342"/>
      <c r="F393" s="342"/>
    </row>
    <row r="394" spans="2:6" s="341" customFormat="1" hidden="1">
      <c r="B394" s="342"/>
      <c r="C394" s="342"/>
      <c r="D394" s="342"/>
      <c r="E394" s="342"/>
      <c r="F394" s="342"/>
    </row>
    <row r="395" spans="2:6" s="341" customFormat="1" hidden="1">
      <c r="B395" s="342"/>
      <c r="C395" s="342"/>
      <c r="D395" s="342"/>
      <c r="E395" s="342"/>
      <c r="F395" s="342"/>
    </row>
    <row r="396" spans="2:6" s="341" customFormat="1" hidden="1">
      <c r="B396" s="342"/>
      <c r="C396" s="342"/>
      <c r="D396" s="342"/>
      <c r="E396" s="342"/>
      <c r="F396" s="342"/>
    </row>
    <row r="397" spans="2:6" s="341" customFormat="1" hidden="1">
      <c r="B397" s="342"/>
      <c r="C397" s="342"/>
      <c r="D397" s="342"/>
      <c r="E397" s="342"/>
      <c r="F397" s="342"/>
    </row>
    <row r="398" spans="2:6" s="341" customFormat="1" hidden="1">
      <c r="B398" s="342"/>
      <c r="C398" s="342"/>
      <c r="D398" s="342"/>
      <c r="E398" s="342"/>
      <c r="F398" s="342"/>
    </row>
    <row r="399" spans="2:6" s="341" customFormat="1" hidden="1">
      <c r="B399" s="342"/>
      <c r="C399" s="342"/>
      <c r="D399" s="342"/>
      <c r="E399" s="342"/>
      <c r="F399" s="342"/>
    </row>
    <row r="400" spans="2:6" s="341" customFormat="1" hidden="1">
      <c r="B400" s="342"/>
      <c r="C400" s="342"/>
      <c r="D400" s="342"/>
      <c r="E400" s="342"/>
      <c r="F400" s="342"/>
    </row>
    <row r="401" spans="2:6" s="341" customFormat="1" hidden="1">
      <c r="B401" s="342"/>
      <c r="C401" s="342"/>
      <c r="D401" s="342"/>
      <c r="E401" s="342"/>
      <c r="F401" s="342"/>
    </row>
    <row r="402" spans="2:6" s="341" customFormat="1" hidden="1">
      <c r="B402" s="342"/>
      <c r="C402" s="342"/>
      <c r="D402" s="342"/>
      <c r="E402" s="342"/>
      <c r="F402" s="342"/>
    </row>
    <row r="403" spans="2:6" s="341" customFormat="1" hidden="1">
      <c r="B403" s="342"/>
      <c r="C403" s="342"/>
      <c r="D403" s="342"/>
      <c r="E403" s="342"/>
      <c r="F403" s="342"/>
    </row>
    <row r="404" spans="2:6" s="341" customFormat="1" hidden="1">
      <c r="B404" s="342"/>
      <c r="C404" s="342"/>
      <c r="D404" s="342"/>
      <c r="E404" s="342"/>
      <c r="F404" s="342"/>
    </row>
    <row r="405" spans="2:6" s="341" customFormat="1" hidden="1">
      <c r="B405" s="342"/>
      <c r="C405" s="342"/>
      <c r="D405" s="342"/>
      <c r="E405" s="342"/>
      <c r="F405" s="342"/>
    </row>
    <row r="406" spans="2:6" s="341" customFormat="1" hidden="1">
      <c r="B406" s="342"/>
      <c r="C406" s="342"/>
      <c r="D406" s="342"/>
      <c r="E406" s="342"/>
      <c r="F406" s="342"/>
    </row>
    <row r="407" spans="2:6" s="341" customFormat="1" hidden="1">
      <c r="B407" s="342"/>
      <c r="C407" s="342"/>
      <c r="D407" s="342"/>
      <c r="E407" s="342"/>
      <c r="F407" s="342"/>
    </row>
    <row r="408" spans="2:6" s="341" customFormat="1" hidden="1">
      <c r="B408" s="342"/>
      <c r="C408" s="342"/>
      <c r="D408" s="342"/>
      <c r="E408" s="342"/>
      <c r="F408" s="342"/>
    </row>
    <row r="409" spans="2:6" s="341" customFormat="1" hidden="1">
      <c r="B409" s="342"/>
      <c r="C409" s="342"/>
      <c r="D409" s="342"/>
      <c r="E409" s="342"/>
      <c r="F409" s="342"/>
    </row>
    <row r="410" spans="2:6" s="341" customFormat="1" hidden="1">
      <c r="B410" s="342"/>
      <c r="C410" s="342"/>
      <c r="D410" s="342"/>
      <c r="E410" s="342"/>
      <c r="F410" s="342"/>
    </row>
    <row r="411" spans="2:6" s="341" customFormat="1" hidden="1">
      <c r="B411" s="342"/>
      <c r="C411" s="342"/>
      <c r="D411" s="342"/>
      <c r="E411" s="342"/>
      <c r="F411" s="342"/>
    </row>
    <row r="412" spans="2:6" s="341" customFormat="1" hidden="1">
      <c r="B412" s="342"/>
      <c r="C412" s="342"/>
      <c r="D412" s="342"/>
      <c r="E412" s="342"/>
      <c r="F412" s="342"/>
    </row>
    <row r="413" spans="2:6" s="341" customFormat="1" hidden="1">
      <c r="B413" s="342"/>
      <c r="C413" s="342"/>
      <c r="D413" s="342"/>
      <c r="E413" s="342"/>
      <c r="F413" s="342"/>
    </row>
    <row r="414" spans="2:6" s="341" customFormat="1" hidden="1">
      <c r="B414" s="342"/>
      <c r="C414" s="342"/>
      <c r="D414" s="342"/>
      <c r="E414" s="342"/>
      <c r="F414" s="342"/>
    </row>
    <row r="415" spans="2:6" s="341" customFormat="1" hidden="1">
      <c r="B415" s="342"/>
      <c r="C415" s="342"/>
      <c r="D415" s="342"/>
      <c r="E415" s="342"/>
      <c r="F415" s="342"/>
    </row>
    <row r="416" spans="2:6" s="341" customFormat="1" hidden="1">
      <c r="B416" s="342"/>
      <c r="C416" s="342"/>
      <c r="D416" s="342"/>
      <c r="E416" s="342"/>
      <c r="F416" s="342"/>
    </row>
    <row r="417" spans="2:6" s="341" customFormat="1" hidden="1">
      <c r="B417" s="342"/>
      <c r="C417" s="342"/>
      <c r="D417" s="342"/>
      <c r="E417" s="342"/>
      <c r="F417" s="342"/>
    </row>
    <row r="418" spans="2:6" s="341" customFormat="1" hidden="1">
      <c r="B418" s="342"/>
      <c r="C418" s="342"/>
      <c r="D418" s="342"/>
      <c r="E418" s="342"/>
      <c r="F418" s="342"/>
    </row>
    <row r="419" spans="2:6" s="341" customFormat="1" hidden="1">
      <c r="B419" s="342"/>
      <c r="C419" s="342"/>
      <c r="D419" s="342"/>
      <c r="E419" s="342"/>
      <c r="F419" s="342"/>
    </row>
    <row r="420" spans="2:6" s="341" customFormat="1" hidden="1">
      <c r="B420" s="342"/>
      <c r="C420" s="342"/>
      <c r="D420" s="342"/>
      <c r="E420" s="342"/>
      <c r="F420" s="342"/>
    </row>
    <row r="421" spans="2:6" s="341" customFormat="1" hidden="1">
      <c r="B421" s="342"/>
      <c r="C421" s="342"/>
      <c r="D421" s="342"/>
      <c r="E421" s="342"/>
      <c r="F421" s="342"/>
    </row>
    <row r="422" spans="2:6" s="341" customFormat="1" hidden="1">
      <c r="B422" s="342"/>
      <c r="C422" s="342"/>
      <c r="D422" s="342"/>
      <c r="E422" s="342"/>
      <c r="F422" s="342"/>
    </row>
    <row r="423" spans="2:6" s="341" customFormat="1" hidden="1">
      <c r="B423" s="342"/>
      <c r="C423" s="342"/>
      <c r="D423" s="342"/>
      <c r="E423" s="342"/>
      <c r="F423" s="342"/>
    </row>
    <row r="424" spans="2:6" s="341" customFormat="1" hidden="1">
      <c r="B424" s="342"/>
      <c r="C424" s="342"/>
      <c r="D424" s="342"/>
      <c r="E424" s="342"/>
      <c r="F424" s="342"/>
    </row>
    <row r="425" spans="2:6" s="341" customFormat="1" hidden="1">
      <c r="B425" s="342"/>
      <c r="C425" s="342"/>
      <c r="D425" s="342"/>
      <c r="E425" s="342"/>
      <c r="F425" s="342"/>
    </row>
    <row r="426" spans="2:6" s="341" customFormat="1" hidden="1">
      <c r="B426" s="342"/>
      <c r="C426" s="342"/>
      <c r="D426" s="342"/>
      <c r="E426" s="342"/>
      <c r="F426" s="342"/>
    </row>
    <row r="427" spans="2:6" s="341" customFormat="1" hidden="1">
      <c r="B427" s="342"/>
      <c r="C427" s="342"/>
      <c r="D427" s="342"/>
      <c r="E427" s="342"/>
      <c r="F427" s="342"/>
    </row>
    <row r="428" spans="2:6" s="341" customFormat="1" hidden="1">
      <c r="B428" s="342"/>
      <c r="C428" s="342"/>
      <c r="D428" s="342"/>
      <c r="E428" s="342"/>
      <c r="F428" s="342"/>
    </row>
    <row r="429" spans="2:6" s="341" customFormat="1" hidden="1">
      <c r="B429" s="342"/>
      <c r="C429" s="342"/>
      <c r="D429" s="342"/>
      <c r="E429" s="342"/>
      <c r="F429" s="342"/>
    </row>
    <row r="430" spans="2:6" s="341" customFormat="1" hidden="1">
      <c r="B430" s="342"/>
      <c r="C430" s="342"/>
      <c r="D430" s="342"/>
      <c r="E430" s="342"/>
      <c r="F430" s="342"/>
    </row>
    <row r="431" spans="2:6" s="341" customFormat="1" hidden="1">
      <c r="B431" s="342"/>
      <c r="C431" s="342"/>
      <c r="D431" s="342"/>
      <c r="E431" s="342"/>
      <c r="F431" s="342"/>
    </row>
    <row r="432" spans="2:6" s="341" customFormat="1" hidden="1">
      <c r="B432" s="342"/>
      <c r="C432" s="342"/>
      <c r="D432" s="342"/>
      <c r="E432" s="342"/>
      <c r="F432" s="342"/>
    </row>
    <row r="433" spans="2:6" s="341" customFormat="1" hidden="1">
      <c r="B433" s="342"/>
      <c r="C433" s="342"/>
      <c r="D433" s="342"/>
      <c r="E433" s="342"/>
      <c r="F433" s="342"/>
    </row>
    <row r="434" spans="2:6" s="341" customFormat="1" hidden="1">
      <c r="B434" s="342"/>
      <c r="C434" s="342"/>
      <c r="D434" s="342"/>
      <c r="E434" s="342"/>
      <c r="F434" s="342"/>
    </row>
    <row r="435" spans="2:6" s="341" customFormat="1" hidden="1">
      <c r="B435" s="342"/>
      <c r="C435" s="342"/>
      <c r="D435" s="342"/>
      <c r="E435" s="342"/>
      <c r="F435" s="342"/>
    </row>
    <row r="436" spans="2:6" s="341" customFormat="1" hidden="1">
      <c r="B436" s="342"/>
      <c r="C436" s="342"/>
      <c r="D436" s="342"/>
      <c r="E436" s="342"/>
      <c r="F436" s="342"/>
    </row>
    <row r="437" spans="2:6" s="341" customFormat="1" hidden="1">
      <c r="B437" s="342"/>
      <c r="C437" s="342"/>
      <c r="D437" s="342"/>
      <c r="E437" s="342"/>
      <c r="F437" s="342"/>
    </row>
    <row r="438" spans="2:6" s="341" customFormat="1" hidden="1">
      <c r="B438" s="342"/>
      <c r="C438" s="342"/>
      <c r="D438" s="342"/>
      <c r="E438" s="342"/>
      <c r="F438" s="342"/>
    </row>
    <row r="439" spans="2:6" s="341" customFormat="1" hidden="1">
      <c r="B439" s="342"/>
      <c r="C439" s="342"/>
      <c r="D439" s="342"/>
      <c r="E439" s="342"/>
      <c r="F439" s="342"/>
    </row>
    <row r="440" spans="2:6" s="341" customFormat="1" hidden="1">
      <c r="B440" s="342"/>
      <c r="C440" s="342"/>
      <c r="D440" s="342"/>
      <c r="E440" s="342"/>
      <c r="F440" s="342"/>
    </row>
    <row r="441" spans="2:6" s="341" customFormat="1" hidden="1">
      <c r="B441" s="342"/>
      <c r="C441" s="342"/>
      <c r="D441" s="342"/>
      <c r="E441" s="342"/>
      <c r="F441" s="342"/>
    </row>
    <row r="442" spans="2:6" s="341" customFormat="1" hidden="1">
      <c r="B442" s="342"/>
      <c r="C442" s="342"/>
      <c r="D442" s="342"/>
      <c r="E442" s="342"/>
      <c r="F442" s="342"/>
    </row>
    <row r="443" spans="2:6" s="341" customFormat="1" hidden="1">
      <c r="B443" s="342"/>
      <c r="C443" s="342"/>
      <c r="D443" s="342"/>
      <c r="E443" s="342"/>
      <c r="F443" s="342"/>
    </row>
    <row r="444" spans="2:6" s="341" customFormat="1" hidden="1">
      <c r="B444" s="342"/>
      <c r="C444" s="342"/>
      <c r="D444" s="342"/>
      <c r="E444" s="342"/>
      <c r="F444" s="342"/>
    </row>
    <row r="445" spans="2:6" s="341" customFormat="1" hidden="1">
      <c r="B445" s="342"/>
      <c r="C445" s="342"/>
      <c r="D445" s="342"/>
      <c r="E445" s="342"/>
      <c r="F445" s="342"/>
    </row>
    <row r="446" spans="2:6" s="341" customFormat="1" hidden="1">
      <c r="B446" s="342"/>
      <c r="C446" s="342"/>
      <c r="D446" s="342"/>
      <c r="E446" s="342"/>
      <c r="F446" s="342"/>
    </row>
    <row r="447" spans="2:6" s="341" customFormat="1" hidden="1">
      <c r="B447" s="342"/>
      <c r="C447" s="342"/>
      <c r="D447" s="342"/>
      <c r="E447" s="342"/>
      <c r="F447" s="342"/>
    </row>
    <row r="448" spans="2:6" s="341" customFormat="1" hidden="1">
      <c r="B448" s="342"/>
      <c r="C448" s="342"/>
      <c r="D448" s="342"/>
      <c r="E448" s="342"/>
      <c r="F448" s="342"/>
    </row>
    <row r="449" spans="2:6" s="341" customFormat="1" hidden="1">
      <c r="B449" s="342"/>
      <c r="C449" s="342"/>
      <c r="D449" s="342"/>
      <c r="E449" s="342"/>
      <c r="F449" s="342"/>
    </row>
    <row r="450" spans="2:6" s="341" customFormat="1" hidden="1">
      <c r="B450" s="342"/>
      <c r="C450" s="342"/>
      <c r="D450" s="342"/>
      <c r="E450" s="342"/>
      <c r="F450" s="342"/>
    </row>
    <row r="451" spans="2:6" s="341" customFormat="1" hidden="1">
      <c r="B451" s="342"/>
      <c r="C451" s="342"/>
      <c r="D451" s="342"/>
      <c r="E451" s="342"/>
      <c r="F451" s="342"/>
    </row>
    <row r="452" spans="2:6" s="341" customFormat="1" hidden="1">
      <c r="B452" s="342"/>
      <c r="C452" s="342"/>
      <c r="D452" s="342"/>
      <c r="E452" s="342"/>
      <c r="F452" s="342"/>
    </row>
    <row r="453" spans="2:6" s="341" customFormat="1" hidden="1">
      <c r="B453" s="342"/>
      <c r="C453" s="342"/>
      <c r="D453" s="342"/>
      <c r="E453" s="342"/>
      <c r="F453" s="342"/>
    </row>
    <row r="454" spans="2:6" s="341" customFormat="1" hidden="1">
      <c r="B454" s="342"/>
      <c r="C454" s="342"/>
      <c r="D454" s="342"/>
      <c r="E454" s="342"/>
      <c r="F454" s="342"/>
    </row>
    <row r="455" spans="2:6" s="341" customFormat="1" hidden="1">
      <c r="B455" s="342"/>
      <c r="C455" s="342"/>
      <c r="D455" s="342"/>
      <c r="E455" s="342"/>
      <c r="F455" s="342"/>
    </row>
    <row r="456" spans="2:6" s="341" customFormat="1" hidden="1">
      <c r="B456" s="342"/>
      <c r="C456" s="342"/>
      <c r="D456" s="342"/>
      <c r="E456" s="342"/>
      <c r="F456" s="342"/>
    </row>
    <row r="457" spans="2:6" s="341" customFormat="1" hidden="1">
      <c r="B457" s="342"/>
      <c r="C457" s="342"/>
      <c r="D457" s="342"/>
      <c r="E457" s="342"/>
      <c r="F457" s="342"/>
    </row>
    <row r="458" spans="2:6" s="341" customFormat="1" hidden="1">
      <c r="B458" s="342"/>
      <c r="C458" s="342"/>
      <c r="D458" s="342"/>
      <c r="E458" s="342"/>
      <c r="F458" s="342"/>
    </row>
    <row r="459" spans="2:6" s="341" customFormat="1" hidden="1">
      <c r="B459" s="342"/>
      <c r="C459" s="342"/>
      <c r="D459" s="342"/>
      <c r="E459" s="342"/>
      <c r="F459" s="342"/>
    </row>
    <row r="460" spans="2:6" s="341" customFormat="1" hidden="1">
      <c r="B460" s="342"/>
      <c r="C460" s="342"/>
      <c r="D460" s="342"/>
      <c r="E460" s="342"/>
      <c r="F460" s="342"/>
    </row>
    <row r="461" spans="2:6" s="341" customFormat="1" hidden="1">
      <c r="B461" s="342"/>
      <c r="C461" s="342"/>
      <c r="D461" s="342"/>
      <c r="E461" s="342"/>
      <c r="F461" s="342"/>
    </row>
    <row r="462" spans="2:6" s="341" customFormat="1" hidden="1">
      <c r="B462" s="342"/>
      <c r="C462" s="342"/>
      <c r="D462" s="342"/>
      <c r="E462" s="342"/>
      <c r="F462" s="342"/>
    </row>
    <row r="463" spans="2:6" s="341" customFormat="1" hidden="1">
      <c r="B463" s="342"/>
      <c r="C463" s="342"/>
      <c r="D463" s="342"/>
      <c r="E463" s="342"/>
      <c r="F463" s="342"/>
    </row>
    <row r="464" spans="2:6" s="341" customFormat="1" hidden="1">
      <c r="B464" s="342"/>
      <c r="C464" s="342"/>
      <c r="D464" s="342"/>
      <c r="E464" s="342"/>
      <c r="F464" s="342"/>
    </row>
    <row r="465" spans="2:6" s="341" customFormat="1" hidden="1">
      <c r="B465" s="342"/>
      <c r="C465" s="342"/>
      <c r="D465" s="342"/>
      <c r="E465" s="342"/>
      <c r="F465" s="342"/>
    </row>
    <row r="466" spans="2:6" s="341" customFormat="1" hidden="1">
      <c r="B466" s="342"/>
      <c r="C466" s="342"/>
      <c r="D466" s="342"/>
      <c r="E466" s="342"/>
      <c r="F466" s="342"/>
    </row>
    <row r="467" spans="2:6" s="341" customFormat="1" hidden="1">
      <c r="B467" s="342"/>
      <c r="C467" s="342"/>
      <c r="D467" s="342"/>
      <c r="E467" s="342"/>
      <c r="F467" s="342"/>
    </row>
    <row r="468" spans="2:6" s="341" customFormat="1" hidden="1">
      <c r="B468" s="342"/>
      <c r="C468" s="342"/>
      <c r="D468" s="342"/>
      <c r="E468" s="342"/>
      <c r="F468" s="342"/>
    </row>
    <row r="469" spans="2:6" s="341" customFormat="1" hidden="1">
      <c r="B469" s="342"/>
      <c r="C469" s="342"/>
      <c r="D469" s="342"/>
      <c r="E469" s="342"/>
      <c r="F469" s="342"/>
    </row>
    <row r="470" spans="2:6" s="341" customFormat="1" hidden="1">
      <c r="B470" s="342"/>
      <c r="C470" s="342"/>
      <c r="D470" s="342"/>
      <c r="E470" s="342"/>
      <c r="F470" s="342"/>
    </row>
    <row r="471" spans="2:6" s="341" customFormat="1" hidden="1">
      <c r="B471" s="342"/>
      <c r="C471" s="342"/>
      <c r="D471" s="342"/>
      <c r="E471" s="342"/>
      <c r="F471" s="342"/>
    </row>
    <row r="472" spans="2:6" s="341" customFormat="1" hidden="1">
      <c r="B472" s="342"/>
      <c r="C472" s="342"/>
      <c r="D472" s="342"/>
      <c r="E472" s="342"/>
      <c r="F472" s="342"/>
    </row>
    <row r="473" spans="2:6" s="341" customFormat="1" hidden="1">
      <c r="B473" s="342"/>
      <c r="C473" s="342"/>
      <c r="D473" s="342"/>
      <c r="E473" s="342"/>
      <c r="F473" s="342"/>
    </row>
    <row r="474" spans="2:6" s="341" customFormat="1" hidden="1">
      <c r="B474" s="342"/>
      <c r="C474" s="342"/>
      <c r="D474" s="342"/>
      <c r="E474" s="342"/>
      <c r="F474" s="342"/>
    </row>
    <row r="475" spans="2:6" s="341" customFormat="1" hidden="1">
      <c r="B475" s="342"/>
      <c r="C475" s="342"/>
      <c r="D475" s="342"/>
      <c r="E475" s="342"/>
      <c r="F475" s="342"/>
    </row>
    <row r="476" spans="2:6" s="341" customFormat="1" hidden="1">
      <c r="B476" s="342"/>
      <c r="C476" s="342"/>
      <c r="D476" s="342"/>
      <c r="E476" s="342"/>
      <c r="F476" s="342"/>
    </row>
    <row r="477" spans="2:6" s="341" customFormat="1" hidden="1">
      <c r="B477" s="342"/>
      <c r="C477" s="342"/>
      <c r="D477" s="342"/>
      <c r="E477" s="342"/>
      <c r="F477" s="342"/>
    </row>
    <row r="478" spans="2:6" s="341" customFormat="1" hidden="1">
      <c r="B478" s="342"/>
      <c r="C478" s="342"/>
      <c r="D478" s="342"/>
      <c r="E478" s="342"/>
      <c r="F478" s="342"/>
    </row>
    <row r="479" spans="2:6" s="341" customFormat="1" hidden="1">
      <c r="B479" s="342"/>
      <c r="C479" s="342"/>
      <c r="D479" s="342"/>
      <c r="E479" s="342"/>
      <c r="F479" s="342"/>
    </row>
    <row r="480" spans="2:6" s="341" customFormat="1" hidden="1">
      <c r="B480" s="342"/>
      <c r="C480" s="342"/>
      <c r="D480" s="342"/>
      <c r="E480" s="342"/>
      <c r="F480" s="342"/>
    </row>
    <row r="481" spans="2:6" s="341" customFormat="1" hidden="1">
      <c r="B481" s="342"/>
      <c r="C481" s="342"/>
      <c r="D481" s="342"/>
      <c r="E481" s="342"/>
      <c r="F481" s="342"/>
    </row>
    <row r="482" spans="2:6" s="341" customFormat="1" hidden="1">
      <c r="B482" s="342"/>
      <c r="C482" s="342"/>
      <c r="D482" s="342"/>
      <c r="E482" s="342"/>
      <c r="F482" s="342"/>
    </row>
    <row r="483" spans="2:6" s="341" customFormat="1" hidden="1">
      <c r="B483" s="342"/>
      <c r="C483" s="342"/>
      <c r="D483" s="342"/>
      <c r="E483" s="342"/>
      <c r="F483" s="342"/>
    </row>
    <row r="484" spans="2:6" s="341" customFormat="1" hidden="1">
      <c r="B484" s="342"/>
      <c r="C484" s="342"/>
      <c r="D484" s="342"/>
      <c r="E484" s="342"/>
      <c r="F484" s="342"/>
    </row>
    <row r="485" spans="2:6" s="341" customFormat="1" hidden="1">
      <c r="B485" s="342"/>
      <c r="C485" s="342"/>
      <c r="D485" s="342"/>
      <c r="E485" s="342"/>
      <c r="F485" s="342"/>
    </row>
    <row r="486" spans="2:6" s="341" customFormat="1" hidden="1">
      <c r="B486" s="342"/>
      <c r="C486" s="342"/>
      <c r="D486" s="342"/>
      <c r="E486" s="342"/>
      <c r="F486" s="342"/>
    </row>
    <row r="487" spans="2:6" s="341" customFormat="1" hidden="1">
      <c r="B487" s="342"/>
      <c r="C487" s="342"/>
      <c r="D487" s="342"/>
      <c r="E487" s="342"/>
      <c r="F487" s="342"/>
    </row>
    <row r="488" spans="2:6" s="341" customFormat="1" hidden="1">
      <c r="B488" s="342"/>
      <c r="C488" s="342"/>
      <c r="D488" s="342"/>
      <c r="E488" s="342"/>
      <c r="F488" s="342"/>
    </row>
    <row r="489" spans="2:6" s="341" customFormat="1" hidden="1">
      <c r="B489" s="342"/>
      <c r="C489" s="342"/>
      <c r="D489" s="342"/>
      <c r="E489" s="342"/>
      <c r="F489" s="342"/>
    </row>
    <row r="490" spans="2:6" s="341" customFormat="1" hidden="1">
      <c r="B490" s="342"/>
      <c r="C490" s="342"/>
      <c r="D490" s="342"/>
      <c r="E490" s="342"/>
      <c r="F490" s="342"/>
    </row>
    <row r="491" spans="2:6" s="341" customFormat="1" hidden="1">
      <c r="B491" s="342"/>
      <c r="C491" s="342"/>
      <c r="D491" s="342"/>
      <c r="E491" s="342"/>
      <c r="F491" s="342"/>
    </row>
    <row r="492" spans="2:6" s="341" customFormat="1" hidden="1">
      <c r="B492" s="342"/>
      <c r="C492" s="342"/>
      <c r="D492" s="342"/>
      <c r="E492" s="342"/>
      <c r="F492" s="342"/>
    </row>
    <row r="493" spans="2:6" s="341" customFormat="1" hidden="1">
      <c r="B493" s="342"/>
      <c r="C493" s="342"/>
      <c r="D493" s="342"/>
      <c r="E493" s="342"/>
      <c r="F493" s="342"/>
    </row>
    <row r="494" spans="2:6" s="341" customFormat="1" hidden="1">
      <c r="B494" s="342"/>
      <c r="C494" s="342"/>
      <c r="D494" s="342"/>
      <c r="E494" s="342"/>
      <c r="F494" s="342"/>
    </row>
    <row r="495" spans="2:6" s="341" customFormat="1" hidden="1">
      <c r="B495" s="342"/>
      <c r="C495" s="342"/>
      <c r="D495" s="342"/>
      <c r="E495" s="342"/>
      <c r="F495" s="342"/>
    </row>
    <row r="496" spans="2:6" s="341" customFormat="1" hidden="1">
      <c r="B496" s="342"/>
      <c r="C496" s="342"/>
      <c r="D496" s="342"/>
      <c r="E496" s="342"/>
      <c r="F496" s="342"/>
    </row>
    <row r="497" spans="2:6" s="341" customFormat="1" hidden="1">
      <c r="B497" s="342"/>
      <c r="C497" s="342"/>
      <c r="D497" s="342"/>
      <c r="E497" s="342"/>
      <c r="F497" s="342"/>
    </row>
    <row r="498" spans="2:6" s="341" customFormat="1" hidden="1">
      <c r="B498" s="342"/>
      <c r="C498" s="342"/>
      <c r="D498" s="342"/>
      <c r="E498" s="342"/>
      <c r="F498" s="342"/>
    </row>
    <row r="499" spans="2:6" s="341" customFormat="1" hidden="1">
      <c r="B499" s="342"/>
      <c r="C499" s="342"/>
      <c r="D499" s="342"/>
      <c r="E499" s="342"/>
      <c r="F499" s="342"/>
    </row>
    <row r="500" spans="2:6" s="341" customFormat="1" hidden="1">
      <c r="B500" s="342"/>
      <c r="C500" s="342"/>
      <c r="D500" s="342"/>
      <c r="E500" s="342"/>
      <c r="F500" s="342"/>
    </row>
    <row r="501" spans="2:6" s="341" customFormat="1" hidden="1">
      <c r="B501" s="342"/>
      <c r="C501" s="342"/>
      <c r="D501" s="342"/>
      <c r="E501" s="342"/>
      <c r="F501" s="342"/>
    </row>
    <row r="502" spans="2:6" s="341" customFormat="1" hidden="1">
      <c r="B502" s="342"/>
      <c r="C502" s="342"/>
      <c r="D502" s="342"/>
      <c r="E502" s="342"/>
      <c r="F502" s="342"/>
    </row>
    <row r="503" spans="2:6" s="341" customFormat="1" hidden="1">
      <c r="B503" s="342"/>
      <c r="C503" s="342"/>
      <c r="D503" s="342"/>
      <c r="E503" s="342"/>
      <c r="F503" s="342"/>
    </row>
    <row r="504" spans="2:6" s="341" customFormat="1" hidden="1">
      <c r="B504" s="342"/>
      <c r="C504" s="342"/>
      <c r="D504" s="342"/>
      <c r="E504" s="342"/>
      <c r="F504" s="342"/>
    </row>
    <row r="505" spans="2:6" s="341" customFormat="1" hidden="1">
      <c r="B505" s="342"/>
      <c r="C505" s="342"/>
      <c r="D505" s="342"/>
      <c r="E505" s="342"/>
      <c r="F505" s="342"/>
    </row>
    <row r="506" spans="2:6" s="341" customFormat="1" hidden="1">
      <c r="B506" s="342"/>
      <c r="C506" s="342"/>
      <c r="D506" s="342"/>
      <c r="E506" s="342"/>
      <c r="F506" s="342"/>
    </row>
    <row r="507" spans="2:6" s="341" customFormat="1" hidden="1">
      <c r="B507" s="342"/>
      <c r="C507" s="342"/>
      <c r="D507" s="342"/>
      <c r="E507" s="342"/>
      <c r="F507" s="342"/>
    </row>
    <row r="508" spans="2:6" s="341" customFormat="1" hidden="1">
      <c r="B508" s="342"/>
      <c r="C508" s="342"/>
      <c r="D508" s="342"/>
      <c r="E508" s="342"/>
      <c r="F508" s="342"/>
    </row>
    <row r="509" spans="2:6" s="341" customFormat="1" hidden="1">
      <c r="B509" s="342"/>
      <c r="C509" s="342"/>
      <c r="D509" s="342"/>
      <c r="E509" s="342"/>
      <c r="F509" s="342"/>
    </row>
    <row r="510" spans="2:6" s="341" customFormat="1" hidden="1">
      <c r="B510" s="342"/>
      <c r="C510" s="342"/>
      <c r="D510" s="342"/>
      <c r="E510" s="342"/>
      <c r="F510" s="342"/>
    </row>
    <row r="511" spans="2:6" s="341" customFormat="1" hidden="1">
      <c r="B511" s="342"/>
      <c r="C511" s="342"/>
      <c r="D511" s="342"/>
      <c r="E511" s="342"/>
      <c r="F511" s="342"/>
    </row>
    <row r="512" spans="2:6" s="341" customFormat="1" hidden="1">
      <c r="B512" s="342"/>
      <c r="C512" s="342"/>
      <c r="D512" s="342"/>
      <c r="E512" s="342"/>
      <c r="F512" s="342"/>
    </row>
    <row r="513" spans="2:6" s="341" customFormat="1" hidden="1">
      <c r="B513" s="342"/>
      <c r="C513" s="342"/>
      <c r="D513" s="342"/>
      <c r="E513" s="342"/>
      <c r="F513" s="342"/>
    </row>
    <row r="514" spans="2:6" s="341" customFormat="1" hidden="1">
      <c r="B514" s="342"/>
      <c r="C514" s="342"/>
      <c r="D514" s="342"/>
      <c r="E514" s="342"/>
      <c r="F514" s="342"/>
    </row>
    <row r="515" spans="2:6" s="341" customFormat="1" hidden="1">
      <c r="B515" s="342"/>
      <c r="C515" s="342"/>
      <c r="D515" s="342"/>
      <c r="E515" s="342"/>
      <c r="F515" s="342"/>
    </row>
    <row r="516" spans="2:6" s="341" customFormat="1" hidden="1">
      <c r="B516" s="342"/>
      <c r="C516" s="342"/>
      <c r="D516" s="342"/>
      <c r="E516" s="342"/>
      <c r="F516" s="342"/>
    </row>
    <row r="517" spans="2:6" s="341" customFormat="1" hidden="1">
      <c r="B517" s="342"/>
      <c r="C517" s="342"/>
      <c r="D517" s="342"/>
      <c r="E517" s="342"/>
      <c r="F517" s="342"/>
    </row>
    <row r="518" spans="2:6" s="341" customFormat="1" hidden="1">
      <c r="B518" s="342"/>
      <c r="C518" s="342"/>
      <c r="D518" s="342"/>
      <c r="E518" s="342"/>
      <c r="F518" s="342"/>
    </row>
    <row r="519" spans="2:6" s="341" customFormat="1" hidden="1">
      <c r="B519" s="342"/>
      <c r="C519" s="342"/>
      <c r="D519" s="342"/>
      <c r="E519" s="342"/>
      <c r="F519" s="342"/>
    </row>
    <row r="520" spans="2:6" s="341" customFormat="1" hidden="1">
      <c r="B520" s="342"/>
      <c r="C520" s="342"/>
      <c r="D520" s="342"/>
      <c r="E520" s="342"/>
      <c r="F520" s="342"/>
    </row>
    <row r="521" spans="2:6" s="341" customFormat="1" hidden="1">
      <c r="B521" s="342"/>
      <c r="C521" s="342"/>
      <c r="D521" s="342"/>
      <c r="E521" s="342"/>
      <c r="F521" s="342"/>
    </row>
    <row r="522" spans="2:6" s="341" customFormat="1" hidden="1">
      <c r="B522" s="342"/>
      <c r="C522" s="342"/>
      <c r="D522" s="342"/>
      <c r="E522" s="342"/>
      <c r="F522" s="342"/>
    </row>
    <row r="523" spans="2:6" s="341" customFormat="1" hidden="1">
      <c r="B523" s="342"/>
      <c r="C523" s="342"/>
      <c r="D523" s="342"/>
      <c r="E523" s="342"/>
      <c r="F523" s="342"/>
    </row>
    <row r="524" spans="2:6" s="341" customFormat="1" hidden="1">
      <c r="B524" s="342"/>
      <c r="C524" s="342"/>
      <c r="D524" s="342"/>
      <c r="E524" s="342"/>
      <c r="F524" s="342"/>
    </row>
    <row r="525" spans="2:6" s="341" customFormat="1" hidden="1">
      <c r="B525" s="342"/>
      <c r="C525" s="342"/>
      <c r="D525" s="342"/>
      <c r="E525" s="342"/>
      <c r="F525" s="342"/>
    </row>
    <row r="526" spans="2:6" s="341" customFormat="1" hidden="1">
      <c r="B526" s="342"/>
      <c r="C526" s="342"/>
      <c r="D526" s="342"/>
      <c r="E526" s="342"/>
      <c r="F526" s="342"/>
    </row>
    <row r="527" spans="2:6" s="341" customFormat="1" hidden="1">
      <c r="B527" s="342"/>
      <c r="C527" s="342"/>
      <c r="D527" s="342"/>
      <c r="E527" s="342"/>
      <c r="F527" s="342"/>
    </row>
    <row r="528" spans="2:6" s="341" customFormat="1" hidden="1">
      <c r="B528" s="342"/>
      <c r="C528" s="342"/>
      <c r="D528" s="342"/>
      <c r="E528" s="342"/>
      <c r="F528" s="342"/>
    </row>
    <row r="529" spans="2:6" s="341" customFormat="1" hidden="1">
      <c r="B529" s="342"/>
      <c r="C529" s="342"/>
      <c r="D529" s="342"/>
      <c r="E529" s="342"/>
      <c r="F529" s="342"/>
    </row>
    <row r="530" spans="2:6" s="341" customFormat="1" hidden="1">
      <c r="B530" s="342"/>
      <c r="C530" s="342"/>
      <c r="D530" s="342"/>
      <c r="E530" s="342"/>
      <c r="F530" s="342"/>
    </row>
    <row r="531" spans="2:6" s="341" customFormat="1" hidden="1">
      <c r="B531" s="342"/>
      <c r="C531" s="342"/>
      <c r="D531" s="342"/>
      <c r="E531" s="342"/>
      <c r="F531" s="342"/>
    </row>
    <row r="532" spans="2:6" s="341" customFormat="1" hidden="1">
      <c r="B532" s="342"/>
      <c r="C532" s="342"/>
      <c r="D532" s="342"/>
      <c r="E532" s="342"/>
      <c r="F532" s="342"/>
    </row>
    <row r="533" spans="2:6" s="341" customFormat="1" hidden="1">
      <c r="B533" s="342"/>
      <c r="C533" s="342"/>
      <c r="D533" s="342"/>
      <c r="E533" s="342"/>
      <c r="F533" s="342"/>
    </row>
    <row r="534" spans="2:6" s="341" customFormat="1" hidden="1">
      <c r="B534" s="342"/>
      <c r="C534" s="342"/>
      <c r="D534" s="342"/>
      <c r="E534" s="342"/>
      <c r="F534" s="342"/>
    </row>
    <row r="535" spans="2:6" s="341" customFormat="1" hidden="1">
      <c r="B535" s="342"/>
      <c r="C535" s="342"/>
      <c r="D535" s="342"/>
      <c r="E535" s="342"/>
      <c r="F535" s="342"/>
    </row>
    <row r="536" spans="2:6" s="341" customFormat="1" hidden="1">
      <c r="B536" s="342"/>
      <c r="C536" s="342"/>
      <c r="D536" s="342"/>
      <c r="E536" s="342"/>
      <c r="F536" s="342"/>
    </row>
    <row r="537" spans="2:6" s="341" customFormat="1" hidden="1">
      <c r="B537" s="342"/>
      <c r="C537" s="342"/>
      <c r="D537" s="342"/>
      <c r="E537" s="342"/>
      <c r="F537" s="342"/>
    </row>
    <row r="538" spans="2:6" s="341" customFormat="1" hidden="1">
      <c r="B538" s="342"/>
      <c r="C538" s="342"/>
      <c r="D538" s="342"/>
      <c r="E538" s="342"/>
      <c r="F538" s="342"/>
    </row>
    <row r="539" spans="2:6" s="341" customFormat="1" hidden="1">
      <c r="B539" s="342"/>
      <c r="C539" s="342"/>
      <c r="D539" s="342"/>
      <c r="E539" s="342"/>
      <c r="F539" s="342"/>
    </row>
    <row r="540" spans="2:6" s="341" customFormat="1" hidden="1">
      <c r="B540" s="342"/>
      <c r="C540" s="342"/>
      <c r="D540" s="342"/>
      <c r="E540" s="342"/>
      <c r="F540" s="342"/>
    </row>
    <row r="541" spans="2:6" s="341" customFormat="1" hidden="1">
      <c r="B541" s="342"/>
      <c r="C541" s="342"/>
      <c r="D541" s="342"/>
      <c r="E541" s="342"/>
      <c r="F541" s="342"/>
    </row>
    <row r="542" spans="2:6" s="341" customFormat="1" hidden="1">
      <c r="B542" s="342"/>
      <c r="C542" s="342"/>
      <c r="D542" s="342"/>
      <c r="E542" s="342"/>
      <c r="F542" s="342"/>
    </row>
    <row r="543" spans="2:6" s="341" customFormat="1" hidden="1">
      <c r="B543" s="342"/>
      <c r="C543" s="342"/>
      <c r="D543" s="342"/>
      <c r="E543" s="342"/>
      <c r="F543" s="342"/>
    </row>
    <row r="544" spans="2:6" s="341" customFormat="1" hidden="1">
      <c r="B544" s="342"/>
      <c r="C544" s="342"/>
      <c r="D544" s="342"/>
      <c r="E544" s="342"/>
      <c r="F544" s="342"/>
    </row>
    <row r="545" spans="2:6" s="341" customFormat="1" hidden="1">
      <c r="B545" s="342"/>
      <c r="C545" s="342"/>
      <c r="D545" s="342"/>
      <c r="E545" s="342"/>
      <c r="F545" s="342"/>
    </row>
    <row r="546" spans="2:6" s="341" customFormat="1" hidden="1">
      <c r="B546" s="342"/>
      <c r="C546" s="342"/>
      <c r="D546" s="342"/>
      <c r="E546" s="342"/>
      <c r="F546" s="342"/>
    </row>
    <row r="547" spans="2:6" s="341" customFormat="1" hidden="1">
      <c r="B547" s="342"/>
      <c r="C547" s="342"/>
      <c r="D547" s="342"/>
      <c r="E547" s="342"/>
      <c r="F547" s="342"/>
    </row>
    <row r="548" spans="2:6" s="341" customFormat="1" hidden="1">
      <c r="B548" s="342"/>
      <c r="C548" s="342"/>
      <c r="D548" s="342"/>
      <c r="E548" s="342"/>
      <c r="F548" s="342"/>
    </row>
    <row r="549" spans="2:6" s="341" customFormat="1" hidden="1">
      <c r="B549" s="342"/>
      <c r="C549" s="342"/>
      <c r="D549" s="342"/>
      <c r="E549" s="342"/>
      <c r="F549" s="342"/>
    </row>
    <row r="550" spans="2:6" s="341" customFormat="1" hidden="1">
      <c r="B550" s="342"/>
      <c r="C550" s="342"/>
      <c r="D550" s="342"/>
      <c r="E550" s="342"/>
      <c r="F550" s="342"/>
    </row>
    <row r="551" spans="2:6" s="341" customFormat="1" hidden="1">
      <c r="B551" s="342"/>
      <c r="C551" s="342"/>
      <c r="D551" s="342"/>
      <c r="E551" s="342"/>
      <c r="F551" s="342"/>
    </row>
    <row r="552" spans="2:6" s="341" customFormat="1" hidden="1">
      <c r="B552" s="342"/>
      <c r="C552" s="342"/>
      <c r="D552" s="342"/>
      <c r="E552" s="342"/>
      <c r="F552" s="342"/>
    </row>
    <row r="553" spans="2:6" s="341" customFormat="1" hidden="1">
      <c r="B553" s="342"/>
      <c r="C553" s="342"/>
      <c r="D553" s="342"/>
      <c r="E553" s="342"/>
      <c r="F553" s="342"/>
    </row>
    <row r="554" spans="2:6" s="341" customFormat="1" hidden="1">
      <c r="B554" s="342"/>
      <c r="C554" s="342"/>
      <c r="D554" s="342"/>
      <c r="E554" s="342"/>
      <c r="F554" s="342"/>
    </row>
    <row r="555" spans="2:6" s="341" customFormat="1" hidden="1">
      <c r="B555" s="342"/>
      <c r="C555" s="342"/>
      <c r="D555" s="342"/>
      <c r="E555" s="342"/>
      <c r="F555" s="342"/>
    </row>
    <row r="556" spans="2:6" s="341" customFormat="1" hidden="1">
      <c r="B556" s="342"/>
      <c r="C556" s="342"/>
      <c r="D556" s="342"/>
      <c r="E556" s="342"/>
      <c r="F556" s="342"/>
    </row>
    <row r="557" spans="2:6" s="341" customFormat="1" hidden="1">
      <c r="B557" s="342"/>
      <c r="C557" s="342"/>
      <c r="D557" s="342"/>
      <c r="E557" s="342"/>
      <c r="F557" s="342"/>
    </row>
    <row r="558" spans="2:6" s="341" customFormat="1" hidden="1">
      <c r="B558" s="342"/>
      <c r="C558" s="342"/>
      <c r="D558" s="342"/>
      <c r="E558" s="342"/>
      <c r="F558" s="342"/>
    </row>
    <row r="559" spans="2:6" s="341" customFormat="1" hidden="1">
      <c r="B559" s="342"/>
      <c r="C559" s="342"/>
      <c r="D559" s="342"/>
      <c r="E559" s="342"/>
      <c r="F559" s="342"/>
    </row>
    <row r="560" spans="2:6" s="341" customFormat="1" hidden="1">
      <c r="B560" s="342"/>
      <c r="C560" s="342"/>
      <c r="D560" s="342"/>
      <c r="E560" s="342"/>
      <c r="F560" s="342"/>
    </row>
    <row r="561" spans="2:6" s="341" customFormat="1" hidden="1">
      <c r="B561" s="342"/>
      <c r="C561" s="342"/>
      <c r="D561" s="342"/>
      <c r="E561" s="342"/>
      <c r="F561" s="342"/>
    </row>
    <row r="562" spans="2:6" s="341" customFormat="1" hidden="1">
      <c r="B562" s="342"/>
      <c r="C562" s="342"/>
      <c r="D562" s="342"/>
      <c r="E562" s="342"/>
      <c r="F562" s="342"/>
    </row>
    <row r="563" spans="2:6" s="341" customFormat="1" hidden="1">
      <c r="B563" s="342"/>
      <c r="C563" s="342"/>
      <c r="D563" s="342"/>
      <c r="E563" s="342"/>
      <c r="F563" s="342"/>
    </row>
    <row r="564" spans="2:6" s="341" customFormat="1" hidden="1">
      <c r="B564" s="342"/>
      <c r="C564" s="342"/>
      <c r="D564" s="342"/>
      <c r="E564" s="342"/>
      <c r="F564" s="342"/>
    </row>
    <row r="565" spans="2:6" s="341" customFormat="1" hidden="1">
      <c r="B565" s="342"/>
      <c r="C565" s="342"/>
      <c r="D565" s="342"/>
      <c r="E565" s="342"/>
      <c r="F565" s="342"/>
    </row>
    <row r="566" spans="2:6" s="341" customFormat="1" hidden="1">
      <c r="B566" s="342"/>
      <c r="C566" s="342"/>
      <c r="D566" s="342"/>
      <c r="E566" s="342"/>
      <c r="F566" s="342"/>
    </row>
    <row r="567" spans="2:6" s="341" customFormat="1" hidden="1">
      <c r="B567" s="342"/>
      <c r="C567" s="342"/>
      <c r="D567" s="342"/>
      <c r="E567" s="342"/>
      <c r="F567" s="342"/>
    </row>
    <row r="568" spans="2:6" s="341" customFormat="1" hidden="1">
      <c r="B568" s="342"/>
      <c r="C568" s="342"/>
      <c r="D568" s="342"/>
      <c r="E568" s="342"/>
      <c r="F568" s="342"/>
    </row>
    <row r="569" spans="2:6" s="341" customFormat="1" hidden="1">
      <c r="B569" s="342"/>
      <c r="C569" s="342"/>
      <c r="D569" s="342"/>
      <c r="E569" s="342"/>
      <c r="F569" s="342"/>
    </row>
    <row r="570" spans="2:6" s="341" customFormat="1" hidden="1">
      <c r="B570" s="342"/>
      <c r="C570" s="342"/>
      <c r="D570" s="342"/>
      <c r="E570" s="342"/>
      <c r="F570" s="342"/>
    </row>
    <row r="571" spans="2:6" s="341" customFormat="1" hidden="1">
      <c r="B571" s="342"/>
      <c r="C571" s="342"/>
      <c r="D571" s="342"/>
      <c r="E571" s="342"/>
      <c r="F571" s="342"/>
    </row>
    <row r="572" spans="2:6" s="341" customFormat="1" hidden="1">
      <c r="B572" s="342"/>
      <c r="C572" s="342"/>
      <c r="D572" s="342"/>
      <c r="E572" s="342"/>
      <c r="F572" s="342"/>
    </row>
    <row r="573" spans="2:6" s="341" customFormat="1" hidden="1">
      <c r="B573" s="342"/>
      <c r="C573" s="342"/>
      <c r="D573" s="342"/>
      <c r="E573" s="342"/>
      <c r="F573" s="342"/>
    </row>
    <row r="574" spans="2:6" s="341" customFormat="1" hidden="1">
      <c r="B574" s="342"/>
      <c r="C574" s="342"/>
      <c r="D574" s="342"/>
      <c r="E574" s="342"/>
      <c r="F574" s="342"/>
    </row>
    <row r="575" spans="2:6" s="341" customFormat="1" hidden="1">
      <c r="B575" s="342"/>
      <c r="C575" s="342"/>
      <c r="D575" s="342"/>
      <c r="E575" s="342"/>
      <c r="F575" s="342"/>
    </row>
    <row r="576" spans="2:6" s="341" customFormat="1" hidden="1">
      <c r="B576" s="342"/>
      <c r="C576" s="342"/>
      <c r="D576" s="342"/>
      <c r="E576" s="342"/>
      <c r="F576" s="342"/>
    </row>
    <row r="577" spans="2:6" s="341" customFormat="1" hidden="1">
      <c r="B577" s="342"/>
      <c r="C577" s="342"/>
      <c r="D577" s="342"/>
      <c r="E577" s="342"/>
      <c r="F577" s="342"/>
    </row>
    <row r="578" spans="2:6" s="341" customFormat="1" hidden="1">
      <c r="B578" s="342"/>
      <c r="C578" s="342"/>
      <c r="D578" s="342"/>
      <c r="E578" s="342"/>
      <c r="F578" s="342"/>
    </row>
    <row r="579" spans="2:6" s="341" customFormat="1" hidden="1">
      <c r="B579" s="342"/>
      <c r="C579" s="342"/>
      <c r="D579" s="342"/>
      <c r="E579" s="342"/>
      <c r="F579" s="342"/>
    </row>
    <row r="580" spans="2:6" s="341" customFormat="1" hidden="1">
      <c r="B580" s="342"/>
      <c r="C580" s="342"/>
      <c r="D580" s="342"/>
      <c r="E580" s="342"/>
      <c r="F580" s="342"/>
    </row>
    <row r="581" spans="2:6" s="341" customFormat="1" hidden="1">
      <c r="B581" s="342"/>
      <c r="C581" s="342"/>
      <c r="D581" s="342"/>
      <c r="E581" s="342"/>
      <c r="F581" s="342"/>
    </row>
    <row r="582" spans="2:6" s="341" customFormat="1" hidden="1">
      <c r="B582" s="342"/>
      <c r="C582" s="342"/>
      <c r="D582" s="342"/>
      <c r="E582" s="342"/>
      <c r="F582" s="342"/>
    </row>
    <row r="583" spans="2:6" s="341" customFormat="1" hidden="1">
      <c r="B583" s="342"/>
      <c r="C583" s="342"/>
      <c r="D583" s="342"/>
      <c r="E583" s="342"/>
      <c r="F583" s="342"/>
    </row>
    <row r="584" spans="2:6" s="341" customFormat="1" hidden="1">
      <c r="B584" s="342"/>
      <c r="C584" s="342"/>
      <c r="D584" s="342"/>
      <c r="E584" s="342"/>
      <c r="F584" s="342"/>
    </row>
    <row r="585" spans="2:6" s="341" customFormat="1" hidden="1">
      <c r="B585" s="342"/>
      <c r="C585" s="342"/>
      <c r="D585" s="342"/>
      <c r="E585" s="342"/>
      <c r="F585" s="342"/>
    </row>
    <row r="586" spans="2:6" s="341" customFormat="1" hidden="1">
      <c r="B586" s="342"/>
      <c r="C586" s="342"/>
      <c r="D586" s="342"/>
      <c r="E586" s="342"/>
      <c r="F586" s="342"/>
    </row>
    <row r="587" spans="2:6" s="341" customFormat="1" hidden="1">
      <c r="B587" s="342"/>
      <c r="C587" s="342"/>
      <c r="D587" s="342"/>
      <c r="E587" s="342"/>
      <c r="F587" s="342"/>
    </row>
    <row r="588" spans="2:6" s="341" customFormat="1" hidden="1">
      <c r="B588" s="342"/>
      <c r="C588" s="342"/>
      <c r="D588" s="342"/>
      <c r="E588" s="342"/>
      <c r="F588" s="342"/>
    </row>
    <row r="589" spans="2:6" s="341" customFormat="1" hidden="1">
      <c r="B589" s="342"/>
      <c r="C589" s="342"/>
      <c r="D589" s="342"/>
      <c r="E589" s="342"/>
      <c r="F589" s="342"/>
    </row>
    <row r="590" spans="2:6" s="341" customFormat="1" hidden="1">
      <c r="B590" s="342"/>
      <c r="C590" s="342"/>
      <c r="D590" s="342"/>
      <c r="E590" s="342"/>
      <c r="F590" s="342"/>
    </row>
    <row r="591" spans="2:6" s="341" customFormat="1" hidden="1">
      <c r="B591" s="342"/>
      <c r="C591" s="342"/>
      <c r="D591" s="342"/>
      <c r="E591" s="342"/>
      <c r="F591" s="342"/>
    </row>
    <row r="592" spans="2:6" s="341" customFormat="1" hidden="1">
      <c r="B592" s="342"/>
      <c r="C592" s="342"/>
      <c r="D592" s="342"/>
      <c r="E592" s="342"/>
      <c r="F592" s="342"/>
    </row>
    <row r="593" spans="2:6" s="341" customFormat="1" hidden="1">
      <c r="B593" s="342"/>
      <c r="C593" s="342"/>
      <c r="D593" s="342"/>
      <c r="E593" s="342"/>
      <c r="F593" s="342"/>
    </row>
    <row r="594" spans="2:6" s="341" customFormat="1" hidden="1">
      <c r="B594" s="342"/>
      <c r="C594" s="342"/>
      <c r="D594" s="342"/>
      <c r="E594" s="342"/>
      <c r="F594" s="342"/>
    </row>
    <row r="595" spans="2:6" s="341" customFormat="1" hidden="1">
      <c r="B595" s="342"/>
      <c r="C595" s="342"/>
      <c r="D595" s="342"/>
      <c r="E595" s="342"/>
      <c r="F595" s="342"/>
    </row>
    <row r="596" spans="2:6" s="341" customFormat="1" hidden="1">
      <c r="B596" s="342"/>
      <c r="C596" s="342"/>
      <c r="D596" s="342"/>
      <c r="E596" s="342"/>
      <c r="F596" s="342"/>
    </row>
    <row r="597" spans="2:6" s="341" customFormat="1" hidden="1">
      <c r="B597" s="342"/>
      <c r="C597" s="342"/>
      <c r="D597" s="342"/>
      <c r="E597" s="342"/>
      <c r="F597" s="342"/>
    </row>
    <row r="598" spans="2:6" s="341" customFormat="1" hidden="1">
      <c r="B598" s="342"/>
      <c r="C598" s="342"/>
      <c r="D598" s="342"/>
      <c r="E598" s="342"/>
      <c r="F598" s="342"/>
    </row>
    <row r="599" spans="2:6" s="341" customFormat="1" hidden="1">
      <c r="B599" s="342"/>
      <c r="C599" s="342"/>
      <c r="D599" s="342"/>
      <c r="E599" s="342"/>
      <c r="F599" s="342"/>
    </row>
    <row r="600" spans="2:6" s="341" customFormat="1" hidden="1">
      <c r="B600" s="342"/>
      <c r="C600" s="342"/>
      <c r="D600" s="342"/>
      <c r="E600" s="342"/>
      <c r="F600" s="342"/>
    </row>
    <row r="601" spans="2:6" s="341" customFormat="1" hidden="1">
      <c r="B601" s="342"/>
      <c r="C601" s="342"/>
      <c r="D601" s="342"/>
      <c r="E601" s="342"/>
      <c r="F601" s="342"/>
    </row>
    <row r="602" spans="2:6" s="341" customFormat="1" hidden="1">
      <c r="B602" s="342"/>
      <c r="C602" s="342"/>
      <c r="D602" s="342"/>
      <c r="E602" s="342"/>
      <c r="F602" s="342"/>
    </row>
    <row r="603" spans="2:6" s="341" customFormat="1" hidden="1">
      <c r="B603" s="342"/>
      <c r="C603" s="342"/>
      <c r="D603" s="342"/>
      <c r="E603" s="342"/>
      <c r="F603" s="342"/>
    </row>
    <row r="604" spans="2:6" s="341" customFormat="1" hidden="1">
      <c r="B604" s="342"/>
      <c r="C604" s="342"/>
      <c r="D604" s="342"/>
      <c r="E604" s="342"/>
      <c r="F604" s="342"/>
    </row>
    <row r="605" spans="2:6" s="341" customFormat="1" hidden="1">
      <c r="B605" s="342"/>
      <c r="C605" s="342"/>
      <c r="D605" s="342"/>
      <c r="E605" s="342"/>
      <c r="F605" s="342"/>
    </row>
    <row r="606" spans="2:6" s="341" customFormat="1" hidden="1">
      <c r="B606" s="342"/>
      <c r="C606" s="342"/>
      <c r="D606" s="342"/>
      <c r="E606" s="342"/>
      <c r="F606" s="342"/>
    </row>
    <row r="607" spans="2:6" s="341" customFormat="1" hidden="1">
      <c r="B607" s="342"/>
      <c r="C607" s="342"/>
      <c r="D607" s="342"/>
      <c r="E607" s="342"/>
      <c r="F607" s="342"/>
    </row>
    <row r="608" spans="2:6" s="341" customFormat="1" hidden="1">
      <c r="B608" s="342"/>
      <c r="C608" s="342"/>
      <c r="D608" s="342"/>
      <c r="E608" s="342"/>
      <c r="F608" s="342"/>
    </row>
    <row r="609" spans="2:6" s="341" customFormat="1" hidden="1">
      <c r="B609" s="342"/>
      <c r="C609" s="342"/>
      <c r="D609" s="342"/>
      <c r="E609" s="342"/>
      <c r="F609" s="342"/>
    </row>
    <row r="610" spans="2:6" s="341" customFormat="1" hidden="1">
      <c r="B610" s="342"/>
      <c r="C610" s="342"/>
      <c r="D610" s="342"/>
      <c r="E610" s="342"/>
      <c r="F610" s="342"/>
    </row>
    <row r="611" spans="2:6" s="341" customFormat="1" hidden="1">
      <c r="B611" s="342"/>
      <c r="C611" s="342"/>
      <c r="D611" s="342"/>
      <c r="E611" s="342"/>
      <c r="F611" s="342"/>
    </row>
    <row r="612" spans="2:6" s="341" customFormat="1" hidden="1">
      <c r="B612" s="342"/>
      <c r="C612" s="342"/>
      <c r="D612" s="342"/>
      <c r="E612" s="342"/>
      <c r="F612" s="342"/>
    </row>
    <row r="613" spans="2:6" s="341" customFormat="1" hidden="1">
      <c r="B613" s="342"/>
      <c r="C613" s="342"/>
      <c r="D613" s="342"/>
      <c r="E613" s="342"/>
      <c r="F613" s="342"/>
    </row>
    <row r="614" spans="2:6" s="341" customFormat="1" hidden="1">
      <c r="B614" s="342"/>
      <c r="C614" s="342"/>
      <c r="D614" s="342"/>
      <c r="E614" s="342"/>
      <c r="F614" s="342"/>
    </row>
    <row r="615" spans="2:6" s="341" customFormat="1" hidden="1">
      <c r="B615" s="342"/>
      <c r="C615" s="342"/>
      <c r="D615" s="342"/>
      <c r="E615" s="342"/>
      <c r="F615" s="342"/>
    </row>
    <row r="616" spans="2:6" s="341" customFormat="1" hidden="1">
      <c r="B616" s="342"/>
      <c r="C616" s="342"/>
      <c r="D616" s="342"/>
      <c r="E616" s="342"/>
      <c r="F616" s="342"/>
    </row>
    <row r="617" spans="2:6" s="345" customFormat="1" hidden="1">
      <c r="B617" s="346"/>
      <c r="C617" s="346"/>
      <c r="D617" s="346"/>
      <c r="E617" s="346"/>
      <c r="F617" s="346"/>
    </row>
  </sheetData>
  <customSheetViews>
    <customSheetView guid="{CFA9FB8A-52FF-44B9-AE70-27339693E196}">
      <selection activeCell="D9" sqref="D9"/>
      <pageMargins left="0.7" right="0.7" top="0.75" bottom="0.75" header="0.3" footer="0.3"/>
      <pageSetup orientation="portrait" r:id="rId1"/>
    </customSheetView>
  </customSheetViews>
  <mergeCells count="3">
    <mergeCell ref="B5:E5"/>
    <mergeCell ref="B2:E2"/>
    <mergeCell ref="B3:E3"/>
  </mergeCells>
  <printOptions horizontalCentered="1"/>
  <pageMargins left="0.7" right="0.7" top="1.25" bottom="0.5" header="0.3" footer="0"/>
  <pageSetup orientation="landscape" r:id="rId2"/>
  <headerFooter scaleWithDoc="0">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43"/>
  <sheetViews>
    <sheetView tabSelected="1" zoomScaleNormal="100" workbookViewId="0">
      <pane ySplit="4" topLeftCell="A1060" activePane="bottomLeft" state="frozen"/>
      <selection pane="bottomLeft" activeCell="B1097" sqref="B1097"/>
    </sheetView>
    <sheetView workbookViewId="1">
      <pane ySplit="4" topLeftCell="A1079" activePane="bottomLeft" state="frozen"/>
      <selection pane="bottomLeft" activeCell="I1082" sqref="I1082"/>
    </sheetView>
  </sheetViews>
  <sheetFormatPr defaultColWidth="0" defaultRowHeight="15" zeroHeight="1"/>
  <cols>
    <col min="1" max="1" width="5.109375" customWidth="1"/>
    <col min="2" max="2" width="4.109375" customWidth="1"/>
    <col min="3" max="3" width="17.5546875" customWidth="1"/>
    <col min="4" max="4" width="10" customWidth="1"/>
    <col min="5" max="5" width="4.33203125" customWidth="1"/>
    <col min="6" max="6" width="5.5546875" customWidth="1"/>
    <col min="7" max="7" width="11.21875" customWidth="1"/>
    <col min="8" max="8" width="6" customWidth="1"/>
    <col min="9" max="9" width="5.88671875" customWidth="1"/>
    <col min="10" max="10" width="6.77734375" customWidth="1"/>
    <col min="11" max="11" width="7.6640625" customWidth="1"/>
    <col min="12" max="12" width="8.6640625" customWidth="1"/>
    <col min="13" max="13" width="7.5546875" customWidth="1"/>
    <col min="14" max="14" width="8.44140625" customWidth="1"/>
    <col min="15" max="15" width="8.88671875" customWidth="1"/>
    <col min="16" max="17" width="12.77734375" customWidth="1"/>
    <col min="18" max="18" width="12.77734375" style="850" customWidth="1"/>
    <col min="19" max="19" width="12.77734375" customWidth="1"/>
  </cols>
  <sheetData>
    <row r="1" spans="1:18" ht="39.950000000000003" customHeight="1" thickTop="1" thickBot="1">
      <c r="A1" s="1073" t="s">
        <v>901</v>
      </c>
      <c r="B1" s="1099"/>
      <c r="C1" s="1099"/>
      <c r="D1" s="1099"/>
      <c r="E1" s="1099"/>
      <c r="F1" s="1099"/>
      <c r="G1" s="1099"/>
      <c r="H1" s="1099"/>
      <c r="I1" s="1099"/>
      <c r="J1" s="1099"/>
      <c r="K1" s="1099"/>
      <c r="L1" s="1099"/>
      <c r="M1" s="1099"/>
      <c r="N1" s="1100"/>
    </row>
    <row r="2" spans="1:18" ht="15.75">
      <c r="A2" s="60"/>
      <c r="B2" s="61" t="s">
        <v>212</v>
      </c>
      <c r="C2" s="62"/>
      <c r="D2" s="62"/>
      <c r="E2" s="63"/>
      <c r="F2" s="64"/>
      <c r="G2" s="565" t="s">
        <v>168</v>
      </c>
      <c r="H2" s="65"/>
      <c r="I2" s="61"/>
      <c r="J2" s="560" t="s">
        <v>220</v>
      </c>
      <c r="K2" s="61" t="s">
        <v>234</v>
      </c>
      <c r="L2" s="61" t="s">
        <v>234</v>
      </c>
      <c r="M2" s="61" t="s">
        <v>234</v>
      </c>
      <c r="N2" s="561" t="s">
        <v>501</v>
      </c>
      <c r="P2" s="34" t="s">
        <v>224</v>
      </c>
      <c r="Q2" s="34" t="s">
        <v>224</v>
      </c>
      <c r="R2" s="848" t="s">
        <v>224</v>
      </c>
    </row>
    <row r="3" spans="1:18" ht="15.75">
      <c r="A3" s="66" t="s">
        <v>210</v>
      </c>
      <c r="B3" s="67" t="s">
        <v>204</v>
      </c>
      <c r="C3" s="376" t="s">
        <v>165</v>
      </c>
      <c r="D3" s="67" t="s">
        <v>185</v>
      </c>
      <c r="E3" s="68" t="s">
        <v>186</v>
      </c>
      <c r="F3" s="68" t="s">
        <v>172</v>
      </c>
      <c r="G3" s="376" t="s">
        <v>877</v>
      </c>
      <c r="H3" s="67" t="s">
        <v>169</v>
      </c>
      <c r="I3" s="67" t="s">
        <v>213</v>
      </c>
      <c r="J3" s="67" t="s">
        <v>214</v>
      </c>
      <c r="K3" s="68" t="s">
        <v>166</v>
      </c>
      <c r="L3" s="67" t="s">
        <v>166</v>
      </c>
      <c r="M3" s="67" t="s">
        <v>166</v>
      </c>
      <c r="N3" s="562" t="s">
        <v>166</v>
      </c>
      <c r="P3" s="34" t="s">
        <v>227</v>
      </c>
      <c r="Q3" s="318" t="s">
        <v>896</v>
      </c>
      <c r="R3" s="318" t="s">
        <v>1077</v>
      </c>
    </row>
    <row r="4" spans="1:18" ht="16.5" thickBot="1">
      <c r="A4" s="69" t="s">
        <v>211</v>
      </c>
      <c r="B4" s="70" t="s">
        <v>172</v>
      </c>
      <c r="C4" s="70"/>
      <c r="D4" s="377"/>
      <c r="E4" s="378"/>
      <c r="F4" s="379"/>
      <c r="G4" s="70" t="s">
        <v>878</v>
      </c>
      <c r="H4" s="375"/>
      <c r="I4" s="71" t="s">
        <v>170</v>
      </c>
      <c r="J4" s="71" t="s">
        <v>171</v>
      </c>
      <c r="K4" s="72" t="s">
        <v>216</v>
      </c>
      <c r="L4" s="71" t="s">
        <v>167</v>
      </c>
      <c r="M4" s="71" t="s">
        <v>215</v>
      </c>
      <c r="N4" s="563" t="s">
        <v>167</v>
      </c>
      <c r="P4" s="34" t="s">
        <v>226</v>
      </c>
      <c r="Q4" s="318" t="s">
        <v>800</v>
      </c>
      <c r="R4" s="318" t="s">
        <v>226</v>
      </c>
    </row>
    <row r="5" spans="1:18" ht="15.75" thickTop="1">
      <c r="A5" s="606">
        <v>1</v>
      </c>
      <c r="B5" s="607">
        <v>1</v>
      </c>
      <c r="C5" s="602">
        <v>18387</v>
      </c>
      <c r="D5" s="608" t="s">
        <v>177</v>
      </c>
      <c r="E5" s="609">
        <v>4</v>
      </c>
      <c r="F5" s="610">
        <v>1950</v>
      </c>
      <c r="G5" s="607" t="s">
        <v>132</v>
      </c>
      <c r="H5" s="611" t="s">
        <v>151</v>
      </c>
      <c r="I5" s="612">
        <v>50</v>
      </c>
      <c r="J5" s="612">
        <v>1.9</v>
      </c>
      <c r="K5" s="610">
        <f>HOUR(M5)</f>
        <v>20</v>
      </c>
      <c r="L5" s="613">
        <v>0.85416666666666663</v>
      </c>
      <c r="M5" s="614">
        <f>+L5</f>
        <v>0.85416666666666663</v>
      </c>
      <c r="N5" s="662"/>
      <c r="P5" s="37" t="str">
        <f>CONCATENATE(F5,H5)</f>
        <v>1950F2</v>
      </c>
      <c r="Q5" s="37" t="str">
        <f>CONCATENATE(H5,K5)</f>
        <v>F220</v>
      </c>
      <c r="R5" s="37" t="str">
        <f>CONCATENATE(D5,H5)</f>
        <v>MayF2</v>
      </c>
    </row>
    <row r="6" spans="1:18">
      <c r="A6" s="616">
        <f>+A5+1</f>
        <v>2</v>
      </c>
      <c r="B6" s="617">
        <v>2</v>
      </c>
      <c r="C6" s="618">
        <v>18394</v>
      </c>
      <c r="D6" s="618" t="s">
        <v>177</v>
      </c>
      <c r="E6" s="619">
        <v>11</v>
      </c>
      <c r="F6" s="603">
        <v>1950</v>
      </c>
      <c r="G6" s="617" t="s">
        <v>128</v>
      </c>
      <c r="H6" s="620" t="s">
        <v>150</v>
      </c>
      <c r="I6" s="621">
        <v>77</v>
      </c>
      <c r="J6" s="621">
        <v>0.5</v>
      </c>
      <c r="K6" s="603">
        <f t="shared" ref="K6:K68" si="0">HOUR(M6)</f>
        <v>18</v>
      </c>
      <c r="L6" s="604">
        <v>0.77083333333333337</v>
      </c>
      <c r="M6" s="605">
        <f t="shared" ref="M6:M68" si="1">+L6</f>
        <v>0.77083333333333337</v>
      </c>
      <c r="N6" s="663"/>
      <c r="P6" s="37" t="str">
        <f t="shared" ref="P6:P69" si="2">CONCATENATE(F6,H6)</f>
        <v>1950F1</v>
      </c>
      <c r="Q6" s="37" t="str">
        <f t="shared" ref="Q6:Q69" si="3">CONCATENATE(H6,K6)</f>
        <v>F118</v>
      </c>
      <c r="R6" s="37" t="str">
        <f t="shared" ref="R6:R69" si="4">CONCATENATE(D6,H6)</f>
        <v>MayF1</v>
      </c>
    </row>
    <row r="7" spans="1:18">
      <c r="A7" s="616">
        <f t="shared" ref="A7:A70" si="5">+A6+1</f>
        <v>3</v>
      </c>
      <c r="B7" s="617">
        <v>3</v>
      </c>
      <c r="C7" s="618">
        <v>18433</v>
      </c>
      <c r="D7" s="618" t="s">
        <v>178</v>
      </c>
      <c r="E7" s="619">
        <v>19</v>
      </c>
      <c r="F7" s="603">
        <v>1950</v>
      </c>
      <c r="G7" s="617" t="s">
        <v>134</v>
      </c>
      <c r="H7" s="620" t="s">
        <v>149</v>
      </c>
      <c r="I7" s="621">
        <v>167</v>
      </c>
      <c r="J7" s="621">
        <v>15.8</v>
      </c>
      <c r="K7" s="603">
        <f t="shared" si="0"/>
        <v>20</v>
      </c>
      <c r="L7" s="604">
        <v>0.86111111111111116</v>
      </c>
      <c r="M7" s="605">
        <f t="shared" si="1"/>
        <v>0.86111111111111116</v>
      </c>
      <c r="N7" s="663"/>
      <c r="P7" s="37" t="str">
        <f t="shared" si="2"/>
        <v>1950F0</v>
      </c>
      <c r="Q7" s="37" t="str">
        <f t="shared" si="3"/>
        <v>F020</v>
      </c>
      <c r="R7" s="37" t="str">
        <f t="shared" si="4"/>
        <v>JuneF0</v>
      </c>
    </row>
    <row r="8" spans="1:18">
      <c r="A8" s="616">
        <f t="shared" si="5"/>
        <v>4</v>
      </c>
      <c r="B8" s="617">
        <v>4</v>
      </c>
      <c r="C8" s="618">
        <v>18537</v>
      </c>
      <c r="D8" s="618" t="s">
        <v>182</v>
      </c>
      <c r="E8" s="619">
        <v>1</v>
      </c>
      <c r="F8" s="603">
        <v>1950</v>
      </c>
      <c r="G8" s="617" t="s">
        <v>126</v>
      </c>
      <c r="H8" s="620" t="s">
        <v>150</v>
      </c>
      <c r="I8" s="621">
        <v>33</v>
      </c>
      <c r="J8" s="621">
        <v>15.8</v>
      </c>
      <c r="K8" s="603">
        <f t="shared" si="0"/>
        <v>21</v>
      </c>
      <c r="L8" s="604">
        <v>0.875</v>
      </c>
      <c r="M8" s="605">
        <f t="shared" si="1"/>
        <v>0.875</v>
      </c>
      <c r="N8" s="663"/>
      <c r="P8" s="37" t="str">
        <f t="shared" si="2"/>
        <v>1950F1</v>
      </c>
      <c r="Q8" s="37" t="str">
        <f t="shared" si="3"/>
        <v>F121</v>
      </c>
      <c r="R8" s="37" t="str">
        <f t="shared" si="4"/>
        <v>OctoberF1</v>
      </c>
    </row>
    <row r="9" spans="1:18">
      <c r="A9" s="616">
        <f t="shared" si="5"/>
        <v>5</v>
      </c>
      <c r="B9" s="617">
        <v>1</v>
      </c>
      <c r="C9" s="618">
        <v>18744</v>
      </c>
      <c r="D9" s="618" t="s">
        <v>176</v>
      </c>
      <c r="E9" s="619">
        <v>26</v>
      </c>
      <c r="F9" s="603">
        <v>1951</v>
      </c>
      <c r="G9" s="617" t="s">
        <v>128</v>
      </c>
      <c r="H9" s="620" t="s">
        <v>150</v>
      </c>
      <c r="I9" s="621">
        <v>10</v>
      </c>
      <c r="J9" s="621">
        <v>0.1</v>
      </c>
      <c r="K9" s="603">
        <f t="shared" si="0"/>
        <v>19</v>
      </c>
      <c r="L9" s="604">
        <v>0.80208333333333337</v>
      </c>
      <c r="M9" s="605">
        <f t="shared" si="1"/>
        <v>0.80208333333333337</v>
      </c>
      <c r="N9" s="663"/>
      <c r="P9" s="37" t="str">
        <f t="shared" si="2"/>
        <v>1951F1</v>
      </c>
      <c r="Q9" s="37" t="str">
        <f t="shared" si="3"/>
        <v>F119</v>
      </c>
      <c r="R9" s="37" t="str">
        <f t="shared" si="4"/>
        <v>AprilF1</v>
      </c>
    </row>
    <row r="10" spans="1:18">
      <c r="A10" s="616">
        <f t="shared" si="5"/>
        <v>6</v>
      </c>
      <c r="B10" s="617">
        <v>2</v>
      </c>
      <c r="C10" s="618">
        <v>18762</v>
      </c>
      <c r="D10" s="618" t="s">
        <v>177</v>
      </c>
      <c r="E10" s="619">
        <v>14</v>
      </c>
      <c r="F10" s="603">
        <v>1951</v>
      </c>
      <c r="G10" s="617" t="s">
        <v>127</v>
      </c>
      <c r="H10" s="620" t="s">
        <v>151</v>
      </c>
      <c r="I10" s="621">
        <v>10</v>
      </c>
      <c r="J10" s="621">
        <v>0.1</v>
      </c>
      <c r="K10" s="603">
        <f t="shared" si="0"/>
        <v>18</v>
      </c>
      <c r="L10" s="604">
        <v>0.75</v>
      </c>
      <c r="M10" s="605">
        <f t="shared" si="1"/>
        <v>0.75</v>
      </c>
      <c r="N10" s="663"/>
      <c r="P10" s="37" t="str">
        <f t="shared" si="2"/>
        <v>1951F2</v>
      </c>
      <c r="Q10" s="37" t="str">
        <f t="shared" si="3"/>
        <v>F218</v>
      </c>
      <c r="R10" s="37" t="str">
        <f t="shared" si="4"/>
        <v>MayF2</v>
      </c>
    </row>
    <row r="11" spans="1:18">
      <c r="A11" s="616">
        <f t="shared" si="5"/>
        <v>7</v>
      </c>
      <c r="B11" s="617">
        <v>3</v>
      </c>
      <c r="C11" s="618">
        <v>18762</v>
      </c>
      <c r="D11" s="618" t="s">
        <v>177</v>
      </c>
      <c r="E11" s="619">
        <v>14</v>
      </c>
      <c r="F11" s="603">
        <v>1951</v>
      </c>
      <c r="G11" s="617" t="s">
        <v>127</v>
      </c>
      <c r="H11" s="620" t="s">
        <v>151</v>
      </c>
      <c r="I11" s="621">
        <v>10</v>
      </c>
      <c r="J11" s="621">
        <v>0.1</v>
      </c>
      <c r="K11" s="603">
        <f t="shared" si="0"/>
        <v>18</v>
      </c>
      <c r="L11" s="604">
        <v>0.75</v>
      </c>
      <c r="M11" s="605">
        <f t="shared" si="1"/>
        <v>0.75</v>
      </c>
      <c r="N11" s="663"/>
      <c r="P11" s="37" t="str">
        <f t="shared" si="2"/>
        <v>1951F2</v>
      </c>
      <c r="Q11" s="37" t="str">
        <f t="shared" si="3"/>
        <v>F218</v>
      </c>
      <c r="R11" s="37" t="str">
        <f t="shared" si="4"/>
        <v>MayF2</v>
      </c>
    </row>
    <row r="12" spans="1:18">
      <c r="A12" s="616">
        <f t="shared" si="5"/>
        <v>8</v>
      </c>
      <c r="B12" s="617">
        <v>4</v>
      </c>
      <c r="C12" s="618">
        <v>18779</v>
      </c>
      <c r="D12" s="618" t="s">
        <v>177</v>
      </c>
      <c r="E12" s="619">
        <v>31</v>
      </c>
      <c r="F12" s="603">
        <v>1951</v>
      </c>
      <c r="G12" s="617" t="s">
        <v>136</v>
      </c>
      <c r="H12" s="620" t="s">
        <v>150</v>
      </c>
      <c r="I12" s="621">
        <v>17</v>
      </c>
      <c r="J12" s="621">
        <v>0.5</v>
      </c>
      <c r="K12" s="603">
        <f t="shared" si="0"/>
        <v>16</v>
      </c>
      <c r="L12" s="604">
        <v>0.66666666666666663</v>
      </c>
      <c r="M12" s="605">
        <f t="shared" si="1"/>
        <v>0.66666666666666663</v>
      </c>
      <c r="N12" s="663"/>
      <c r="P12" s="37" t="str">
        <f t="shared" si="2"/>
        <v>1951F1</v>
      </c>
      <c r="Q12" s="37" t="str">
        <f t="shared" si="3"/>
        <v>F116</v>
      </c>
      <c r="R12" s="37" t="str">
        <f t="shared" si="4"/>
        <v>MayF1</v>
      </c>
    </row>
    <row r="13" spans="1:18">
      <c r="A13" s="616">
        <f t="shared" si="5"/>
        <v>9</v>
      </c>
      <c r="B13" s="617">
        <v>5</v>
      </c>
      <c r="C13" s="618">
        <v>18784</v>
      </c>
      <c r="D13" s="618" t="s">
        <v>178</v>
      </c>
      <c r="E13" s="619">
        <v>5</v>
      </c>
      <c r="F13" s="603">
        <v>1951</v>
      </c>
      <c r="G13" s="617" t="s">
        <v>127</v>
      </c>
      <c r="H13" s="620" t="s">
        <v>151</v>
      </c>
      <c r="I13" s="621">
        <v>10</v>
      </c>
      <c r="J13" s="621">
        <v>0.1</v>
      </c>
      <c r="K13" s="603">
        <f t="shared" si="0"/>
        <v>18</v>
      </c>
      <c r="L13" s="604">
        <v>0.75</v>
      </c>
      <c r="M13" s="605">
        <f t="shared" si="1"/>
        <v>0.75</v>
      </c>
      <c r="N13" s="663"/>
      <c r="P13" s="37" t="str">
        <f t="shared" si="2"/>
        <v>1951F2</v>
      </c>
      <c r="Q13" s="37" t="str">
        <f t="shared" si="3"/>
        <v>F218</v>
      </c>
      <c r="R13" s="37" t="str">
        <f t="shared" si="4"/>
        <v>JuneF2</v>
      </c>
    </row>
    <row r="14" spans="1:18">
      <c r="A14" s="616">
        <f t="shared" si="5"/>
        <v>10</v>
      </c>
      <c r="B14" s="617">
        <v>6</v>
      </c>
      <c r="C14" s="618">
        <v>18785</v>
      </c>
      <c r="D14" s="618" t="s">
        <v>178</v>
      </c>
      <c r="E14" s="619">
        <v>6</v>
      </c>
      <c r="F14" s="603">
        <v>1951</v>
      </c>
      <c r="G14" s="617" t="s">
        <v>140</v>
      </c>
      <c r="H14" s="620" t="s">
        <v>150</v>
      </c>
      <c r="I14" s="621">
        <v>10</v>
      </c>
      <c r="J14" s="621">
        <v>0.1</v>
      </c>
      <c r="K14" s="603">
        <f t="shared" si="0"/>
        <v>18</v>
      </c>
      <c r="L14" s="604">
        <v>0.76388888888888884</v>
      </c>
      <c r="M14" s="605">
        <f t="shared" si="1"/>
        <v>0.76388888888888884</v>
      </c>
      <c r="N14" s="663"/>
      <c r="P14" s="37" t="str">
        <f t="shared" si="2"/>
        <v>1951F1</v>
      </c>
      <c r="Q14" s="37" t="str">
        <f t="shared" si="3"/>
        <v>F118</v>
      </c>
      <c r="R14" s="37" t="str">
        <f t="shared" si="4"/>
        <v>JuneF1</v>
      </c>
    </row>
    <row r="15" spans="1:18">
      <c r="A15" s="616">
        <f t="shared" si="5"/>
        <v>11</v>
      </c>
      <c r="B15" s="617">
        <v>7</v>
      </c>
      <c r="C15" s="618">
        <v>18785</v>
      </c>
      <c r="D15" s="618" t="s">
        <v>178</v>
      </c>
      <c r="E15" s="619">
        <v>6</v>
      </c>
      <c r="F15" s="603">
        <v>1951</v>
      </c>
      <c r="G15" s="617" t="s">
        <v>141</v>
      </c>
      <c r="H15" s="620" t="s">
        <v>150</v>
      </c>
      <c r="I15" s="621">
        <v>10</v>
      </c>
      <c r="J15" s="621">
        <v>0.1</v>
      </c>
      <c r="K15" s="603">
        <f t="shared" si="0"/>
        <v>18</v>
      </c>
      <c r="L15" s="604">
        <v>0.78472222222222221</v>
      </c>
      <c r="M15" s="605">
        <f t="shared" si="1"/>
        <v>0.78472222222222221</v>
      </c>
      <c r="N15" s="663"/>
      <c r="P15" s="37" t="str">
        <f t="shared" si="2"/>
        <v>1951F1</v>
      </c>
      <c r="Q15" s="37" t="str">
        <f t="shared" si="3"/>
        <v>F118</v>
      </c>
      <c r="R15" s="37" t="str">
        <f t="shared" si="4"/>
        <v>JuneF1</v>
      </c>
    </row>
    <row r="16" spans="1:18">
      <c r="A16" s="616">
        <f t="shared" si="5"/>
        <v>12</v>
      </c>
      <c r="B16" s="617">
        <v>8</v>
      </c>
      <c r="C16" s="618">
        <v>18785</v>
      </c>
      <c r="D16" s="618" t="s">
        <v>178</v>
      </c>
      <c r="E16" s="619">
        <v>6</v>
      </c>
      <c r="F16" s="603">
        <v>1951</v>
      </c>
      <c r="G16" s="617" t="s">
        <v>141</v>
      </c>
      <c r="H16" s="620" t="s">
        <v>152</v>
      </c>
      <c r="I16" s="621">
        <v>100</v>
      </c>
      <c r="J16" s="621">
        <v>10.4</v>
      </c>
      <c r="K16" s="603">
        <f t="shared" si="0"/>
        <v>20</v>
      </c>
      <c r="L16" s="604">
        <v>0.83750000000000002</v>
      </c>
      <c r="M16" s="605">
        <f t="shared" si="1"/>
        <v>0.83750000000000002</v>
      </c>
      <c r="N16" s="663"/>
      <c r="P16" s="37" t="str">
        <f t="shared" si="2"/>
        <v>1951F3</v>
      </c>
      <c r="Q16" s="37" t="str">
        <f t="shared" si="3"/>
        <v>F320</v>
      </c>
      <c r="R16" s="37" t="str">
        <f t="shared" si="4"/>
        <v>JuneF3</v>
      </c>
    </row>
    <row r="17" spans="1:18">
      <c r="A17" s="616">
        <f t="shared" si="5"/>
        <v>13</v>
      </c>
      <c r="B17" s="617">
        <v>9</v>
      </c>
      <c r="C17" s="618">
        <v>18785</v>
      </c>
      <c r="D17" s="618" t="s">
        <v>178</v>
      </c>
      <c r="E17" s="619">
        <v>6</v>
      </c>
      <c r="F17" s="603">
        <v>1951</v>
      </c>
      <c r="G17" s="617" t="s">
        <v>142</v>
      </c>
      <c r="H17" s="620" t="s">
        <v>149</v>
      </c>
      <c r="I17" s="621">
        <v>10</v>
      </c>
      <c r="J17" s="621">
        <v>0.1</v>
      </c>
      <c r="K17" s="603">
        <f t="shared" si="0"/>
        <v>20</v>
      </c>
      <c r="L17" s="604">
        <v>0.86111111111111116</v>
      </c>
      <c r="M17" s="605">
        <f t="shared" si="1"/>
        <v>0.86111111111111116</v>
      </c>
      <c r="N17" s="663"/>
      <c r="P17" s="37" t="str">
        <f t="shared" si="2"/>
        <v>1951F0</v>
      </c>
      <c r="Q17" s="37" t="str">
        <f t="shared" si="3"/>
        <v>F020</v>
      </c>
      <c r="R17" s="37" t="str">
        <f t="shared" si="4"/>
        <v>JuneF0</v>
      </c>
    </row>
    <row r="18" spans="1:18">
      <c r="A18" s="616">
        <f t="shared" si="5"/>
        <v>14</v>
      </c>
      <c r="B18" s="617">
        <v>10</v>
      </c>
      <c r="C18" s="618">
        <v>18800</v>
      </c>
      <c r="D18" s="618" t="s">
        <v>178</v>
      </c>
      <c r="E18" s="619">
        <v>21</v>
      </c>
      <c r="F18" s="603">
        <v>1951</v>
      </c>
      <c r="G18" s="617" t="s">
        <v>126</v>
      </c>
      <c r="H18" s="620" t="s">
        <v>150</v>
      </c>
      <c r="I18" s="621">
        <v>33</v>
      </c>
      <c r="J18" s="621">
        <v>4.3</v>
      </c>
      <c r="K18" s="603">
        <f t="shared" si="0"/>
        <v>17</v>
      </c>
      <c r="L18" s="604">
        <v>0.70833333333333337</v>
      </c>
      <c r="M18" s="605">
        <f t="shared" si="1"/>
        <v>0.70833333333333337</v>
      </c>
      <c r="N18" s="663"/>
      <c r="P18" s="37" t="str">
        <f t="shared" si="2"/>
        <v>1951F1</v>
      </c>
      <c r="Q18" s="37" t="str">
        <f t="shared" si="3"/>
        <v>F117</v>
      </c>
      <c r="R18" s="37" t="str">
        <f t="shared" si="4"/>
        <v>JuneF1</v>
      </c>
    </row>
    <row r="19" spans="1:18">
      <c r="A19" s="616">
        <f t="shared" si="5"/>
        <v>15</v>
      </c>
      <c r="B19" s="617">
        <v>1</v>
      </c>
      <c r="C19" s="618">
        <v>19191</v>
      </c>
      <c r="D19" s="618" t="s">
        <v>179</v>
      </c>
      <c r="E19" s="619">
        <v>16</v>
      </c>
      <c r="F19" s="603">
        <v>1952</v>
      </c>
      <c r="G19" s="617" t="s">
        <v>128</v>
      </c>
      <c r="H19" s="620" t="s">
        <v>150</v>
      </c>
      <c r="I19" s="621">
        <v>30</v>
      </c>
      <c r="J19" s="621">
        <v>0.1</v>
      </c>
      <c r="K19" s="603">
        <f t="shared" si="0"/>
        <v>17</v>
      </c>
      <c r="L19" s="604">
        <v>0.72916666666666663</v>
      </c>
      <c r="M19" s="605">
        <f t="shared" si="1"/>
        <v>0.72916666666666663</v>
      </c>
      <c r="N19" s="663"/>
      <c r="P19" s="37" t="str">
        <f t="shared" si="2"/>
        <v>1952F1</v>
      </c>
      <c r="Q19" s="37" t="str">
        <f t="shared" si="3"/>
        <v>F117</v>
      </c>
      <c r="R19" s="37" t="str">
        <f t="shared" si="4"/>
        <v>JulyF1</v>
      </c>
    </row>
    <row r="20" spans="1:18">
      <c r="A20" s="616">
        <f t="shared" si="5"/>
        <v>16</v>
      </c>
      <c r="B20" s="617">
        <v>1</v>
      </c>
      <c r="C20" s="618">
        <v>19515</v>
      </c>
      <c r="D20" s="618" t="s">
        <v>178</v>
      </c>
      <c r="E20" s="619">
        <v>5</v>
      </c>
      <c r="F20" s="603">
        <v>1953</v>
      </c>
      <c r="G20" s="617" t="s">
        <v>148</v>
      </c>
      <c r="H20" s="620" t="s">
        <v>149</v>
      </c>
      <c r="I20" s="621">
        <v>10</v>
      </c>
      <c r="J20" s="621">
        <v>0.1</v>
      </c>
      <c r="K20" s="603">
        <f t="shared" si="0"/>
        <v>13</v>
      </c>
      <c r="L20" s="604">
        <v>0.5625</v>
      </c>
      <c r="M20" s="605">
        <f t="shared" si="1"/>
        <v>0.5625</v>
      </c>
      <c r="N20" s="663"/>
      <c r="P20" s="37" t="str">
        <f t="shared" si="2"/>
        <v>1953F0</v>
      </c>
      <c r="Q20" s="37" t="str">
        <f t="shared" si="3"/>
        <v>F013</v>
      </c>
      <c r="R20" s="37" t="str">
        <f t="shared" si="4"/>
        <v>JuneF0</v>
      </c>
    </row>
    <row r="21" spans="1:18">
      <c r="A21" s="616">
        <f t="shared" si="5"/>
        <v>17</v>
      </c>
      <c r="B21" s="617">
        <v>2</v>
      </c>
      <c r="C21" s="618">
        <v>19532</v>
      </c>
      <c r="D21" s="618" t="s">
        <v>178</v>
      </c>
      <c r="E21" s="619">
        <v>22</v>
      </c>
      <c r="F21" s="603">
        <v>1953</v>
      </c>
      <c r="G21" s="617" t="s">
        <v>128</v>
      </c>
      <c r="H21" s="620" t="s">
        <v>150</v>
      </c>
      <c r="I21" s="621">
        <v>300</v>
      </c>
      <c r="J21" s="621">
        <v>1</v>
      </c>
      <c r="K21" s="603">
        <f t="shared" si="0"/>
        <v>22</v>
      </c>
      <c r="L21" s="604">
        <v>0.91666666666666663</v>
      </c>
      <c r="M21" s="605">
        <f t="shared" si="1"/>
        <v>0.91666666666666663</v>
      </c>
      <c r="N21" s="663"/>
      <c r="P21" s="37" t="str">
        <f t="shared" si="2"/>
        <v>1953F1</v>
      </c>
      <c r="Q21" s="37" t="str">
        <f t="shared" si="3"/>
        <v>F122</v>
      </c>
      <c r="R21" s="37" t="str">
        <f t="shared" si="4"/>
        <v>JuneF1</v>
      </c>
    </row>
    <row r="22" spans="1:18">
      <c r="A22" s="616">
        <f t="shared" si="5"/>
        <v>18</v>
      </c>
      <c r="B22" s="617">
        <v>1</v>
      </c>
      <c r="C22" s="618">
        <v>19866</v>
      </c>
      <c r="D22" s="618" t="s">
        <v>177</v>
      </c>
      <c r="E22" s="619">
        <v>22</v>
      </c>
      <c r="F22" s="603">
        <v>1954</v>
      </c>
      <c r="G22" s="617" t="s">
        <v>138</v>
      </c>
      <c r="H22" s="620" t="s">
        <v>150</v>
      </c>
      <c r="I22" s="621">
        <v>10</v>
      </c>
      <c r="J22" s="621">
        <v>0.1</v>
      </c>
      <c r="K22" s="603">
        <f t="shared" si="0"/>
        <v>21</v>
      </c>
      <c r="L22" s="604">
        <v>0.875</v>
      </c>
      <c r="M22" s="605">
        <f t="shared" si="1"/>
        <v>0.875</v>
      </c>
      <c r="N22" s="663"/>
      <c r="P22" s="37" t="str">
        <f t="shared" si="2"/>
        <v>1954F1</v>
      </c>
      <c r="Q22" s="37" t="str">
        <f t="shared" si="3"/>
        <v>F121</v>
      </c>
      <c r="R22" s="37" t="str">
        <f t="shared" si="4"/>
        <v>MayF1</v>
      </c>
    </row>
    <row r="23" spans="1:18">
      <c r="A23" s="616">
        <f t="shared" si="5"/>
        <v>19</v>
      </c>
      <c r="B23" s="617">
        <v>2</v>
      </c>
      <c r="C23" s="618">
        <v>19888</v>
      </c>
      <c r="D23" s="618" t="s">
        <v>178</v>
      </c>
      <c r="E23" s="619">
        <v>13</v>
      </c>
      <c r="F23" s="603">
        <v>1954</v>
      </c>
      <c r="G23" s="617" t="s">
        <v>136</v>
      </c>
      <c r="H23" s="620" t="s">
        <v>149</v>
      </c>
      <c r="I23" s="621">
        <v>10</v>
      </c>
      <c r="J23" s="621">
        <v>0.1</v>
      </c>
      <c r="K23" s="603">
        <f t="shared" si="0"/>
        <v>17</v>
      </c>
      <c r="L23" s="604">
        <v>0.71875</v>
      </c>
      <c r="M23" s="605">
        <f t="shared" si="1"/>
        <v>0.71875</v>
      </c>
      <c r="N23" s="663"/>
      <c r="P23" s="37" t="str">
        <f t="shared" si="2"/>
        <v>1954F0</v>
      </c>
      <c r="Q23" s="37" t="str">
        <f t="shared" si="3"/>
        <v>F017</v>
      </c>
      <c r="R23" s="37" t="str">
        <f t="shared" si="4"/>
        <v>JuneF0</v>
      </c>
    </row>
    <row r="24" spans="1:18">
      <c r="A24" s="616">
        <f t="shared" si="5"/>
        <v>20</v>
      </c>
      <c r="B24" s="617">
        <v>1</v>
      </c>
      <c r="C24" s="618">
        <v>20197</v>
      </c>
      <c r="D24" s="618" t="s">
        <v>176</v>
      </c>
      <c r="E24" s="619">
        <v>18</v>
      </c>
      <c r="F24" s="603">
        <v>1955</v>
      </c>
      <c r="G24" s="617" t="s">
        <v>143</v>
      </c>
      <c r="H24" s="620" t="s">
        <v>152</v>
      </c>
      <c r="I24" s="621">
        <v>100</v>
      </c>
      <c r="J24" s="621">
        <v>8.9</v>
      </c>
      <c r="K24" s="603">
        <f t="shared" si="0"/>
        <v>18</v>
      </c>
      <c r="L24" s="604">
        <v>0.78125</v>
      </c>
      <c r="M24" s="605">
        <f t="shared" si="1"/>
        <v>0.78125</v>
      </c>
      <c r="N24" s="663"/>
      <c r="P24" s="37" t="str">
        <f t="shared" si="2"/>
        <v>1955F3</v>
      </c>
      <c r="Q24" s="37" t="str">
        <f t="shared" si="3"/>
        <v>F318</v>
      </c>
      <c r="R24" s="37" t="str">
        <f t="shared" si="4"/>
        <v>AprilF3</v>
      </c>
    </row>
    <row r="25" spans="1:18">
      <c r="A25" s="616">
        <f t="shared" si="5"/>
        <v>21</v>
      </c>
      <c r="B25" s="617">
        <v>2</v>
      </c>
      <c r="C25" s="618">
        <v>20231</v>
      </c>
      <c r="D25" s="618" t="s">
        <v>177</v>
      </c>
      <c r="E25" s="619">
        <v>22</v>
      </c>
      <c r="F25" s="603">
        <v>1955</v>
      </c>
      <c r="G25" s="617" t="s">
        <v>136</v>
      </c>
      <c r="H25" s="620" t="s">
        <v>149</v>
      </c>
      <c r="I25" s="621">
        <v>33</v>
      </c>
      <c r="J25" s="621">
        <v>1.5</v>
      </c>
      <c r="K25" s="603">
        <f t="shared" si="0"/>
        <v>20</v>
      </c>
      <c r="L25" s="604">
        <v>0.84722222222222221</v>
      </c>
      <c r="M25" s="605">
        <f t="shared" si="1"/>
        <v>0.84722222222222221</v>
      </c>
      <c r="N25" s="663"/>
      <c r="P25" s="37" t="str">
        <f t="shared" si="2"/>
        <v>1955F0</v>
      </c>
      <c r="Q25" s="37" t="str">
        <f t="shared" si="3"/>
        <v>F020</v>
      </c>
      <c r="R25" s="37" t="str">
        <f t="shared" si="4"/>
        <v>MayF0</v>
      </c>
    </row>
    <row r="26" spans="1:18">
      <c r="A26" s="616">
        <f t="shared" si="5"/>
        <v>22</v>
      </c>
      <c r="B26" s="617">
        <v>3</v>
      </c>
      <c r="C26" s="618">
        <v>20231</v>
      </c>
      <c r="D26" s="618" t="s">
        <v>177</v>
      </c>
      <c r="E26" s="619">
        <v>22</v>
      </c>
      <c r="F26" s="603">
        <v>1955</v>
      </c>
      <c r="G26" s="617" t="s">
        <v>128</v>
      </c>
      <c r="H26" s="620" t="s">
        <v>149</v>
      </c>
      <c r="I26" s="621">
        <v>10</v>
      </c>
      <c r="J26" s="621">
        <v>0.1</v>
      </c>
      <c r="K26" s="603">
        <f t="shared" si="0"/>
        <v>21</v>
      </c>
      <c r="L26" s="604">
        <v>0.875</v>
      </c>
      <c r="M26" s="605">
        <f t="shared" si="1"/>
        <v>0.875</v>
      </c>
      <c r="N26" s="663"/>
      <c r="P26" s="37" t="str">
        <f t="shared" si="2"/>
        <v>1955F0</v>
      </c>
      <c r="Q26" s="37" t="str">
        <f t="shared" si="3"/>
        <v>F021</v>
      </c>
      <c r="R26" s="37" t="str">
        <f t="shared" si="4"/>
        <v>MayF0</v>
      </c>
    </row>
    <row r="27" spans="1:18">
      <c r="A27" s="616">
        <f t="shared" si="5"/>
        <v>23</v>
      </c>
      <c r="B27" s="617">
        <v>4</v>
      </c>
      <c r="C27" s="618">
        <v>20234</v>
      </c>
      <c r="D27" s="618" t="s">
        <v>177</v>
      </c>
      <c r="E27" s="619">
        <v>25</v>
      </c>
      <c r="F27" s="603">
        <v>1955</v>
      </c>
      <c r="G27" s="617" t="s">
        <v>148</v>
      </c>
      <c r="H27" s="620" t="s">
        <v>153</v>
      </c>
      <c r="I27" s="621">
        <v>1100</v>
      </c>
      <c r="J27" s="621">
        <v>34.5</v>
      </c>
      <c r="K27" s="603">
        <f t="shared" si="0"/>
        <v>15</v>
      </c>
      <c r="L27" s="604">
        <v>0.63680555555555551</v>
      </c>
      <c r="M27" s="605">
        <f t="shared" si="1"/>
        <v>0.63680555555555551</v>
      </c>
      <c r="N27" s="663">
        <v>0.64930555555555558</v>
      </c>
      <c r="P27" s="37" t="str">
        <f t="shared" si="2"/>
        <v>1955F4</v>
      </c>
      <c r="Q27" s="37" t="str">
        <f t="shared" si="3"/>
        <v>F415</v>
      </c>
      <c r="R27" s="37" t="str">
        <f t="shared" si="4"/>
        <v>MayF4</v>
      </c>
    </row>
    <row r="28" spans="1:18">
      <c r="A28" s="616">
        <f t="shared" si="5"/>
        <v>24</v>
      </c>
      <c r="B28" s="623">
        <v>5</v>
      </c>
      <c r="C28" s="624">
        <v>20243</v>
      </c>
      <c r="D28" s="624" t="s">
        <v>178</v>
      </c>
      <c r="E28" s="625">
        <v>3</v>
      </c>
      <c r="F28" s="626">
        <v>1955</v>
      </c>
      <c r="G28" s="623" t="s">
        <v>138</v>
      </c>
      <c r="H28" s="627" t="s">
        <v>149</v>
      </c>
      <c r="I28" s="628">
        <v>33</v>
      </c>
      <c r="J28" s="628">
        <v>5.7</v>
      </c>
      <c r="K28" s="629">
        <f t="shared" si="0"/>
        <v>17</v>
      </c>
      <c r="L28" s="630">
        <v>0.72222222222222221</v>
      </c>
      <c r="M28" s="605">
        <f t="shared" si="1"/>
        <v>0.72222222222222221</v>
      </c>
      <c r="N28" s="663"/>
      <c r="P28" s="37" t="str">
        <f t="shared" si="2"/>
        <v>1955F0</v>
      </c>
      <c r="Q28" s="37" t="str">
        <f t="shared" si="3"/>
        <v>F017</v>
      </c>
      <c r="R28" s="37" t="str">
        <f t="shared" si="4"/>
        <v>JuneF0</v>
      </c>
    </row>
    <row r="29" spans="1:18">
      <c r="A29" s="616">
        <f t="shared" si="5"/>
        <v>25</v>
      </c>
      <c r="B29" s="617">
        <v>6</v>
      </c>
      <c r="C29" s="618">
        <v>20256</v>
      </c>
      <c r="D29" s="618" t="s">
        <v>178</v>
      </c>
      <c r="E29" s="619">
        <v>16</v>
      </c>
      <c r="F29" s="603">
        <v>1955</v>
      </c>
      <c r="G29" s="617" t="s">
        <v>146</v>
      </c>
      <c r="H29" s="620" t="s">
        <v>149</v>
      </c>
      <c r="I29" s="621">
        <v>17</v>
      </c>
      <c r="J29" s="621">
        <v>2</v>
      </c>
      <c r="K29" s="603">
        <f t="shared" si="0"/>
        <v>15</v>
      </c>
      <c r="L29" s="604">
        <v>0.64583333333333337</v>
      </c>
      <c r="M29" s="605">
        <f t="shared" si="1"/>
        <v>0.64583333333333337</v>
      </c>
      <c r="N29" s="663"/>
      <c r="P29" s="37" t="str">
        <f t="shared" si="2"/>
        <v>1955F0</v>
      </c>
      <c r="Q29" s="37" t="str">
        <f t="shared" si="3"/>
        <v>F015</v>
      </c>
      <c r="R29" s="37" t="str">
        <f t="shared" si="4"/>
        <v>JuneF0</v>
      </c>
    </row>
    <row r="30" spans="1:18">
      <c r="A30" s="616">
        <f t="shared" si="5"/>
        <v>26</v>
      </c>
      <c r="B30" s="617">
        <v>7</v>
      </c>
      <c r="C30" s="618">
        <v>20256</v>
      </c>
      <c r="D30" s="618" t="s">
        <v>178</v>
      </c>
      <c r="E30" s="619">
        <v>16</v>
      </c>
      <c r="F30" s="603">
        <v>1955</v>
      </c>
      <c r="G30" s="617" t="s">
        <v>146</v>
      </c>
      <c r="H30" s="620" t="s">
        <v>149</v>
      </c>
      <c r="I30" s="621">
        <v>17</v>
      </c>
      <c r="J30" s="621">
        <v>2</v>
      </c>
      <c r="K30" s="603">
        <f t="shared" si="0"/>
        <v>15</v>
      </c>
      <c r="L30" s="604">
        <v>0.64583333333333337</v>
      </c>
      <c r="M30" s="605">
        <f t="shared" si="1"/>
        <v>0.64583333333333337</v>
      </c>
      <c r="N30" s="663"/>
      <c r="P30" s="37" t="str">
        <f t="shared" si="2"/>
        <v>1955F0</v>
      </c>
      <c r="Q30" s="37" t="str">
        <f t="shared" si="3"/>
        <v>F015</v>
      </c>
      <c r="R30" s="37" t="str">
        <f t="shared" si="4"/>
        <v>JuneF0</v>
      </c>
    </row>
    <row r="31" spans="1:18">
      <c r="A31" s="616">
        <f t="shared" si="5"/>
        <v>27</v>
      </c>
      <c r="B31" s="617">
        <v>8</v>
      </c>
      <c r="C31" s="618">
        <v>20256</v>
      </c>
      <c r="D31" s="618" t="s">
        <v>178</v>
      </c>
      <c r="E31" s="619">
        <v>16</v>
      </c>
      <c r="F31" s="603">
        <v>1955</v>
      </c>
      <c r="G31" s="617" t="s">
        <v>141</v>
      </c>
      <c r="H31" s="620" t="s">
        <v>150</v>
      </c>
      <c r="I31" s="621">
        <v>17</v>
      </c>
      <c r="J31" s="621">
        <v>1</v>
      </c>
      <c r="K31" s="603">
        <f t="shared" si="0"/>
        <v>15</v>
      </c>
      <c r="L31" s="604">
        <v>0.64583333333333337</v>
      </c>
      <c r="M31" s="605">
        <f t="shared" si="1"/>
        <v>0.64583333333333337</v>
      </c>
      <c r="N31" s="663"/>
      <c r="P31" s="37" t="str">
        <f t="shared" si="2"/>
        <v>1955F1</v>
      </c>
      <c r="Q31" s="37" t="str">
        <f t="shared" si="3"/>
        <v>F115</v>
      </c>
      <c r="R31" s="37" t="str">
        <f t="shared" si="4"/>
        <v>JuneF1</v>
      </c>
    </row>
    <row r="32" spans="1:18">
      <c r="A32" s="616">
        <f t="shared" si="5"/>
        <v>28</v>
      </c>
      <c r="B32" s="617">
        <v>9</v>
      </c>
      <c r="C32" s="618">
        <v>20256</v>
      </c>
      <c r="D32" s="618" t="s">
        <v>178</v>
      </c>
      <c r="E32" s="619">
        <v>16</v>
      </c>
      <c r="F32" s="603">
        <v>1955</v>
      </c>
      <c r="G32" s="617" t="s">
        <v>140</v>
      </c>
      <c r="H32" s="620" t="s">
        <v>149</v>
      </c>
      <c r="I32" s="621">
        <v>67</v>
      </c>
      <c r="J32" s="621">
        <v>0.3</v>
      </c>
      <c r="K32" s="603">
        <f t="shared" si="0"/>
        <v>15</v>
      </c>
      <c r="L32" s="604">
        <v>0.64583333333333337</v>
      </c>
      <c r="M32" s="605">
        <f t="shared" si="1"/>
        <v>0.64583333333333337</v>
      </c>
      <c r="N32" s="663"/>
      <c r="P32" s="37" t="str">
        <f t="shared" si="2"/>
        <v>1955F0</v>
      </c>
      <c r="Q32" s="37" t="str">
        <f t="shared" si="3"/>
        <v>F015</v>
      </c>
      <c r="R32" s="37" t="str">
        <f t="shared" si="4"/>
        <v>JuneF0</v>
      </c>
    </row>
    <row r="33" spans="1:18">
      <c r="A33" s="616">
        <f t="shared" si="5"/>
        <v>29</v>
      </c>
      <c r="B33" s="617">
        <v>10</v>
      </c>
      <c r="C33" s="618">
        <v>20256</v>
      </c>
      <c r="D33" s="618" t="s">
        <v>178</v>
      </c>
      <c r="E33" s="619">
        <v>16</v>
      </c>
      <c r="F33" s="603">
        <v>1955</v>
      </c>
      <c r="G33" s="617" t="s">
        <v>141</v>
      </c>
      <c r="H33" s="620" t="s">
        <v>149</v>
      </c>
      <c r="I33" s="621">
        <v>33</v>
      </c>
      <c r="J33" s="621">
        <v>0.3</v>
      </c>
      <c r="K33" s="603">
        <f t="shared" si="0"/>
        <v>16</v>
      </c>
      <c r="L33" s="604">
        <v>0.67152777777777783</v>
      </c>
      <c r="M33" s="605">
        <f t="shared" si="1"/>
        <v>0.67152777777777783</v>
      </c>
      <c r="N33" s="663"/>
      <c r="P33" s="37" t="str">
        <f t="shared" si="2"/>
        <v>1955F0</v>
      </c>
      <c r="Q33" s="37" t="str">
        <f t="shared" si="3"/>
        <v>F016</v>
      </c>
      <c r="R33" s="37" t="str">
        <f t="shared" si="4"/>
        <v>JuneF0</v>
      </c>
    </row>
    <row r="34" spans="1:18">
      <c r="A34" s="616">
        <f t="shared" si="5"/>
        <v>30</v>
      </c>
      <c r="B34" s="617">
        <v>11</v>
      </c>
      <c r="C34" s="618">
        <v>20256</v>
      </c>
      <c r="D34" s="618" t="s">
        <v>178</v>
      </c>
      <c r="E34" s="619">
        <v>16</v>
      </c>
      <c r="F34" s="603">
        <v>1955</v>
      </c>
      <c r="G34" s="617" t="s">
        <v>138</v>
      </c>
      <c r="H34" s="620" t="s">
        <v>150</v>
      </c>
      <c r="I34" s="621">
        <v>1320</v>
      </c>
      <c r="J34" s="621">
        <v>3.8</v>
      </c>
      <c r="K34" s="603">
        <f t="shared" si="0"/>
        <v>17</v>
      </c>
      <c r="L34" s="604">
        <v>0.70833333333333337</v>
      </c>
      <c r="M34" s="605">
        <f t="shared" si="1"/>
        <v>0.70833333333333337</v>
      </c>
      <c r="N34" s="663"/>
      <c r="P34" s="37" t="str">
        <f t="shared" si="2"/>
        <v>1955F1</v>
      </c>
      <c r="Q34" s="37" t="str">
        <f t="shared" si="3"/>
        <v>F117</v>
      </c>
      <c r="R34" s="37" t="str">
        <f t="shared" si="4"/>
        <v>JuneF1</v>
      </c>
    </row>
    <row r="35" spans="1:18">
      <c r="A35" s="616">
        <f t="shared" si="5"/>
        <v>31</v>
      </c>
      <c r="B35" s="617">
        <v>12</v>
      </c>
      <c r="C35" s="618">
        <v>20256</v>
      </c>
      <c r="D35" s="618" t="s">
        <v>178</v>
      </c>
      <c r="E35" s="619">
        <v>16</v>
      </c>
      <c r="F35" s="603">
        <v>1955</v>
      </c>
      <c r="G35" s="617" t="s">
        <v>147</v>
      </c>
      <c r="H35" s="620" t="s">
        <v>149</v>
      </c>
      <c r="I35" s="621">
        <v>3</v>
      </c>
      <c r="J35" s="621">
        <v>0.1</v>
      </c>
      <c r="K35" s="603">
        <f t="shared" si="0"/>
        <v>18</v>
      </c>
      <c r="L35" s="604">
        <v>0.77083333333333337</v>
      </c>
      <c r="M35" s="605">
        <f t="shared" si="1"/>
        <v>0.77083333333333337</v>
      </c>
      <c r="N35" s="663"/>
      <c r="P35" s="37" t="str">
        <f t="shared" si="2"/>
        <v>1955F0</v>
      </c>
      <c r="Q35" s="37" t="str">
        <f t="shared" si="3"/>
        <v>F018</v>
      </c>
      <c r="R35" s="37" t="str">
        <f t="shared" si="4"/>
        <v>JuneF0</v>
      </c>
    </row>
    <row r="36" spans="1:18">
      <c r="A36" s="616">
        <f t="shared" si="5"/>
        <v>32</v>
      </c>
      <c r="B36" s="617">
        <v>13</v>
      </c>
      <c r="C36" s="618">
        <v>20256</v>
      </c>
      <c r="D36" s="618" t="s">
        <v>178</v>
      </c>
      <c r="E36" s="619">
        <v>16</v>
      </c>
      <c r="F36" s="603">
        <v>1955</v>
      </c>
      <c r="G36" s="617" t="s">
        <v>147</v>
      </c>
      <c r="H36" s="620" t="s">
        <v>151</v>
      </c>
      <c r="I36" s="621">
        <v>20</v>
      </c>
      <c r="J36" s="621">
        <v>1</v>
      </c>
      <c r="K36" s="603">
        <f t="shared" si="0"/>
        <v>18</v>
      </c>
      <c r="L36" s="604">
        <v>0.77083333333333337</v>
      </c>
      <c r="M36" s="605">
        <f t="shared" si="1"/>
        <v>0.77083333333333337</v>
      </c>
      <c r="N36" s="663"/>
      <c r="P36" s="37" t="str">
        <f t="shared" si="2"/>
        <v>1955F2</v>
      </c>
      <c r="Q36" s="37" t="str">
        <f t="shared" si="3"/>
        <v>F218</v>
      </c>
      <c r="R36" s="37" t="str">
        <f t="shared" si="4"/>
        <v>JuneF2</v>
      </c>
    </row>
    <row r="37" spans="1:18">
      <c r="A37" s="616">
        <f t="shared" si="5"/>
        <v>33</v>
      </c>
      <c r="B37" s="617">
        <v>14</v>
      </c>
      <c r="C37" s="618">
        <v>20257</v>
      </c>
      <c r="D37" s="618" t="s">
        <v>178</v>
      </c>
      <c r="E37" s="619">
        <v>17</v>
      </c>
      <c r="F37" s="603">
        <v>1955</v>
      </c>
      <c r="G37" s="617" t="s">
        <v>148</v>
      </c>
      <c r="H37" s="620" t="s">
        <v>152</v>
      </c>
      <c r="I37" s="621">
        <v>67</v>
      </c>
      <c r="J37" s="621">
        <v>16.2</v>
      </c>
      <c r="K37" s="603">
        <f t="shared" si="0"/>
        <v>19</v>
      </c>
      <c r="L37" s="604">
        <v>0.79861111111111116</v>
      </c>
      <c r="M37" s="605">
        <f t="shared" si="1"/>
        <v>0.79861111111111116</v>
      </c>
      <c r="N37" s="663"/>
      <c r="P37" s="37" t="str">
        <f t="shared" si="2"/>
        <v>1955F3</v>
      </c>
      <c r="Q37" s="37" t="str">
        <f t="shared" si="3"/>
        <v>F319</v>
      </c>
      <c r="R37" s="37" t="str">
        <f t="shared" si="4"/>
        <v>JuneF3</v>
      </c>
    </row>
    <row r="38" spans="1:18">
      <c r="A38" s="616">
        <f t="shared" si="5"/>
        <v>34</v>
      </c>
      <c r="B38" s="617">
        <v>15</v>
      </c>
      <c r="C38" s="618">
        <v>20258</v>
      </c>
      <c r="D38" s="618" t="s">
        <v>178</v>
      </c>
      <c r="E38" s="619">
        <v>18</v>
      </c>
      <c r="F38" s="603">
        <v>1955</v>
      </c>
      <c r="G38" s="617" t="s">
        <v>130</v>
      </c>
      <c r="H38" s="620" t="s">
        <v>149</v>
      </c>
      <c r="I38" s="621">
        <v>10</v>
      </c>
      <c r="J38" s="621">
        <v>0.1</v>
      </c>
      <c r="K38" s="603">
        <f t="shared" si="0"/>
        <v>20</v>
      </c>
      <c r="L38" s="604">
        <v>0.83333333333333337</v>
      </c>
      <c r="M38" s="605">
        <f t="shared" si="1"/>
        <v>0.83333333333333337</v>
      </c>
      <c r="N38" s="663"/>
      <c r="P38" s="37" t="str">
        <f t="shared" si="2"/>
        <v>1955F0</v>
      </c>
      <c r="Q38" s="37" t="str">
        <f t="shared" si="3"/>
        <v>F020</v>
      </c>
      <c r="R38" s="37" t="str">
        <f t="shared" si="4"/>
        <v>JuneF0</v>
      </c>
    </row>
    <row r="39" spans="1:18">
      <c r="A39" s="616">
        <f t="shared" si="5"/>
        <v>35</v>
      </c>
      <c r="B39" s="617">
        <v>16</v>
      </c>
      <c r="C39" s="618">
        <v>20258</v>
      </c>
      <c r="D39" s="618" t="s">
        <v>178</v>
      </c>
      <c r="E39" s="619">
        <v>18</v>
      </c>
      <c r="F39" s="603">
        <v>1955</v>
      </c>
      <c r="G39" s="617" t="s">
        <v>130</v>
      </c>
      <c r="H39" s="620" t="s">
        <v>149</v>
      </c>
      <c r="I39" s="621">
        <v>10</v>
      </c>
      <c r="J39" s="621">
        <v>0.1</v>
      </c>
      <c r="K39" s="603">
        <f t="shared" si="0"/>
        <v>20</v>
      </c>
      <c r="L39" s="604">
        <v>0.83333333333333337</v>
      </c>
      <c r="M39" s="605">
        <f t="shared" si="1"/>
        <v>0.83333333333333337</v>
      </c>
      <c r="N39" s="663"/>
      <c r="P39" s="37" t="str">
        <f t="shared" si="2"/>
        <v>1955F0</v>
      </c>
      <c r="Q39" s="37" t="str">
        <f t="shared" si="3"/>
        <v>F020</v>
      </c>
      <c r="R39" s="37" t="str">
        <f t="shared" si="4"/>
        <v>JuneF0</v>
      </c>
    </row>
    <row r="40" spans="1:18">
      <c r="A40" s="616">
        <f t="shared" si="5"/>
        <v>36</v>
      </c>
      <c r="B40" s="617">
        <v>17</v>
      </c>
      <c r="C40" s="618">
        <v>20258</v>
      </c>
      <c r="D40" s="618" t="s">
        <v>178</v>
      </c>
      <c r="E40" s="619">
        <v>18</v>
      </c>
      <c r="F40" s="603">
        <v>1955</v>
      </c>
      <c r="G40" s="617" t="s">
        <v>130</v>
      </c>
      <c r="H40" s="620" t="s">
        <v>149</v>
      </c>
      <c r="I40" s="621">
        <v>10</v>
      </c>
      <c r="J40" s="621">
        <v>0.1</v>
      </c>
      <c r="K40" s="603">
        <f t="shared" si="0"/>
        <v>20</v>
      </c>
      <c r="L40" s="604">
        <v>0.83333333333333337</v>
      </c>
      <c r="M40" s="605">
        <f t="shared" si="1"/>
        <v>0.83333333333333337</v>
      </c>
      <c r="N40" s="663"/>
      <c r="P40" s="37" t="str">
        <f t="shared" si="2"/>
        <v>1955F0</v>
      </c>
      <c r="Q40" s="37" t="str">
        <f t="shared" si="3"/>
        <v>F020</v>
      </c>
      <c r="R40" s="37" t="str">
        <f t="shared" si="4"/>
        <v>JuneF0</v>
      </c>
    </row>
    <row r="41" spans="1:18">
      <c r="A41" s="616">
        <f t="shared" si="5"/>
        <v>37</v>
      </c>
      <c r="B41" s="617">
        <v>18</v>
      </c>
      <c r="C41" s="618">
        <v>20259</v>
      </c>
      <c r="D41" s="618" t="s">
        <v>178</v>
      </c>
      <c r="E41" s="619">
        <v>19</v>
      </c>
      <c r="F41" s="603">
        <v>1955</v>
      </c>
      <c r="G41" s="617" t="s">
        <v>130</v>
      </c>
      <c r="H41" s="620" t="s">
        <v>149</v>
      </c>
      <c r="I41" s="621">
        <v>10</v>
      </c>
      <c r="J41" s="621">
        <v>0.1</v>
      </c>
      <c r="K41" s="603">
        <f t="shared" si="0"/>
        <v>17</v>
      </c>
      <c r="L41" s="604">
        <v>0.73263888888888884</v>
      </c>
      <c r="M41" s="605">
        <f t="shared" si="1"/>
        <v>0.73263888888888884</v>
      </c>
      <c r="N41" s="663"/>
      <c r="P41" s="37" t="str">
        <f t="shared" si="2"/>
        <v>1955F0</v>
      </c>
      <c r="Q41" s="37" t="str">
        <f t="shared" si="3"/>
        <v>F017</v>
      </c>
      <c r="R41" s="37" t="str">
        <f t="shared" si="4"/>
        <v>JuneF0</v>
      </c>
    </row>
    <row r="42" spans="1:18">
      <c r="A42" s="616">
        <f t="shared" si="5"/>
        <v>38</v>
      </c>
      <c r="B42" s="617">
        <v>1</v>
      </c>
      <c r="C42" s="618">
        <v>20629</v>
      </c>
      <c r="D42" s="618" t="s">
        <v>178</v>
      </c>
      <c r="E42" s="619">
        <v>23</v>
      </c>
      <c r="F42" s="603">
        <v>1956</v>
      </c>
      <c r="G42" s="617" t="s">
        <v>127</v>
      </c>
      <c r="H42" s="620" t="s">
        <v>150</v>
      </c>
      <c r="I42" s="621">
        <v>50</v>
      </c>
      <c r="J42" s="621">
        <v>2</v>
      </c>
      <c r="K42" s="603">
        <f t="shared" si="0"/>
        <v>20</v>
      </c>
      <c r="L42" s="604">
        <v>0.83333333333333337</v>
      </c>
      <c r="M42" s="605">
        <f t="shared" si="1"/>
        <v>0.83333333333333337</v>
      </c>
      <c r="N42" s="663"/>
      <c r="P42" s="37" t="str">
        <f t="shared" si="2"/>
        <v>1956F1</v>
      </c>
      <c r="Q42" s="37" t="str">
        <f t="shared" si="3"/>
        <v>F120</v>
      </c>
      <c r="R42" s="37" t="str">
        <f t="shared" si="4"/>
        <v>JuneF1</v>
      </c>
    </row>
    <row r="43" spans="1:18">
      <c r="A43" s="616">
        <f t="shared" si="5"/>
        <v>39</v>
      </c>
      <c r="B43" s="617">
        <v>2</v>
      </c>
      <c r="C43" s="618">
        <v>20640</v>
      </c>
      <c r="D43" s="618" t="s">
        <v>179</v>
      </c>
      <c r="E43" s="619">
        <v>4</v>
      </c>
      <c r="F43" s="603">
        <v>1956</v>
      </c>
      <c r="G43" s="617" t="s">
        <v>145</v>
      </c>
      <c r="H43" s="620" t="s">
        <v>149</v>
      </c>
      <c r="I43" s="621">
        <v>33</v>
      </c>
      <c r="J43" s="621">
        <v>0.4</v>
      </c>
      <c r="K43" s="603">
        <f t="shared" si="0"/>
        <v>17</v>
      </c>
      <c r="L43" s="604">
        <v>0.70833333333333337</v>
      </c>
      <c r="M43" s="605">
        <f t="shared" si="1"/>
        <v>0.70833333333333337</v>
      </c>
      <c r="N43" s="663"/>
      <c r="P43" s="37" t="str">
        <f t="shared" si="2"/>
        <v>1956F0</v>
      </c>
      <c r="Q43" s="37" t="str">
        <f t="shared" si="3"/>
        <v>F017</v>
      </c>
      <c r="R43" s="37" t="str">
        <f t="shared" si="4"/>
        <v>JulyF0</v>
      </c>
    </row>
    <row r="44" spans="1:18">
      <c r="A44" s="616">
        <f t="shared" si="5"/>
        <v>40</v>
      </c>
      <c r="B44" s="617">
        <v>1</v>
      </c>
      <c r="C44" s="618">
        <v>20912</v>
      </c>
      <c r="D44" s="618" t="s">
        <v>176</v>
      </c>
      <c r="E44" s="619">
        <v>2</v>
      </c>
      <c r="F44" s="603">
        <v>1957</v>
      </c>
      <c r="G44" s="617" t="s">
        <v>143</v>
      </c>
      <c r="H44" s="620" t="s">
        <v>151</v>
      </c>
      <c r="I44" s="621">
        <v>33</v>
      </c>
      <c r="J44" s="621">
        <v>0.3</v>
      </c>
      <c r="K44" s="603">
        <f t="shared" si="0"/>
        <v>18</v>
      </c>
      <c r="L44" s="604">
        <v>0.75347222222222221</v>
      </c>
      <c r="M44" s="605">
        <f t="shared" si="1"/>
        <v>0.75347222222222221</v>
      </c>
      <c r="N44" s="663"/>
      <c r="P44" s="37" t="str">
        <f t="shared" si="2"/>
        <v>1957F2</v>
      </c>
      <c r="Q44" s="37" t="str">
        <f t="shared" si="3"/>
        <v>F218</v>
      </c>
      <c r="R44" s="37" t="str">
        <f t="shared" si="4"/>
        <v>AprilF2</v>
      </c>
    </row>
    <row r="45" spans="1:18">
      <c r="A45" s="616">
        <f t="shared" si="5"/>
        <v>41</v>
      </c>
      <c r="B45" s="617">
        <v>2</v>
      </c>
      <c r="C45" s="618">
        <v>20951</v>
      </c>
      <c r="D45" s="618" t="s">
        <v>177</v>
      </c>
      <c r="E45" s="619">
        <v>11</v>
      </c>
      <c r="F45" s="603">
        <v>1957</v>
      </c>
      <c r="G45" s="617" t="s">
        <v>134</v>
      </c>
      <c r="H45" s="620" t="s">
        <v>150</v>
      </c>
      <c r="I45" s="621">
        <v>33</v>
      </c>
      <c r="J45" s="621">
        <v>7.4</v>
      </c>
      <c r="K45" s="603">
        <f t="shared" si="0"/>
        <v>17</v>
      </c>
      <c r="L45" s="604">
        <v>0.71875</v>
      </c>
      <c r="M45" s="605">
        <f t="shared" si="1"/>
        <v>0.71875</v>
      </c>
      <c r="N45" s="663"/>
      <c r="P45" s="37" t="str">
        <f t="shared" si="2"/>
        <v>1957F1</v>
      </c>
      <c r="Q45" s="37" t="str">
        <f t="shared" si="3"/>
        <v>F117</v>
      </c>
      <c r="R45" s="37" t="str">
        <f t="shared" si="4"/>
        <v>MayF1</v>
      </c>
    </row>
    <row r="46" spans="1:18">
      <c r="A46" s="616">
        <f t="shared" si="5"/>
        <v>42</v>
      </c>
      <c r="B46" s="617">
        <v>3</v>
      </c>
      <c r="C46" s="618">
        <v>20955</v>
      </c>
      <c r="D46" s="618" t="s">
        <v>177</v>
      </c>
      <c r="E46" s="619">
        <v>15</v>
      </c>
      <c r="F46" s="603">
        <v>1957</v>
      </c>
      <c r="G46" s="617" t="s">
        <v>142</v>
      </c>
      <c r="H46" s="620" t="s">
        <v>150</v>
      </c>
      <c r="I46" s="621">
        <v>33</v>
      </c>
      <c r="J46" s="621">
        <v>8</v>
      </c>
      <c r="K46" s="603">
        <f t="shared" si="0"/>
        <v>15</v>
      </c>
      <c r="L46" s="604">
        <v>0.64583333333333337</v>
      </c>
      <c r="M46" s="605">
        <f t="shared" si="1"/>
        <v>0.64583333333333337</v>
      </c>
      <c r="N46" s="663"/>
      <c r="P46" s="37" t="str">
        <f t="shared" si="2"/>
        <v>1957F1</v>
      </c>
      <c r="Q46" s="37" t="str">
        <f t="shared" si="3"/>
        <v>F115</v>
      </c>
      <c r="R46" s="37" t="str">
        <f t="shared" si="4"/>
        <v>MayF1</v>
      </c>
    </row>
    <row r="47" spans="1:18">
      <c r="A47" s="616">
        <f t="shared" si="5"/>
        <v>43</v>
      </c>
      <c r="B47" s="617">
        <v>4</v>
      </c>
      <c r="C47" s="618">
        <v>20955</v>
      </c>
      <c r="D47" s="618" t="s">
        <v>177</v>
      </c>
      <c r="E47" s="619">
        <v>15</v>
      </c>
      <c r="F47" s="603">
        <v>1957</v>
      </c>
      <c r="G47" s="617" t="s">
        <v>142</v>
      </c>
      <c r="H47" s="620" t="s">
        <v>150</v>
      </c>
      <c r="I47" s="621">
        <v>10</v>
      </c>
      <c r="J47" s="621">
        <v>0.1</v>
      </c>
      <c r="K47" s="603">
        <f t="shared" si="0"/>
        <v>17</v>
      </c>
      <c r="L47" s="604">
        <v>0.72222222222222221</v>
      </c>
      <c r="M47" s="605">
        <f t="shared" si="1"/>
        <v>0.72222222222222221</v>
      </c>
      <c r="N47" s="663"/>
      <c r="P47" s="37" t="str">
        <f t="shared" si="2"/>
        <v>1957F1</v>
      </c>
      <c r="Q47" s="37" t="str">
        <f t="shared" si="3"/>
        <v>F117</v>
      </c>
      <c r="R47" s="37" t="str">
        <f t="shared" si="4"/>
        <v>MayF1</v>
      </c>
    </row>
    <row r="48" spans="1:18">
      <c r="A48" s="616">
        <f t="shared" si="5"/>
        <v>44</v>
      </c>
      <c r="B48" s="617">
        <v>5</v>
      </c>
      <c r="C48" s="618">
        <v>20955</v>
      </c>
      <c r="D48" s="618" t="s">
        <v>177</v>
      </c>
      <c r="E48" s="619">
        <v>15</v>
      </c>
      <c r="F48" s="603">
        <v>1957</v>
      </c>
      <c r="G48" s="617" t="s">
        <v>147</v>
      </c>
      <c r="H48" s="620" t="s">
        <v>152</v>
      </c>
      <c r="I48" s="621">
        <v>50</v>
      </c>
      <c r="J48" s="621">
        <v>10.199999999999999</v>
      </c>
      <c r="K48" s="603">
        <f t="shared" si="0"/>
        <v>18</v>
      </c>
      <c r="L48" s="604">
        <v>0.75</v>
      </c>
      <c r="M48" s="605">
        <f t="shared" si="1"/>
        <v>0.75</v>
      </c>
      <c r="N48" s="663"/>
      <c r="P48" s="37" t="str">
        <f t="shared" si="2"/>
        <v>1957F3</v>
      </c>
      <c r="Q48" s="37" t="str">
        <f t="shared" si="3"/>
        <v>F318</v>
      </c>
      <c r="R48" s="37" t="str">
        <f t="shared" si="4"/>
        <v>MayF3</v>
      </c>
    </row>
    <row r="49" spans="1:18">
      <c r="A49" s="616">
        <f t="shared" si="5"/>
        <v>45</v>
      </c>
      <c r="B49" s="617">
        <v>6</v>
      </c>
      <c r="C49" s="618">
        <v>20956</v>
      </c>
      <c r="D49" s="618" t="s">
        <v>177</v>
      </c>
      <c r="E49" s="619">
        <v>16</v>
      </c>
      <c r="F49" s="603">
        <v>1957</v>
      </c>
      <c r="G49" s="617" t="s">
        <v>137</v>
      </c>
      <c r="H49" s="620" t="s">
        <v>151</v>
      </c>
      <c r="I49" s="621">
        <v>10</v>
      </c>
      <c r="J49" s="621">
        <v>0.1</v>
      </c>
      <c r="K49" s="603">
        <f t="shared" si="0"/>
        <v>17</v>
      </c>
      <c r="L49" s="604">
        <v>0.70833333333333337</v>
      </c>
      <c r="M49" s="605">
        <f t="shared" si="1"/>
        <v>0.70833333333333337</v>
      </c>
      <c r="N49" s="663"/>
      <c r="P49" s="37" t="str">
        <f t="shared" si="2"/>
        <v>1957F2</v>
      </c>
      <c r="Q49" s="37" t="str">
        <f t="shared" si="3"/>
        <v>F217</v>
      </c>
      <c r="R49" s="37" t="str">
        <f t="shared" si="4"/>
        <v>MayF2</v>
      </c>
    </row>
    <row r="50" spans="1:18">
      <c r="A50" s="616">
        <f t="shared" si="5"/>
        <v>46</v>
      </c>
      <c r="B50" s="617">
        <v>7</v>
      </c>
      <c r="C50" s="618">
        <v>20964</v>
      </c>
      <c r="D50" s="618" t="s">
        <v>177</v>
      </c>
      <c r="E50" s="619">
        <v>24</v>
      </c>
      <c r="F50" s="603">
        <v>1957</v>
      </c>
      <c r="G50" s="617" t="s">
        <v>144</v>
      </c>
      <c r="H50" s="620" t="s">
        <v>149</v>
      </c>
      <c r="I50" s="621">
        <v>10</v>
      </c>
      <c r="J50" s="621">
        <v>1</v>
      </c>
      <c r="K50" s="603">
        <f t="shared" si="0"/>
        <v>11</v>
      </c>
      <c r="L50" s="604">
        <v>0.47916666666666669</v>
      </c>
      <c r="M50" s="605">
        <f t="shared" si="1"/>
        <v>0.47916666666666669</v>
      </c>
      <c r="N50" s="663"/>
      <c r="P50" s="37" t="str">
        <f t="shared" si="2"/>
        <v>1957F0</v>
      </c>
      <c r="Q50" s="37" t="str">
        <f t="shared" si="3"/>
        <v>F011</v>
      </c>
      <c r="R50" s="37" t="str">
        <f t="shared" si="4"/>
        <v>MayF0</v>
      </c>
    </row>
    <row r="51" spans="1:18">
      <c r="A51" s="616">
        <f t="shared" si="5"/>
        <v>47</v>
      </c>
      <c r="B51" s="617">
        <v>8</v>
      </c>
      <c r="C51" s="618">
        <v>20964</v>
      </c>
      <c r="D51" s="618" t="s">
        <v>177</v>
      </c>
      <c r="E51" s="619">
        <v>24</v>
      </c>
      <c r="F51" s="603">
        <v>1957</v>
      </c>
      <c r="G51" s="617" t="s">
        <v>140</v>
      </c>
      <c r="H51" s="620" t="s">
        <v>149</v>
      </c>
      <c r="I51" s="621">
        <v>50</v>
      </c>
      <c r="J51" s="621">
        <v>0.3</v>
      </c>
      <c r="K51" s="603">
        <f t="shared" si="0"/>
        <v>13</v>
      </c>
      <c r="L51" s="604">
        <v>0.57638888888888895</v>
      </c>
      <c r="M51" s="605">
        <f t="shared" si="1"/>
        <v>0.57638888888888895</v>
      </c>
      <c r="N51" s="663"/>
      <c r="P51" s="37" t="str">
        <f t="shared" si="2"/>
        <v>1957F0</v>
      </c>
      <c r="Q51" s="37" t="str">
        <f t="shared" si="3"/>
        <v>F013</v>
      </c>
      <c r="R51" s="37" t="str">
        <f t="shared" si="4"/>
        <v>MayF0</v>
      </c>
    </row>
    <row r="52" spans="1:18">
      <c r="A52" s="616">
        <f t="shared" si="5"/>
        <v>48</v>
      </c>
      <c r="B52" s="617">
        <v>9</v>
      </c>
      <c r="C52" s="618">
        <v>20981</v>
      </c>
      <c r="D52" s="618" t="s">
        <v>178</v>
      </c>
      <c r="E52" s="619">
        <v>10</v>
      </c>
      <c r="F52" s="603">
        <v>1957</v>
      </c>
      <c r="G52" s="617" t="s">
        <v>132</v>
      </c>
      <c r="H52" s="620" t="s">
        <v>151</v>
      </c>
      <c r="I52" s="621">
        <v>10</v>
      </c>
      <c r="J52" s="621">
        <v>0.1</v>
      </c>
      <c r="K52" s="603">
        <f t="shared" si="0"/>
        <v>17</v>
      </c>
      <c r="L52" s="604">
        <v>0.73958333333333337</v>
      </c>
      <c r="M52" s="605">
        <f t="shared" si="1"/>
        <v>0.73958333333333337</v>
      </c>
      <c r="N52" s="663"/>
      <c r="P52" s="37" t="str">
        <f t="shared" si="2"/>
        <v>1957F2</v>
      </c>
      <c r="Q52" s="37" t="str">
        <f t="shared" si="3"/>
        <v>F217</v>
      </c>
      <c r="R52" s="37" t="str">
        <f t="shared" si="4"/>
        <v>JuneF2</v>
      </c>
    </row>
    <row r="53" spans="1:18">
      <c r="A53" s="616">
        <f t="shared" si="5"/>
        <v>49</v>
      </c>
      <c r="B53" s="617">
        <v>10</v>
      </c>
      <c r="C53" s="618">
        <v>21106</v>
      </c>
      <c r="D53" s="618" t="s">
        <v>182</v>
      </c>
      <c r="E53" s="619">
        <v>13</v>
      </c>
      <c r="F53" s="603">
        <v>1957</v>
      </c>
      <c r="G53" s="617" t="s">
        <v>128</v>
      </c>
      <c r="H53" s="620" t="s">
        <v>149</v>
      </c>
      <c r="I53" s="621">
        <v>10</v>
      </c>
      <c r="J53" s="621">
        <v>0.1</v>
      </c>
      <c r="K53" s="603">
        <f t="shared" si="0"/>
        <v>17</v>
      </c>
      <c r="L53" s="604">
        <v>0.72222222222222221</v>
      </c>
      <c r="M53" s="605">
        <f t="shared" si="1"/>
        <v>0.72222222222222221</v>
      </c>
      <c r="N53" s="663"/>
      <c r="P53" s="37" t="str">
        <f t="shared" si="2"/>
        <v>1957F0</v>
      </c>
      <c r="Q53" s="37" t="str">
        <f t="shared" si="3"/>
        <v>F017</v>
      </c>
      <c r="R53" s="37" t="str">
        <f t="shared" si="4"/>
        <v>OctoberF0</v>
      </c>
    </row>
    <row r="54" spans="1:18">
      <c r="A54" s="616">
        <f t="shared" si="5"/>
        <v>50</v>
      </c>
      <c r="B54" s="617">
        <v>1</v>
      </c>
      <c r="C54" s="618">
        <v>21322</v>
      </c>
      <c r="D54" s="618" t="s">
        <v>177</v>
      </c>
      <c r="E54" s="619">
        <v>17</v>
      </c>
      <c r="F54" s="603">
        <v>1958</v>
      </c>
      <c r="G54" s="617" t="s">
        <v>145</v>
      </c>
      <c r="H54" s="620" t="s">
        <v>149</v>
      </c>
      <c r="I54" s="621">
        <v>17</v>
      </c>
      <c r="J54" s="621">
        <v>0.3</v>
      </c>
      <c r="K54" s="603">
        <f t="shared" si="0"/>
        <v>1</v>
      </c>
      <c r="L54" s="604">
        <v>4.8611111111111112E-2</v>
      </c>
      <c r="M54" s="605">
        <f t="shared" si="1"/>
        <v>4.8611111111111112E-2</v>
      </c>
      <c r="N54" s="663"/>
      <c r="P54" s="37" t="str">
        <f t="shared" si="2"/>
        <v>1958F0</v>
      </c>
      <c r="Q54" s="37" t="str">
        <f t="shared" si="3"/>
        <v>F01</v>
      </c>
      <c r="R54" s="37" t="str">
        <f t="shared" si="4"/>
        <v>MayF0</v>
      </c>
    </row>
    <row r="55" spans="1:18">
      <c r="A55" s="616">
        <f t="shared" si="5"/>
        <v>51</v>
      </c>
      <c r="B55" s="617">
        <v>2</v>
      </c>
      <c r="C55" s="618">
        <v>21352</v>
      </c>
      <c r="D55" s="618" t="s">
        <v>178</v>
      </c>
      <c r="E55" s="619">
        <v>16</v>
      </c>
      <c r="F55" s="603">
        <v>1958</v>
      </c>
      <c r="G55" s="617" t="s">
        <v>144</v>
      </c>
      <c r="H55" s="620" t="s">
        <v>150</v>
      </c>
      <c r="I55" s="621">
        <v>50</v>
      </c>
      <c r="J55" s="621">
        <v>3.3</v>
      </c>
      <c r="K55" s="603">
        <f t="shared" si="0"/>
        <v>17</v>
      </c>
      <c r="L55" s="604">
        <v>0.73958333333333337</v>
      </c>
      <c r="M55" s="605">
        <f t="shared" si="1"/>
        <v>0.73958333333333337</v>
      </c>
      <c r="N55" s="663"/>
      <c r="P55" s="37" t="str">
        <f t="shared" si="2"/>
        <v>1958F1</v>
      </c>
      <c r="Q55" s="37" t="str">
        <f t="shared" si="3"/>
        <v>F117</v>
      </c>
      <c r="R55" s="37" t="str">
        <f t="shared" si="4"/>
        <v>JuneF1</v>
      </c>
    </row>
    <row r="56" spans="1:18">
      <c r="A56" s="616">
        <f t="shared" si="5"/>
        <v>52</v>
      </c>
      <c r="B56" s="617">
        <v>3</v>
      </c>
      <c r="C56" s="618">
        <v>21356</v>
      </c>
      <c r="D56" s="618" t="s">
        <v>178</v>
      </c>
      <c r="E56" s="619">
        <v>20</v>
      </c>
      <c r="F56" s="603">
        <v>1958</v>
      </c>
      <c r="G56" s="617" t="s">
        <v>136</v>
      </c>
      <c r="H56" s="620" t="s">
        <v>150</v>
      </c>
      <c r="I56" s="621">
        <v>150</v>
      </c>
      <c r="J56" s="621">
        <v>0.3</v>
      </c>
      <c r="K56" s="603">
        <f t="shared" si="0"/>
        <v>1</v>
      </c>
      <c r="L56" s="604">
        <v>5.2083333333333336E-2</v>
      </c>
      <c r="M56" s="605">
        <f t="shared" si="1"/>
        <v>5.2083333333333336E-2</v>
      </c>
      <c r="N56" s="663"/>
      <c r="P56" s="37" t="str">
        <f t="shared" si="2"/>
        <v>1958F1</v>
      </c>
      <c r="Q56" s="37" t="str">
        <f t="shared" si="3"/>
        <v>F11</v>
      </c>
      <c r="R56" s="37" t="str">
        <f t="shared" si="4"/>
        <v>JuneF1</v>
      </c>
    </row>
    <row r="57" spans="1:18">
      <c r="A57" s="616">
        <f t="shared" si="5"/>
        <v>53</v>
      </c>
      <c r="B57" s="617">
        <v>4</v>
      </c>
      <c r="C57" s="618">
        <v>21356</v>
      </c>
      <c r="D57" s="618" t="s">
        <v>178</v>
      </c>
      <c r="E57" s="619">
        <v>20</v>
      </c>
      <c r="F57" s="603">
        <v>1958</v>
      </c>
      <c r="G57" s="617" t="s">
        <v>142</v>
      </c>
      <c r="H57" s="620" t="s">
        <v>149</v>
      </c>
      <c r="I57" s="621">
        <v>33</v>
      </c>
      <c r="J57" s="621">
        <v>2</v>
      </c>
      <c r="K57" s="603">
        <f t="shared" si="0"/>
        <v>2</v>
      </c>
      <c r="L57" s="604">
        <v>0.11388888888888889</v>
      </c>
      <c r="M57" s="605">
        <f t="shared" si="1"/>
        <v>0.11388888888888889</v>
      </c>
      <c r="N57" s="663"/>
      <c r="P57" s="37" t="str">
        <f t="shared" si="2"/>
        <v>1958F0</v>
      </c>
      <c r="Q57" s="37" t="str">
        <f t="shared" si="3"/>
        <v>F02</v>
      </c>
      <c r="R57" s="37" t="str">
        <f t="shared" si="4"/>
        <v>JuneF0</v>
      </c>
    </row>
    <row r="58" spans="1:18">
      <c r="A58" s="616">
        <f t="shared" si="5"/>
        <v>54</v>
      </c>
      <c r="B58" s="617">
        <v>5</v>
      </c>
      <c r="C58" s="618">
        <v>21359</v>
      </c>
      <c r="D58" s="618" t="s">
        <v>178</v>
      </c>
      <c r="E58" s="619">
        <v>23</v>
      </c>
      <c r="F58" s="603">
        <v>1958</v>
      </c>
      <c r="G58" s="617" t="s">
        <v>142</v>
      </c>
      <c r="H58" s="620" t="s">
        <v>150</v>
      </c>
      <c r="I58" s="621">
        <v>17</v>
      </c>
      <c r="J58" s="621">
        <v>1</v>
      </c>
      <c r="K58" s="603">
        <f t="shared" si="0"/>
        <v>7</v>
      </c>
      <c r="L58" s="604">
        <v>0.29166666666666669</v>
      </c>
      <c r="M58" s="605">
        <f t="shared" si="1"/>
        <v>0.29166666666666669</v>
      </c>
      <c r="N58" s="663"/>
      <c r="P58" s="37" t="str">
        <f t="shared" si="2"/>
        <v>1958F1</v>
      </c>
      <c r="Q58" s="37" t="str">
        <f t="shared" si="3"/>
        <v>F17</v>
      </c>
      <c r="R58" s="37" t="str">
        <f t="shared" si="4"/>
        <v>JuneF1</v>
      </c>
    </row>
    <row r="59" spans="1:18">
      <c r="A59" s="616">
        <f t="shared" si="5"/>
        <v>55</v>
      </c>
      <c r="B59" s="617">
        <v>6</v>
      </c>
      <c r="C59" s="618">
        <v>21367</v>
      </c>
      <c r="D59" s="618" t="s">
        <v>179</v>
      </c>
      <c r="E59" s="619">
        <v>1</v>
      </c>
      <c r="F59" s="603">
        <v>1958</v>
      </c>
      <c r="G59" s="617" t="s">
        <v>127</v>
      </c>
      <c r="H59" s="620" t="s">
        <v>150</v>
      </c>
      <c r="I59" s="621">
        <v>440</v>
      </c>
      <c r="J59" s="621">
        <v>4.9000000000000004</v>
      </c>
      <c r="K59" s="603">
        <f t="shared" si="0"/>
        <v>17</v>
      </c>
      <c r="L59" s="604">
        <v>0.70833333333333337</v>
      </c>
      <c r="M59" s="605">
        <f t="shared" si="1"/>
        <v>0.70833333333333337</v>
      </c>
      <c r="N59" s="663"/>
      <c r="P59" s="37" t="str">
        <f t="shared" si="2"/>
        <v>1958F1</v>
      </c>
      <c r="Q59" s="37" t="str">
        <f t="shared" si="3"/>
        <v>F117</v>
      </c>
      <c r="R59" s="37" t="str">
        <f t="shared" si="4"/>
        <v>JulyF1</v>
      </c>
    </row>
    <row r="60" spans="1:18">
      <c r="A60" s="616">
        <f t="shared" si="5"/>
        <v>56</v>
      </c>
      <c r="B60" s="617">
        <v>7</v>
      </c>
      <c r="C60" s="618">
        <v>21381</v>
      </c>
      <c r="D60" s="618" t="s">
        <v>179</v>
      </c>
      <c r="E60" s="619">
        <v>15</v>
      </c>
      <c r="F60" s="603">
        <v>1958</v>
      </c>
      <c r="G60" s="617" t="s">
        <v>139</v>
      </c>
      <c r="H60" s="620" t="s">
        <v>149</v>
      </c>
      <c r="I60" s="621">
        <v>50</v>
      </c>
      <c r="J60" s="621">
        <v>4.3</v>
      </c>
      <c r="K60" s="603">
        <f t="shared" si="0"/>
        <v>23</v>
      </c>
      <c r="L60" s="604">
        <v>0.97222222222222221</v>
      </c>
      <c r="M60" s="605">
        <f t="shared" si="1"/>
        <v>0.97222222222222221</v>
      </c>
      <c r="N60" s="663"/>
      <c r="P60" s="37" t="str">
        <f t="shared" si="2"/>
        <v>1958F0</v>
      </c>
      <c r="Q60" s="37" t="str">
        <f t="shared" si="3"/>
        <v>F023</v>
      </c>
      <c r="R60" s="37" t="str">
        <f t="shared" si="4"/>
        <v>JulyF0</v>
      </c>
    </row>
    <row r="61" spans="1:18">
      <c r="A61" s="616">
        <f t="shared" si="5"/>
        <v>57</v>
      </c>
      <c r="B61" s="617">
        <v>8</v>
      </c>
      <c r="C61" s="618">
        <v>21388</v>
      </c>
      <c r="D61" s="618" t="s">
        <v>179</v>
      </c>
      <c r="E61" s="619">
        <v>22</v>
      </c>
      <c r="F61" s="603">
        <v>1958</v>
      </c>
      <c r="G61" s="617" t="s">
        <v>127</v>
      </c>
      <c r="H61" s="620" t="s">
        <v>150</v>
      </c>
      <c r="I61" s="621">
        <v>10</v>
      </c>
      <c r="J61" s="621">
        <v>0.1</v>
      </c>
      <c r="K61" s="603">
        <f t="shared" si="0"/>
        <v>18</v>
      </c>
      <c r="L61" s="604">
        <v>0.77083333333333337</v>
      </c>
      <c r="M61" s="605">
        <f t="shared" si="1"/>
        <v>0.77083333333333337</v>
      </c>
      <c r="N61" s="663"/>
      <c r="P61" s="37" t="str">
        <f t="shared" si="2"/>
        <v>1958F1</v>
      </c>
      <c r="Q61" s="37" t="str">
        <f t="shared" si="3"/>
        <v>F118</v>
      </c>
      <c r="R61" s="37" t="str">
        <f t="shared" si="4"/>
        <v>JulyF1</v>
      </c>
    </row>
    <row r="62" spans="1:18">
      <c r="A62" s="616">
        <f t="shared" si="5"/>
        <v>58</v>
      </c>
      <c r="B62" s="617">
        <v>9</v>
      </c>
      <c r="C62" s="618">
        <v>21391</v>
      </c>
      <c r="D62" s="618" t="s">
        <v>179</v>
      </c>
      <c r="E62" s="619">
        <v>25</v>
      </c>
      <c r="F62" s="603">
        <v>1958</v>
      </c>
      <c r="G62" s="617" t="s">
        <v>134</v>
      </c>
      <c r="H62" s="620" t="s">
        <v>150</v>
      </c>
      <c r="I62" s="621">
        <v>10</v>
      </c>
      <c r="J62" s="621">
        <v>0.1</v>
      </c>
      <c r="K62" s="603">
        <f t="shared" si="0"/>
        <v>1</v>
      </c>
      <c r="L62" s="604">
        <v>6.9444444444444434E-2</v>
      </c>
      <c r="M62" s="605">
        <f t="shared" si="1"/>
        <v>6.9444444444444434E-2</v>
      </c>
      <c r="N62" s="663"/>
      <c r="P62" s="37" t="str">
        <f t="shared" si="2"/>
        <v>1958F1</v>
      </c>
      <c r="Q62" s="37" t="str">
        <f t="shared" si="3"/>
        <v>F11</v>
      </c>
      <c r="R62" s="37" t="str">
        <f t="shared" si="4"/>
        <v>JulyF1</v>
      </c>
    </row>
    <row r="63" spans="1:18">
      <c r="A63" s="616">
        <f t="shared" si="5"/>
        <v>59</v>
      </c>
      <c r="B63" s="617">
        <v>10</v>
      </c>
      <c r="C63" s="618">
        <v>21393</v>
      </c>
      <c r="D63" s="618" t="s">
        <v>179</v>
      </c>
      <c r="E63" s="619">
        <v>27</v>
      </c>
      <c r="F63" s="603">
        <v>1958</v>
      </c>
      <c r="G63" s="617" t="s">
        <v>136</v>
      </c>
      <c r="H63" s="620" t="s">
        <v>149</v>
      </c>
      <c r="I63" s="621">
        <v>33</v>
      </c>
      <c r="J63" s="621">
        <v>2</v>
      </c>
      <c r="K63" s="603">
        <f t="shared" si="0"/>
        <v>16</v>
      </c>
      <c r="L63" s="604">
        <v>0.69444444444444453</v>
      </c>
      <c r="M63" s="605">
        <f t="shared" si="1"/>
        <v>0.69444444444444453</v>
      </c>
      <c r="N63" s="663"/>
      <c r="P63" s="37" t="str">
        <f t="shared" si="2"/>
        <v>1958F0</v>
      </c>
      <c r="Q63" s="37" t="str">
        <f t="shared" si="3"/>
        <v>F016</v>
      </c>
      <c r="R63" s="37" t="str">
        <f t="shared" si="4"/>
        <v>JulyF0</v>
      </c>
    </row>
    <row r="64" spans="1:18">
      <c r="A64" s="616">
        <f t="shared" si="5"/>
        <v>60</v>
      </c>
      <c r="B64" s="617">
        <v>11</v>
      </c>
      <c r="C64" s="618">
        <v>21435</v>
      </c>
      <c r="D64" s="618" t="s">
        <v>181</v>
      </c>
      <c r="E64" s="619">
        <v>7</v>
      </c>
      <c r="F64" s="603">
        <v>1958</v>
      </c>
      <c r="G64" s="617" t="s">
        <v>127</v>
      </c>
      <c r="H64" s="620" t="s">
        <v>150</v>
      </c>
      <c r="I64" s="621">
        <v>100</v>
      </c>
      <c r="J64" s="621">
        <v>3.6</v>
      </c>
      <c r="K64" s="603">
        <f t="shared" si="0"/>
        <v>16</v>
      </c>
      <c r="L64" s="604">
        <v>0.66666666666666663</v>
      </c>
      <c r="M64" s="605">
        <f t="shared" si="1"/>
        <v>0.66666666666666663</v>
      </c>
      <c r="N64" s="663"/>
      <c r="P64" s="37" t="str">
        <f t="shared" si="2"/>
        <v>1958F1</v>
      </c>
      <c r="Q64" s="37" t="str">
        <f t="shared" si="3"/>
        <v>F116</v>
      </c>
      <c r="R64" s="37" t="str">
        <f t="shared" si="4"/>
        <v>SeptemberF1</v>
      </c>
    </row>
    <row r="65" spans="1:18">
      <c r="A65" s="616">
        <f t="shared" si="5"/>
        <v>61</v>
      </c>
      <c r="B65" s="617">
        <v>1</v>
      </c>
      <c r="C65" s="618">
        <v>21678</v>
      </c>
      <c r="D65" s="618" t="s">
        <v>177</v>
      </c>
      <c r="E65" s="619">
        <v>8</v>
      </c>
      <c r="F65" s="603">
        <v>1959</v>
      </c>
      <c r="G65" s="617" t="s">
        <v>136</v>
      </c>
      <c r="H65" s="620" t="s">
        <v>150</v>
      </c>
      <c r="I65" s="621">
        <v>13</v>
      </c>
      <c r="J65" s="621">
        <v>0.2</v>
      </c>
      <c r="K65" s="603">
        <f t="shared" si="0"/>
        <v>16</v>
      </c>
      <c r="L65" s="604">
        <v>0.66666666666666663</v>
      </c>
      <c r="M65" s="605">
        <f t="shared" si="1"/>
        <v>0.66666666666666663</v>
      </c>
      <c r="N65" s="663"/>
      <c r="P65" s="37" t="str">
        <f t="shared" si="2"/>
        <v>1959F1</v>
      </c>
      <c r="Q65" s="37" t="str">
        <f t="shared" si="3"/>
        <v>F116</v>
      </c>
      <c r="R65" s="37" t="str">
        <f t="shared" si="4"/>
        <v>MayF1</v>
      </c>
    </row>
    <row r="66" spans="1:18">
      <c r="A66" s="616">
        <f t="shared" si="5"/>
        <v>62</v>
      </c>
      <c r="B66" s="617">
        <v>2</v>
      </c>
      <c r="C66" s="618">
        <v>21687</v>
      </c>
      <c r="D66" s="618" t="s">
        <v>177</v>
      </c>
      <c r="E66" s="619">
        <v>17</v>
      </c>
      <c r="F66" s="603">
        <v>1959</v>
      </c>
      <c r="G66" s="617" t="s">
        <v>136</v>
      </c>
      <c r="H66" s="620" t="s">
        <v>150</v>
      </c>
      <c r="I66" s="621">
        <v>100</v>
      </c>
      <c r="J66" s="621">
        <v>0.1</v>
      </c>
      <c r="K66" s="603">
        <f t="shared" si="0"/>
        <v>16</v>
      </c>
      <c r="L66" s="604">
        <v>0.67291666666666661</v>
      </c>
      <c r="M66" s="605">
        <f t="shared" si="1"/>
        <v>0.67291666666666661</v>
      </c>
      <c r="N66" s="663"/>
      <c r="P66" s="37" t="str">
        <f t="shared" si="2"/>
        <v>1959F1</v>
      </c>
      <c r="Q66" s="37" t="str">
        <f t="shared" si="3"/>
        <v>F116</v>
      </c>
      <c r="R66" s="37" t="str">
        <f t="shared" si="4"/>
        <v>MayF1</v>
      </c>
    </row>
    <row r="67" spans="1:18">
      <c r="A67" s="616">
        <f t="shared" si="5"/>
        <v>63</v>
      </c>
      <c r="B67" s="617">
        <v>3</v>
      </c>
      <c r="C67" s="618">
        <v>21695</v>
      </c>
      <c r="D67" s="618" t="s">
        <v>177</v>
      </c>
      <c r="E67" s="619">
        <v>25</v>
      </c>
      <c r="F67" s="603">
        <v>1959</v>
      </c>
      <c r="G67" s="617" t="s">
        <v>146</v>
      </c>
      <c r="H67" s="620" t="s">
        <v>149</v>
      </c>
      <c r="I67" s="621">
        <v>17</v>
      </c>
      <c r="J67" s="621">
        <v>0.4</v>
      </c>
      <c r="K67" s="603">
        <f t="shared" si="0"/>
        <v>22</v>
      </c>
      <c r="L67" s="604">
        <v>0.9375</v>
      </c>
      <c r="M67" s="605">
        <f t="shared" si="1"/>
        <v>0.9375</v>
      </c>
      <c r="N67" s="663"/>
      <c r="P67" s="37" t="str">
        <f t="shared" si="2"/>
        <v>1959F0</v>
      </c>
      <c r="Q67" s="37" t="str">
        <f t="shared" si="3"/>
        <v>F022</v>
      </c>
      <c r="R67" s="37" t="str">
        <f t="shared" si="4"/>
        <v>MayF0</v>
      </c>
    </row>
    <row r="68" spans="1:18">
      <c r="A68" s="616">
        <f t="shared" si="5"/>
        <v>64</v>
      </c>
      <c r="B68" s="617">
        <v>4</v>
      </c>
      <c r="C68" s="618">
        <v>21741</v>
      </c>
      <c r="D68" s="618" t="s">
        <v>179</v>
      </c>
      <c r="E68" s="619">
        <v>10</v>
      </c>
      <c r="F68" s="603">
        <v>1959</v>
      </c>
      <c r="G68" s="617" t="s">
        <v>136</v>
      </c>
      <c r="H68" s="620" t="s">
        <v>150</v>
      </c>
      <c r="I68" s="621">
        <v>33</v>
      </c>
      <c r="J68" s="621">
        <v>0.5</v>
      </c>
      <c r="K68" s="603">
        <f t="shared" si="0"/>
        <v>17</v>
      </c>
      <c r="L68" s="604">
        <v>0.72916666666666663</v>
      </c>
      <c r="M68" s="605">
        <f t="shared" si="1"/>
        <v>0.72916666666666663</v>
      </c>
      <c r="N68" s="663"/>
      <c r="P68" s="37" t="str">
        <f t="shared" si="2"/>
        <v>1959F1</v>
      </c>
      <c r="Q68" s="37" t="str">
        <f t="shared" si="3"/>
        <v>F117</v>
      </c>
      <c r="R68" s="37" t="str">
        <f t="shared" si="4"/>
        <v>JulyF1</v>
      </c>
    </row>
    <row r="69" spans="1:18">
      <c r="A69" s="616">
        <f t="shared" si="5"/>
        <v>65</v>
      </c>
      <c r="B69" s="617">
        <v>5</v>
      </c>
      <c r="C69" s="618">
        <v>21745</v>
      </c>
      <c r="D69" s="618" t="s">
        <v>179</v>
      </c>
      <c r="E69" s="619">
        <v>14</v>
      </c>
      <c r="F69" s="603">
        <v>1959</v>
      </c>
      <c r="G69" s="617" t="s">
        <v>135</v>
      </c>
      <c r="H69" s="620" t="s">
        <v>150</v>
      </c>
      <c r="I69" s="621">
        <v>500</v>
      </c>
      <c r="J69" s="621">
        <v>10.9</v>
      </c>
      <c r="K69" s="603">
        <f t="shared" ref="K69:K132" si="6">HOUR(M69)</f>
        <v>19</v>
      </c>
      <c r="L69" s="604">
        <v>0.80208333333333337</v>
      </c>
      <c r="M69" s="605">
        <f t="shared" ref="M69:M132" si="7">+L69</f>
        <v>0.80208333333333337</v>
      </c>
      <c r="N69" s="663"/>
      <c r="P69" s="37" t="str">
        <f t="shared" si="2"/>
        <v>1959F1</v>
      </c>
      <c r="Q69" s="37" t="str">
        <f t="shared" si="3"/>
        <v>F119</v>
      </c>
      <c r="R69" s="37" t="str">
        <f t="shared" si="4"/>
        <v>JulyF1</v>
      </c>
    </row>
    <row r="70" spans="1:18">
      <c r="A70" s="616">
        <f t="shared" si="5"/>
        <v>66</v>
      </c>
      <c r="B70" s="617">
        <v>6</v>
      </c>
      <c r="C70" s="618">
        <v>21817</v>
      </c>
      <c r="D70" s="618" t="s">
        <v>181</v>
      </c>
      <c r="E70" s="619">
        <v>24</v>
      </c>
      <c r="F70" s="603">
        <v>1959</v>
      </c>
      <c r="G70" s="617" t="s">
        <v>135</v>
      </c>
      <c r="H70" s="620" t="s">
        <v>149</v>
      </c>
      <c r="I70" s="621">
        <v>117</v>
      </c>
      <c r="J70" s="621">
        <v>0.1</v>
      </c>
      <c r="K70" s="603">
        <f t="shared" si="6"/>
        <v>14</v>
      </c>
      <c r="L70" s="604">
        <v>0.6020833333333333</v>
      </c>
      <c r="M70" s="605">
        <f t="shared" si="7"/>
        <v>0.6020833333333333</v>
      </c>
      <c r="N70" s="663"/>
      <c r="P70" s="37" t="str">
        <f t="shared" ref="P70:P133" si="8">CONCATENATE(F70,H70)</f>
        <v>1959F0</v>
      </c>
      <c r="Q70" s="37" t="str">
        <f t="shared" ref="Q70:Q133" si="9">CONCATENATE(H70,K70)</f>
        <v>F014</v>
      </c>
      <c r="R70" s="37" t="str">
        <f t="shared" ref="R70:R133" si="10">CONCATENATE(D70,H70)</f>
        <v>SeptemberF0</v>
      </c>
    </row>
    <row r="71" spans="1:18">
      <c r="A71" s="616">
        <f t="shared" ref="A71:A134" si="11">+A70+1</f>
        <v>67</v>
      </c>
      <c r="B71" s="617">
        <v>1</v>
      </c>
      <c r="C71" s="618">
        <v>22018</v>
      </c>
      <c r="D71" s="618" t="s">
        <v>176</v>
      </c>
      <c r="E71" s="619">
        <v>12</v>
      </c>
      <c r="F71" s="603">
        <v>1960</v>
      </c>
      <c r="G71" s="617" t="s">
        <v>126</v>
      </c>
      <c r="H71" s="620" t="s">
        <v>150</v>
      </c>
      <c r="I71" s="621">
        <v>300</v>
      </c>
      <c r="J71" s="621">
        <v>0.2</v>
      </c>
      <c r="K71" s="603">
        <f t="shared" si="6"/>
        <v>18</v>
      </c>
      <c r="L71" s="604">
        <v>0.77083333333333337</v>
      </c>
      <c r="M71" s="605">
        <f t="shared" si="7"/>
        <v>0.77083333333333337</v>
      </c>
      <c r="N71" s="663"/>
      <c r="P71" s="37" t="str">
        <f t="shared" si="8"/>
        <v>1960F1</v>
      </c>
      <c r="Q71" s="37" t="str">
        <f t="shared" si="9"/>
        <v>F118</v>
      </c>
      <c r="R71" s="37" t="str">
        <f t="shared" si="10"/>
        <v>AprilF1</v>
      </c>
    </row>
    <row r="72" spans="1:18">
      <c r="A72" s="616">
        <f t="shared" si="11"/>
        <v>68</v>
      </c>
      <c r="B72" s="617">
        <v>2</v>
      </c>
      <c r="C72" s="618">
        <v>22064</v>
      </c>
      <c r="D72" s="618" t="s">
        <v>177</v>
      </c>
      <c r="E72" s="619">
        <v>28</v>
      </c>
      <c r="F72" s="603">
        <v>1960</v>
      </c>
      <c r="G72" s="617" t="s">
        <v>145</v>
      </c>
      <c r="H72" s="620" t="s">
        <v>150</v>
      </c>
      <c r="I72" s="621">
        <v>33</v>
      </c>
      <c r="J72" s="621">
        <v>1.3</v>
      </c>
      <c r="K72" s="603">
        <f t="shared" si="6"/>
        <v>16</v>
      </c>
      <c r="L72" s="604">
        <v>0.67013888888888884</v>
      </c>
      <c r="M72" s="605">
        <f t="shared" si="7"/>
        <v>0.67013888888888884</v>
      </c>
      <c r="N72" s="663"/>
      <c r="P72" s="37" t="str">
        <f t="shared" si="8"/>
        <v>1960F1</v>
      </c>
      <c r="Q72" s="37" t="str">
        <f t="shared" si="9"/>
        <v>F116</v>
      </c>
      <c r="R72" s="37" t="str">
        <f t="shared" si="10"/>
        <v>MayF1</v>
      </c>
    </row>
    <row r="73" spans="1:18">
      <c r="A73" s="616">
        <f t="shared" si="11"/>
        <v>69</v>
      </c>
      <c r="B73" s="617">
        <v>3</v>
      </c>
      <c r="C73" s="618">
        <v>22064</v>
      </c>
      <c r="D73" s="618" t="s">
        <v>177</v>
      </c>
      <c r="E73" s="619">
        <v>28</v>
      </c>
      <c r="F73" s="603">
        <v>1960</v>
      </c>
      <c r="G73" s="617" t="s">
        <v>145</v>
      </c>
      <c r="H73" s="620" t="s">
        <v>149</v>
      </c>
      <c r="I73" s="621">
        <v>7</v>
      </c>
      <c r="J73" s="621">
        <v>0.1</v>
      </c>
      <c r="K73" s="603">
        <f t="shared" si="6"/>
        <v>16</v>
      </c>
      <c r="L73" s="604">
        <v>0.67222222222222217</v>
      </c>
      <c r="M73" s="605">
        <f t="shared" si="7"/>
        <v>0.67222222222222217</v>
      </c>
      <c r="N73" s="663"/>
      <c r="P73" s="37" t="str">
        <f t="shared" si="8"/>
        <v>1960F0</v>
      </c>
      <c r="Q73" s="37" t="str">
        <f t="shared" si="9"/>
        <v>F016</v>
      </c>
      <c r="R73" s="37" t="str">
        <f t="shared" si="10"/>
        <v>MayF0</v>
      </c>
    </row>
    <row r="74" spans="1:18">
      <c r="A74" s="616">
        <f t="shared" si="11"/>
        <v>70</v>
      </c>
      <c r="B74" s="617">
        <v>4</v>
      </c>
      <c r="C74" s="618">
        <v>22064</v>
      </c>
      <c r="D74" s="618" t="s">
        <v>177</v>
      </c>
      <c r="E74" s="619">
        <v>28</v>
      </c>
      <c r="F74" s="603">
        <v>1960</v>
      </c>
      <c r="G74" s="617" t="s">
        <v>145</v>
      </c>
      <c r="H74" s="620" t="s">
        <v>149</v>
      </c>
      <c r="I74" s="621">
        <v>3</v>
      </c>
      <c r="J74" s="621">
        <v>0.1</v>
      </c>
      <c r="K74" s="603">
        <f t="shared" si="6"/>
        <v>17</v>
      </c>
      <c r="L74" s="604">
        <v>0.70833333333333337</v>
      </c>
      <c r="M74" s="605">
        <f t="shared" si="7"/>
        <v>0.70833333333333337</v>
      </c>
      <c r="N74" s="663"/>
      <c r="P74" s="37" t="str">
        <f t="shared" si="8"/>
        <v>1960F0</v>
      </c>
      <c r="Q74" s="37" t="str">
        <f t="shared" si="9"/>
        <v>F017</v>
      </c>
      <c r="R74" s="37" t="str">
        <f t="shared" si="10"/>
        <v>MayF0</v>
      </c>
    </row>
    <row r="75" spans="1:18">
      <c r="A75" s="616">
        <f t="shared" si="11"/>
        <v>71</v>
      </c>
      <c r="B75" s="617">
        <v>5</v>
      </c>
      <c r="C75" s="618">
        <v>22075</v>
      </c>
      <c r="D75" s="618" t="s">
        <v>178</v>
      </c>
      <c r="E75" s="619">
        <v>8</v>
      </c>
      <c r="F75" s="603">
        <v>1960</v>
      </c>
      <c r="G75" s="617" t="s">
        <v>141</v>
      </c>
      <c r="H75" s="620" t="s">
        <v>149</v>
      </c>
      <c r="I75" s="621">
        <v>33</v>
      </c>
      <c r="J75" s="621">
        <v>0.5</v>
      </c>
      <c r="K75" s="603">
        <f t="shared" si="6"/>
        <v>1</v>
      </c>
      <c r="L75" s="604">
        <v>4.1666666666666664E-2</v>
      </c>
      <c r="M75" s="605">
        <f t="shared" si="7"/>
        <v>4.1666666666666664E-2</v>
      </c>
      <c r="N75" s="663"/>
      <c r="P75" s="37" t="str">
        <f t="shared" si="8"/>
        <v>1960F0</v>
      </c>
      <c r="Q75" s="37" t="str">
        <f t="shared" si="9"/>
        <v>F01</v>
      </c>
      <c r="R75" s="37" t="str">
        <f t="shared" si="10"/>
        <v>JuneF0</v>
      </c>
    </row>
    <row r="76" spans="1:18">
      <c r="A76" s="616">
        <f t="shared" si="11"/>
        <v>72</v>
      </c>
      <c r="B76" s="617">
        <v>6</v>
      </c>
      <c r="C76" s="618">
        <v>22075</v>
      </c>
      <c r="D76" s="618" t="s">
        <v>178</v>
      </c>
      <c r="E76" s="619">
        <v>8</v>
      </c>
      <c r="F76" s="603">
        <v>1960</v>
      </c>
      <c r="G76" s="617" t="s">
        <v>147</v>
      </c>
      <c r="H76" s="620" t="s">
        <v>151</v>
      </c>
      <c r="I76" s="621">
        <v>10</v>
      </c>
      <c r="J76" s="621">
        <v>0.1</v>
      </c>
      <c r="K76" s="603">
        <f t="shared" si="6"/>
        <v>16</v>
      </c>
      <c r="L76" s="604">
        <v>0.68402777777777779</v>
      </c>
      <c r="M76" s="605">
        <f t="shared" si="7"/>
        <v>0.68402777777777779</v>
      </c>
      <c r="N76" s="663"/>
      <c r="P76" s="37" t="str">
        <f t="shared" si="8"/>
        <v>1960F2</v>
      </c>
      <c r="Q76" s="37" t="str">
        <f t="shared" si="9"/>
        <v>F216</v>
      </c>
      <c r="R76" s="37" t="str">
        <f t="shared" si="10"/>
        <v>JuneF2</v>
      </c>
    </row>
    <row r="77" spans="1:18">
      <c r="A77" s="616">
        <f t="shared" si="11"/>
        <v>73</v>
      </c>
      <c r="B77" s="617">
        <v>7</v>
      </c>
      <c r="C77" s="618">
        <v>22076</v>
      </c>
      <c r="D77" s="618" t="s">
        <v>178</v>
      </c>
      <c r="E77" s="619">
        <v>9</v>
      </c>
      <c r="F77" s="603">
        <v>1960</v>
      </c>
      <c r="G77" s="617" t="s">
        <v>135</v>
      </c>
      <c r="H77" s="620" t="s">
        <v>149</v>
      </c>
      <c r="I77" s="621">
        <v>23</v>
      </c>
      <c r="J77" s="621">
        <v>0.1</v>
      </c>
      <c r="K77" s="603">
        <f t="shared" si="6"/>
        <v>0</v>
      </c>
      <c r="L77" s="604">
        <v>1.0416666666666666E-2</v>
      </c>
      <c r="M77" s="605">
        <f t="shared" si="7"/>
        <v>1.0416666666666666E-2</v>
      </c>
      <c r="N77" s="663"/>
      <c r="P77" s="37" t="str">
        <f t="shared" si="8"/>
        <v>1960F0</v>
      </c>
      <c r="Q77" s="37" t="str">
        <f t="shared" si="9"/>
        <v>F00</v>
      </c>
      <c r="R77" s="37" t="str">
        <f t="shared" si="10"/>
        <v>JuneF0</v>
      </c>
    </row>
    <row r="78" spans="1:18">
      <c r="A78" s="616">
        <f t="shared" si="11"/>
        <v>74</v>
      </c>
      <c r="B78" s="617">
        <v>8</v>
      </c>
      <c r="C78" s="618">
        <v>22076</v>
      </c>
      <c r="D78" s="618" t="s">
        <v>178</v>
      </c>
      <c r="E78" s="619">
        <v>9</v>
      </c>
      <c r="F78" s="603">
        <v>1960</v>
      </c>
      <c r="G78" s="617" t="s">
        <v>140</v>
      </c>
      <c r="H78" s="620" t="s">
        <v>150</v>
      </c>
      <c r="I78" s="621">
        <v>33</v>
      </c>
      <c r="J78" s="621">
        <v>1</v>
      </c>
      <c r="K78" s="603">
        <f t="shared" si="6"/>
        <v>19</v>
      </c>
      <c r="L78" s="604">
        <v>0.81597222222222221</v>
      </c>
      <c r="M78" s="605">
        <f t="shared" si="7"/>
        <v>0.81597222222222221</v>
      </c>
      <c r="N78" s="663"/>
      <c r="P78" s="37" t="str">
        <f t="shared" si="8"/>
        <v>1960F1</v>
      </c>
      <c r="Q78" s="37" t="str">
        <f t="shared" si="9"/>
        <v>F119</v>
      </c>
      <c r="R78" s="37" t="str">
        <f t="shared" si="10"/>
        <v>JuneF1</v>
      </c>
    </row>
    <row r="79" spans="1:18">
      <c r="A79" s="616">
        <f t="shared" si="11"/>
        <v>75</v>
      </c>
      <c r="B79" s="617">
        <v>9</v>
      </c>
      <c r="C79" s="618">
        <v>22077</v>
      </c>
      <c r="D79" s="618" t="s">
        <v>178</v>
      </c>
      <c r="E79" s="619">
        <v>10</v>
      </c>
      <c r="F79" s="603">
        <v>1960</v>
      </c>
      <c r="G79" s="617" t="s">
        <v>144</v>
      </c>
      <c r="H79" s="620" t="s">
        <v>149</v>
      </c>
      <c r="I79" s="621">
        <v>10</v>
      </c>
      <c r="J79" s="621">
        <v>0.1</v>
      </c>
      <c r="K79" s="603">
        <f t="shared" si="6"/>
        <v>17</v>
      </c>
      <c r="L79" s="604">
        <v>0.72916666666666663</v>
      </c>
      <c r="M79" s="605">
        <f t="shared" si="7"/>
        <v>0.72916666666666663</v>
      </c>
      <c r="N79" s="663"/>
      <c r="P79" s="37" t="str">
        <f t="shared" si="8"/>
        <v>1960F0</v>
      </c>
      <c r="Q79" s="37" t="str">
        <f t="shared" si="9"/>
        <v>F017</v>
      </c>
      <c r="R79" s="37" t="str">
        <f t="shared" si="10"/>
        <v>JuneF0</v>
      </c>
    </row>
    <row r="80" spans="1:18">
      <c r="A80" s="616">
        <f t="shared" si="11"/>
        <v>76</v>
      </c>
      <c r="B80" s="617">
        <v>10</v>
      </c>
      <c r="C80" s="618">
        <v>22077</v>
      </c>
      <c r="D80" s="618" t="s">
        <v>178</v>
      </c>
      <c r="E80" s="619">
        <v>10</v>
      </c>
      <c r="F80" s="603">
        <v>1960</v>
      </c>
      <c r="G80" s="617" t="s">
        <v>140</v>
      </c>
      <c r="H80" s="620" t="s">
        <v>149</v>
      </c>
      <c r="I80" s="621">
        <v>10</v>
      </c>
      <c r="J80" s="621">
        <v>0.1</v>
      </c>
      <c r="K80" s="603">
        <f t="shared" si="6"/>
        <v>19</v>
      </c>
      <c r="L80" s="604">
        <v>0.82361111111111107</v>
      </c>
      <c r="M80" s="605">
        <f t="shared" si="7"/>
        <v>0.82361111111111107</v>
      </c>
      <c r="N80" s="663"/>
      <c r="P80" s="37" t="str">
        <f t="shared" si="8"/>
        <v>1960F0</v>
      </c>
      <c r="Q80" s="37" t="str">
        <f t="shared" si="9"/>
        <v>F019</v>
      </c>
      <c r="R80" s="37" t="str">
        <f t="shared" si="10"/>
        <v>JuneF0</v>
      </c>
    </row>
    <row r="81" spans="1:18">
      <c r="A81" s="616">
        <f t="shared" si="11"/>
        <v>77</v>
      </c>
      <c r="B81" s="617">
        <v>11</v>
      </c>
      <c r="C81" s="618">
        <v>22082</v>
      </c>
      <c r="D81" s="618" t="s">
        <v>178</v>
      </c>
      <c r="E81" s="619">
        <v>15</v>
      </c>
      <c r="F81" s="603">
        <v>1960</v>
      </c>
      <c r="G81" s="617" t="s">
        <v>128</v>
      </c>
      <c r="H81" s="620" t="s">
        <v>150</v>
      </c>
      <c r="I81" s="621">
        <v>10</v>
      </c>
      <c r="J81" s="621">
        <v>0.1</v>
      </c>
      <c r="K81" s="603">
        <f t="shared" si="6"/>
        <v>1</v>
      </c>
      <c r="L81" s="604">
        <v>4.1666666666666664E-2</v>
      </c>
      <c r="M81" s="605">
        <f t="shared" si="7"/>
        <v>4.1666666666666664E-2</v>
      </c>
      <c r="N81" s="663"/>
      <c r="P81" s="37" t="str">
        <f t="shared" si="8"/>
        <v>1960F1</v>
      </c>
      <c r="Q81" s="37" t="str">
        <f t="shared" si="9"/>
        <v>F11</v>
      </c>
      <c r="R81" s="37" t="str">
        <f t="shared" si="10"/>
        <v>JuneF1</v>
      </c>
    </row>
    <row r="82" spans="1:18">
      <c r="A82" s="616">
        <f t="shared" si="11"/>
        <v>78</v>
      </c>
      <c r="B82" s="617">
        <v>12</v>
      </c>
      <c r="C82" s="618">
        <v>22082</v>
      </c>
      <c r="D82" s="618" t="s">
        <v>178</v>
      </c>
      <c r="E82" s="619">
        <v>15</v>
      </c>
      <c r="F82" s="603">
        <v>1960</v>
      </c>
      <c r="G82" s="617" t="s">
        <v>132</v>
      </c>
      <c r="H82" s="620" t="s">
        <v>150</v>
      </c>
      <c r="I82" s="621">
        <v>23</v>
      </c>
      <c r="J82" s="621">
        <v>0.4</v>
      </c>
      <c r="K82" s="603">
        <f t="shared" si="6"/>
        <v>17</v>
      </c>
      <c r="L82" s="604">
        <v>0.74305555555555547</v>
      </c>
      <c r="M82" s="605">
        <f t="shared" si="7"/>
        <v>0.74305555555555547</v>
      </c>
      <c r="N82" s="663"/>
      <c r="P82" s="37" t="str">
        <f t="shared" si="8"/>
        <v>1960F1</v>
      </c>
      <c r="Q82" s="37" t="str">
        <f t="shared" si="9"/>
        <v>F117</v>
      </c>
      <c r="R82" s="37" t="str">
        <f t="shared" si="10"/>
        <v>JuneF1</v>
      </c>
    </row>
    <row r="83" spans="1:18">
      <c r="A83" s="616">
        <f t="shared" si="11"/>
        <v>79</v>
      </c>
      <c r="B83" s="617">
        <v>13</v>
      </c>
      <c r="C83" s="618">
        <v>22082</v>
      </c>
      <c r="D83" s="618" t="s">
        <v>178</v>
      </c>
      <c r="E83" s="619">
        <v>15</v>
      </c>
      <c r="F83" s="603">
        <v>1960</v>
      </c>
      <c r="G83" s="617" t="s">
        <v>132</v>
      </c>
      <c r="H83" s="620" t="s">
        <v>150</v>
      </c>
      <c r="I83" s="621">
        <v>27</v>
      </c>
      <c r="J83" s="621">
        <v>0.7</v>
      </c>
      <c r="K83" s="603">
        <f t="shared" si="6"/>
        <v>18</v>
      </c>
      <c r="L83" s="604">
        <v>0.75</v>
      </c>
      <c r="M83" s="605">
        <f t="shared" si="7"/>
        <v>0.75</v>
      </c>
      <c r="N83" s="663"/>
      <c r="P83" s="37" t="str">
        <f t="shared" si="8"/>
        <v>1960F1</v>
      </c>
      <c r="Q83" s="37" t="str">
        <f t="shared" si="9"/>
        <v>F118</v>
      </c>
      <c r="R83" s="37" t="str">
        <f t="shared" si="10"/>
        <v>JuneF1</v>
      </c>
    </row>
    <row r="84" spans="1:18">
      <c r="A84" s="616">
        <f t="shared" si="11"/>
        <v>80</v>
      </c>
      <c r="B84" s="617">
        <v>1</v>
      </c>
      <c r="C84" s="618">
        <v>22405</v>
      </c>
      <c r="D84" s="618" t="s">
        <v>177</v>
      </c>
      <c r="E84" s="619">
        <v>4</v>
      </c>
      <c r="F84" s="603">
        <v>1961</v>
      </c>
      <c r="G84" s="617" t="s">
        <v>138</v>
      </c>
      <c r="H84" s="620" t="s">
        <v>149</v>
      </c>
      <c r="I84" s="621">
        <v>33</v>
      </c>
      <c r="J84" s="621">
        <v>8.4</v>
      </c>
      <c r="K84" s="603">
        <f t="shared" si="6"/>
        <v>14</v>
      </c>
      <c r="L84" s="604">
        <v>0.58333333333333337</v>
      </c>
      <c r="M84" s="605">
        <f t="shared" si="7"/>
        <v>0.58333333333333337</v>
      </c>
      <c r="N84" s="663"/>
      <c r="P84" s="37" t="str">
        <f t="shared" si="8"/>
        <v>1961F0</v>
      </c>
      <c r="Q84" s="37" t="str">
        <f t="shared" si="9"/>
        <v>F014</v>
      </c>
      <c r="R84" s="37" t="str">
        <f t="shared" si="10"/>
        <v>MayF0</v>
      </c>
    </row>
    <row r="85" spans="1:18">
      <c r="A85" s="616">
        <f t="shared" si="11"/>
        <v>81</v>
      </c>
      <c r="B85" s="617">
        <v>2</v>
      </c>
      <c r="C85" s="618">
        <v>22417</v>
      </c>
      <c r="D85" s="618" t="s">
        <v>177</v>
      </c>
      <c r="E85" s="619">
        <v>16</v>
      </c>
      <c r="F85" s="603">
        <v>1961</v>
      </c>
      <c r="G85" s="617" t="s">
        <v>141</v>
      </c>
      <c r="H85" s="620" t="s">
        <v>151</v>
      </c>
      <c r="I85" s="621">
        <v>33</v>
      </c>
      <c r="J85" s="621">
        <v>0.5</v>
      </c>
      <c r="K85" s="603">
        <f t="shared" si="6"/>
        <v>16</v>
      </c>
      <c r="L85" s="604">
        <v>0.69791666666666663</v>
      </c>
      <c r="M85" s="605">
        <f t="shared" si="7"/>
        <v>0.69791666666666663</v>
      </c>
      <c r="N85" s="663"/>
      <c r="P85" s="37" t="str">
        <f t="shared" si="8"/>
        <v>1961F2</v>
      </c>
      <c r="Q85" s="37" t="str">
        <f t="shared" si="9"/>
        <v>F216</v>
      </c>
      <c r="R85" s="37" t="str">
        <f t="shared" si="10"/>
        <v>MayF2</v>
      </c>
    </row>
    <row r="86" spans="1:18">
      <c r="A86" s="616">
        <f t="shared" si="11"/>
        <v>82</v>
      </c>
      <c r="B86" s="617">
        <v>3</v>
      </c>
      <c r="C86" s="618">
        <v>22417</v>
      </c>
      <c r="D86" s="618" t="s">
        <v>177</v>
      </c>
      <c r="E86" s="619">
        <v>16</v>
      </c>
      <c r="F86" s="603">
        <v>1961</v>
      </c>
      <c r="G86" s="617" t="s">
        <v>142</v>
      </c>
      <c r="H86" s="620" t="s">
        <v>149</v>
      </c>
      <c r="I86" s="621">
        <v>33</v>
      </c>
      <c r="J86" s="621">
        <v>0.2</v>
      </c>
      <c r="K86" s="603">
        <f t="shared" si="6"/>
        <v>17</v>
      </c>
      <c r="L86" s="604">
        <v>0.73611111111111116</v>
      </c>
      <c r="M86" s="605">
        <f t="shared" si="7"/>
        <v>0.73611111111111116</v>
      </c>
      <c r="N86" s="663"/>
      <c r="P86" s="37" t="str">
        <f t="shared" si="8"/>
        <v>1961F0</v>
      </c>
      <c r="Q86" s="37" t="str">
        <f t="shared" si="9"/>
        <v>F017</v>
      </c>
      <c r="R86" s="37" t="str">
        <f t="shared" si="10"/>
        <v>MayF0</v>
      </c>
    </row>
    <row r="87" spans="1:18">
      <c r="A87" s="616">
        <f t="shared" si="11"/>
        <v>83</v>
      </c>
      <c r="B87" s="617">
        <v>4</v>
      </c>
      <c r="C87" s="618">
        <v>22434</v>
      </c>
      <c r="D87" s="618" t="s">
        <v>178</v>
      </c>
      <c r="E87" s="619">
        <v>2</v>
      </c>
      <c r="F87" s="603">
        <v>1961</v>
      </c>
      <c r="G87" s="617" t="s">
        <v>142</v>
      </c>
      <c r="H87" s="620" t="s">
        <v>151</v>
      </c>
      <c r="I87" s="621">
        <v>23</v>
      </c>
      <c r="J87" s="621">
        <v>0.5</v>
      </c>
      <c r="K87" s="603">
        <f t="shared" si="6"/>
        <v>14</v>
      </c>
      <c r="L87" s="604">
        <v>0.60416666666666663</v>
      </c>
      <c r="M87" s="605">
        <f t="shared" si="7"/>
        <v>0.60416666666666663</v>
      </c>
      <c r="N87" s="663"/>
      <c r="P87" s="37" t="str">
        <f t="shared" si="8"/>
        <v>1961F2</v>
      </c>
      <c r="Q87" s="37" t="str">
        <f t="shared" si="9"/>
        <v>F214</v>
      </c>
      <c r="R87" s="37" t="str">
        <f t="shared" si="10"/>
        <v>JuneF2</v>
      </c>
    </row>
    <row r="88" spans="1:18">
      <c r="A88" s="616">
        <f t="shared" si="11"/>
        <v>84</v>
      </c>
      <c r="B88" s="617">
        <v>5</v>
      </c>
      <c r="C88" s="618">
        <v>22435</v>
      </c>
      <c r="D88" s="618" t="s">
        <v>178</v>
      </c>
      <c r="E88" s="619">
        <v>3</v>
      </c>
      <c r="F88" s="603">
        <v>1961</v>
      </c>
      <c r="G88" s="617" t="s">
        <v>127</v>
      </c>
      <c r="H88" s="620" t="s">
        <v>151</v>
      </c>
      <c r="I88" s="621">
        <v>10</v>
      </c>
      <c r="J88" s="621">
        <v>0.1</v>
      </c>
      <c r="K88" s="603">
        <f t="shared" si="6"/>
        <v>17</v>
      </c>
      <c r="L88" s="604">
        <v>0.73958333333333337</v>
      </c>
      <c r="M88" s="605">
        <f t="shared" si="7"/>
        <v>0.73958333333333337</v>
      </c>
      <c r="N88" s="663"/>
      <c r="P88" s="37" t="str">
        <f t="shared" si="8"/>
        <v>1961F2</v>
      </c>
      <c r="Q88" s="37" t="str">
        <f t="shared" si="9"/>
        <v>F217</v>
      </c>
      <c r="R88" s="37" t="str">
        <f t="shared" si="10"/>
        <v>JuneF2</v>
      </c>
    </row>
    <row r="89" spans="1:18">
      <c r="A89" s="616">
        <f t="shared" si="11"/>
        <v>85</v>
      </c>
      <c r="B89" s="617">
        <v>6</v>
      </c>
      <c r="C89" s="618">
        <v>22435</v>
      </c>
      <c r="D89" s="618" t="s">
        <v>178</v>
      </c>
      <c r="E89" s="619">
        <v>3</v>
      </c>
      <c r="F89" s="603">
        <v>1961</v>
      </c>
      <c r="G89" s="617" t="s">
        <v>128</v>
      </c>
      <c r="H89" s="620" t="s">
        <v>151</v>
      </c>
      <c r="I89" s="621">
        <v>33</v>
      </c>
      <c r="J89" s="621">
        <v>1.3</v>
      </c>
      <c r="K89" s="603">
        <f t="shared" si="6"/>
        <v>18</v>
      </c>
      <c r="L89" s="604">
        <v>0.75</v>
      </c>
      <c r="M89" s="605">
        <f t="shared" si="7"/>
        <v>0.75</v>
      </c>
      <c r="N89" s="663"/>
      <c r="P89" s="37" t="str">
        <f t="shared" si="8"/>
        <v>1961F2</v>
      </c>
      <c r="Q89" s="37" t="str">
        <f t="shared" si="9"/>
        <v>F218</v>
      </c>
      <c r="R89" s="37" t="str">
        <f t="shared" si="10"/>
        <v>JuneF2</v>
      </c>
    </row>
    <row r="90" spans="1:18">
      <c r="A90" s="616">
        <f t="shared" si="11"/>
        <v>86</v>
      </c>
      <c r="B90" s="617">
        <v>7</v>
      </c>
      <c r="C90" s="618">
        <v>22435</v>
      </c>
      <c r="D90" s="618" t="s">
        <v>178</v>
      </c>
      <c r="E90" s="619">
        <v>3</v>
      </c>
      <c r="F90" s="603">
        <v>1961</v>
      </c>
      <c r="G90" s="617" t="s">
        <v>139</v>
      </c>
      <c r="H90" s="620" t="s">
        <v>149</v>
      </c>
      <c r="I90" s="621">
        <v>50</v>
      </c>
      <c r="J90" s="621">
        <v>27.3</v>
      </c>
      <c r="K90" s="603">
        <f t="shared" si="6"/>
        <v>20</v>
      </c>
      <c r="L90" s="604">
        <v>0.83333333333333337</v>
      </c>
      <c r="M90" s="605">
        <f t="shared" si="7"/>
        <v>0.83333333333333337</v>
      </c>
      <c r="N90" s="663"/>
      <c r="P90" s="37" t="str">
        <f t="shared" si="8"/>
        <v>1961F0</v>
      </c>
      <c r="Q90" s="37" t="str">
        <f t="shared" si="9"/>
        <v>F020</v>
      </c>
      <c r="R90" s="37" t="str">
        <f t="shared" si="10"/>
        <v>JuneF0</v>
      </c>
    </row>
    <row r="91" spans="1:18">
      <c r="A91" s="616">
        <f t="shared" si="11"/>
        <v>87</v>
      </c>
      <c r="B91" s="617">
        <v>8</v>
      </c>
      <c r="C91" s="618">
        <v>22437</v>
      </c>
      <c r="D91" s="618" t="s">
        <v>178</v>
      </c>
      <c r="E91" s="619">
        <v>5</v>
      </c>
      <c r="F91" s="603">
        <v>1961</v>
      </c>
      <c r="G91" s="617" t="s">
        <v>129</v>
      </c>
      <c r="H91" s="620" t="s">
        <v>150</v>
      </c>
      <c r="I91" s="621">
        <v>500</v>
      </c>
      <c r="J91" s="621">
        <v>23.9</v>
      </c>
      <c r="K91" s="603">
        <f t="shared" si="6"/>
        <v>15</v>
      </c>
      <c r="L91" s="604">
        <v>0.625</v>
      </c>
      <c r="M91" s="605">
        <f t="shared" si="7"/>
        <v>0.625</v>
      </c>
      <c r="N91" s="663"/>
      <c r="P91" s="37" t="str">
        <f t="shared" si="8"/>
        <v>1961F1</v>
      </c>
      <c r="Q91" s="37" t="str">
        <f t="shared" si="9"/>
        <v>F115</v>
      </c>
      <c r="R91" s="37" t="str">
        <f t="shared" si="10"/>
        <v>JuneF1</v>
      </c>
    </row>
    <row r="92" spans="1:18">
      <c r="A92" s="616">
        <f t="shared" si="11"/>
        <v>88</v>
      </c>
      <c r="B92" s="617">
        <v>9</v>
      </c>
      <c r="C92" s="618">
        <v>22437</v>
      </c>
      <c r="D92" s="618" t="s">
        <v>178</v>
      </c>
      <c r="E92" s="619">
        <v>5</v>
      </c>
      <c r="F92" s="603">
        <v>1961</v>
      </c>
      <c r="G92" s="617" t="s">
        <v>129</v>
      </c>
      <c r="H92" s="620" t="s">
        <v>150</v>
      </c>
      <c r="I92" s="621">
        <v>150</v>
      </c>
      <c r="J92" s="621">
        <v>20</v>
      </c>
      <c r="K92" s="603">
        <f t="shared" si="6"/>
        <v>15</v>
      </c>
      <c r="L92" s="604">
        <v>0.625</v>
      </c>
      <c r="M92" s="605">
        <f t="shared" si="7"/>
        <v>0.625</v>
      </c>
      <c r="N92" s="663"/>
      <c r="P92" s="37" t="str">
        <f t="shared" si="8"/>
        <v>1961F1</v>
      </c>
      <c r="Q92" s="37" t="str">
        <f t="shared" si="9"/>
        <v>F115</v>
      </c>
      <c r="R92" s="37" t="str">
        <f t="shared" si="10"/>
        <v>JuneF1</v>
      </c>
    </row>
    <row r="93" spans="1:18">
      <c r="A93" s="616">
        <f t="shared" si="11"/>
        <v>89</v>
      </c>
      <c r="B93" s="617">
        <v>10</v>
      </c>
      <c r="C93" s="618">
        <v>22437</v>
      </c>
      <c r="D93" s="618" t="s">
        <v>178</v>
      </c>
      <c r="E93" s="619">
        <v>5</v>
      </c>
      <c r="F93" s="603">
        <v>1961</v>
      </c>
      <c r="G93" s="617" t="s">
        <v>129</v>
      </c>
      <c r="H93" s="620" t="s">
        <v>150</v>
      </c>
      <c r="I93" s="621">
        <v>33</v>
      </c>
      <c r="J93" s="621">
        <v>12</v>
      </c>
      <c r="K93" s="603">
        <f t="shared" si="6"/>
        <v>15</v>
      </c>
      <c r="L93" s="604">
        <v>0.625</v>
      </c>
      <c r="M93" s="605">
        <f t="shared" si="7"/>
        <v>0.625</v>
      </c>
      <c r="N93" s="663"/>
      <c r="P93" s="37" t="str">
        <f t="shared" si="8"/>
        <v>1961F1</v>
      </c>
      <c r="Q93" s="37" t="str">
        <f t="shared" si="9"/>
        <v>F115</v>
      </c>
      <c r="R93" s="37" t="str">
        <f t="shared" si="10"/>
        <v>JuneF1</v>
      </c>
    </row>
    <row r="94" spans="1:18">
      <c r="A94" s="616">
        <f t="shared" si="11"/>
        <v>90</v>
      </c>
      <c r="B94" s="617">
        <v>11</v>
      </c>
      <c r="C94" s="618">
        <v>22437</v>
      </c>
      <c r="D94" s="618" t="s">
        <v>178</v>
      </c>
      <c r="E94" s="619">
        <v>5</v>
      </c>
      <c r="F94" s="603">
        <v>1961</v>
      </c>
      <c r="G94" s="617" t="s">
        <v>129</v>
      </c>
      <c r="H94" s="620" t="s">
        <v>150</v>
      </c>
      <c r="I94" s="621">
        <v>333</v>
      </c>
      <c r="J94" s="621">
        <v>21.8</v>
      </c>
      <c r="K94" s="603">
        <f t="shared" si="6"/>
        <v>15</v>
      </c>
      <c r="L94" s="604">
        <v>0.625</v>
      </c>
      <c r="M94" s="605">
        <f t="shared" si="7"/>
        <v>0.625</v>
      </c>
      <c r="N94" s="663"/>
      <c r="P94" s="37" t="str">
        <f t="shared" si="8"/>
        <v>1961F1</v>
      </c>
      <c r="Q94" s="37" t="str">
        <f t="shared" si="9"/>
        <v>F115</v>
      </c>
      <c r="R94" s="37" t="str">
        <f t="shared" si="10"/>
        <v>JuneF1</v>
      </c>
    </row>
    <row r="95" spans="1:18">
      <c r="A95" s="616">
        <f t="shared" si="11"/>
        <v>91</v>
      </c>
      <c r="B95" s="617">
        <v>12</v>
      </c>
      <c r="C95" s="618">
        <v>22437</v>
      </c>
      <c r="D95" s="618" t="s">
        <v>178</v>
      </c>
      <c r="E95" s="619">
        <v>5</v>
      </c>
      <c r="F95" s="603">
        <v>1961</v>
      </c>
      <c r="G95" s="617" t="s">
        <v>126</v>
      </c>
      <c r="H95" s="620" t="s">
        <v>151</v>
      </c>
      <c r="I95" s="621">
        <v>150</v>
      </c>
      <c r="J95" s="621">
        <v>28.5</v>
      </c>
      <c r="K95" s="603">
        <f t="shared" si="6"/>
        <v>17</v>
      </c>
      <c r="L95" s="604">
        <v>0.71875</v>
      </c>
      <c r="M95" s="605">
        <f t="shared" si="7"/>
        <v>0.71875</v>
      </c>
      <c r="N95" s="663"/>
      <c r="P95" s="37" t="str">
        <f t="shared" si="8"/>
        <v>1961F2</v>
      </c>
      <c r="Q95" s="37" t="str">
        <f t="shared" si="9"/>
        <v>F217</v>
      </c>
      <c r="R95" s="37" t="str">
        <f t="shared" si="10"/>
        <v>JuneF2</v>
      </c>
    </row>
    <row r="96" spans="1:18">
      <c r="A96" s="616">
        <f t="shared" si="11"/>
        <v>92</v>
      </c>
      <c r="B96" s="617">
        <v>13</v>
      </c>
      <c r="C96" s="618">
        <v>22439</v>
      </c>
      <c r="D96" s="618" t="s">
        <v>178</v>
      </c>
      <c r="E96" s="619">
        <v>7</v>
      </c>
      <c r="F96" s="603">
        <v>1961</v>
      </c>
      <c r="G96" s="617" t="s">
        <v>137</v>
      </c>
      <c r="H96" s="620" t="s">
        <v>149</v>
      </c>
      <c r="I96" s="621">
        <v>33</v>
      </c>
      <c r="J96" s="621">
        <v>20</v>
      </c>
      <c r="K96" s="603">
        <f t="shared" si="6"/>
        <v>0</v>
      </c>
      <c r="L96" s="604">
        <v>2.0833333333333332E-2</v>
      </c>
      <c r="M96" s="605">
        <f t="shared" si="7"/>
        <v>2.0833333333333332E-2</v>
      </c>
      <c r="N96" s="663"/>
      <c r="P96" s="37" t="str">
        <f t="shared" si="8"/>
        <v>1961F0</v>
      </c>
      <c r="Q96" s="37" t="str">
        <f t="shared" si="9"/>
        <v>F00</v>
      </c>
      <c r="R96" s="37" t="str">
        <f t="shared" si="10"/>
        <v>JuneF0</v>
      </c>
    </row>
    <row r="97" spans="1:18">
      <c r="A97" s="616">
        <f t="shared" si="11"/>
        <v>93</v>
      </c>
      <c r="B97" s="617">
        <v>14</v>
      </c>
      <c r="C97" s="618">
        <v>22439</v>
      </c>
      <c r="D97" s="618" t="s">
        <v>178</v>
      </c>
      <c r="E97" s="619">
        <v>7</v>
      </c>
      <c r="F97" s="603">
        <v>1961</v>
      </c>
      <c r="G97" s="617" t="s">
        <v>127</v>
      </c>
      <c r="H97" s="620" t="s">
        <v>149</v>
      </c>
      <c r="I97" s="621">
        <v>10</v>
      </c>
      <c r="J97" s="621">
        <v>0.1</v>
      </c>
      <c r="K97" s="603">
        <f t="shared" si="6"/>
        <v>20</v>
      </c>
      <c r="L97" s="604">
        <v>0.83333333333333337</v>
      </c>
      <c r="M97" s="605">
        <f t="shared" si="7"/>
        <v>0.83333333333333337</v>
      </c>
      <c r="N97" s="663"/>
      <c r="P97" s="37" t="str">
        <f t="shared" si="8"/>
        <v>1961F0</v>
      </c>
      <c r="Q97" s="37" t="str">
        <f t="shared" si="9"/>
        <v>F020</v>
      </c>
      <c r="R97" s="37" t="str">
        <f t="shared" si="10"/>
        <v>JuneF0</v>
      </c>
    </row>
    <row r="98" spans="1:18">
      <c r="A98" s="616">
        <f t="shared" si="11"/>
        <v>94</v>
      </c>
      <c r="B98" s="617">
        <v>15</v>
      </c>
      <c r="C98" s="618">
        <v>22476</v>
      </c>
      <c r="D98" s="618" t="s">
        <v>179</v>
      </c>
      <c r="E98" s="619">
        <v>14</v>
      </c>
      <c r="F98" s="603">
        <v>1961</v>
      </c>
      <c r="G98" s="617" t="s">
        <v>147</v>
      </c>
      <c r="H98" s="620" t="s">
        <v>150</v>
      </c>
      <c r="I98" s="621">
        <v>33</v>
      </c>
      <c r="J98" s="621">
        <v>0.5</v>
      </c>
      <c r="K98" s="603">
        <f t="shared" si="6"/>
        <v>20</v>
      </c>
      <c r="L98" s="604">
        <v>0.83333333333333337</v>
      </c>
      <c r="M98" s="605">
        <f t="shared" si="7"/>
        <v>0.83333333333333337</v>
      </c>
      <c r="N98" s="663"/>
      <c r="P98" s="37" t="str">
        <f t="shared" si="8"/>
        <v>1961F1</v>
      </c>
      <c r="Q98" s="37" t="str">
        <f t="shared" si="9"/>
        <v>F120</v>
      </c>
      <c r="R98" s="37" t="str">
        <f t="shared" si="10"/>
        <v>JulyF1</v>
      </c>
    </row>
    <row r="99" spans="1:18">
      <c r="A99" s="616">
        <f t="shared" si="11"/>
        <v>95</v>
      </c>
      <c r="B99" s="617">
        <v>1</v>
      </c>
      <c r="C99" s="618">
        <v>22783</v>
      </c>
      <c r="D99" s="618" t="s">
        <v>177</v>
      </c>
      <c r="E99" s="619">
        <v>17</v>
      </c>
      <c r="F99" s="603">
        <v>1962</v>
      </c>
      <c r="G99" s="617" t="s">
        <v>126</v>
      </c>
      <c r="H99" s="620" t="s">
        <v>149</v>
      </c>
      <c r="I99" s="621">
        <v>10</v>
      </c>
      <c r="J99" s="621">
        <v>0.1</v>
      </c>
      <c r="K99" s="603">
        <f t="shared" si="6"/>
        <v>14</v>
      </c>
      <c r="L99" s="604">
        <v>0.59861111111111109</v>
      </c>
      <c r="M99" s="605">
        <f t="shared" si="7"/>
        <v>0.59861111111111109</v>
      </c>
      <c r="N99" s="663"/>
      <c r="P99" s="37" t="str">
        <f t="shared" si="8"/>
        <v>1962F0</v>
      </c>
      <c r="Q99" s="37" t="str">
        <f t="shared" si="9"/>
        <v>F014</v>
      </c>
      <c r="R99" s="37" t="str">
        <f t="shared" si="10"/>
        <v>MayF0</v>
      </c>
    </row>
    <row r="100" spans="1:18">
      <c r="A100" s="616">
        <f t="shared" si="11"/>
        <v>96</v>
      </c>
      <c r="B100" s="617">
        <v>2</v>
      </c>
      <c r="C100" s="618">
        <v>22793</v>
      </c>
      <c r="D100" s="618" t="s">
        <v>177</v>
      </c>
      <c r="E100" s="619">
        <v>27</v>
      </c>
      <c r="F100" s="603">
        <v>1962</v>
      </c>
      <c r="G100" s="617" t="s">
        <v>131</v>
      </c>
      <c r="H100" s="620" t="s">
        <v>150</v>
      </c>
      <c r="I100" s="621">
        <v>50</v>
      </c>
      <c r="J100" s="621">
        <v>4.5</v>
      </c>
      <c r="K100" s="603">
        <f t="shared" si="6"/>
        <v>16</v>
      </c>
      <c r="L100" s="604">
        <v>0.6875</v>
      </c>
      <c r="M100" s="605">
        <f t="shared" si="7"/>
        <v>0.6875</v>
      </c>
      <c r="N100" s="663"/>
      <c r="P100" s="37" t="str">
        <f t="shared" si="8"/>
        <v>1962F1</v>
      </c>
      <c r="Q100" s="37" t="str">
        <f t="shared" si="9"/>
        <v>F116</v>
      </c>
      <c r="R100" s="37" t="str">
        <f t="shared" si="10"/>
        <v>MayF1</v>
      </c>
    </row>
    <row r="101" spans="1:18">
      <c r="A101" s="616">
        <f t="shared" si="11"/>
        <v>97</v>
      </c>
      <c r="B101" s="617">
        <v>3</v>
      </c>
      <c r="C101" s="618">
        <v>22793</v>
      </c>
      <c r="D101" s="618" t="s">
        <v>177</v>
      </c>
      <c r="E101" s="619">
        <v>27</v>
      </c>
      <c r="F101" s="603">
        <v>1962</v>
      </c>
      <c r="G101" s="617" t="s">
        <v>133</v>
      </c>
      <c r="H101" s="620" t="s">
        <v>150</v>
      </c>
      <c r="I101" s="621">
        <v>10</v>
      </c>
      <c r="J101" s="621">
        <v>0.1</v>
      </c>
      <c r="K101" s="603">
        <f t="shared" si="6"/>
        <v>16</v>
      </c>
      <c r="L101" s="604">
        <v>0.6875</v>
      </c>
      <c r="M101" s="605">
        <f t="shared" si="7"/>
        <v>0.6875</v>
      </c>
      <c r="N101" s="663"/>
      <c r="P101" s="37" t="str">
        <f t="shared" si="8"/>
        <v>1962F1</v>
      </c>
      <c r="Q101" s="37" t="str">
        <f t="shared" si="9"/>
        <v>F116</v>
      </c>
      <c r="R101" s="37" t="str">
        <f t="shared" si="10"/>
        <v>MayF1</v>
      </c>
    </row>
    <row r="102" spans="1:18">
      <c r="A102" s="616">
        <f t="shared" si="11"/>
        <v>98</v>
      </c>
      <c r="B102" s="617">
        <v>4</v>
      </c>
      <c r="C102" s="618">
        <v>22793</v>
      </c>
      <c r="D102" s="618" t="s">
        <v>177</v>
      </c>
      <c r="E102" s="619">
        <v>27</v>
      </c>
      <c r="F102" s="603">
        <v>1962</v>
      </c>
      <c r="G102" s="617" t="s">
        <v>133</v>
      </c>
      <c r="H102" s="620" t="s">
        <v>151</v>
      </c>
      <c r="I102" s="621">
        <v>10</v>
      </c>
      <c r="J102" s="621">
        <v>0.1</v>
      </c>
      <c r="K102" s="603">
        <f t="shared" si="6"/>
        <v>16</v>
      </c>
      <c r="L102" s="604">
        <v>0.6875</v>
      </c>
      <c r="M102" s="605">
        <f t="shared" si="7"/>
        <v>0.6875</v>
      </c>
      <c r="N102" s="663"/>
      <c r="P102" s="37" t="str">
        <f t="shared" si="8"/>
        <v>1962F2</v>
      </c>
      <c r="Q102" s="37" t="str">
        <f t="shared" si="9"/>
        <v>F216</v>
      </c>
      <c r="R102" s="37" t="str">
        <f t="shared" si="10"/>
        <v>MayF2</v>
      </c>
    </row>
    <row r="103" spans="1:18">
      <c r="A103" s="616">
        <f t="shared" si="11"/>
        <v>99</v>
      </c>
      <c r="B103" s="617">
        <v>5</v>
      </c>
      <c r="C103" s="618">
        <v>22793</v>
      </c>
      <c r="D103" s="618" t="s">
        <v>177</v>
      </c>
      <c r="E103" s="619">
        <v>27</v>
      </c>
      <c r="F103" s="603">
        <v>1962</v>
      </c>
      <c r="G103" s="617" t="s">
        <v>128</v>
      </c>
      <c r="H103" s="620" t="s">
        <v>149</v>
      </c>
      <c r="I103" s="621">
        <v>10</v>
      </c>
      <c r="J103" s="621">
        <v>0.1</v>
      </c>
      <c r="K103" s="603">
        <f t="shared" si="6"/>
        <v>17</v>
      </c>
      <c r="L103" s="604">
        <v>0.72916666666666663</v>
      </c>
      <c r="M103" s="605">
        <f t="shared" si="7"/>
        <v>0.72916666666666663</v>
      </c>
      <c r="N103" s="663"/>
      <c r="P103" s="37" t="str">
        <f t="shared" si="8"/>
        <v>1962F0</v>
      </c>
      <c r="Q103" s="37" t="str">
        <f t="shared" si="9"/>
        <v>F017</v>
      </c>
      <c r="R103" s="37" t="str">
        <f t="shared" si="10"/>
        <v>MayF0</v>
      </c>
    </row>
    <row r="104" spans="1:18">
      <c r="A104" s="616">
        <f t="shared" si="11"/>
        <v>100</v>
      </c>
      <c r="B104" s="617">
        <v>6</v>
      </c>
      <c r="C104" s="618">
        <v>22793</v>
      </c>
      <c r="D104" s="618" t="s">
        <v>177</v>
      </c>
      <c r="E104" s="619">
        <v>27</v>
      </c>
      <c r="F104" s="603">
        <v>1962</v>
      </c>
      <c r="G104" s="617" t="s">
        <v>132</v>
      </c>
      <c r="H104" s="620" t="s">
        <v>150</v>
      </c>
      <c r="I104" s="621">
        <v>50</v>
      </c>
      <c r="J104" s="621">
        <v>1.5</v>
      </c>
      <c r="K104" s="603">
        <f t="shared" si="6"/>
        <v>17</v>
      </c>
      <c r="L104" s="604">
        <v>0.72916666666666663</v>
      </c>
      <c r="M104" s="605">
        <f t="shared" si="7"/>
        <v>0.72916666666666663</v>
      </c>
      <c r="N104" s="663"/>
      <c r="P104" s="37" t="str">
        <f t="shared" si="8"/>
        <v>1962F1</v>
      </c>
      <c r="Q104" s="37" t="str">
        <f t="shared" si="9"/>
        <v>F117</v>
      </c>
      <c r="R104" s="37" t="str">
        <f t="shared" si="10"/>
        <v>MayF1</v>
      </c>
    </row>
    <row r="105" spans="1:18">
      <c r="A105" s="616">
        <f t="shared" si="11"/>
        <v>101</v>
      </c>
      <c r="B105" s="617">
        <v>7</v>
      </c>
      <c r="C105" s="618">
        <v>22793</v>
      </c>
      <c r="D105" s="618" t="s">
        <v>177</v>
      </c>
      <c r="E105" s="619">
        <v>27</v>
      </c>
      <c r="F105" s="603">
        <v>1962</v>
      </c>
      <c r="G105" s="617" t="s">
        <v>132</v>
      </c>
      <c r="H105" s="620" t="s">
        <v>151</v>
      </c>
      <c r="I105" s="621">
        <v>83</v>
      </c>
      <c r="J105" s="621">
        <v>1</v>
      </c>
      <c r="K105" s="603">
        <f t="shared" si="6"/>
        <v>17</v>
      </c>
      <c r="L105" s="604">
        <v>0.72916666666666663</v>
      </c>
      <c r="M105" s="605">
        <f t="shared" si="7"/>
        <v>0.72916666666666663</v>
      </c>
      <c r="N105" s="663"/>
      <c r="P105" s="37" t="str">
        <f t="shared" si="8"/>
        <v>1962F2</v>
      </c>
      <c r="Q105" s="37" t="str">
        <f t="shared" si="9"/>
        <v>F217</v>
      </c>
      <c r="R105" s="37" t="str">
        <f t="shared" si="10"/>
        <v>MayF2</v>
      </c>
    </row>
    <row r="106" spans="1:18">
      <c r="A106" s="616">
        <f t="shared" si="11"/>
        <v>102</v>
      </c>
      <c r="B106" s="617">
        <v>8</v>
      </c>
      <c r="C106" s="618">
        <v>22793</v>
      </c>
      <c r="D106" s="618" t="s">
        <v>177</v>
      </c>
      <c r="E106" s="619">
        <v>27</v>
      </c>
      <c r="F106" s="603">
        <v>1962</v>
      </c>
      <c r="G106" s="617" t="s">
        <v>132</v>
      </c>
      <c r="H106" s="620" t="s">
        <v>152</v>
      </c>
      <c r="I106" s="621">
        <v>200</v>
      </c>
      <c r="J106" s="621">
        <v>4.5</v>
      </c>
      <c r="K106" s="603">
        <f t="shared" si="6"/>
        <v>17</v>
      </c>
      <c r="L106" s="604">
        <v>0.72916666666666663</v>
      </c>
      <c r="M106" s="605">
        <f t="shared" si="7"/>
        <v>0.72916666666666663</v>
      </c>
      <c r="N106" s="663"/>
      <c r="P106" s="37" t="str">
        <f t="shared" si="8"/>
        <v>1962F3</v>
      </c>
      <c r="Q106" s="37" t="str">
        <f t="shared" si="9"/>
        <v>F317</v>
      </c>
      <c r="R106" s="37" t="str">
        <f t="shared" si="10"/>
        <v>MayF3</v>
      </c>
    </row>
    <row r="107" spans="1:18">
      <c r="A107" s="616">
        <f t="shared" si="11"/>
        <v>103</v>
      </c>
      <c r="B107" s="617">
        <v>9</v>
      </c>
      <c r="C107" s="618">
        <v>22800</v>
      </c>
      <c r="D107" s="618" t="s">
        <v>178</v>
      </c>
      <c r="E107" s="619">
        <v>3</v>
      </c>
      <c r="F107" s="603">
        <v>1962</v>
      </c>
      <c r="G107" s="617" t="s">
        <v>132</v>
      </c>
      <c r="H107" s="620" t="s">
        <v>150</v>
      </c>
      <c r="I107" s="621">
        <v>10</v>
      </c>
      <c r="J107" s="621">
        <v>0.1</v>
      </c>
      <c r="K107" s="603">
        <f t="shared" si="6"/>
        <v>16</v>
      </c>
      <c r="L107" s="604">
        <v>0.66666666666666663</v>
      </c>
      <c r="M107" s="605">
        <f t="shared" si="7"/>
        <v>0.66666666666666663</v>
      </c>
      <c r="N107" s="663"/>
      <c r="P107" s="37" t="str">
        <f t="shared" si="8"/>
        <v>1962F1</v>
      </c>
      <c r="Q107" s="37" t="str">
        <f t="shared" si="9"/>
        <v>F116</v>
      </c>
      <c r="R107" s="37" t="str">
        <f t="shared" si="10"/>
        <v>JuneF1</v>
      </c>
    </row>
    <row r="108" spans="1:18">
      <c r="A108" s="616">
        <f t="shared" si="11"/>
        <v>104</v>
      </c>
      <c r="B108" s="617">
        <v>10</v>
      </c>
      <c r="C108" s="618">
        <v>22803</v>
      </c>
      <c r="D108" s="618" t="s">
        <v>178</v>
      </c>
      <c r="E108" s="619">
        <v>6</v>
      </c>
      <c r="F108" s="603">
        <v>1962</v>
      </c>
      <c r="G108" s="617" t="s">
        <v>131</v>
      </c>
      <c r="H108" s="620" t="s">
        <v>149</v>
      </c>
      <c r="I108" s="621">
        <v>27</v>
      </c>
      <c r="J108" s="621">
        <v>1</v>
      </c>
      <c r="K108" s="603">
        <f t="shared" si="6"/>
        <v>17</v>
      </c>
      <c r="L108" s="604">
        <v>0.70833333333333337</v>
      </c>
      <c r="M108" s="605">
        <f t="shared" si="7"/>
        <v>0.70833333333333337</v>
      </c>
      <c r="N108" s="663"/>
      <c r="P108" s="37" t="str">
        <f t="shared" si="8"/>
        <v>1962F0</v>
      </c>
      <c r="Q108" s="37" t="str">
        <f t="shared" si="9"/>
        <v>F017</v>
      </c>
      <c r="R108" s="37" t="str">
        <f t="shared" si="10"/>
        <v>JuneF0</v>
      </c>
    </row>
    <row r="109" spans="1:18">
      <c r="A109" s="616">
        <f t="shared" si="11"/>
        <v>105</v>
      </c>
      <c r="B109" s="617">
        <v>11</v>
      </c>
      <c r="C109" s="618">
        <v>22803</v>
      </c>
      <c r="D109" s="618" t="s">
        <v>178</v>
      </c>
      <c r="E109" s="619">
        <v>6</v>
      </c>
      <c r="F109" s="603">
        <v>1962</v>
      </c>
      <c r="G109" s="617" t="s">
        <v>131</v>
      </c>
      <c r="H109" s="620" t="s">
        <v>150</v>
      </c>
      <c r="I109" s="621">
        <v>1320</v>
      </c>
      <c r="J109" s="621">
        <v>2.5</v>
      </c>
      <c r="K109" s="603">
        <f t="shared" si="6"/>
        <v>17</v>
      </c>
      <c r="L109" s="604">
        <v>0.70833333333333337</v>
      </c>
      <c r="M109" s="605">
        <f t="shared" si="7"/>
        <v>0.70833333333333337</v>
      </c>
      <c r="N109" s="663"/>
      <c r="P109" s="37" t="str">
        <f t="shared" si="8"/>
        <v>1962F1</v>
      </c>
      <c r="Q109" s="37" t="str">
        <f t="shared" si="9"/>
        <v>F117</v>
      </c>
      <c r="R109" s="37" t="str">
        <f t="shared" si="10"/>
        <v>JuneF1</v>
      </c>
    </row>
    <row r="110" spans="1:18">
      <c r="A110" s="616">
        <f t="shared" si="11"/>
        <v>106</v>
      </c>
      <c r="B110" s="617">
        <v>12</v>
      </c>
      <c r="C110" s="618">
        <v>22803</v>
      </c>
      <c r="D110" s="618" t="s">
        <v>178</v>
      </c>
      <c r="E110" s="619">
        <v>6</v>
      </c>
      <c r="F110" s="603">
        <v>1962</v>
      </c>
      <c r="G110" s="617" t="s">
        <v>127</v>
      </c>
      <c r="H110" s="620" t="s">
        <v>149</v>
      </c>
      <c r="I110" s="621">
        <v>10</v>
      </c>
      <c r="J110" s="621">
        <v>0.1</v>
      </c>
      <c r="K110" s="603">
        <f t="shared" si="6"/>
        <v>18</v>
      </c>
      <c r="L110" s="604">
        <v>0.75</v>
      </c>
      <c r="M110" s="605">
        <f t="shared" si="7"/>
        <v>0.75</v>
      </c>
      <c r="N110" s="663"/>
      <c r="P110" s="37" t="str">
        <f t="shared" si="8"/>
        <v>1962F0</v>
      </c>
      <c r="Q110" s="37" t="str">
        <f t="shared" si="9"/>
        <v>F018</v>
      </c>
      <c r="R110" s="37" t="str">
        <f t="shared" si="10"/>
        <v>JuneF0</v>
      </c>
    </row>
    <row r="111" spans="1:18">
      <c r="A111" s="616">
        <f t="shared" si="11"/>
        <v>107</v>
      </c>
      <c r="B111" s="617">
        <v>13</v>
      </c>
      <c r="C111" s="618">
        <v>22803</v>
      </c>
      <c r="D111" s="618" t="s">
        <v>178</v>
      </c>
      <c r="E111" s="619">
        <v>6</v>
      </c>
      <c r="F111" s="603">
        <v>1962</v>
      </c>
      <c r="G111" s="617" t="s">
        <v>138</v>
      </c>
      <c r="H111" s="620" t="s">
        <v>149</v>
      </c>
      <c r="I111" s="621">
        <v>100</v>
      </c>
      <c r="J111" s="621">
        <v>2</v>
      </c>
      <c r="K111" s="603">
        <f t="shared" si="6"/>
        <v>23</v>
      </c>
      <c r="L111" s="604">
        <v>0.96527777777777779</v>
      </c>
      <c r="M111" s="605">
        <f t="shared" si="7"/>
        <v>0.96527777777777779</v>
      </c>
      <c r="N111" s="663"/>
      <c r="P111" s="37" t="str">
        <f t="shared" si="8"/>
        <v>1962F0</v>
      </c>
      <c r="Q111" s="37" t="str">
        <f t="shared" si="9"/>
        <v>F023</v>
      </c>
      <c r="R111" s="37" t="str">
        <f t="shared" si="10"/>
        <v>JuneF0</v>
      </c>
    </row>
    <row r="112" spans="1:18">
      <c r="A112" s="616">
        <f t="shared" si="11"/>
        <v>108</v>
      </c>
      <c r="B112" s="617">
        <v>14</v>
      </c>
      <c r="C112" s="618">
        <v>22805</v>
      </c>
      <c r="D112" s="618" t="s">
        <v>178</v>
      </c>
      <c r="E112" s="619">
        <v>8</v>
      </c>
      <c r="F112" s="603">
        <v>1962</v>
      </c>
      <c r="G112" s="617" t="s">
        <v>127</v>
      </c>
      <c r="H112" s="620" t="s">
        <v>150</v>
      </c>
      <c r="I112" s="621">
        <v>10</v>
      </c>
      <c r="J112" s="621">
        <v>0.1</v>
      </c>
      <c r="K112" s="603">
        <f t="shared" si="6"/>
        <v>18</v>
      </c>
      <c r="L112" s="604">
        <v>0.77083333333333337</v>
      </c>
      <c r="M112" s="605">
        <f t="shared" si="7"/>
        <v>0.77083333333333337</v>
      </c>
      <c r="N112" s="663"/>
      <c r="P112" s="37" t="str">
        <f t="shared" si="8"/>
        <v>1962F1</v>
      </c>
      <c r="Q112" s="37" t="str">
        <f t="shared" si="9"/>
        <v>F118</v>
      </c>
      <c r="R112" s="37" t="str">
        <f t="shared" si="10"/>
        <v>JuneF1</v>
      </c>
    </row>
    <row r="113" spans="1:18">
      <c r="A113" s="616">
        <f t="shared" si="11"/>
        <v>109</v>
      </c>
      <c r="B113" s="617">
        <v>15</v>
      </c>
      <c r="C113" s="618">
        <v>22805</v>
      </c>
      <c r="D113" s="618" t="s">
        <v>178</v>
      </c>
      <c r="E113" s="619">
        <v>8</v>
      </c>
      <c r="F113" s="603">
        <v>1962</v>
      </c>
      <c r="G113" s="617" t="s">
        <v>128</v>
      </c>
      <c r="H113" s="620" t="s">
        <v>150</v>
      </c>
      <c r="I113" s="621">
        <v>10</v>
      </c>
      <c r="J113" s="621">
        <v>0.1</v>
      </c>
      <c r="K113" s="603">
        <f t="shared" si="6"/>
        <v>20</v>
      </c>
      <c r="L113" s="604">
        <v>0.84027777777777779</v>
      </c>
      <c r="M113" s="605">
        <f t="shared" si="7"/>
        <v>0.84027777777777779</v>
      </c>
      <c r="N113" s="663"/>
      <c r="P113" s="37" t="str">
        <f t="shared" si="8"/>
        <v>1962F1</v>
      </c>
      <c r="Q113" s="37" t="str">
        <f t="shared" si="9"/>
        <v>F120</v>
      </c>
      <c r="R113" s="37" t="str">
        <f t="shared" si="10"/>
        <v>JuneF1</v>
      </c>
    </row>
    <row r="114" spans="1:18">
      <c r="A114" s="616">
        <f t="shared" si="11"/>
        <v>110</v>
      </c>
      <c r="B114" s="617">
        <v>16</v>
      </c>
      <c r="C114" s="618">
        <v>22805</v>
      </c>
      <c r="D114" s="618" t="s">
        <v>178</v>
      </c>
      <c r="E114" s="619">
        <v>8</v>
      </c>
      <c r="F114" s="603">
        <v>1962</v>
      </c>
      <c r="G114" s="617" t="s">
        <v>128</v>
      </c>
      <c r="H114" s="620" t="s">
        <v>149</v>
      </c>
      <c r="I114" s="621">
        <v>10</v>
      </c>
      <c r="J114" s="621">
        <v>0.1</v>
      </c>
      <c r="K114" s="603">
        <f t="shared" si="6"/>
        <v>20</v>
      </c>
      <c r="L114" s="604">
        <v>0.84375</v>
      </c>
      <c r="M114" s="605">
        <f t="shared" si="7"/>
        <v>0.84375</v>
      </c>
      <c r="N114" s="663"/>
      <c r="P114" s="37" t="str">
        <f t="shared" si="8"/>
        <v>1962F0</v>
      </c>
      <c r="Q114" s="37" t="str">
        <f t="shared" si="9"/>
        <v>F020</v>
      </c>
      <c r="R114" s="37" t="str">
        <f t="shared" si="10"/>
        <v>JuneF0</v>
      </c>
    </row>
    <row r="115" spans="1:18">
      <c r="A115" s="616">
        <f t="shared" si="11"/>
        <v>111</v>
      </c>
      <c r="B115" s="617">
        <v>17</v>
      </c>
      <c r="C115" s="618">
        <v>22805</v>
      </c>
      <c r="D115" s="618" t="s">
        <v>178</v>
      </c>
      <c r="E115" s="619">
        <v>8</v>
      </c>
      <c r="F115" s="603">
        <v>1962</v>
      </c>
      <c r="G115" s="617" t="s">
        <v>128</v>
      </c>
      <c r="H115" s="620" t="s">
        <v>149</v>
      </c>
      <c r="I115" s="621">
        <v>10</v>
      </c>
      <c r="J115" s="621">
        <v>0.1</v>
      </c>
      <c r="K115" s="603">
        <f t="shared" si="6"/>
        <v>20</v>
      </c>
      <c r="L115" s="604">
        <v>0.84375</v>
      </c>
      <c r="M115" s="605">
        <f t="shared" si="7"/>
        <v>0.84375</v>
      </c>
      <c r="N115" s="663"/>
      <c r="P115" s="37" t="str">
        <f t="shared" si="8"/>
        <v>1962F0</v>
      </c>
      <c r="Q115" s="37" t="str">
        <f t="shared" si="9"/>
        <v>F020</v>
      </c>
      <c r="R115" s="37" t="str">
        <f t="shared" si="10"/>
        <v>JuneF0</v>
      </c>
    </row>
    <row r="116" spans="1:18">
      <c r="A116" s="616">
        <f t="shared" si="11"/>
        <v>112</v>
      </c>
      <c r="B116" s="617">
        <v>18</v>
      </c>
      <c r="C116" s="618">
        <v>22805</v>
      </c>
      <c r="D116" s="618" t="s">
        <v>178</v>
      </c>
      <c r="E116" s="619">
        <v>8</v>
      </c>
      <c r="F116" s="603">
        <v>1962</v>
      </c>
      <c r="G116" s="617" t="s">
        <v>128</v>
      </c>
      <c r="H116" s="620" t="s">
        <v>150</v>
      </c>
      <c r="I116" s="621">
        <v>10</v>
      </c>
      <c r="J116" s="621">
        <v>0.1</v>
      </c>
      <c r="K116" s="603">
        <f t="shared" si="6"/>
        <v>20</v>
      </c>
      <c r="L116" s="604">
        <v>0.84375</v>
      </c>
      <c r="M116" s="605">
        <f t="shared" si="7"/>
        <v>0.84375</v>
      </c>
      <c r="N116" s="663"/>
      <c r="P116" s="37" t="str">
        <f t="shared" si="8"/>
        <v>1962F1</v>
      </c>
      <c r="Q116" s="37" t="str">
        <f t="shared" si="9"/>
        <v>F120</v>
      </c>
      <c r="R116" s="37" t="str">
        <f t="shared" si="10"/>
        <v>JuneF1</v>
      </c>
    </row>
    <row r="117" spans="1:18">
      <c r="A117" s="616">
        <f t="shared" si="11"/>
        <v>113</v>
      </c>
      <c r="B117" s="617">
        <v>19</v>
      </c>
      <c r="C117" s="618">
        <v>22811</v>
      </c>
      <c r="D117" s="618" t="s">
        <v>178</v>
      </c>
      <c r="E117" s="619">
        <v>14</v>
      </c>
      <c r="F117" s="603">
        <v>1962</v>
      </c>
      <c r="G117" s="617" t="s">
        <v>145</v>
      </c>
      <c r="H117" s="620" t="s">
        <v>151</v>
      </c>
      <c r="I117" s="621">
        <v>67</v>
      </c>
      <c r="J117" s="621">
        <v>1.4</v>
      </c>
      <c r="K117" s="603">
        <f t="shared" si="6"/>
        <v>15</v>
      </c>
      <c r="L117" s="604">
        <v>0.625</v>
      </c>
      <c r="M117" s="605">
        <f t="shared" si="7"/>
        <v>0.625</v>
      </c>
      <c r="N117" s="663"/>
      <c r="P117" s="37" t="str">
        <f t="shared" si="8"/>
        <v>1962F2</v>
      </c>
      <c r="Q117" s="37" t="str">
        <f t="shared" si="9"/>
        <v>F215</v>
      </c>
      <c r="R117" s="37" t="str">
        <f t="shared" si="10"/>
        <v>JuneF2</v>
      </c>
    </row>
    <row r="118" spans="1:18">
      <c r="A118" s="616">
        <f t="shared" si="11"/>
        <v>114</v>
      </c>
      <c r="B118" s="617">
        <v>20</v>
      </c>
      <c r="C118" s="618">
        <v>22811</v>
      </c>
      <c r="D118" s="618" t="s">
        <v>178</v>
      </c>
      <c r="E118" s="619">
        <v>14</v>
      </c>
      <c r="F118" s="603">
        <v>1962</v>
      </c>
      <c r="G118" s="617" t="s">
        <v>145</v>
      </c>
      <c r="H118" s="620" t="s">
        <v>150</v>
      </c>
      <c r="I118" s="621">
        <v>13</v>
      </c>
      <c r="J118" s="621">
        <v>4.7</v>
      </c>
      <c r="K118" s="603">
        <f t="shared" si="6"/>
        <v>19</v>
      </c>
      <c r="L118" s="604">
        <v>0.81944444444444453</v>
      </c>
      <c r="M118" s="605">
        <f t="shared" si="7"/>
        <v>0.81944444444444453</v>
      </c>
      <c r="N118" s="663"/>
      <c r="P118" s="37" t="str">
        <f t="shared" si="8"/>
        <v>1962F1</v>
      </c>
      <c r="Q118" s="37" t="str">
        <f t="shared" si="9"/>
        <v>F119</v>
      </c>
      <c r="R118" s="37" t="str">
        <f t="shared" si="10"/>
        <v>JuneF1</v>
      </c>
    </row>
    <row r="119" spans="1:18">
      <c r="A119" s="616">
        <f t="shared" si="11"/>
        <v>115</v>
      </c>
      <c r="B119" s="617">
        <v>21</v>
      </c>
      <c r="C119" s="618">
        <v>22811</v>
      </c>
      <c r="D119" s="618" t="s">
        <v>178</v>
      </c>
      <c r="E119" s="619">
        <v>14</v>
      </c>
      <c r="F119" s="603">
        <v>1962</v>
      </c>
      <c r="G119" s="617" t="s">
        <v>145</v>
      </c>
      <c r="H119" s="620" t="s">
        <v>150</v>
      </c>
      <c r="I119" s="621">
        <v>27</v>
      </c>
      <c r="J119" s="621">
        <v>2</v>
      </c>
      <c r="K119" s="603">
        <f t="shared" si="6"/>
        <v>19</v>
      </c>
      <c r="L119" s="604">
        <v>0.83125000000000004</v>
      </c>
      <c r="M119" s="605">
        <f t="shared" si="7"/>
        <v>0.83125000000000004</v>
      </c>
      <c r="N119" s="663"/>
      <c r="P119" s="37" t="str">
        <f t="shared" si="8"/>
        <v>1962F1</v>
      </c>
      <c r="Q119" s="37" t="str">
        <f t="shared" si="9"/>
        <v>F119</v>
      </c>
      <c r="R119" s="37" t="str">
        <f t="shared" si="10"/>
        <v>JuneF1</v>
      </c>
    </row>
    <row r="120" spans="1:18">
      <c r="A120" s="616">
        <f t="shared" si="11"/>
        <v>116</v>
      </c>
      <c r="B120" s="617">
        <v>22</v>
      </c>
      <c r="C120" s="618">
        <v>22811</v>
      </c>
      <c r="D120" s="618" t="s">
        <v>178</v>
      </c>
      <c r="E120" s="619">
        <v>14</v>
      </c>
      <c r="F120" s="603">
        <v>1962</v>
      </c>
      <c r="G120" s="617" t="s">
        <v>145</v>
      </c>
      <c r="H120" s="620" t="s">
        <v>149</v>
      </c>
      <c r="I120" s="621">
        <v>33</v>
      </c>
      <c r="J120" s="621">
        <v>2</v>
      </c>
      <c r="K120" s="603">
        <f t="shared" si="6"/>
        <v>20</v>
      </c>
      <c r="L120" s="604">
        <v>0.84097222222222223</v>
      </c>
      <c r="M120" s="605">
        <f t="shared" si="7"/>
        <v>0.84097222222222223</v>
      </c>
      <c r="N120" s="663"/>
      <c r="P120" s="37" t="str">
        <f t="shared" si="8"/>
        <v>1962F0</v>
      </c>
      <c r="Q120" s="37" t="str">
        <f t="shared" si="9"/>
        <v>F020</v>
      </c>
      <c r="R120" s="37" t="str">
        <f t="shared" si="10"/>
        <v>JuneF0</v>
      </c>
    </row>
    <row r="121" spans="1:18">
      <c r="A121" s="616">
        <f t="shared" si="11"/>
        <v>117</v>
      </c>
      <c r="B121" s="617">
        <v>23</v>
      </c>
      <c r="C121" s="618">
        <v>22811</v>
      </c>
      <c r="D121" s="618" t="s">
        <v>178</v>
      </c>
      <c r="E121" s="619">
        <v>14</v>
      </c>
      <c r="F121" s="603">
        <v>1962</v>
      </c>
      <c r="G121" s="617" t="s">
        <v>140</v>
      </c>
      <c r="H121" s="620" t="s">
        <v>150</v>
      </c>
      <c r="I121" s="621">
        <v>33</v>
      </c>
      <c r="J121" s="621">
        <v>0.5</v>
      </c>
      <c r="K121" s="603">
        <f t="shared" si="6"/>
        <v>21</v>
      </c>
      <c r="L121" s="604">
        <v>0.875</v>
      </c>
      <c r="M121" s="605">
        <f t="shared" si="7"/>
        <v>0.875</v>
      </c>
      <c r="N121" s="663"/>
      <c r="P121" s="37" t="str">
        <f t="shared" si="8"/>
        <v>1962F1</v>
      </c>
      <c r="Q121" s="37" t="str">
        <f t="shared" si="9"/>
        <v>F121</v>
      </c>
      <c r="R121" s="37" t="str">
        <f t="shared" si="10"/>
        <v>JuneF1</v>
      </c>
    </row>
    <row r="122" spans="1:18">
      <c r="A122" s="616">
        <f t="shared" si="11"/>
        <v>118</v>
      </c>
      <c r="B122" s="617">
        <v>24</v>
      </c>
      <c r="C122" s="618">
        <v>22819</v>
      </c>
      <c r="D122" s="618" t="s">
        <v>178</v>
      </c>
      <c r="E122" s="619">
        <v>22</v>
      </c>
      <c r="F122" s="603">
        <v>1962</v>
      </c>
      <c r="G122" s="617" t="s">
        <v>128</v>
      </c>
      <c r="H122" s="620" t="s">
        <v>149</v>
      </c>
      <c r="I122" s="621">
        <v>10</v>
      </c>
      <c r="J122" s="621">
        <v>0.1</v>
      </c>
      <c r="K122" s="603">
        <f t="shared" si="6"/>
        <v>22</v>
      </c>
      <c r="L122" s="604">
        <v>0.95347222222222217</v>
      </c>
      <c r="M122" s="605">
        <f t="shared" si="7"/>
        <v>0.95347222222222217</v>
      </c>
      <c r="N122" s="663"/>
      <c r="P122" s="37" t="str">
        <f t="shared" si="8"/>
        <v>1962F0</v>
      </c>
      <c r="Q122" s="37" t="str">
        <f t="shared" si="9"/>
        <v>F022</v>
      </c>
      <c r="R122" s="37" t="str">
        <f t="shared" si="10"/>
        <v>JuneF0</v>
      </c>
    </row>
    <row r="123" spans="1:18">
      <c r="A123" s="616">
        <f t="shared" si="11"/>
        <v>119</v>
      </c>
      <c r="B123" s="617">
        <v>25</v>
      </c>
      <c r="C123" s="618">
        <v>22821</v>
      </c>
      <c r="D123" s="618" t="s">
        <v>178</v>
      </c>
      <c r="E123" s="619">
        <v>24</v>
      </c>
      <c r="F123" s="603">
        <v>1962</v>
      </c>
      <c r="G123" s="617" t="s">
        <v>140</v>
      </c>
      <c r="H123" s="620" t="s">
        <v>151</v>
      </c>
      <c r="I123" s="621">
        <v>27</v>
      </c>
      <c r="J123" s="621">
        <v>1.5</v>
      </c>
      <c r="K123" s="603">
        <f t="shared" si="6"/>
        <v>0</v>
      </c>
      <c r="L123" s="604">
        <v>3.472222222222222E-3</v>
      </c>
      <c r="M123" s="605">
        <f t="shared" si="7"/>
        <v>3.472222222222222E-3</v>
      </c>
      <c r="N123" s="663"/>
      <c r="P123" s="37" t="str">
        <f t="shared" si="8"/>
        <v>1962F2</v>
      </c>
      <c r="Q123" s="37" t="str">
        <f t="shared" si="9"/>
        <v>F20</v>
      </c>
      <c r="R123" s="37" t="str">
        <f t="shared" si="10"/>
        <v>JuneF2</v>
      </c>
    </row>
    <row r="124" spans="1:18">
      <c r="A124" s="616">
        <f t="shared" si="11"/>
        <v>120</v>
      </c>
      <c r="B124" s="617">
        <v>26</v>
      </c>
      <c r="C124" s="618">
        <v>22888</v>
      </c>
      <c r="D124" s="618" t="s">
        <v>180</v>
      </c>
      <c r="E124" s="619">
        <v>30</v>
      </c>
      <c r="F124" s="603">
        <v>1962</v>
      </c>
      <c r="G124" s="617" t="s">
        <v>126</v>
      </c>
      <c r="H124" s="620" t="s">
        <v>150</v>
      </c>
      <c r="I124" s="621">
        <v>10</v>
      </c>
      <c r="J124" s="621">
        <v>0.1</v>
      </c>
      <c r="K124" s="603">
        <f t="shared" si="6"/>
        <v>19</v>
      </c>
      <c r="L124" s="604">
        <v>0.79166666666666663</v>
      </c>
      <c r="M124" s="605">
        <f t="shared" si="7"/>
        <v>0.79166666666666663</v>
      </c>
      <c r="N124" s="663"/>
      <c r="P124" s="37" t="str">
        <f t="shared" si="8"/>
        <v>1962F1</v>
      </c>
      <c r="Q124" s="37" t="str">
        <f t="shared" si="9"/>
        <v>F119</v>
      </c>
      <c r="R124" s="37" t="str">
        <f t="shared" si="10"/>
        <v>AugustF1</v>
      </c>
    </row>
    <row r="125" spans="1:18">
      <c r="A125" s="616">
        <f t="shared" si="11"/>
        <v>121</v>
      </c>
      <c r="B125" s="617">
        <v>1</v>
      </c>
      <c r="C125" s="618">
        <v>23135</v>
      </c>
      <c r="D125" s="618" t="s">
        <v>177</v>
      </c>
      <c r="E125" s="619">
        <v>4</v>
      </c>
      <c r="F125" s="603">
        <v>1963</v>
      </c>
      <c r="G125" s="617" t="s">
        <v>136</v>
      </c>
      <c r="H125" s="620" t="s">
        <v>149</v>
      </c>
      <c r="I125" s="621">
        <v>33</v>
      </c>
      <c r="J125" s="621">
        <v>1</v>
      </c>
      <c r="K125" s="603">
        <f t="shared" si="6"/>
        <v>15</v>
      </c>
      <c r="L125" s="604">
        <v>0.625</v>
      </c>
      <c r="M125" s="605">
        <f t="shared" si="7"/>
        <v>0.625</v>
      </c>
      <c r="N125" s="663"/>
      <c r="P125" s="37" t="str">
        <f t="shared" si="8"/>
        <v>1963F0</v>
      </c>
      <c r="Q125" s="37" t="str">
        <f t="shared" si="9"/>
        <v>F015</v>
      </c>
      <c r="R125" s="37" t="str">
        <f t="shared" si="10"/>
        <v>MayF0</v>
      </c>
    </row>
    <row r="126" spans="1:18">
      <c r="A126" s="616">
        <f t="shared" si="11"/>
        <v>122</v>
      </c>
      <c r="B126" s="617">
        <v>2</v>
      </c>
      <c r="C126" s="618">
        <v>23177</v>
      </c>
      <c r="D126" s="618" t="s">
        <v>178</v>
      </c>
      <c r="E126" s="619">
        <v>15</v>
      </c>
      <c r="F126" s="603">
        <v>1963</v>
      </c>
      <c r="G126" s="617" t="s">
        <v>127</v>
      </c>
      <c r="H126" s="620" t="s">
        <v>150</v>
      </c>
      <c r="I126" s="621">
        <v>10</v>
      </c>
      <c r="J126" s="621">
        <v>0.1</v>
      </c>
      <c r="K126" s="603">
        <f t="shared" si="6"/>
        <v>23</v>
      </c>
      <c r="L126" s="604">
        <v>0.97916666666666663</v>
      </c>
      <c r="M126" s="605">
        <f t="shared" si="7"/>
        <v>0.97916666666666663</v>
      </c>
      <c r="N126" s="663"/>
      <c r="P126" s="37" t="str">
        <f t="shared" si="8"/>
        <v>1963F1</v>
      </c>
      <c r="Q126" s="37" t="str">
        <f t="shared" si="9"/>
        <v>F123</v>
      </c>
      <c r="R126" s="37" t="str">
        <f t="shared" si="10"/>
        <v>JuneF1</v>
      </c>
    </row>
    <row r="127" spans="1:18">
      <c r="A127" s="616">
        <f t="shared" si="11"/>
        <v>123</v>
      </c>
      <c r="B127" s="617">
        <v>3</v>
      </c>
      <c r="C127" s="618">
        <v>23203</v>
      </c>
      <c r="D127" s="618" t="s">
        <v>179</v>
      </c>
      <c r="E127" s="619">
        <v>11</v>
      </c>
      <c r="F127" s="603">
        <v>1963</v>
      </c>
      <c r="G127" s="617" t="s">
        <v>134</v>
      </c>
      <c r="H127" s="620" t="s">
        <v>149</v>
      </c>
      <c r="I127" s="621">
        <v>33</v>
      </c>
      <c r="J127" s="621">
        <v>0.8</v>
      </c>
      <c r="K127" s="603">
        <f t="shared" si="6"/>
        <v>21</v>
      </c>
      <c r="L127" s="604">
        <v>0.875</v>
      </c>
      <c r="M127" s="605">
        <f t="shared" si="7"/>
        <v>0.875</v>
      </c>
      <c r="N127" s="663"/>
      <c r="P127" s="37" t="str">
        <f t="shared" si="8"/>
        <v>1963F0</v>
      </c>
      <c r="Q127" s="37" t="str">
        <f t="shared" si="9"/>
        <v>F021</v>
      </c>
      <c r="R127" s="37" t="str">
        <f t="shared" si="10"/>
        <v>JulyF0</v>
      </c>
    </row>
    <row r="128" spans="1:18">
      <c r="A128" s="616">
        <f t="shared" si="11"/>
        <v>124</v>
      </c>
      <c r="B128" s="617">
        <v>4</v>
      </c>
      <c r="C128" s="618">
        <v>23207</v>
      </c>
      <c r="D128" s="618" t="s">
        <v>179</v>
      </c>
      <c r="E128" s="619">
        <v>15</v>
      </c>
      <c r="F128" s="603">
        <v>1963</v>
      </c>
      <c r="G128" s="617" t="s">
        <v>128</v>
      </c>
      <c r="H128" s="620" t="s">
        <v>152</v>
      </c>
      <c r="I128" s="621">
        <v>10</v>
      </c>
      <c r="J128" s="621">
        <v>0.1</v>
      </c>
      <c r="K128" s="603">
        <f t="shared" si="6"/>
        <v>20</v>
      </c>
      <c r="L128" s="604">
        <v>0.84375</v>
      </c>
      <c r="M128" s="605">
        <f t="shared" si="7"/>
        <v>0.84375</v>
      </c>
      <c r="N128" s="663"/>
      <c r="P128" s="37" t="str">
        <f t="shared" si="8"/>
        <v>1963F3</v>
      </c>
      <c r="Q128" s="37" t="str">
        <f t="shared" si="9"/>
        <v>F320</v>
      </c>
      <c r="R128" s="37" t="str">
        <f t="shared" si="10"/>
        <v>JulyF3</v>
      </c>
    </row>
    <row r="129" spans="1:18">
      <c r="A129" s="616">
        <f t="shared" si="11"/>
        <v>125</v>
      </c>
      <c r="B129" s="617">
        <v>5</v>
      </c>
      <c r="C129" s="618">
        <v>23207</v>
      </c>
      <c r="D129" s="618" t="s">
        <v>179</v>
      </c>
      <c r="E129" s="619">
        <v>15</v>
      </c>
      <c r="F129" s="603">
        <v>1963</v>
      </c>
      <c r="G129" s="617" t="s">
        <v>128</v>
      </c>
      <c r="H129" s="620" t="s">
        <v>151</v>
      </c>
      <c r="I129" s="621">
        <v>10</v>
      </c>
      <c r="J129" s="621">
        <v>0.1</v>
      </c>
      <c r="K129" s="603">
        <f t="shared" si="6"/>
        <v>20</v>
      </c>
      <c r="L129" s="604">
        <v>0.84722222222222221</v>
      </c>
      <c r="M129" s="605">
        <f t="shared" si="7"/>
        <v>0.84722222222222221</v>
      </c>
      <c r="N129" s="663"/>
      <c r="P129" s="37" t="str">
        <f t="shared" si="8"/>
        <v>1963F2</v>
      </c>
      <c r="Q129" s="37" t="str">
        <f t="shared" si="9"/>
        <v>F220</v>
      </c>
      <c r="R129" s="37" t="str">
        <f t="shared" si="10"/>
        <v>JulyF2</v>
      </c>
    </row>
    <row r="130" spans="1:18">
      <c r="A130" s="616">
        <f t="shared" si="11"/>
        <v>126</v>
      </c>
      <c r="B130" s="617">
        <v>1</v>
      </c>
      <c r="C130" s="618">
        <v>23507</v>
      </c>
      <c r="D130" s="618" t="s">
        <v>177</v>
      </c>
      <c r="E130" s="619">
        <v>10</v>
      </c>
      <c r="F130" s="603">
        <v>1964</v>
      </c>
      <c r="G130" s="617" t="s">
        <v>126</v>
      </c>
      <c r="H130" s="620" t="s">
        <v>149</v>
      </c>
      <c r="I130" s="621">
        <v>10</v>
      </c>
      <c r="J130" s="621">
        <v>0.1</v>
      </c>
      <c r="K130" s="603">
        <f t="shared" si="6"/>
        <v>15</v>
      </c>
      <c r="L130" s="604">
        <v>0.625</v>
      </c>
      <c r="M130" s="605">
        <f t="shared" si="7"/>
        <v>0.625</v>
      </c>
      <c r="N130" s="663"/>
      <c r="P130" s="37" t="str">
        <f t="shared" si="8"/>
        <v>1964F0</v>
      </c>
      <c r="Q130" s="37" t="str">
        <f t="shared" si="9"/>
        <v>F015</v>
      </c>
      <c r="R130" s="37" t="str">
        <f t="shared" si="10"/>
        <v>MayF0</v>
      </c>
    </row>
    <row r="131" spans="1:18">
      <c r="A131" s="616">
        <f t="shared" si="11"/>
        <v>127</v>
      </c>
      <c r="B131" s="617">
        <v>2</v>
      </c>
      <c r="C131" s="618">
        <v>23540</v>
      </c>
      <c r="D131" s="618" t="s">
        <v>178</v>
      </c>
      <c r="E131" s="619">
        <v>12</v>
      </c>
      <c r="F131" s="603">
        <v>1964</v>
      </c>
      <c r="G131" s="617" t="s">
        <v>144</v>
      </c>
      <c r="H131" s="620" t="s">
        <v>149</v>
      </c>
      <c r="I131" s="621">
        <v>13</v>
      </c>
      <c r="J131" s="621">
        <v>0.5</v>
      </c>
      <c r="K131" s="603">
        <f t="shared" si="6"/>
        <v>15</v>
      </c>
      <c r="L131" s="604">
        <v>0.625</v>
      </c>
      <c r="M131" s="605">
        <f t="shared" si="7"/>
        <v>0.625</v>
      </c>
      <c r="N131" s="663"/>
      <c r="P131" s="37" t="str">
        <f t="shared" si="8"/>
        <v>1964F0</v>
      </c>
      <c r="Q131" s="37" t="str">
        <f t="shared" si="9"/>
        <v>F015</v>
      </c>
      <c r="R131" s="37" t="str">
        <f t="shared" si="10"/>
        <v>JuneF0</v>
      </c>
    </row>
    <row r="132" spans="1:18">
      <c r="A132" s="616">
        <f t="shared" si="11"/>
        <v>128</v>
      </c>
      <c r="B132" s="617">
        <v>3</v>
      </c>
      <c r="C132" s="618">
        <v>23550</v>
      </c>
      <c r="D132" s="618" t="s">
        <v>178</v>
      </c>
      <c r="E132" s="619">
        <v>22</v>
      </c>
      <c r="F132" s="603">
        <v>1964</v>
      </c>
      <c r="G132" s="617" t="s">
        <v>138</v>
      </c>
      <c r="H132" s="620" t="s">
        <v>149</v>
      </c>
      <c r="I132" s="621">
        <v>17</v>
      </c>
      <c r="J132" s="621">
        <v>1</v>
      </c>
      <c r="K132" s="603">
        <f t="shared" si="6"/>
        <v>17</v>
      </c>
      <c r="L132" s="604">
        <v>0.72916666666666663</v>
      </c>
      <c r="M132" s="605">
        <f t="shared" si="7"/>
        <v>0.72916666666666663</v>
      </c>
      <c r="N132" s="663"/>
      <c r="P132" s="37" t="str">
        <f t="shared" si="8"/>
        <v>1964F0</v>
      </c>
      <c r="Q132" s="37" t="str">
        <f t="shared" si="9"/>
        <v>F017</v>
      </c>
      <c r="R132" s="37" t="str">
        <f t="shared" si="10"/>
        <v>JuneF0</v>
      </c>
    </row>
    <row r="133" spans="1:18">
      <c r="A133" s="616">
        <f t="shared" si="11"/>
        <v>129</v>
      </c>
      <c r="B133" s="617">
        <v>4</v>
      </c>
      <c r="C133" s="618">
        <v>23608</v>
      </c>
      <c r="D133" s="618" t="s">
        <v>180</v>
      </c>
      <c r="E133" s="619">
        <v>19</v>
      </c>
      <c r="F133" s="603">
        <v>1964</v>
      </c>
      <c r="G133" s="617" t="s">
        <v>135</v>
      </c>
      <c r="H133" s="620" t="s">
        <v>151</v>
      </c>
      <c r="I133" s="621">
        <v>33</v>
      </c>
      <c r="J133" s="621">
        <v>0.5</v>
      </c>
      <c r="K133" s="603">
        <f t="shared" ref="K133:K196" si="12">HOUR(M133)</f>
        <v>18</v>
      </c>
      <c r="L133" s="604">
        <v>0.77083333333333337</v>
      </c>
      <c r="M133" s="605">
        <f t="shared" ref="M133:M196" si="13">+L133</f>
        <v>0.77083333333333337</v>
      </c>
      <c r="N133" s="663"/>
      <c r="P133" s="37" t="str">
        <f t="shared" si="8"/>
        <v>1964F2</v>
      </c>
      <c r="Q133" s="37" t="str">
        <f t="shared" si="9"/>
        <v>F218</v>
      </c>
      <c r="R133" s="37" t="str">
        <f t="shared" si="10"/>
        <v>AugustF2</v>
      </c>
    </row>
    <row r="134" spans="1:18">
      <c r="A134" s="616">
        <f t="shared" si="11"/>
        <v>130</v>
      </c>
      <c r="B134" s="617">
        <v>1</v>
      </c>
      <c r="C134" s="618">
        <v>23866</v>
      </c>
      <c r="D134" s="618" t="s">
        <v>177</v>
      </c>
      <c r="E134" s="619">
        <v>4</v>
      </c>
      <c r="F134" s="603">
        <v>1965</v>
      </c>
      <c r="G134" s="617" t="s">
        <v>140</v>
      </c>
      <c r="H134" s="620" t="s">
        <v>151</v>
      </c>
      <c r="I134" s="621">
        <v>20</v>
      </c>
      <c r="J134" s="621">
        <v>1</v>
      </c>
      <c r="K134" s="603">
        <f t="shared" si="12"/>
        <v>18</v>
      </c>
      <c r="L134" s="604">
        <v>0.77777777777777779</v>
      </c>
      <c r="M134" s="605">
        <f t="shared" si="13"/>
        <v>0.77777777777777779</v>
      </c>
      <c r="N134" s="663"/>
      <c r="P134" s="37" t="str">
        <f t="shared" ref="P134:P197" si="14">CONCATENATE(F134,H134)</f>
        <v>1965F2</v>
      </c>
      <c r="Q134" s="37" t="str">
        <f t="shared" ref="Q134:Q197" si="15">CONCATENATE(H134,K134)</f>
        <v>F218</v>
      </c>
      <c r="R134" s="37" t="str">
        <f t="shared" ref="R134:R197" si="16">CONCATENATE(D134,H134)</f>
        <v>MayF2</v>
      </c>
    </row>
    <row r="135" spans="1:18">
      <c r="A135" s="616">
        <f t="shared" ref="A135:A198" si="17">+A134+1</f>
        <v>131</v>
      </c>
      <c r="B135" s="617">
        <v>2</v>
      </c>
      <c r="C135" s="618">
        <v>23866</v>
      </c>
      <c r="D135" s="618" t="s">
        <v>177</v>
      </c>
      <c r="E135" s="619">
        <v>4</v>
      </c>
      <c r="F135" s="603">
        <v>1965</v>
      </c>
      <c r="G135" s="617" t="s">
        <v>134</v>
      </c>
      <c r="H135" s="620" t="s">
        <v>149</v>
      </c>
      <c r="I135" s="621">
        <v>33</v>
      </c>
      <c r="J135" s="621">
        <v>4.5999999999999996</v>
      </c>
      <c r="K135" s="603">
        <f t="shared" si="12"/>
        <v>20</v>
      </c>
      <c r="L135" s="604">
        <v>0.83333333333333337</v>
      </c>
      <c r="M135" s="605">
        <f t="shared" si="13"/>
        <v>0.83333333333333337</v>
      </c>
      <c r="N135" s="663"/>
      <c r="P135" s="37" t="str">
        <f t="shared" si="14"/>
        <v>1965F0</v>
      </c>
      <c r="Q135" s="37" t="str">
        <f t="shared" si="15"/>
        <v>F020</v>
      </c>
      <c r="R135" s="37" t="str">
        <f t="shared" si="16"/>
        <v>MayF0</v>
      </c>
    </row>
    <row r="136" spans="1:18">
      <c r="A136" s="616">
        <f t="shared" si="17"/>
        <v>132</v>
      </c>
      <c r="B136" s="617">
        <v>3</v>
      </c>
      <c r="C136" s="618">
        <v>23866</v>
      </c>
      <c r="D136" s="618" t="s">
        <v>177</v>
      </c>
      <c r="E136" s="619">
        <v>4</v>
      </c>
      <c r="F136" s="603">
        <v>1965</v>
      </c>
      <c r="G136" s="617" t="s">
        <v>136</v>
      </c>
      <c r="H136" s="620" t="s">
        <v>151</v>
      </c>
      <c r="I136" s="621">
        <v>100</v>
      </c>
      <c r="J136" s="621">
        <v>0.5</v>
      </c>
      <c r="K136" s="603">
        <f t="shared" si="12"/>
        <v>20</v>
      </c>
      <c r="L136" s="604">
        <v>0.83611111111111114</v>
      </c>
      <c r="M136" s="605">
        <f t="shared" si="13"/>
        <v>0.83611111111111114</v>
      </c>
      <c r="N136" s="663"/>
      <c r="P136" s="37" t="str">
        <f t="shared" si="14"/>
        <v>1965F2</v>
      </c>
      <c r="Q136" s="37" t="str">
        <f t="shared" si="15"/>
        <v>F220</v>
      </c>
      <c r="R136" s="37" t="str">
        <f t="shared" si="16"/>
        <v>MayF2</v>
      </c>
    </row>
    <row r="137" spans="1:18">
      <c r="A137" s="616">
        <f t="shared" si="17"/>
        <v>133</v>
      </c>
      <c r="B137" s="617">
        <v>4</v>
      </c>
      <c r="C137" s="618">
        <v>23869</v>
      </c>
      <c r="D137" s="618" t="s">
        <v>177</v>
      </c>
      <c r="E137" s="619">
        <v>7</v>
      </c>
      <c r="F137" s="603">
        <v>1965</v>
      </c>
      <c r="G137" s="617" t="s">
        <v>143</v>
      </c>
      <c r="H137" s="620" t="s">
        <v>149</v>
      </c>
      <c r="I137" s="621">
        <v>17</v>
      </c>
      <c r="J137" s="621">
        <v>0.8</v>
      </c>
      <c r="K137" s="603">
        <f t="shared" si="12"/>
        <v>18</v>
      </c>
      <c r="L137" s="604">
        <v>0.78472222222222221</v>
      </c>
      <c r="M137" s="605">
        <f t="shared" si="13"/>
        <v>0.78472222222222221</v>
      </c>
      <c r="N137" s="663"/>
      <c r="P137" s="37" t="str">
        <f t="shared" si="14"/>
        <v>1965F0</v>
      </c>
      <c r="Q137" s="37" t="str">
        <f t="shared" si="15"/>
        <v>F018</v>
      </c>
      <c r="R137" s="37" t="str">
        <f t="shared" si="16"/>
        <v>MayF0</v>
      </c>
    </row>
    <row r="138" spans="1:18">
      <c r="A138" s="616">
        <f t="shared" si="17"/>
        <v>134</v>
      </c>
      <c r="B138" s="617">
        <v>5</v>
      </c>
      <c r="C138" s="618">
        <v>23887</v>
      </c>
      <c r="D138" s="618" t="s">
        <v>177</v>
      </c>
      <c r="E138" s="619">
        <v>25</v>
      </c>
      <c r="F138" s="603">
        <v>1965</v>
      </c>
      <c r="G138" s="617" t="s">
        <v>138</v>
      </c>
      <c r="H138" s="620" t="s">
        <v>149</v>
      </c>
      <c r="I138" s="621">
        <v>10</v>
      </c>
      <c r="J138" s="621">
        <v>0.1</v>
      </c>
      <c r="K138" s="603">
        <f t="shared" si="12"/>
        <v>19</v>
      </c>
      <c r="L138" s="604">
        <v>0.81944444444444453</v>
      </c>
      <c r="M138" s="605">
        <f t="shared" si="13"/>
        <v>0.81944444444444453</v>
      </c>
      <c r="N138" s="663"/>
      <c r="P138" s="37" t="str">
        <f t="shared" si="14"/>
        <v>1965F0</v>
      </c>
      <c r="Q138" s="37" t="str">
        <f t="shared" si="15"/>
        <v>F019</v>
      </c>
      <c r="R138" s="37" t="str">
        <f t="shared" si="16"/>
        <v>MayF0</v>
      </c>
    </row>
    <row r="139" spans="1:18">
      <c r="A139" s="616">
        <f t="shared" si="17"/>
        <v>135</v>
      </c>
      <c r="B139" s="617">
        <v>6</v>
      </c>
      <c r="C139" s="618">
        <v>23896</v>
      </c>
      <c r="D139" s="618" t="s">
        <v>178</v>
      </c>
      <c r="E139" s="619">
        <v>3</v>
      </c>
      <c r="F139" s="603">
        <v>1965</v>
      </c>
      <c r="G139" s="617" t="s">
        <v>136</v>
      </c>
      <c r="H139" s="620" t="s">
        <v>149</v>
      </c>
      <c r="I139" s="621">
        <v>17</v>
      </c>
      <c r="J139" s="621">
        <v>0.2</v>
      </c>
      <c r="K139" s="603">
        <f t="shared" si="12"/>
        <v>21</v>
      </c>
      <c r="L139" s="604">
        <v>0.875</v>
      </c>
      <c r="M139" s="605">
        <f t="shared" si="13"/>
        <v>0.875</v>
      </c>
      <c r="N139" s="663"/>
      <c r="P139" s="37" t="str">
        <f t="shared" si="14"/>
        <v>1965F0</v>
      </c>
      <c r="Q139" s="37" t="str">
        <f t="shared" si="15"/>
        <v>F021</v>
      </c>
      <c r="R139" s="37" t="str">
        <f t="shared" si="16"/>
        <v>JuneF0</v>
      </c>
    </row>
    <row r="140" spans="1:18">
      <c r="A140" s="616">
        <f t="shared" si="17"/>
        <v>136</v>
      </c>
      <c r="B140" s="617">
        <v>7</v>
      </c>
      <c r="C140" s="618">
        <v>23896</v>
      </c>
      <c r="D140" s="618" t="s">
        <v>178</v>
      </c>
      <c r="E140" s="619">
        <v>3</v>
      </c>
      <c r="F140" s="603">
        <v>1965</v>
      </c>
      <c r="G140" s="617" t="s">
        <v>148</v>
      </c>
      <c r="H140" s="620" t="s">
        <v>152</v>
      </c>
      <c r="I140" s="621">
        <v>33</v>
      </c>
      <c r="J140" s="621">
        <v>8.8000000000000007</v>
      </c>
      <c r="K140" s="603">
        <f t="shared" si="12"/>
        <v>22</v>
      </c>
      <c r="L140" s="604">
        <v>0.91666666666666663</v>
      </c>
      <c r="M140" s="605">
        <f t="shared" si="13"/>
        <v>0.91666666666666663</v>
      </c>
      <c r="N140" s="663"/>
      <c r="P140" s="37" t="str">
        <f t="shared" si="14"/>
        <v>1965F3</v>
      </c>
      <c r="Q140" s="37" t="str">
        <f t="shared" si="15"/>
        <v>F322</v>
      </c>
      <c r="R140" s="37" t="str">
        <f t="shared" si="16"/>
        <v>JuneF3</v>
      </c>
    </row>
    <row r="141" spans="1:18">
      <c r="A141" s="616">
        <f t="shared" si="17"/>
        <v>137</v>
      </c>
      <c r="B141" s="617">
        <v>8</v>
      </c>
      <c r="C141" s="618">
        <v>23897</v>
      </c>
      <c r="D141" s="618" t="s">
        <v>178</v>
      </c>
      <c r="E141" s="619">
        <v>4</v>
      </c>
      <c r="F141" s="603">
        <v>1965</v>
      </c>
      <c r="G141" s="617" t="s">
        <v>143</v>
      </c>
      <c r="H141" s="620" t="s">
        <v>152</v>
      </c>
      <c r="I141" s="621">
        <v>50</v>
      </c>
      <c r="J141" s="621">
        <v>6.8</v>
      </c>
      <c r="K141" s="603">
        <f t="shared" si="12"/>
        <v>21</v>
      </c>
      <c r="L141" s="604">
        <v>0.875</v>
      </c>
      <c r="M141" s="605">
        <f t="shared" si="13"/>
        <v>0.875</v>
      </c>
      <c r="N141" s="663"/>
      <c r="P141" s="37" t="str">
        <f t="shared" si="14"/>
        <v>1965F3</v>
      </c>
      <c r="Q141" s="37" t="str">
        <f t="shared" si="15"/>
        <v>F321</v>
      </c>
      <c r="R141" s="37" t="str">
        <f t="shared" si="16"/>
        <v>JuneF3</v>
      </c>
    </row>
    <row r="142" spans="1:18">
      <c r="A142" s="616">
        <f t="shared" si="17"/>
        <v>138</v>
      </c>
      <c r="B142" s="617">
        <v>9</v>
      </c>
      <c r="C142" s="618">
        <v>23902</v>
      </c>
      <c r="D142" s="618" t="s">
        <v>178</v>
      </c>
      <c r="E142" s="619">
        <v>9</v>
      </c>
      <c r="F142" s="603">
        <v>1965</v>
      </c>
      <c r="G142" s="617" t="s">
        <v>132</v>
      </c>
      <c r="H142" s="620" t="s">
        <v>149</v>
      </c>
      <c r="I142" s="621">
        <v>17</v>
      </c>
      <c r="J142" s="621">
        <v>0.5</v>
      </c>
      <c r="K142" s="603">
        <f t="shared" si="12"/>
        <v>15</v>
      </c>
      <c r="L142" s="604">
        <v>0.625</v>
      </c>
      <c r="M142" s="605">
        <f t="shared" si="13"/>
        <v>0.625</v>
      </c>
      <c r="N142" s="663"/>
      <c r="P142" s="37" t="str">
        <f t="shared" si="14"/>
        <v>1965F0</v>
      </c>
      <c r="Q142" s="37" t="str">
        <f t="shared" si="15"/>
        <v>F015</v>
      </c>
      <c r="R142" s="37" t="str">
        <f t="shared" si="16"/>
        <v>JuneF0</v>
      </c>
    </row>
    <row r="143" spans="1:18">
      <c r="A143" s="616">
        <f t="shared" si="17"/>
        <v>139</v>
      </c>
      <c r="B143" s="617">
        <v>10</v>
      </c>
      <c r="C143" s="618">
        <v>23902</v>
      </c>
      <c r="D143" s="618" t="s">
        <v>178</v>
      </c>
      <c r="E143" s="619">
        <v>9</v>
      </c>
      <c r="F143" s="603">
        <v>1965</v>
      </c>
      <c r="G143" s="617" t="s">
        <v>135</v>
      </c>
      <c r="H143" s="620" t="s">
        <v>151</v>
      </c>
      <c r="I143" s="621">
        <v>17</v>
      </c>
      <c r="J143" s="621">
        <v>0.2</v>
      </c>
      <c r="K143" s="603">
        <f t="shared" si="12"/>
        <v>20</v>
      </c>
      <c r="L143" s="604">
        <v>0.83333333333333337</v>
      </c>
      <c r="M143" s="605">
        <f t="shared" si="13"/>
        <v>0.83333333333333337</v>
      </c>
      <c r="N143" s="663"/>
      <c r="P143" s="37" t="str">
        <f t="shared" si="14"/>
        <v>1965F2</v>
      </c>
      <c r="Q143" s="37" t="str">
        <f t="shared" si="15"/>
        <v>F220</v>
      </c>
      <c r="R143" s="37" t="str">
        <f t="shared" si="16"/>
        <v>JuneF2</v>
      </c>
    </row>
    <row r="144" spans="1:18">
      <c r="A144" s="616">
        <f t="shared" si="17"/>
        <v>140</v>
      </c>
      <c r="B144" s="617">
        <v>11</v>
      </c>
      <c r="C144" s="618">
        <v>23907</v>
      </c>
      <c r="D144" s="618" t="s">
        <v>178</v>
      </c>
      <c r="E144" s="619">
        <v>14</v>
      </c>
      <c r="F144" s="603">
        <v>1965</v>
      </c>
      <c r="G144" s="617" t="s">
        <v>135</v>
      </c>
      <c r="H144" s="620" t="s">
        <v>151</v>
      </c>
      <c r="I144" s="621">
        <v>10</v>
      </c>
      <c r="J144" s="621">
        <v>0.1</v>
      </c>
      <c r="K144" s="603">
        <f t="shared" si="12"/>
        <v>17</v>
      </c>
      <c r="L144" s="604">
        <v>0.71875</v>
      </c>
      <c r="M144" s="605">
        <f t="shared" si="13"/>
        <v>0.71875</v>
      </c>
      <c r="N144" s="663"/>
      <c r="P144" s="37" t="str">
        <f t="shared" si="14"/>
        <v>1965F2</v>
      </c>
      <c r="Q144" s="37" t="str">
        <f t="shared" si="15"/>
        <v>F217</v>
      </c>
      <c r="R144" s="37" t="str">
        <f t="shared" si="16"/>
        <v>JuneF2</v>
      </c>
    </row>
    <row r="145" spans="1:18">
      <c r="A145" s="616">
        <f t="shared" si="17"/>
        <v>141</v>
      </c>
      <c r="B145" s="617">
        <v>12</v>
      </c>
      <c r="C145" s="618">
        <v>23918</v>
      </c>
      <c r="D145" s="618" t="s">
        <v>178</v>
      </c>
      <c r="E145" s="619">
        <v>25</v>
      </c>
      <c r="F145" s="603">
        <v>1965</v>
      </c>
      <c r="G145" s="617" t="s">
        <v>136</v>
      </c>
      <c r="H145" s="620" t="s">
        <v>149</v>
      </c>
      <c r="I145" s="621">
        <v>17</v>
      </c>
      <c r="J145" s="621">
        <v>0.1</v>
      </c>
      <c r="K145" s="603">
        <f t="shared" si="12"/>
        <v>19</v>
      </c>
      <c r="L145" s="604">
        <v>0.79166666666666663</v>
      </c>
      <c r="M145" s="605">
        <f t="shared" si="13"/>
        <v>0.79166666666666663</v>
      </c>
      <c r="N145" s="663"/>
      <c r="P145" s="37" t="str">
        <f t="shared" si="14"/>
        <v>1965F0</v>
      </c>
      <c r="Q145" s="37" t="str">
        <f t="shared" si="15"/>
        <v>F019</v>
      </c>
      <c r="R145" s="37" t="str">
        <f t="shared" si="16"/>
        <v>JuneF0</v>
      </c>
    </row>
    <row r="146" spans="1:18">
      <c r="A146" s="616">
        <f t="shared" si="17"/>
        <v>142</v>
      </c>
      <c r="B146" s="617">
        <v>1</v>
      </c>
      <c r="C146" s="618">
        <v>24272</v>
      </c>
      <c r="D146" s="618" t="s">
        <v>178</v>
      </c>
      <c r="E146" s="619">
        <v>14</v>
      </c>
      <c r="F146" s="603">
        <v>1966</v>
      </c>
      <c r="G146" s="617" t="s">
        <v>135</v>
      </c>
      <c r="H146" s="620" t="s">
        <v>150</v>
      </c>
      <c r="I146" s="621">
        <v>17</v>
      </c>
      <c r="J146" s="621">
        <v>1</v>
      </c>
      <c r="K146" s="603">
        <f t="shared" si="12"/>
        <v>16</v>
      </c>
      <c r="L146" s="604">
        <v>0.66666666666666663</v>
      </c>
      <c r="M146" s="605">
        <f t="shared" si="13"/>
        <v>0.66666666666666663</v>
      </c>
      <c r="N146" s="663"/>
      <c r="P146" s="37" t="str">
        <f t="shared" si="14"/>
        <v>1966F1</v>
      </c>
      <c r="Q146" s="37" t="str">
        <f t="shared" si="15"/>
        <v>F116</v>
      </c>
      <c r="R146" s="37" t="str">
        <f t="shared" si="16"/>
        <v>JuneF1</v>
      </c>
    </row>
    <row r="147" spans="1:18">
      <c r="A147" s="616">
        <f t="shared" si="17"/>
        <v>143</v>
      </c>
      <c r="B147" s="617">
        <v>2</v>
      </c>
      <c r="C147" s="618">
        <v>24272</v>
      </c>
      <c r="D147" s="618" t="s">
        <v>178</v>
      </c>
      <c r="E147" s="619">
        <v>14</v>
      </c>
      <c r="F147" s="603">
        <v>1966</v>
      </c>
      <c r="G147" s="617" t="s">
        <v>142</v>
      </c>
      <c r="H147" s="620" t="s">
        <v>151</v>
      </c>
      <c r="I147" s="621">
        <v>27</v>
      </c>
      <c r="J147" s="621">
        <v>1</v>
      </c>
      <c r="K147" s="603">
        <f t="shared" si="12"/>
        <v>21</v>
      </c>
      <c r="L147" s="604">
        <v>0.90277777777777779</v>
      </c>
      <c r="M147" s="605">
        <f t="shared" si="13"/>
        <v>0.90277777777777779</v>
      </c>
      <c r="N147" s="663"/>
      <c r="P147" s="37" t="str">
        <f t="shared" si="14"/>
        <v>1966F2</v>
      </c>
      <c r="Q147" s="37" t="str">
        <f t="shared" si="15"/>
        <v>F221</v>
      </c>
      <c r="R147" s="37" t="str">
        <f t="shared" si="16"/>
        <v>JuneF2</v>
      </c>
    </row>
    <row r="148" spans="1:18">
      <c r="A148" s="616">
        <f t="shared" si="17"/>
        <v>144</v>
      </c>
      <c r="B148" s="617">
        <v>3</v>
      </c>
      <c r="C148" s="618">
        <v>24275</v>
      </c>
      <c r="D148" s="618" t="s">
        <v>178</v>
      </c>
      <c r="E148" s="619">
        <v>17</v>
      </c>
      <c r="F148" s="603">
        <v>1966</v>
      </c>
      <c r="G148" s="617" t="s">
        <v>136</v>
      </c>
      <c r="H148" s="620" t="s">
        <v>149</v>
      </c>
      <c r="I148" s="621">
        <v>23</v>
      </c>
      <c r="J148" s="621">
        <v>1</v>
      </c>
      <c r="K148" s="603">
        <f t="shared" si="12"/>
        <v>16</v>
      </c>
      <c r="L148" s="604">
        <v>0.67361111111111116</v>
      </c>
      <c r="M148" s="605">
        <f t="shared" si="13"/>
        <v>0.67361111111111116</v>
      </c>
      <c r="N148" s="663"/>
      <c r="P148" s="37" t="str">
        <f t="shared" si="14"/>
        <v>1966F0</v>
      </c>
      <c r="Q148" s="37" t="str">
        <f t="shared" si="15"/>
        <v>F016</v>
      </c>
      <c r="R148" s="37" t="str">
        <f t="shared" si="16"/>
        <v>JuneF0</v>
      </c>
    </row>
    <row r="149" spans="1:18">
      <c r="A149" s="616">
        <f t="shared" si="17"/>
        <v>145</v>
      </c>
      <c r="B149" s="617">
        <v>4</v>
      </c>
      <c r="C149" s="618">
        <v>24278</v>
      </c>
      <c r="D149" s="618" t="s">
        <v>178</v>
      </c>
      <c r="E149" s="619">
        <v>20</v>
      </c>
      <c r="F149" s="603">
        <v>1966</v>
      </c>
      <c r="G149" s="617" t="s">
        <v>129</v>
      </c>
      <c r="H149" s="620" t="s">
        <v>149</v>
      </c>
      <c r="I149" s="621">
        <v>20</v>
      </c>
      <c r="J149" s="621">
        <v>1</v>
      </c>
      <c r="K149" s="603">
        <f t="shared" si="12"/>
        <v>22</v>
      </c>
      <c r="L149" s="604">
        <v>0.93958333333333333</v>
      </c>
      <c r="M149" s="605">
        <f t="shared" si="13"/>
        <v>0.93958333333333333</v>
      </c>
      <c r="N149" s="663"/>
      <c r="P149" s="37" t="str">
        <f t="shared" si="14"/>
        <v>1966F0</v>
      </c>
      <c r="Q149" s="37" t="str">
        <f t="shared" si="15"/>
        <v>F022</v>
      </c>
      <c r="R149" s="37" t="str">
        <f t="shared" si="16"/>
        <v>JuneF0</v>
      </c>
    </row>
    <row r="150" spans="1:18">
      <c r="A150" s="616">
        <f t="shared" si="17"/>
        <v>146</v>
      </c>
      <c r="B150" s="617">
        <v>5</v>
      </c>
      <c r="C150" s="618">
        <v>24283</v>
      </c>
      <c r="D150" s="618" t="s">
        <v>178</v>
      </c>
      <c r="E150" s="619">
        <v>25</v>
      </c>
      <c r="F150" s="603">
        <v>1966</v>
      </c>
      <c r="G150" s="617" t="s">
        <v>129</v>
      </c>
      <c r="H150" s="620" t="s">
        <v>149</v>
      </c>
      <c r="I150" s="621">
        <v>33</v>
      </c>
      <c r="J150" s="621">
        <v>2</v>
      </c>
      <c r="K150" s="603">
        <f t="shared" si="12"/>
        <v>17</v>
      </c>
      <c r="L150" s="604">
        <v>0.73055555555555562</v>
      </c>
      <c r="M150" s="605">
        <f t="shared" si="13"/>
        <v>0.73055555555555562</v>
      </c>
      <c r="N150" s="663"/>
      <c r="P150" s="37" t="str">
        <f t="shared" si="14"/>
        <v>1966F0</v>
      </c>
      <c r="Q150" s="37" t="str">
        <f t="shared" si="15"/>
        <v>F017</v>
      </c>
      <c r="R150" s="37" t="str">
        <f t="shared" si="16"/>
        <v>JuneF0</v>
      </c>
    </row>
    <row r="151" spans="1:18">
      <c r="A151" s="616">
        <f t="shared" si="17"/>
        <v>147</v>
      </c>
      <c r="B151" s="617">
        <v>6</v>
      </c>
      <c r="C151" s="618">
        <v>24307</v>
      </c>
      <c r="D151" s="618" t="s">
        <v>179</v>
      </c>
      <c r="E151" s="619">
        <v>19</v>
      </c>
      <c r="F151" s="603">
        <v>1966</v>
      </c>
      <c r="G151" s="617" t="s">
        <v>133</v>
      </c>
      <c r="H151" s="620" t="s">
        <v>149</v>
      </c>
      <c r="I151" s="621">
        <v>10</v>
      </c>
      <c r="J151" s="621">
        <v>1</v>
      </c>
      <c r="K151" s="603">
        <f t="shared" si="12"/>
        <v>13</v>
      </c>
      <c r="L151" s="604">
        <v>0.5805555555555556</v>
      </c>
      <c r="M151" s="605">
        <f t="shared" si="13"/>
        <v>0.5805555555555556</v>
      </c>
      <c r="N151" s="663"/>
      <c r="P151" s="37" t="str">
        <f t="shared" si="14"/>
        <v>1966F0</v>
      </c>
      <c r="Q151" s="37" t="str">
        <f t="shared" si="15"/>
        <v>F013</v>
      </c>
      <c r="R151" s="37" t="str">
        <f t="shared" si="16"/>
        <v>JulyF0</v>
      </c>
    </row>
    <row r="152" spans="1:18">
      <c r="A152" s="616">
        <f t="shared" si="17"/>
        <v>148</v>
      </c>
      <c r="B152" s="617">
        <v>7</v>
      </c>
      <c r="C152" s="618">
        <v>24307</v>
      </c>
      <c r="D152" s="618" t="s">
        <v>179</v>
      </c>
      <c r="E152" s="619">
        <v>19</v>
      </c>
      <c r="F152" s="603">
        <v>1966</v>
      </c>
      <c r="G152" s="617" t="s">
        <v>133</v>
      </c>
      <c r="H152" s="620" t="s">
        <v>149</v>
      </c>
      <c r="I152" s="621">
        <v>17</v>
      </c>
      <c r="J152" s="621">
        <v>1.5</v>
      </c>
      <c r="K152" s="603">
        <f t="shared" si="12"/>
        <v>13</v>
      </c>
      <c r="L152" s="604">
        <v>0.5805555555555556</v>
      </c>
      <c r="M152" s="605">
        <f t="shared" si="13"/>
        <v>0.5805555555555556</v>
      </c>
      <c r="N152" s="663"/>
      <c r="P152" s="37" t="str">
        <f t="shared" si="14"/>
        <v>1966F0</v>
      </c>
      <c r="Q152" s="37" t="str">
        <f t="shared" si="15"/>
        <v>F013</v>
      </c>
      <c r="R152" s="37" t="str">
        <f t="shared" si="16"/>
        <v>JulyF0</v>
      </c>
    </row>
    <row r="153" spans="1:18">
      <c r="A153" s="616">
        <f t="shared" si="17"/>
        <v>149</v>
      </c>
      <c r="B153" s="617">
        <v>8</v>
      </c>
      <c r="C153" s="618">
        <v>24328</v>
      </c>
      <c r="D153" s="618" t="s">
        <v>180</v>
      </c>
      <c r="E153" s="619">
        <v>9</v>
      </c>
      <c r="F153" s="603">
        <v>1966</v>
      </c>
      <c r="G153" s="617" t="s">
        <v>136</v>
      </c>
      <c r="H153" s="620" t="s">
        <v>149</v>
      </c>
      <c r="I153" s="621">
        <v>27</v>
      </c>
      <c r="J153" s="621">
        <v>2.7</v>
      </c>
      <c r="K153" s="603">
        <f t="shared" si="12"/>
        <v>19</v>
      </c>
      <c r="L153" s="604">
        <v>0.82291666666666663</v>
      </c>
      <c r="M153" s="605">
        <f t="shared" si="13"/>
        <v>0.82291666666666663</v>
      </c>
      <c r="N153" s="663"/>
      <c r="P153" s="37" t="str">
        <f t="shared" si="14"/>
        <v>1966F0</v>
      </c>
      <c r="Q153" s="37" t="str">
        <f t="shared" si="15"/>
        <v>F019</v>
      </c>
      <c r="R153" s="37" t="str">
        <f t="shared" si="16"/>
        <v>AugustF0</v>
      </c>
    </row>
    <row r="154" spans="1:18">
      <c r="A154" s="616">
        <f t="shared" si="17"/>
        <v>150</v>
      </c>
      <c r="B154" s="617">
        <v>9</v>
      </c>
      <c r="C154" s="618">
        <v>24328</v>
      </c>
      <c r="D154" s="618" t="s">
        <v>180</v>
      </c>
      <c r="E154" s="619">
        <v>9</v>
      </c>
      <c r="F154" s="603">
        <v>1966</v>
      </c>
      <c r="G154" s="617" t="s">
        <v>134</v>
      </c>
      <c r="H154" s="620" t="s">
        <v>149</v>
      </c>
      <c r="I154" s="621">
        <v>33</v>
      </c>
      <c r="J154" s="621">
        <v>1</v>
      </c>
      <c r="K154" s="603">
        <f t="shared" si="12"/>
        <v>21</v>
      </c>
      <c r="L154" s="604">
        <v>0.89583333333333337</v>
      </c>
      <c r="M154" s="605">
        <f t="shared" si="13"/>
        <v>0.89583333333333337</v>
      </c>
      <c r="N154" s="663"/>
      <c r="P154" s="37" t="str">
        <f t="shared" si="14"/>
        <v>1966F0</v>
      </c>
      <c r="Q154" s="37" t="str">
        <f t="shared" si="15"/>
        <v>F021</v>
      </c>
      <c r="R154" s="37" t="str">
        <f t="shared" si="16"/>
        <v>AugustF0</v>
      </c>
    </row>
    <row r="155" spans="1:18">
      <c r="A155" s="616">
        <f t="shared" si="17"/>
        <v>151</v>
      </c>
      <c r="B155" s="617">
        <v>10</v>
      </c>
      <c r="C155" s="618">
        <v>24337</v>
      </c>
      <c r="D155" s="618" t="s">
        <v>180</v>
      </c>
      <c r="E155" s="619">
        <v>18</v>
      </c>
      <c r="F155" s="603">
        <v>1966</v>
      </c>
      <c r="G155" s="617" t="s">
        <v>148</v>
      </c>
      <c r="H155" s="620" t="s">
        <v>149</v>
      </c>
      <c r="I155" s="621">
        <v>23</v>
      </c>
      <c r="J155" s="621">
        <v>1</v>
      </c>
      <c r="K155" s="603">
        <f t="shared" si="12"/>
        <v>16</v>
      </c>
      <c r="L155" s="604">
        <v>0.66666666666666663</v>
      </c>
      <c r="M155" s="605">
        <f t="shared" si="13"/>
        <v>0.66666666666666663</v>
      </c>
      <c r="N155" s="663"/>
      <c r="P155" s="37" t="str">
        <f t="shared" si="14"/>
        <v>1966F0</v>
      </c>
      <c r="Q155" s="37" t="str">
        <f t="shared" si="15"/>
        <v>F016</v>
      </c>
      <c r="R155" s="37" t="str">
        <f t="shared" si="16"/>
        <v>AugustF0</v>
      </c>
    </row>
    <row r="156" spans="1:18">
      <c r="A156" s="616">
        <f t="shared" si="17"/>
        <v>152</v>
      </c>
      <c r="B156" s="617">
        <v>11</v>
      </c>
      <c r="C156" s="618">
        <v>24337</v>
      </c>
      <c r="D156" s="618" t="s">
        <v>180</v>
      </c>
      <c r="E156" s="619">
        <v>18</v>
      </c>
      <c r="F156" s="603">
        <v>1966</v>
      </c>
      <c r="G156" s="617" t="s">
        <v>148</v>
      </c>
      <c r="H156" s="620" t="s">
        <v>150</v>
      </c>
      <c r="I156" s="621">
        <v>33</v>
      </c>
      <c r="J156" s="621">
        <v>2</v>
      </c>
      <c r="K156" s="603">
        <f t="shared" si="12"/>
        <v>16</v>
      </c>
      <c r="L156" s="604">
        <v>0.66666666666666663</v>
      </c>
      <c r="M156" s="605">
        <f t="shared" si="13"/>
        <v>0.66666666666666663</v>
      </c>
      <c r="N156" s="663"/>
      <c r="P156" s="37" t="str">
        <f t="shared" si="14"/>
        <v>1966F1</v>
      </c>
      <c r="Q156" s="37" t="str">
        <f t="shared" si="15"/>
        <v>F116</v>
      </c>
      <c r="R156" s="37" t="str">
        <f t="shared" si="16"/>
        <v>AugustF1</v>
      </c>
    </row>
    <row r="157" spans="1:18">
      <c r="A157" s="616">
        <f t="shared" si="17"/>
        <v>153</v>
      </c>
      <c r="B157" s="617">
        <v>12</v>
      </c>
      <c r="C157" s="618">
        <v>24367</v>
      </c>
      <c r="D157" s="618" t="s">
        <v>181</v>
      </c>
      <c r="E157" s="619">
        <v>17</v>
      </c>
      <c r="F157" s="603">
        <v>1966</v>
      </c>
      <c r="G157" s="617" t="s">
        <v>140</v>
      </c>
      <c r="H157" s="620" t="s">
        <v>150</v>
      </c>
      <c r="I157" s="621">
        <v>13</v>
      </c>
      <c r="J157" s="621">
        <v>1</v>
      </c>
      <c r="K157" s="603">
        <f t="shared" si="12"/>
        <v>12</v>
      </c>
      <c r="L157" s="604">
        <v>0.53125</v>
      </c>
      <c r="M157" s="605">
        <f t="shared" si="13"/>
        <v>0.53125</v>
      </c>
      <c r="N157" s="663"/>
      <c r="P157" s="37" t="str">
        <f t="shared" si="14"/>
        <v>1966F1</v>
      </c>
      <c r="Q157" s="37" t="str">
        <f t="shared" si="15"/>
        <v>F112</v>
      </c>
      <c r="R157" s="37" t="str">
        <f t="shared" si="16"/>
        <v>SeptemberF1</v>
      </c>
    </row>
    <row r="158" spans="1:18">
      <c r="A158" s="616">
        <f t="shared" si="17"/>
        <v>154</v>
      </c>
      <c r="B158" s="617">
        <v>1</v>
      </c>
      <c r="C158" s="618">
        <v>24550</v>
      </c>
      <c r="D158" s="618" t="s">
        <v>175</v>
      </c>
      <c r="E158" s="619">
        <v>19</v>
      </c>
      <c r="F158" s="603">
        <v>1967</v>
      </c>
      <c r="G158" s="617" t="s">
        <v>144</v>
      </c>
      <c r="H158" s="620" t="s">
        <v>149</v>
      </c>
      <c r="I158" s="621">
        <v>10</v>
      </c>
      <c r="J158" s="621">
        <v>0.5</v>
      </c>
      <c r="K158" s="603">
        <f t="shared" si="12"/>
        <v>18</v>
      </c>
      <c r="L158" s="604">
        <v>0.75</v>
      </c>
      <c r="M158" s="605">
        <f t="shared" si="13"/>
        <v>0.75</v>
      </c>
      <c r="N158" s="663"/>
      <c r="P158" s="37" t="str">
        <f t="shared" si="14"/>
        <v>1967F0</v>
      </c>
      <c r="Q158" s="37" t="str">
        <f t="shared" si="15"/>
        <v>F018</v>
      </c>
      <c r="R158" s="37" t="str">
        <f t="shared" si="16"/>
        <v>MarchF0</v>
      </c>
    </row>
    <row r="159" spans="1:18">
      <c r="A159" s="616">
        <f t="shared" si="17"/>
        <v>155</v>
      </c>
      <c r="B159" s="617">
        <v>2</v>
      </c>
      <c r="C159" s="618">
        <v>24550</v>
      </c>
      <c r="D159" s="618" t="s">
        <v>175</v>
      </c>
      <c r="E159" s="619">
        <v>19</v>
      </c>
      <c r="F159" s="603">
        <v>1967</v>
      </c>
      <c r="G159" s="617" t="s">
        <v>144</v>
      </c>
      <c r="H159" s="620" t="s">
        <v>149</v>
      </c>
      <c r="I159" s="621">
        <v>10</v>
      </c>
      <c r="J159" s="621">
        <v>0.5</v>
      </c>
      <c r="K159" s="603">
        <f t="shared" si="12"/>
        <v>18</v>
      </c>
      <c r="L159" s="604">
        <v>0.75</v>
      </c>
      <c r="M159" s="605">
        <f t="shared" si="13"/>
        <v>0.75</v>
      </c>
      <c r="N159" s="663"/>
      <c r="P159" s="37" t="str">
        <f t="shared" si="14"/>
        <v>1967F0</v>
      </c>
      <c r="Q159" s="37" t="str">
        <f t="shared" si="15"/>
        <v>F018</v>
      </c>
      <c r="R159" s="37" t="str">
        <f t="shared" si="16"/>
        <v>MarchF0</v>
      </c>
    </row>
    <row r="160" spans="1:18">
      <c r="A160" s="616">
        <f t="shared" si="17"/>
        <v>156</v>
      </c>
      <c r="B160" s="617">
        <v>3</v>
      </c>
      <c r="C160" s="618">
        <v>24582</v>
      </c>
      <c r="D160" s="618" t="s">
        <v>176</v>
      </c>
      <c r="E160" s="619">
        <v>20</v>
      </c>
      <c r="F160" s="603">
        <v>1967</v>
      </c>
      <c r="G160" s="617" t="s">
        <v>132</v>
      </c>
      <c r="H160" s="620" t="s">
        <v>150</v>
      </c>
      <c r="I160" s="621">
        <v>100</v>
      </c>
      <c r="J160" s="621">
        <v>0.3</v>
      </c>
      <c r="K160" s="603">
        <f t="shared" si="12"/>
        <v>18</v>
      </c>
      <c r="L160" s="604">
        <v>0.78125</v>
      </c>
      <c r="M160" s="605">
        <f t="shared" si="13"/>
        <v>0.78125</v>
      </c>
      <c r="N160" s="663"/>
      <c r="P160" s="37" t="str">
        <f t="shared" si="14"/>
        <v>1967F1</v>
      </c>
      <c r="Q160" s="37" t="str">
        <f t="shared" si="15"/>
        <v>F118</v>
      </c>
      <c r="R160" s="37" t="str">
        <f t="shared" si="16"/>
        <v>AprilF1</v>
      </c>
    </row>
    <row r="161" spans="1:18">
      <c r="A161" s="616">
        <f t="shared" si="17"/>
        <v>157</v>
      </c>
      <c r="B161" s="617">
        <v>4</v>
      </c>
      <c r="C161" s="618">
        <v>24597</v>
      </c>
      <c r="D161" s="618" t="s">
        <v>177</v>
      </c>
      <c r="E161" s="619">
        <v>5</v>
      </c>
      <c r="F161" s="603">
        <v>1967</v>
      </c>
      <c r="G161" s="617" t="s">
        <v>145</v>
      </c>
      <c r="H161" s="620" t="s">
        <v>149</v>
      </c>
      <c r="I161" s="621">
        <v>33</v>
      </c>
      <c r="J161" s="621">
        <v>0.1</v>
      </c>
      <c r="K161" s="603">
        <f t="shared" si="12"/>
        <v>13</v>
      </c>
      <c r="L161" s="604">
        <v>0.57638888888888895</v>
      </c>
      <c r="M161" s="605">
        <f t="shared" si="13"/>
        <v>0.57638888888888895</v>
      </c>
      <c r="N161" s="663"/>
      <c r="P161" s="37" t="str">
        <f t="shared" si="14"/>
        <v>1967F0</v>
      </c>
      <c r="Q161" s="37" t="str">
        <f t="shared" si="15"/>
        <v>F013</v>
      </c>
      <c r="R161" s="37" t="str">
        <f t="shared" si="16"/>
        <v>MayF0</v>
      </c>
    </row>
    <row r="162" spans="1:18">
      <c r="A162" s="616">
        <f t="shared" si="17"/>
        <v>158</v>
      </c>
      <c r="B162" s="617">
        <v>5</v>
      </c>
      <c r="C162" s="618">
        <v>24597</v>
      </c>
      <c r="D162" s="618" t="s">
        <v>177</v>
      </c>
      <c r="E162" s="619">
        <v>5</v>
      </c>
      <c r="F162" s="603">
        <v>1967</v>
      </c>
      <c r="G162" s="617" t="s">
        <v>141</v>
      </c>
      <c r="H162" s="620" t="s">
        <v>149</v>
      </c>
      <c r="I162" s="621">
        <v>17</v>
      </c>
      <c r="J162" s="621">
        <v>0.5</v>
      </c>
      <c r="K162" s="603">
        <f t="shared" si="12"/>
        <v>15</v>
      </c>
      <c r="L162" s="604">
        <v>0.65625</v>
      </c>
      <c r="M162" s="605">
        <f t="shared" si="13"/>
        <v>0.65625</v>
      </c>
      <c r="N162" s="663"/>
      <c r="P162" s="37" t="str">
        <f t="shared" si="14"/>
        <v>1967F0</v>
      </c>
      <c r="Q162" s="37" t="str">
        <f t="shared" si="15"/>
        <v>F015</v>
      </c>
      <c r="R162" s="37" t="str">
        <f t="shared" si="16"/>
        <v>MayF0</v>
      </c>
    </row>
    <row r="163" spans="1:18">
      <c r="A163" s="616">
        <f t="shared" si="17"/>
        <v>159</v>
      </c>
      <c r="B163" s="617">
        <v>6</v>
      </c>
      <c r="C163" s="618">
        <v>24597</v>
      </c>
      <c r="D163" s="618" t="s">
        <v>177</v>
      </c>
      <c r="E163" s="619">
        <v>5</v>
      </c>
      <c r="F163" s="603">
        <v>1967</v>
      </c>
      <c r="G163" s="617" t="s">
        <v>141</v>
      </c>
      <c r="H163" s="620" t="s">
        <v>149</v>
      </c>
      <c r="I163" s="621">
        <v>3</v>
      </c>
      <c r="J163" s="621">
        <v>0.1</v>
      </c>
      <c r="K163" s="603">
        <f t="shared" si="12"/>
        <v>16</v>
      </c>
      <c r="L163" s="604">
        <v>0.69097222222222221</v>
      </c>
      <c r="M163" s="605">
        <f t="shared" si="13"/>
        <v>0.69097222222222221</v>
      </c>
      <c r="N163" s="663"/>
      <c r="P163" s="37" t="str">
        <f t="shared" si="14"/>
        <v>1967F0</v>
      </c>
      <c r="Q163" s="37" t="str">
        <f t="shared" si="15"/>
        <v>F016</v>
      </c>
      <c r="R163" s="37" t="str">
        <f t="shared" si="16"/>
        <v>MayF0</v>
      </c>
    </row>
    <row r="164" spans="1:18">
      <c r="A164" s="616">
        <f t="shared" si="17"/>
        <v>160</v>
      </c>
      <c r="B164" s="617">
        <v>7</v>
      </c>
      <c r="C164" s="618">
        <v>24597</v>
      </c>
      <c r="D164" s="618" t="s">
        <v>177</v>
      </c>
      <c r="E164" s="619">
        <v>5</v>
      </c>
      <c r="F164" s="603">
        <v>1967</v>
      </c>
      <c r="G164" s="617" t="s">
        <v>141</v>
      </c>
      <c r="H164" s="620" t="s">
        <v>151</v>
      </c>
      <c r="I164" s="621">
        <v>100</v>
      </c>
      <c r="J164" s="621">
        <v>16.2</v>
      </c>
      <c r="K164" s="603">
        <f t="shared" si="12"/>
        <v>16</v>
      </c>
      <c r="L164" s="604">
        <v>0.69097222222222221</v>
      </c>
      <c r="M164" s="605">
        <f t="shared" si="13"/>
        <v>0.69097222222222221</v>
      </c>
      <c r="N164" s="663"/>
      <c r="P164" s="37" t="str">
        <f t="shared" si="14"/>
        <v>1967F2</v>
      </c>
      <c r="Q164" s="37" t="str">
        <f t="shared" si="15"/>
        <v>F216</v>
      </c>
      <c r="R164" s="37" t="str">
        <f t="shared" si="16"/>
        <v>MayF2</v>
      </c>
    </row>
    <row r="165" spans="1:18">
      <c r="A165" s="616">
        <f t="shared" si="17"/>
        <v>161</v>
      </c>
      <c r="B165" s="617">
        <v>8</v>
      </c>
      <c r="C165" s="618">
        <v>24597</v>
      </c>
      <c r="D165" s="618" t="s">
        <v>177</v>
      </c>
      <c r="E165" s="619">
        <v>5</v>
      </c>
      <c r="F165" s="603">
        <v>1967</v>
      </c>
      <c r="G165" s="617" t="s">
        <v>142</v>
      </c>
      <c r="H165" s="620" t="s">
        <v>150</v>
      </c>
      <c r="I165" s="621">
        <v>33</v>
      </c>
      <c r="J165" s="621">
        <v>0.1</v>
      </c>
      <c r="K165" s="603">
        <f t="shared" si="12"/>
        <v>16</v>
      </c>
      <c r="L165" s="604">
        <v>0.69791666666666663</v>
      </c>
      <c r="M165" s="605">
        <f t="shared" si="13"/>
        <v>0.69791666666666663</v>
      </c>
      <c r="N165" s="663"/>
      <c r="P165" s="37" t="str">
        <f t="shared" si="14"/>
        <v>1967F1</v>
      </c>
      <c r="Q165" s="37" t="str">
        <f t="shared" si="15"/>
        <v>F116</v>
      </c>
      <c r="R165" s="37" t="str">
        <f t="shared" si="16"/>
        <v>MayF1</v>
      </c>
    </row>
    <row r="166" spans="1:18">
      <c r="A166" s="616">
        <f t="shared" si="17"/>
        <v>162</v>
      </c>
      <c r="B166" s="617">
        <v>9</v>
      </c>
      <c r="C166" s="618">
        <v>24597</v>
      </c>
      <c r="D166" s="618" t="s">
        <v>177</v>
      </c>
      <c r="E166" s="619">
        <v>5</v>
      </c>
      <c r="F166" s="603">
        <v>1967</v>
      </c>
      <c r="G166" s="617" t="s">
        <v>135</v>
      </c>
      <c r="H166" s="620" t="s">
        <v>151</v>
      </c>
      <c r="I166" s="621">
        <v>67</v>
      </c>
      <c r="J166" s="621">
        <v>2.2999999999999998</v>
      </c>
      <c r="K166" s="603">
        <f t="shared" si="12"/>
        <v>16</v>
      </c>
      <c r="L166" s="604">
        <v>0.69791666666666663</v>
      </c>
      <c r="M166" s="605">
        <f t="shared" si="13"/>
        <v>0.69791666666666663</v>
      </c>
      <c r="N166" s="663"/>
      <c r="P166" s="37" t="str">
        <f t="shared" si="14"/>
        <v>1967F2</v>
      </c>
      <c r="Q166" s="37" t="str">
        <f t="shared" si="15"/>
        <v>F216</v>
      </c>
      <c r="R166" s="37" t="str">
        <f t="shared" si="16"/>
        <v>MayF2</v>
      </c>
    </row>
    <row r="167" spans="1:18">
      <c r="A167" s="616">
        <f t="shared" si="17"/>
        <v>163</v>
      </c>
      <c r="B167" s="617">
        <v>10</v>
      </c>
      <c r="C167" s="618">
        <v>24622</v>
      </c>
      <c r="D167" s="618" t="s">
        <v>177</v>
      </c>
      <c r="E167" s="619">
        <v>30</v>
      </c>
      <c r="F167" s="603">
        <v>1967</v>
      </c>
      <c r="G167" s="617" t="s">
        <v>139</v>
      </c>
      <c r="H167" s="620" t="s">
        <v>149</v>
      </c>
      <c r="I167" s="621">
        <v>17</v>
      </c>
      <c r="J167" s="621">
        <v>1</v>
      </c>
      <c r="K167" s="603">
        <f t="shared" si="12"/>
        <v>19</v>
      </c>
      <c r="L167" s="604">
        <v>0.79166666666666663</v>
      </c>
      <c r="M167" s="605">
        <f t="shared" si="13"/>
        <v>0.79166666666666663</v>
      </c>
      <c r="N167" s="663"/>
      <c r="P167" s="37" t="str">
        <f t="shared" si="14"/>
        <v>1967F0</v>
      </c>
      <c r="Q167" s="37" t="str">
        <f t="shared" si="15"/>
        <v>F019</v>
      </c>
      <c r="R167" s="37" t="str">
        <f t="shared" si="16"/>
        <v>MayF0</v>
      </c>
    </row>
    <row r="168" spans="1:18">
      <c r="A168" s="616">
        <f t="shared" si="17"/>
        <v>164</v>
      </c>
      <c r="B168" s="617">
        <v>11</v>
      </c>
      <c r="C168" s="618">
        <v>24623</v>
      </c>
      <c r="D168" s="618" t="s">
        <v>177</v>
      </c>
      <c r="E168" s="619">
        <v>31</v>
      </c>
      <c r="F168" s="603">
        <v>1967</v>
      </c>
      <c r="G168" s="617" t="s">
        <v>128</v>
      </c>
      <c r="H168" s="620" t="s">
        <v>150</v>
      </c>
      <c r="I168" s="621">
        <v>440</v>
      </c>
      <c r="J168" s="621">
        <v>0.8</v>
      </c>
      <c r="K168" s="603">
        <f t="shared" si="12"/>
        <v>21</v>
      </c>
      <c r="L168" s="604">
        <v>0.88194444444444453</v>
      </c>
      <c r="M168" s="605">
        <f t="shared" si="13"/>
        <v>0.88194444444444453</v>
      </c>
      <c r="N168" s="663"/>
      <c r="P168" s="37" t="str">
        <f t="shared" si="14"/>
        <v>1967F1</v>
      </c>
      <c r="Q168" s="37" t="str">
        <f t="shared" si="15"/>
        <v>F121</v>
      </c>
      <c r="R168" s="37" t="str">
        <f t="shared" si="16"/>
        <v>MayF1</v>
      </c>
    </row>
    <row r="169" spans="1:18">
      <c r="A169" s="616">
        <f t="shared" si="17"/>
        <v>165</v>
      </c>
      <c r="B169" s="617">
        <v>12</v>
      </c>
      <c r="C169" s="618">
        <v>24624</v>
      </c>
      <c r="D169" s="618" t="s">
        <v>178</v>
      </c>
      <c r="E169" s="619">
        <v>1</v>
      </c>
      <c r="F169" s="603">
        <v>1967</v>
      </c>
      <c r="G169" s="617" t="s">
        <v>144</v>
      </c>
      <c r="H169" s="620" t="s">
        <v>151</v>
      </c>
      <c r="I169" s="621">
        <v>33</v>
      </c>
      <c r="J169" s="621">
        <v>4.7</v>
      </c>
      <c r="K169" s="603">
        <f t="shared" si="12"/>
        <v>15</v>
      </c>
      <c r="L169" s="604">
        <v>0.625</v>
      </c>
      <c r="M169" s="605">
        <f t="shared" si="13"/>
        <v>0.625</v>
      </c>
      <c r="N169" s="663"/>
      <c r="P169" s="37" t="str">
        <f t="shared" si="14"/>
        <v>1967F2</v>
      </c>
      <c r="Q169" s="37" t="str">
        <f t="shared" si="15"/>
        <v>F215</v>
      </c>
      <c r="R169" s="37" t="str">
        <f t="shared" si="16"/>
        <v>JuneF2</v>
      </c>
    </row>
    <row r="170" spans="1:18">
      <c r="A170" s="616">
        <f t="shared" si="17"/>
        <v>166</v>
      </c>
      <c r="B170" s="617">
        <v>13</v>
      </c>
      <c r="C170" s="618">
        <v>24632</v>
      </c>
      <c r="D170" s="618" t="s">
        <v>178</v>
      </c>
      <c r="E170" s="619">
        <v>9</v>
      </c>
      <c r="F170" s="603">
        <v>1967</v>
      </c>
      <c r="G170" s="617" t="s">
        <v>133</v>
      </c>
      <c r="H170" s="620" t="s">
        <v>150</v>
      </c>
      <c r="I170" s="621">
        <v>37</v>
      </c>
      <c r="J170" s="621">
        <v>2</v>
      </c>
      <c r="K170" s="603">
        <f t="shared" si="12"/>
        <v>17</v>
      </c>
      <c r="L170" s="604">
        <v>0.70833333333333337</v>
      </c>
      <c r="M170" s="605">
        <f t="shared" si="13"/>
        <v>0.70833333333333337</v>
      </c>
      <c r="N170" s="663"/>
      <c r="P170" s="37" t="str">
        <f t="shared" si="14"/>
        <v>1967F1</v>
      </c>
      <c r="Q170" s="37" t="str">
        <f t="shared" si="15"/>
        <v>F117</v>
      </c>
      <c r="R170" s="37" t="str">
        <f t="shared" si="16"/>
        <v>JuneF1</v>
      </c>
    </row>
    <row r="171" spans="1:18">
      <c r="A171" s="616">
        <f t="shared" si="17"/>
        <v>167</v>
      </c>
      <c r="B171" s="617">
        <v>14</v>
      </c>
      <c r="C171" s="618">
        <v>24637</v>
      </c>
      <c r="D171" s="618" t="s">
        <v>178</v>
      </c>
      <c r="E171" s="619">
        <v>14</v>
      </c>
      <c r="F171" s="603">
        <v>1967</v>
      </c>
      <c r="G171" s="617" t="s">
        <v>127</v>
      </c>
      <c r="H171" s="620" t="s">
        <v>149</v>
      </c>
      <c r="I171" s="621">
        <v>10</v>
      </c>
      <c r="J171" s="621">
        <v>0.1</v>
      </c>
      <c r="K171" s="603">
        <f t="shared" si="12"/>
        <v>21</v>
      </c>
      <c r="L171" s="604">
        <v>0.89166666666666661</v>
      </c>
      <c r="M171" s="605">
        <f t="shared" si="13"/>
        <v>0.89166666666666661</v>
      </c>
      <c r="N171" s="663"/>
      <c r="P171" s="37" t="str">
        <f t="shared" si="14"/>
        <v>1967F0</v>
      </c>
      <c r="Q171" s="37" t="str">
        <f t="shared" si="15"/>
        <v>F021</v>
      </c>
      <c r="R171" s="37" t="str">
        <f t="shared" si="16"/>
        <v>JuneF0</v>
      </c>
    </row>
    <row r="172" spans="1:18">
      <c r="A172" s="616">
        <f t="shared" si="17"/>
        <v>168</v>
      </c>
      <c r="B172" s="617">
        <v>15</v>
      </c>
      <c r="C172" s="618">
        <v>24637</v>
      </c>
      <c r="D172" s="618" t="s">
        <v>178</v>
      </c>
      <c r="E172" s="619">
        <v>14</v>
      </c>
      <c r="F172" s="603">
        <v>1967</v>
      </c>
      <c r="G172" s="617" t="s">
        <v>127</v>
      </c>
      <c r="H172" s="620" t="s">
        <v>149</v>
      </c>
      <c r="I172" s="621">
        <v>150</v>
      </c>
      <c r="J172" s="621">
        <v>0.3</v>
      </c>
      <c r="K172" s="603">
        <f t="shared" si="12"/>
        <v>21</v>
      </c>
      <c r="L172" s="604">
        <v>0.90625</v>
      </c>
      <c r="M172" s="605">
        <f t="shared" si="13"/>
        <v>0.90625</v>
      </c>
      <c r="N172" s="663"/>
      <c r="P172" s="37" t="str">
        <f t="shared" si="14"/>
        <v>1967F0</v>
      </c>
      <c r="Q172" s="37" t="str">
        <f t="shared" si="15"/>
        <v>F021</v>
      </c>
      <c r="R172" s="37" t="str">
        <f t="shared" si="16"/>
        <v>JuneF0</v>
      </c>
    </row>
    <row r="173" spans="1:18">
      <c r="A173" s="616">
        <f t="shared" si="17"/>
        <v>169</v>
      </c>
      <c r="B173" s="617">
        <v>16</v>
      </c>
      <c r="C173" s="618">
        <v>24638</v>
      </c>
      <c r="D173" s="618" t="s">
        <v>178</v>
      </c>
      <c r="E173" s="619">
        <v>15</v>
      </c>
      <c r="F173" s="603">
        <v>1967</v>
      </c>
      <c r="G173" s="617" t="s">
        <v>135</v>
      </c>
      <c r="H173" s="620" t="s">
        <v>150</v>
      </c>
      <c r="I173" s="621">
        <v>33</v>
      </c>
      <c r="J173" s="621">
        <v>43.2</v>
      </c>
      <c r="K173" s="603">
        <f t="shared" si="12"/>
        <v>8</v>
      </c>
      <c r="L173" s="604">
        <v>0.34375</v>
      </c>
      <c r="M173" s="605">
        <f t="shared" si="13"/>
        <v>0.34375</v>
      </c>
      <c r="N173" s="663"/>
      <c r="P173" s="37" t="str">
        <f t="shared" si="14"/>
        <v>1967F1</v>
      </c>
      <c r="Q173" s="37" t="str">
        <f t="shared" si="15"/>
        <v>F18</v>
      </c>
      <c r="R173" s="37" t="str">
        <f t="shared" si="16"/>
        <v>JuneF1</v>
      </c>
    </row>
    <row r="174" spans="1:18">
      <c r="A174" s="616">
        <f t="shared" si="17"/>
        <v>170</v>
      </c>
      <c r="B174" s="617">
        <v>17</v>
      </c>
      <c r="C174" s="618">
        <v>24638</v>
      </c>
      <c r="D174" s="618" t="s">
        <v>178</v>
      </c>
      <c r="E174" s="619">
        <v>15</v>
      </c>
      <c r="F174" s="603">
        <v>1967</v>
      </c>
      <c r="G174" s="617" t="s">
        <v>145</v>
      </c>
      <c r="H174" s="620" t="s">
        <v>151</v>
      </c>
      <c r="I174" s="621">
        <v>33</v>
      </c>
      <c r="J174" s="621">
        <v>0.1</v>
      </c>
      <c r="K174" s="603">
        <f t="shared" si="12"/>
        <v>20</v>
      </c>
      <c r="L174" s="604">
        <v>0.83333333333333337</v>
      </c>
      <c r="M174" s="605">
        <f t="shared" si="13"/>
        <v>0.83333333333333337</v>
      </c>
      <c r="N174" s="663"/>
      <c r="P174" s="37" t="str">
        <f t="shared" si="14"/>
        <v>1967F2</v>
      </c>
      <c r="Q174" s="37" t="str">
        <f t="shared" si="15"/>
        <v>F220</v>
      </c>
      <c r="R174" s="37" t="str">
        <f t="shared" si="16"/>
        <v>JuneF2</v>
      </c>
    </row>
    <row r="175" spans="1:18">
      <c r="A175" s="616">
        <f t="shared" si="17"/>
        <v>171</v>
      </c>
      <c r="B175" s="617">
        <v>18</v>
      </c>
      <c r="C175" s="618">
        <v>24646</v>
      </c>
      <c r="D175" s="618" t="s">
        <v>178</v>
      </c>
      <c r="E175" s="619">
        <v>23</v>
      </c>
      <c r="F175" s="603">
        <v>1967</v>
      </c>
      <c r="G175" s="617" t="s">
        <v>135</v>
      </c>
      <c r="H175" s="620" t="s">
        <v>149</v>
      </c>
      <c r="I175" s="621">
        <v>33</v>
      </c>
      <c r="J175" s="621">
        <v>0.1</v>
      </c>
      <c r="K175" s="603">
        <f t="shared" si="12"/>
        <v>17</v>
      </c>
      <c r="L175" s="604">
        <v>0.70833333333333337</v>
      </c>
      <c r="M175" s="605">
        <f t="shared" si="13"/>
        <v>0.70833333333333337</v>
      </c>
      <c r="N175" s="663"/>
      <c r="P175" s="37" t="str">
        <f t="shared" si="14"/>
        <v>1967F0</v>
      </c>
      <c r="Q175" s="37" t="str">
        <f t="shared" si="15"/>
        <v>F017</v>
      </c>
      <c r="R175" s="37" t="str">
        <f t="shared" si="16"/>
        <v>JuneF0</v>
      </c>
    </row>
    <row r="176" spans="1:18">
      <c r="A176" s="616">
        <f t="shared" si="17"/>
        <v>172</v>
      </c>
      <c r="B176" s="617">
        <v>19</v>
      </c>
      <c r="C176" s="618">
        <v>24651</v>
      </c>
      <c r="D176" s="618" t="s">
        <v>178</v>
      </c>
      <c r="E176" s="619">
        <v>28</v>
      </c>
      <c r="F176" s="603">
        <v>1967</v>
      </c>
      <c r="G176" s="617" t="s">
        <v>131</v>
      </c>
      <c r="H176" s="620" t="s">
        <v>150</v>
      </c>
      <c r="I176" s="621">
        <v>100</v>
      </c>
      <c r="J176" s="621">
        <v>1</v>
      </c>
      <c r="K176" s="603">
        <f t="shared" si="12"/>
        <v>16</v>
      </c>
      <c r="L176" s="604">
        <v>0.66666666666666663</v>
      </c>
      <c r="M176" s="605">
        <f t="shared" si="13"/>
        <v>0.66666666666666663</v>
      </c>
      <c r="N176" s="663"/>
      <c r="P176" s="37" t="str">
        <f t="shared" si="14"/>
        <v>1967F1</v>
      </c>
      <c r="Q176" s="37" t="str">
        <f t="shared" si="15"/>
        <v>F116</v>
      </c>
      <c r="R176" s="37" t="str">
        <f t="shared" si="16"/>
        <v>JuneF1</v>
      </c>
    </row>
    <row r="177" spans="1:18">
      <c r="A177" s="616">
        <f t="shared" si="17"/>
        <v>173</v>
      </c>
      <c r="B177" s="617">
        <v>20</v>
      </c>
      <c r="C177" s="618">
        <v>24651</v>
      </c>
      <c r="D177" s="618" t="s">
        <v>178</v>
      </c>
      <c r="E177" s="619">
        <v>28</v>
      </c>
      <c r="F177" s="603">
        <v>1967</v>
      </c>
      <c r="G177" s="617" t="s">
        <v>139</v>
      </c>
      <c r="H177" s="620" t="s">
        <v>149</v>
      </c>
      <c r="I177" s="621">
        <v>10</v>
      </c>
      <c r="J177" s="621">
        <v>0.1</v>
      </c>
      <c r="K177" s="603">
        <f t="shared" si="12"/>
        <v>18</v>
      </c>
      <c r="L177" s="604">
        <v>0.78125</v>
      </c>
      <c r="M177" s="605">
        <f t="shared" si="13"/>
        <v>0.78125</v>
      </c>
      <c r="N177" s="663"/>
      <c r="P177" s="37" t="str">
        <f t="shared" si="14"/>
        <v>1967F0</v>
      </c>
      <c r="Q177" s="37" t="str">
        <f t="shared" si="15"/>
        <v>F018</v>
      </c>
      <c r="R177" s="37" t="str">
        <f t="shared" si="16"/>
        <v>JuneF0</v>
      </c>
    </row>
    <row r="178" spans="1:18">
      <c r="A178" s="616">
        <f t="shared" si="17"/>
        <v>174</v>
      </c>
      <c r="B178" s="617">
        <v>21</v>
      </c>
      <c r="C178" s="618">
        <v>24653</v>
      </c>
      <c r="D178" s="618" t="s">
        <v>178</v>
      </c>
      <c r="E178" s="619">
        <v>30</v>
      </c>
      <c r="F178" s="603">
        <v>1967</v>
      </c>
      <c r="G178" s="617" t="s">
        <v>145</v>
      </c>
      <c r="H178" s="620" t="s">
        <v>149</v>
      </c>
      <c r="I178" s="621">
        <v>33</v>
      </c>
      <c r="J178" s="621">
        <v>0.1</v>
      </c>
      <c r="K178" s="603">
        <f t="shared" si="12"/>
        <v>17</v>
      </c>
      <c r="L178" s="604">
        <v>0.72916666666666663</v>
      </c>
      <c r="M178" s="605">
        <f t="shared" si="13"/>
        <v>0.72916666666666663</v>
      </c>
      <c r="N178" s="663"/>
      <c r="P178" s="37" t="str">
        <f t="shared" si="14"/>
        <v>1967F0</v>
      </c>
      <c r="Q178" s="37" t="str">
        <f t="shared" si="15"/>
        <v>F017</v>
      </c>
      <c r="R178" s="37" t="str">
        <f t="shared" si="16"/>
        <v>JuneF0</v>
      </c>
    </row>
    <row r="179" spans="1:18">
      <c r="A179" s="616">
        <f t="shared" si="17"/>
        <v>175</v>
      </c>
      <c r="B179" s="617">
        <v>22</v>
      </c>
      <c r="C179" s="618">
        <v>24656</v>
      </c>
      <c r="D179" s="618" t="s">
        <v>179</v>
      </c>
      <c r="E179" s="619">
        <v>3</v>
      </c>
      <c r="F179" s="603">
        <v>1967</v>
      </c>
      <c r="G179" s="617" t="s">
        <v>126</v>
      </c>
      <c r="H179" s="620" t="s">
        <v>149</v>
      </c>
      <c r="I179" s="621">
        <v>33</v>
      </c>
      <c r="J179" s="621">
        <v>6.8</v>
      </c>
      <c r="K179" s="603">
        <f t="shared" si="12"/>
        <v>15</v>
      </c>
      <c r="L179" s="604">
        <v>0.625</v>
      </c>
      <c r="M179" s="605">
        <f t="shared" si="13"/>
        <v>0.625</v>
      </c>
      <c r="N179" s="663"/>
      <c r="P179" s="37" t="str">
        <f t="shared" si="14"/>
        <v>1967F0</v>
      </c>
      <c r="Q179" s="37" t="str">
        <f t="shared" si="15"/>
        <v>F015</v>
      </c>
      <c r="R179" s="37" t="str">
        <f t="shared" si="16"/>
        <v>JulyF0</v>
      </c>
    </row>
    <row r="180" spans="1:18">
      <c r="A180" s="616">
        <f t="shared" si="17"/>
        <v>176</v>
      </c>
      <c r="B180" s="617">
        <v>23</v>
      </c>
      <c r="C180" s="618">
        <v>24656</v>
      </c>
      <c r="D180" s="618" t="s">
        <v>179</v>
      </c>
      <c r="E180" s="619">
        <v>3</v>
      </c>
      <c r="F180" s="603">
        <v>1967</v>
      </c>
      <c r="G180" s="617" t="s">
        <v>126</v>
      </c>
      <c r="H180" s="620" t="s">
        <v>149</v>
      </c>
      <c r="I180" s="621">
        <v>33</v>
      </c>
      <c r="J180" s="621">
        <v>0.1</v>
      </c>
      <c r="K180" s="603">
        <f t="shared" si="12"/>
        <v>15</v>
      </c>
      <c r="L180" s="604">
        <v>0.625</v>
      </c>
      <c r="M180" s="605">
        <f t="shared" si="13"/>
        <v>0.625</v>
      </c>
      <c r="N180" s="663"/>
      <c r="P180" s="37" t="str">
        <f t="shared" si="14"/>
        <v>1967F0</v>
      </c>
      <c r="Q180" s="37" t="str">
        <f t="shared" si="15"/>
        <v>F015</v>
      </c>
      <c r="R180" s="37" t="str">
        <f t="shared" si="16"/>
        <v>JulyF0</v>
      </c>
    </row>
    <row r="181" spans="1:18">
      <c r="A181" s="616">
        <f t="shared" si="17"/>
        <v>177</v>
      </c>
      <c r="B181" s="617">
        <v>24</v>
      </c>
      <c r="C181" s="618">
        <v>24656</v>
      </c>
      <c r="D181" s="618" t="s">
        <v>179</v>
      </c>
      <c r="E181" s="619">
        <v>3</v>
      </c>
      <c r="F181" s="603">
        <v>1967</v>
      </c>
      <c r="G181" s="617" t="s">
        <v>126</v>
      </c>
      <c r="H181" s="620" t="s">
        <v>149</v>
      </c>
      <c r="I181" s="621">
        <v>33</v>
      </c>
      <c r="J181" s="621">
        <v>0.1</v>
      </c>
      <c r="K181" s="603">
        <f t="shared" si="12"/>
        <v>15</v>
      </c>
      <c r="L181" s="604">
        <v>0.625</v>
      </c>
      <c r="M181" s="605">
        <f t="shared" si="13"/>
        <v>0.625</v>
      </c>
      <c r="N181" s="663"/>
      <c r="P181" s="37" t="str">
        <f t="shared" si="14"/>
        <v>1967F0</v>
      </c>
      <c r="Q181" s="37" t="str">
        <f t="shared" si="15"/>
        <v>F015</v>
      </c>
      <c r="R181" s="37" t="str">
        <f t="shared" si="16"/>
        <v>JulyF0</v>
      </c>
    </row>
    <row r="182" spans="1:18">
      <c r="A182" s="616">
        <f t="shared" si="17"/>
        <v>178</v>
      </c>
      <c r="B182" s="617">
        <v>25</v>
      </c>
      <c r="C182" s="618">
        <v>24656</v>
      </c>
      <c r="D182" s="618" t="s">
        <v>179</v>
      </c>
      <c r="E182" s="619">
        <v>3</v>
      </c>
      <c r="F182" s="603">
        <v>1967</v>
      </c>
      <c r="G182" s="617" t="s">
        <v>127</v>
      </c>
      <c r="H182" s="620" t="s">
        <v>151</v>
      </c>
      <c r="I182" s="621">
        <v>10</v>
      </c>
      <c r="J182" s="621">
        <v>0.1</v>
      </c>
      <c r="K182" s="603">
        <f t="shared" si="12"/>
        <v>18</v>
      </c>
      <c r="L182" s="604">
        <v>0.75</v>
      </c>
      <c r="M182" s="605">
        <f t="shared" si="13"/>
        <v>0.75</v>
      </c>
      <c r="N182" s="663"/>
      <c r="P182" s="37" t="str">
        <f t="shared" si="14"/>
        <v>1967F2</v>
      </c>
      <c r="Q182" s="37" t="str">
        <f t="shared" si="15"/>
        <v>F218</v>
      </c>
      <c r="R182" s="37" t="str">
        <f t="shared" si="16"/>
        <v>JulyF2</v>
      </c>
    </row>
    <row r="183" spans="1:18">
      <c r="A183" s="616">
        <f t="shared" si="17"/>
        <v>179</v>
      </c>
      <c r="B183" s="617">
        <v>26</v>
      </c>
      <c r="C183" s="618">
        <v>24656</v>
      </c>
      <c r="D183" s="618" t="s">
        <v>179</v>
      </c>
      <c r="E183" s="619">
        <v>3</v>
      </c>
      <c r="F183" s="603">
        <v>1967</v>
      </c>
      <c r="G183" s="617" t="s">
        <v>132</v>
      </c>
      <c r="H183" s="620" t="s">
        <v>151</v>
      </c>
      <c r="I183" s="621">
        <v>50</v>
      </c>
      <c r="J183" s="621">
        <v>1</v>
      </c>
      <c r="K183" s="603">
        <f t="shared" si="12"/>
        <v>19</v>
      </c>
      <c r="L183" s="604">
        <v>0.8125</v>
      </c>
      <c r="M183" s="605">
        <f t="shared" si="13"/>
        <v>0.8125</v>
      </c>
      <c r="N183" s="663"/>
      <c r="P183" s="37" t="str">
        <f t="shared" si="14"/>
        <v>1967F2</v>
      </c>
      <c r="Q183" s="37" t="str">
        <f t="shared" si="15"/>
        <v>F219</v>
      </c>
      <c r="R183" s="37" t="str">
        <f t="shared" si="16"/>
        <v>JulyF2</v>
      </c>
    </row>
    <row r="184" spans="1:18">
      <c r="A184" s="616">
        <f t="shared" si="17"/>
        <v>180</v>
      </c>
      <c r="B184" s="617">
        <v>27</v>
      </c>
      <c r="C184" s="618">
        <v>24656</v>
      </c>
      <c r="D184" s="618" t="s">
        <v>179</v>
      </c>
      <c r="E184" s="619">
        <v>3</v>
      </c>
      <c r="F184" s="603">
        <v>1967</v>
      </c>
      <c r="G184" s="617" t="s">
        <v>143</v>
      </c>
      <c r="H184" s="620" t="s">
        <v>152</v>
      </c>
      <c r="I184" s="621">
        <v>33</v>
      </c>
      <c r="J184" s="621">
        <v>2.2999999999999998</v>
      </c>
      <c r="K184" s="603">
        <f t="shared" si="12"/>
        <v>21</v>
      </c>
      <c r="L184" s="604">
        <v>0.89583333333333337</v>
      </c>
      <c r="M184" s="605">
        <f t="shared" si="13"/>
        <v>0.89583333333333337</v>
      </c>
      <c r="N184" s="663"/>
      <c r="P184" s="37" t="str">
        <f t="shared" si="14"/>
        <v>1967F3</v>
      </c>
      <c r="Q184" s="37" t="str">
        <f t="shared" si="15"/>
        <v>F321</v>
      </c>
      <c r="R184" s="37" t="str">
        <f t="shared" si="16"/>
        <v>JulyF3</v>
      </c>
    </row>
    <row r="185" spans="1:18">
      <c r="A185" s="616">
        <f t="shared" si="17"/>
        <v>181</v>
      </c>
      <c r="B185" s="617">
        <v>28</v>
      </c>
      <c r="C185" s="618">
        <v>24656</v>
      </c>
      <c r="D185" s="618" t="s">
        <v>179</v>
      </c>
      <c r="E185" s="619">
        <v>3</v>
      </c>
      <c r="F185" s="603">
        <v>1967</v>
      </c>
      <c r="G185" s="617" t="s">
        <v>138</v>
      </c>
      <c r="H185" s="620" t="s">
        <v>151</v>
      </c>
      <c r="I185" s="621">
        <v>17</v>
      </c>
      <c r="J185" s="621">
        <v>0.1</v>
      </c>
      <c r="K185" s="603">
        <f t="shared" si="12"/>
        <v>22</v>
      </c>
      <c r="L185" s="604">
        <v>0.91666666666666663</v>
      </c>
      <c r="M185" s="605">
        <f t="shared" si="13"/>
        <v>0.91666666666666663</v>
      </c>
      <c r="N185" s="663"/>
      <c r="P185" s="37" t="str">
        <f t="shared" si="14"/>
        <v>1967F2</v>
      </c>
      <c r="Q185" s="37" t="str">
        <f t="shared" si="15"/>
        <v>F222</v>
      </c>
      <c r="R185" s="37" t="str">
        <f t="shared" si="16"/>
        <v>JulyF2</v>
      </c>
    </row>
    <row r="186" spans="1:18">
      <c r="A186" s="616">
        <f t="shared" si="17"/>
        <v>182</v>
      </c>
      <c r="B186" s="617">
        <v>1</v>
      </c>
      <c r="C186" s="618">
        <v>24930</v>
      </c>
      <c r="D186" s="618" t="s">
        <v>176</v>
      </c>
      <c r="E186" s="619">
        <v>2</v>
      </c>
      <c r="F186" s="603">
        <v>1968</v>
      </c>
      <c r="G186" s="617" t="s">
        <v>141</v>
      </c>
      <c r="H186" s="620" t="s">
        <v>151</v>
      </c>
      <c r="I186" s="621">
        <v>33</v>
      </c>
      <c r="J186" s="621">
        <v>2</v>
      </c>
      <c r="K186" s="603">
        <f t="shared" si="12"/>
        <v>17</v>
      </c>
      <c r="L186" s="604">
        <v>0.72222222222222221</v>
      </c>
      <c r="M186" s="605">
        <f t="shared" si="13"/>
        <v>0.72222222222222221</v>
      </c>
      <c r="N186" s="663"/>
      <c r="P186" s="37" t="str">
        <f t="shared" si="14"/>
        <v>1968F2</v>
      </c>
      <c r="Q186" s="37" t="str">
        <f t="shared" si="15"/>
        <v>F217</v>
      </c>
      <c r="R186" s="37" t="str">
        <f t="shared" si="16"/>
        <v>AprilF2</v>
      </c>
    </row>
    <row r="187" spans="1:18">
      <c r="A187" s="616">
        <f t="shared" si="17"/>
        <v>183</v>
      </c>
      <c r="B187" s="617">
        <v>2</v>
      </c>
      <c r="C187" s="618">
        <v>24961</v>
      </c>
      <c r="D187" s="618" t="s">
        <v>177</v>
      </c>
      <c r="E187" s="619">
        <v>3</v>
      </c>
      <c r="F187" s="603">
        <v>1968</v>
      </c>
      <c r="G187" s="617" t="s">
        <v>128</v>
      </c>
      <c r="H187" s="620" t="s">
        <v>149</v>
      </c>
      <c r="I187" s="621">
        <v>10</v>
      </c>
      <c r="J187" s="621">
        <v>0.1</v>
      </c>
      <c r="K187" s="603">
        <f t="shared" si="12"/>
        <v>3</v>
      </c>
      <c r="L187" s="604">
        <v>0.13194444444444445</v>
      </c>
      <c r="M187" s="605">
        <f t="shared" si="13"/>
        <v>0.13194444444444445</v>
      </c>
      <c r="N187" s="663"/>
      <c r="P187" s="37" t="str">
        <f t="shared" si="14"/>
        <v>1968F0</v>
      </c>
      <c r="Q187" s="37" t="str">
        <f t="shared" si="15"/>
        <v>F03</v>
      </c>
      <c r="R187" s="37" t="str">
        <f t="shared" si="16"/>
        <v>MayF0</v>
      </c>
    </row>
    <row r="188" spans="1:18">
      <c r="A188" s="616">
        <f t="shared" si="17"/>
        <v>184</v>
      </c>
      <c r="B188" s="617">
        <v>3</v>
      </c>
      <c r="C188" s="618">
        <v>24964</v>
      </c>
      <c r="D188" s="618" t="s">
        <v>177</v>
      </c>
      <c r="E188" s="619">
        <v>6</v>
      </c>
      <c r="F188" s="603">
        <v>1968</v>
      </c>
      <c r="G188" s="617" t="s">
        <v>137</v>
      </c>
      <c r="H188" s="620" t="s">
        <v>149</v>
      </c>
      <c r="I188" s="621">
        <v>100</v>
      </c>
      <c r="J188" s="621">
        <v>12.3</v>
      </c>
      <c r="K188" s="603">
        <f t="shared" si="12"/>
        <v>13</v>
      </c>
      <c r="L188" s="604">
        <v>0.54861111111111105</v>
      </c>
      <c r="M188" s="605">
        <f t="shared" si="13"/>
        <v>0.54861111111111105</v>
      </c>
      <c r="N188" s="663"/>
      <c r="P188" s="37" t="str">
        <f t="shared" si="14"/>
        <v>1968F0</v>
      </c>
      <c r="Q188" s="37" t="str">
        <f t="shared" si="15"/>
        <v>F013</v>
      </c>
      <c r="R188" s="37" t="str">
        <f t="shared" si="16"/>
        <v>MayF0</v>
      </c>
    </row>
    <row r="189" spans="1:18">
      <c r="A189" s="616">
        <f t="shared" si="17"/>
        <v>185</v>
      </c>
      <c r="B189" s="617">
        <v>4</v>
      </c>
      <c r="C189" s="618">
        <v>24964</v>
      </c>
      <c r="D189" s="618" t="s">
        <v>177</v>
      </c>
      <c r="E189" s="619">
        <v>6</v>
      </c>
      <c r="F189" s="603">
        <v>1968</v>
      </c>
      <c r="G189" s="617" t="s">
        <v>137</v>
      </c>
      <c r="H189" s="620" t="s">
        <v>149</v>
      </c>
      <c r="I189" s="621">
        <v>100</v>
      </c>
      <c r="J189" s="621">
        <v>12.3</v>
      </c>
      <c r="K189" s="603">
        <f t="shared" si="12"/>
        <v>13</v>
      </c>
      <c r="L189" s="604">
        <v>0.54861111111111105</v>
      </c>
      <c r="M189" s="605">
        <f t="shared" si="13"/>
        <v>0.54861111111111105</v>
      </c>
      <c r="N189" s="663"/>
      <c r="P189" s="37" t="str">
        <f t="shared" si="14"/>
        <v>1968F0</v>
      </c>
      <c r="Q189" s="37" t="str">
        <f t="shared" si="15"/>
        <v>F013</v>
      </c>
      <c r="R189" s="37" t="str">
        <f t="shared" si="16"/>
        <v>MayF0</v>
      </c>
    </row>
    <row r="190" spans="1:18">
      <c r="A190" s="616">
        <f t="shared" si="17"/>
        <v>186</v>
      </c>
      <c r="B190" s="617">
        <v>5</v>
      </c>
      <c r="C190" s="618">
        <v>24964</v>
      </c>
      <c r="D190" s="618" t="s">
        <v>177</v>
      </c>
      <c r="E190" s="619">
        <v>6</v>
      </c>
      <c r="F190" s="603">
        <v>1968</v>
      </c>
      <c r="G190" s="617" t="s">
        <v>137</v>
      </c>
      <c r="H190" s="620" t="s">
        <v>152</v>
      </c>
      <c r="I190" s="621">
        <v>100</v>
      </c>
      <c r="J190" s="621">
        <v>0.5</v>
      </c>
      <c r="K190" s="603">
        <f t="shared" si="12"/>
        <v>16</v>
      </c>
      <c r="L190" s="604">
        <v>0.67013888888888884</v>
      </c>
      <c r="M190" s="605">
        <f t="shared" si="13"/>
        <v>0.67013888888888884</v>
      </c>
      <c r="N190" s="663"/>
      <c r="P190" s="37" t="str">
        <f t="shared" si="14"/>
        <v>1968F3</v>
      </c>
      <c r="Q190" s="37" t="str">
        <f t="shared" si="15"/>
        <v>F316</v>
      </c>
      <c r="R190" s="37" t="str">
        <f t="shared" si="16"/>
        <v>MayF3</v>
      </c>
    </row>
    <row r="191" spans="1:18">
      <c r="A191" s="616">
        <f t="shared" si="17"/>
        <v>187</v>
      </c>
      <c r="B191" s="617">
        <v>6</v>
      </c>
      <c r="C191" s="618">
        <v>24968</v>
      </c>
      <c r="D191" s="618" t="s">
        <v>177</v>
      </c>
      <c r="E191" s="619">
        <v>10</v>
      </c>
      <c r="F191" s="603">
        <v>1968</v>
      </c>
      <c r="G191" s="617" t="s">
        <v>134</v>
      </c>
      <c r="H191" s="620" t="s">
        <v>149</v>
      </c>
      <c r="I191" s="621">
        <v>100</v>
      </c>
      <c r="J191" s="621">
        <v>0.5</v>
      </c>
      <c r="K191" s="603">
        <f t="shared" si="12"/>
        <v>18</v>
      </c>
      <c r="L191" s="604">
        <v>0.75</v>
      </c>
      <c r="M191" s="605">
        <f t="shared" si="13"/>
        <v>0.75</v>
      </c>
      <c r="N191" s="663"/>
      <c r="P191" s="37" t="str">
        <f t="shared" si="14"/>
        <v>1968F0</v>
      </c>
      <c r="Q191" s="37" t="str">
        <f t="shared" si="15"/>
        <v>F018</v>
      </c>
      <c r="R191" s="37" t="str">
        <f t="shared" si="16"/>
        <v>MayF0</v>
      </c>
    </row>
    <row r="192" spans="1:18">
      <c r="A192" s="616">
        <f t="shared" si="17"/>
        <v>188</v>
      </c>
      <c r="B192" s="617">
        <v>7</v>
      </c>
      <c r="C192" s="618">
        <v>24988</v>
      </c>
      <c r="D192" s="618" t="s">
        <v>177</v>
      </c>
      <c r="E192" s="619">
        <v>30</v>
      </c>
      <c r="F192" s="603">
        <v>1968</v>
      </c>
      <c r="G192" s="617" t="s">
        <v>134</v>
      </c>
      <c r="H192" s="620" t="s">
        <v>149</v>
      </c>
      <c r="I192" s="621">
        <v>67</v>
      </c>
      <c r="J192" s="621">
        <v>1</v>
      </c>
      <c r="K192" s="603">
        <f t="shared" si="12"/>
        <v>17</v>
      </c>
      <c r="L192" s="604">
        <v>0.71527777777777779</v>
      </c>
      <c r="M192" s="605">
        <f t="shared" si="13"/>
        <v>0.71527777777777779</v>
      </c>
      <c r="N192" s="663"/>
      <c r="P192" s="37" t="str">
        <f t="shared" si="14"/>
        <v>1968F0</v>
      </c>
      <c r="Q192" s="37" t="str">
        <f t="shared" si="15"/>
        <v>F017</v>
      </c>
      <c r="R192" s="37" t="str">
        <f t="shared" si="16"/>
        <v>MayF0</v>
      </c>
    </row>
    <row r="193" spans="1:18">
      <c r="A193" s="616">
        <f t="shared" si="17"/>
        <v>189</v>
      </c>
      <c r="B193" s="617">
        <v>8</v>
      </c>
      <c r="C193" s="618">
        <v>24989</v>
      </c>
      <c r="D193" s="618" t="s">
        <v>177</v>
      </c>
      <c r="E193" s="619">
        <v>31</v>
      </c>
      <c r="F193" s="603">
        <v>1968</v>
      </c>
      <c r="G193" s="617" t="s">
        <v>144</v>
      </c>
      <c r="H193" s="620" t="s">
        <v>149</v>
      </c>
      <c r="I193" s="621">
        <v>17</v>
      </c>
      <c r="J193" s="621">
        <v>0.2</v>
      </c>
      <c r="K193" s="603">
        <f t="shared" si="12"/>
        <v>16</v>
      </c>
      <c r="L193" s="604">
        <v>0.6875</v>
      </c>
      <c r="M193" s="605">
        <f t="shared" si="13"/>
        <v>0.6875</v>
      </c>
      <c r="N193" s="663"/>
      <c r="P193" s="37" t="str">
        <f t="shared" si="14"/>
        <v>1968F0</v>
      </c>
      <c r="Q193" s="37" t="str">
        <f t="shared" si="15"/>
        <v>F016</v>
      </c>
      <c r="R193" s="37" t="str">
        <f t="shared" si="16"/>
        <v>MayF0</v>
      </c>
    </row>
    <row r="194" spans="1:18">
      <c r="A194" s="616">
        <f t="shared" si="17"/>
        <v>190</v>
      </c>
      <c r="B194" s="617">
        <v>9</v>
      </c>
      <c r="C194" s="618">
        <v>24995</v>
      </c>
      <c r="D194" s="618" t="s">
        <v>178</v>
      </c>
      <c r="E194" s="619">
        <v>6</v>
      </c>
      <c r="F194" s="603">
        <v>1968</v>
      </c>
      <c r="G194" s="617" t="s">
        <v>132</v>
      </c>
      <c r="H194" s="620" t="s">
        <v>149</v>
      </c>
      <c r="I194" s="621">
        <v>10</v>
      </c>
      <c r="J194" s="621">
        <v>0.1</v>
      </c>
      <c r="K194" s="603">
        <f t="shared" si="12"/>
        <v>16</v>
      </c>
      <c r="L194" s="604">
        <v>0.67708333333333337</v>
      </c>
      <c r="M194" s="605">
        <f t="shared" si="13"/>
        <v>0.67708333333333337</v>
      </c>
      <c r="N194" s="663"/>
      <c r="P194" s="37" t="str">
        <f t="shared" si="14"/>
        <v>1968F0</v>
      </c>
      <c r="Q194" s="37" t="str">
        <f t="shared" si="15"/>
        <v>F016</v>
      </c>
      <c r="R194" s="37" t="str">
        <f t="shared" si="16"/>
        <v>JuneF0</v>
      </c>
    </row>
    <row r="195" spans="1:18">
      <c r="A195" s="616">
        <f t="shared" si="17"/>
        <v>191</v>
      </c>
      <c r="B195" s="617">
        <v>10</v>
      </c>
      <c r="C195" s="618">
        <v>24996</v>
      </c>
      <c r="D195" s="618" t="s">
        <v>178</v>
      </c>
      <c r="E195" s="619">
        <v>7</v>
      </c>
      <c r="F195" s="603">
        <v>1968</v>
      </c>
      <c r="G195" s="617" t="s">
        <v>130</v>
      </c>
      <c r="H195" s="620" t="s">
        <v>149</v>
      </c>
      <c r="I195" s="621">
        <v>33</v>
      </c>
      <c r="J195" s="621">
        <v>0.5</v>
      </c>
      <c r="K195" s="603">
        <f t="shared" si="12"/>
        <v>21</v>
      </c>
      <c r="L195" s="604">
        <v>0.89236111111111116</v>
      </c>
      <c r="M195" s="605">
        <f t="shared" si="13"/>
        <v>0.89236111111111116</v>
      </c>
      <c r="N195" s="663"/>
      <c r="P195" s="37" t="str">
        <f t="shared" si="14"/>
        <v>1968F0</v>
      </c>
      <c r="Q195" s="37" t="str">
        <f t="shared" si="15"/>
        <v>F021</v>
      </c>
      <c r="R195" s="37" t="str">
        <f t="shared" si="16"/>
        <v>JuneF0</v>
      </c>
    </row>
    <row r="196" spans="1:18">
      <c r="A196" s="616">
        <f t="shared" si="17"/>
        <v>192</v>
      </c>
      <c r="B196" s="617">
        <v>11</v>
      </c>
      <c r="C196" s="618">
        <v>24997</v>
      </c>
      <c r="D196" s="618" t="s">
        <v>178</v>
      </c>
      <c r="E196" s="619">
        <v>8</v>
      </c>
      <c r="F196" s="603">
        <v>1968</v>
      </c>
      <c r="G196" s="617" t="s">
        <v>128</v>
      </c>
      <c r="H196" s="620" t="s">
        <v>151</v>
      </c>
      <c r="I196" s="621">
        <v>33</v>
      </c>
      <c r="J196" s="621">
        <v>0.8</v>
      </c>
      <c r="K196" s="603">
        <f t="shared" si="12"/>
        <v>17</v>
      </c>
      <c r="L196" s="604">
        <v>0.72916666666666663</v>
      </c>
      <c r="M196" s="605">
        <f t="shared" si="13"/>
        <v>0.72916666666666663</v>
      </c>
      <c r="N196" s="663"/>
      <c r="P196" s="37" t="str">
        <f t="shared" si="14"/>
        <v>1968F2</v>
      </c>
      <c r="Q196" s="37" t="str">
        <f t="shared" si="15"/>
        <v>F217</v>
      </c>
      <c r="R196" s="37" t="str">
        <f t="shared" si="16"/>
        <v>JuneF2</v>
      </c>
    </row>
    <row r="197" spans="1:18">
      <c r="A197" s="616">
        <f t="shared" si="17"/>
        <v>193</v>
      </c>
      <c r="B197" s="617">
        <v>12</v>
      </c>
      <c r="C197" s="618">
        <v>24998</v>
      </c>
      <c r="D197" s="618" t="s">
        <v>178</v>
      </c>
      <c r="E197" s="619">
        <v>9</v>
      </c>
      <c r="F197" s="603">
        <v>1968</v>
      </c>
      <c r="G197" s="617" t="s">
        <v>146</v>
      </c>
      <c r="H197" s="620" t="s">
        <v>149</v>
      </c>
      <c r="I197" s="621">
        <v>17</v>
      </c>
      <c r="J197" s="621">
        <v>1</v>
      </c>
      <c r="K197" s="603">
        <f t="shared" ref="K197:K216" si="18">HOUR(M197)</f>
        <v>8</v>
      </c>
      <c r="L197" s="604">
        <v>0.35416666666666669</v>
      </c>
      <c r="M197" s="605">
        <f t="shared" ref="M197:M256" si="19">+L197</f>
        <v>0.35416666666666669</v>
      </c>
      <c r="N197" s="663"/>
      <c r="P197" s="37" t="str">
        <f t="shared" si="14"/>
        <v>1968F0</v>
      </c>
      <c r="Q197" s="37" t="str">
        <f t="shared" si="15"/>
        <v>F08</v>
      </c>
      <c r="R197" s="37" t="str">
        <f t="shared" si="16"/>
        <v>JuneF0</v>
      </c>
    </row>
    <row r="198" spans="1:18">
      <c r="A198" s="616">
        <f t="shared" si="17"/>
        <v>194</v>
      </c>
      <c r="B198" s="617">
        <v>13</v>
      </c>
      <c r="C198" s="618">
        <v>24998</v>
      </c>
      <c r="D198" s="618" t="s">
        <v>178</v>
      </c>
      <c r="E198" s="619">
        <v>9</v>
      </c>
      <c r="F198" s="603">
        <v>1968</v>
      </c>
      <c r="G198" s="617" t="s">
        <v>138</v>
      </c>
      <c r="H198" s="620" t="s">
        <v>150</v>
      </c>
      <c r="I198" s="621">
        <v>100</v>
      </c>
      <c r="J198" s="621">
        <v>0.1</v>
      </c>
      <c r="K198" s="603">
        <f t="shared" si="18"/>
        <v>13</v>
      </c>
      <c r="L198" s="604">
        <v>0.5625</v>
      </c>
      <c r="M198" s="605">
        <f t="shared" si="19"/>
        <v>0.5625</v>
      </c>
      <c r="N198" s="663"/>
      <c r="P198" s="37" t="str">
        <f t="shared" ref="P198:P261" si="20">CONCATENATE(F198,H198)</f>
        <v>1968F1</v>
      </c>
      <c r="Q198" s="37" t="str">
        <f t="shared" ref="Q198:Q261" si="21">CONCATENATE(H198,K198)</f>
        <v>F113</v>
      </c>
      <c r="R198" s="37" t="str">
        <f t="shared" ref="R198:R261" si="22">CONCATENATE(D198,H198)</f>
        <v>JuneF1</v>
      </c>
    </row>
    <row r="199" spans="1:18">
      <c r="A199" s="616">
        <f t="shared" ref="A199:A262" si="23">+A198+1</f>
        <v>195</v>
      </c>
      <c r="B199" s="617">
        <v>14</v>
      </c>
      <c r="C199" s="618">
        <v>25028</v>
      </c>
      <c r="D199" s="618" t="s">
        <v>179</v>
      </c>
      <c r="E199" s="619">
        <v>9</v>
      </c>
      <c r="F199" s="603">
        <v>1968</v>
      </c>
      <c r="G199" s="617" t="s">
        <v>127</v>
      </c>
      <c r="H199" s="620" t="s">
        <v>149</v>
      </c>
      <c r="I199" s="621">
        <v>10</v>
      </c>
      <c r="J199" s="621">
        <v>0.1</v>
      </c>
      <c r="K199" s="603">
        <f t="shared" si="18"/>
        <v>18</v>
      </c>
      <c r="L199" s="604">
        <v>0.76041666666666663</v>
      </c>
      <c r="M199" s="605">
        <f t="shared" si="19"/>
        <v>0.76041666666666663</v>
      </c>
      <c r="N199" s="663"/>
      <c r="P199" s="37" t="str">
        <f t="shared" si="20"/>
        <v>1968F0</v>
      </c>
      <c r="Q199" s="37" t="str">
        <f t="shared" si="21"/>
        <v>F018</v>
      </c>
      <c r="R199" s="37" t="str">
        <f t="shared" si="22"/>
        <v>JulyF0</v>
      </c>
    </row>
    <row r="200" spans="1:18">
      <c r="A200" s="616">
        <f t="shared" si="23"/>
        <v>196</v>
      </c>
      <c r="B200" s="617">
        <v>15</v>
      </c>
      <c r="C200" s="618">
        <v>25036</v>
      </c>
      <c r="D200" s="618" t="s">
        <v>179</v>
      </c>
      <c r="E200" s="619">
        <v>17</v>
      </c>
      <c r="F200" s="603">
        <v>1968</v>
      </c>
      <c r="G200" s="617" t="s">
        <v>141</v>
      </c>
      <c r="H200" s="620" t="s">
        <v>149</v>
      </c>
      <c r="I200" s="621">
        <v>100</v>
      </c>
      <c r="J200" s="621">
        <v>0.5</v>
      </c>
      <c r="K200" s="603">
        <f t="shared" si="18"/>
        <v>17</v>
      </c>
      <c r="L200" s="604">
        <v>0.72916666666666663</v>
      </c>
      <c r="M200" s="605">
        <f t="shared" si="19"/>
        <v>0.72916666666666663</v>
      </c>
      <c r="N200" s="663"/>
      <c r="P200" s="37" t="str">
        <f t="shared" si="20"/>
        <v>1968F0</v>
      </c>
      <c r="Q200" s="37" t="str">
        <f t="shared" si="21"/>
        <v>F017</v>
      </c>
      <c r="R200" s="37" t="str">
        <f t="shared" si="22"/>
        <v>JulyF0</v>
      </c>
    </row>
    <row r="201" spans="1:18">
      <c r="A201" s="616">
        <f t="shared" si="23"/>
        <v>197</v>
      </c>
      <c r="B201" s="617">
        <v>16</v>
      </c>
      <c r="C201" s="618">
        <v>25036</v>
      </c>
      <c r="D201" s="618" t="s">
        <v>179</v>
      </c>
      <c r="E201" s="619">
        <v>17</v>
      </c>
      <c r="F201" s="603">
        <v>1968</v>
      </c>
      <c r="G201" s="617" t="s">
        <v>141</v>
      </c>
      <c r="H201" s="620" t="s">
        <v>149</v>
      </c>
      <c r="I201" s="621">
        <v>33</v>
      </c>
      <c r="J201" s="621">
        <v>4.5</v>
      </c>
      <c r="K201" s="603">
        <f t="shared" si="18"/>
        <v>20</v>
      </c>
      <c r="L201" s="604">
        <v>0.83472222222222225</v>
      </c>
      <c r="M201" s="605">
        <f t="shared" si="19"/>
        <v>0.83472222222222225</v>
      </c>
      <c r="N201" s="663"/>
      <c r="P201" s="37" t="str">
        <f t="shared" si="20"/>
        <v>1968F0</v>
      </c>
      <c r="Q201" s="37" t="str">
        <f t="shared" si="21"/>
        <v>F020</v>
      </c>
      <c r="R201" s="37" t="str">
        <f t="shared" si="22"/>
        <v>JulyF0</v>
      </c>
    </row>
    <row r="202" spans="1:18">
      <c r="A202" s="616">
        <f t="shared" si="23"/>
        <v>198</v>
      </c>
      <c r="B202" s="617">
        <v>17</v>
      </c>
      <c r="C202" s="618">
        <v>25036</v>
      </c>
      <c r="D202" s="618" t="s">
        <v>179</v>
      </c>
      <c r="E202" s="619">
        <v>17</v>
      </c>
      <c r="F202" s="603">
        <v>1968</v>
      </c>
      <c r="G202" s="617" t="s">
        <v>141</v>
      </c>
      <c r="H202" s="620" t="s">
        <v>149</v>
      </c>
      <c r="I202" s="621">
        <v>33</v>
      </c>
      <c r="J202" s="621">
        <v>3.6</v>
      </c>
      <c r="K202" s="603">
        <f t="shared" si="18"/>
        <v>20</v>
      </c>
      <c r="L202" s="604">
        <v>0.83472222222222225</v>
      </c>
      <c r="M202" s="605">
        <f t="shared" si="19"/>
        <v>0.83472222222222225</v>
      </c>
      <c r="N202" s="663"/>
      <c r="P202" s="37" t="str">
        <f t="shared" si="20"/>
        <v>1968F0</v>
      </c>
      <c r="Q202" s="37" t="str">
        <f t="shared" si="21"/>
        <v>F020</v>
      </c>
      <c r="R202" s="37" t="str">
        <f t="shared" si="22"/>
        <v>JulyF0</v>
      </c>
    </row>
    <row r="203" spans="1:18">
      <c r="A203" s="616">
        <f t="shared" si="23"/>
        <v>199</v>
      </c>
      <c r="B203" s="617">
        <v>18</v>
      </c>
      <c r="C203" s="618">
        <v>25036</v>
      </c>
      <c r="D203" s="618" t="s">
        <v>179</v>
      </c>
      <c r="E203" s="619">
        <v>17</v>
      </c>
      <c r="F203" s="603">
        <v>1968</v>
      </c>
      <c r="G203" s="617" t="s">
        <v>143</v>
      </c>
      <c r="H203" s="620" t="s">
        <v>149</v>
      </c>
      <c r="I203" s="621">
        <v>10</v>
      </c>
      <c r="J203" s="621">
        <v>0.1</v>
      </c>
      <c r="K203" s="603">
        <f t="shared" si="18"/>
        <v>20</v>
      </c>
      <c r="L203" s="604">
        <v>0.85763888888888884</v>
      </c>
      <c r="M203" s="605">
        <f t="shared" si="19"/>
        <v>0.85763888888888884</v>
      </c>
      <c r="N203" s="663"/>
      <c r="P203" s="37" t="str">
        <f t="shared" si="20"/>
        <v>1968F0</v>
      </c>
      <c r="Q203" s="37" t="str">
        <f t="shared" si="21"/>
        <v>F020</v>
      </c>
      <c r="R203" s="37" t="str">
        <f t="shared" si="22"/>
        <v>JulyF0</v>
      </c>
    </row>
    <row r="204" spans="1:18">
      <c r="A204" s="616">
        <f t="shared" si="23"/>
        <v>200</v>
      </c>
      <c r="B204" s="617">
        <v>19</v>
      </c>
      <c r="C204" s="618">
        <v>25064</v>
      </c>
      <c r="D204" s="618" t="s">
        <v>180</v>
      </c>
      <c r="E204" s="619">
        <v>14</v>
      </c>
      <c r="F204" s="603">
        <v>1968</v>
      </c>
      <c r="G204" s="617" t="s">
        <v>134</v>
      </c>
      <c r="H204" s="620" t="s">
        <v>150</v>
      </c>
      <c r="I204" s="621">
        <v>17</v>
      </c>
      <c r="J204" s="621">
        <v>1</v>
      </c>
      <c r="K204" s="603">
        <f t="shared" si="18"/>
        <v>14</v>
      </c>
      <c r="L204" s="604">
        <v>0.58333333333333337</v>
      </c>
      <c r="M204" s="605">
        <f t="shared" si="19"/>
        <v>0.58333333333333337</v>
      </c>
      <c r="N204" s="663"/>
      <c r="P204" s="37" t="str">
        <f t="shared" si="20"/>
        <v>1968F1</v>
      </c>
      <c r="Q204" s="37" t="str">
        <f t="shared" si="21"/>
        <v>F114</v>
      </c>
      <c r="R204" s="37" t="str">
        <f t="shared" si="22"/>
        <v>AugustF1</v>
      </c>
    </row>
    <row r="205" spans="1:18">
      <c r="A205" s="616">
        <f t="shared" si="23"/>
        <v>201</v>
      </c>
      <c r="B205" s="617">
        <v>20</v>
      </c>
      <c r="C205" s="618">
        <v>25064</v>
      </c>
      <c r="D205" s="618" t="s">
        <v>180</v>
      </c>
      <c r="E205" s="619">
        <v>14</v>
      </c>
      <c r="F205" s="603">
        <v>1968</v>
      </c>
      <c r="G205" s="617" t="s">
        <v>140</v>
      </c>
      <c r="H205" s="620" t="s">
        <v>149</v>
      </c>
      <c r="I205" s="621">
        <v>17</v>
      </c>
      <c r="J205" s="621">
        <v>0.2</v>
      </c>
      <c r="K205" s="603">
        <f t="shared" si="18"/>
        <v>16</v>
      </c>
      <c r="L205" s="604">
        <v>0.69444444444444453</v>
      </c>
      <c r="M205" s="605">
        <f t="shared" si="19"/>
        <v>0.69444444444444453</v>
      </c>
      <c r="N205" s="663"/>
      <c r="P205" s="37" t="str">
        <f t="shared" si="20"/>
        <v>1968F0</v>
      </c>
      <c r="Q205" s="37" t="str">
        <f t="shared" si="21"/>
        <v>F016</v>
      </c>
      <c r="R205" s="37" t="str">
        <f t="shared" si="22"/>
        <v>AugustF0</v>
      </c>
    </row>
    <row r="206" spans="1:18">
      <c r="A206" s="616">
        <f t="shared" si="23"/>
        <v>202</v>
      </c>
      <c r="B206" s="617">
        <v>21</v>
      </c>
      <c r="C206" s="618">
        <v>25119</v>
      </c>
      <c r="D206" s="618" t="s">
        <v>182</v>
      </c>
      <c r="E206" s="619">
        <v>8</v>
      </c>
      <c r="F206" s="603">
        <v>1968</v>
      </c>
      <c r="G206" s="617" t="s">
        <v>137</v>
      </c>
      <c r="H206" s="620" t="s">
        <v>149</v>
      </c>
      <c r="I206" s="621">
        <v>13</v>
      </c>
      <c r="J206" s="621">
        <v>0.1</v>
      </c>
      <c r="K206" s="603">
        <f t="shared" si="18"/>
        <v>15</v>
      </c>
      <c r="L206" s="604">
        <v>0.63888888888888895</v>
      </c>
      <c r="M206" s="605">
        <f t="shared" si="19"/>
        <v>0.63888888888888895</v>
      </c>
      <c r="N206" s="663"/>
      <c r="P206" s="37" t="str">
        <f t="shared" si="20"/>
        <v>1968F0</v>
      </c>
      <c r="Q206" s="37" t="str">
        <f t="shared" si="21"/>
        <v>F015</v>
      </c>
      <c r="R206" s="37" t="str">
        <f t="shared" si="22"/>
        <v>OctoberF0</v>
      </c>
    </row>
    <row r="207" spans="1:18">
      <c r="A207" s="616">
        <f t="shared" si="23"/>
        <v>203</v>
      </c>
      <c r="B207" s="617">
        <v>22</v>
      </c>
      <c r="C207" s="618">
        <v>25120</v>
      </c>
      <c r="D207" s="618" t="s">
        <v>182</v>
      </c>
      <c r="E207" s="619">
        <v>9</v>
      </c>
      <c r="F207" s="603">
        <v>1968</v>
      </c>
      <c r="G207" s="617" t="s">
        <v>132</v>
      </c>
      <c r="H207" s="620" t="s">
        <v>149</v>
      </c>
      <c r="I207" s="621">
        <v>17</v>
      </c>
      <c r="J207" s="621">
        <v>0.1</v>
      </c>
      <c r="K207" s="603">
        <f t="shared" si="18"/>
        <v>20</v>
      </c>
      <c r="L207" s="604">
        <v>0.83333333333333337</v>
      </c>
      <c r="M207" s="605">
        <f t="shared" si="19"/>
        <v>0.83333333333333337</v>
      </c>
      <c r="N207" s="663"/>
      <c r="P207" s="37" t="str">
        <f t="shared" si="20"/>
        <v>1968F0</v>
      </c>
      <c r="Q207" s="37" t="str">
        <f t="shared" si="21"/>
        <v>F020</v>
      </c>
      <c r="R207" s="37" t="str">
        <f t="shared" si="22"/>
        <v>OctoberF0</v>
      </c>
    </row>
    <row r="208" spans="1:18">
      <c r="A208" s="616">
        <f t="shared" si="23"/>
        <v>204</v>
      </c>
      <c r="B208" s="617">
        <v>1</v>
      </c>
      <c r="C208" s="618">
        <v>25325</v>
      </c>
      <c r="D208" s="618" t="s">
        <v>177</v>
      </c>
      <c r="E208" s="619">
        <v>2</v>
      </c>
      <c r="F208" s="603">
        <v>1969</v>
      </c>
      <c r="G208" s="617" t="s">
        <v>140</v>
      </c>
      <c r="H208" s="620" t="s">
        <v>151</v>
      </c>
      <c r="I208" s="621">
        <v>50</v>
      </c>
      <c r="J208" s="621">
        <v>0.1</v>
      </c>
      <c r="K208" s="603">
        <f t="shared" si="18"/>
        <v>16</v>
      </c>
      <c r="L208" s="604">
        <v>0.66666666666666663</v>
      </c>
      <c r="M208" s="605">
        <f t="shared" si="19"/>
        <v>0.66666666666666663</v>
      </c>
      <c r="N208" s="663"/>
      <c r="P208" s="37" t="str">
        <f t="shared" si="20"/>
        <v>1969F2</v>
      </c>
      <c r="Q208" s="37" t="str">
        <f t="shared" si="21"/>
        <v>F216</v>
      </c>
      <c r="R208" s="37" t="str">
        <f t="shared" si="22"/>
        <v>MayF2</v>
      </c>
    </row>
    <row r="209" spans="1:18">
      <c r="A209" s="616">
        <f t="shared" si="23"/>
        <v>205</v>
      </c>
      <c r="B209" s="617">
        <v>2</v>
      </c>
      <c r="C209" s="618">
        <v>25325</v>
      </c>
      <c r="D209" s="618" t="s">
        <v>177</v>
      </c>
      <c r="E209" s="619">
        <v>2</v>
      </c>
      <c r="F209" s="603">
        <v>1969</v>
      </c>
      <c r="G209" s="617" t="s">
        <v>145</v>
      </c>
      <c r="H209" s="620" t="s">
        <v>149</v>
      </c>
      <c r="I209" s="621">
        <v>33</v>
      </c>
      <c r="J209" s="621">
        <v>0.2</v>
      </c>
      <c r="K209" s="603">
        <f t="shared" si="18"/>
        <v>16</v>
      </c>
      <c r="L209" s="604">
        <v>0.6694444444444444</v>
      </c>
      <c r="M209" s="605">
        <f t="shared" si="19"/>
        <v>0.6694444444444444</v>
      </c>
      <c r="N209" s="663"/>
      <c r="P209" s="37" t="str">
        <f t="shared" si="20"/>
        <v>1969F0</v>
      </c>
      <c r="Q209" s="37" t="str">
        <f t="shared" si="21"/>
        <v>F016</v>
      </c>
      <c r="R209" s="37" t="str">
        <f t="shared" si="22"/>
        <v>MayF0</v>
      </c>
    </row>
    <row r="210" spans="1:18">
      <c r="A210" s="616">
        <f t="shared" si="23"/>
        <v>206</v>
      </c>
      <c r="B210" s="617">
        <v>3</v>
      </c>
      <c r="C210" s="618">
        <v>25325</v>
      </c>
      <c r="D210" s="618" t="s">
        <v>177</v>
      </c>
      <c r="E210" s="619">
        <v>2</v>
      </c>
      <c r="F210" s="603">
        <v>1969</v>
      </c>
      <c r="G210" s="617" t="s">
        <v>145</v>
      </c>
      <c r="H210" s="620" t="s">
        <v>149</v>
      </c>
      <c r="I210" s="621">
        <v>33</v>
      </c>
      <c r="J210" s="621">
        <v>0.2</v>
      </c>
      <c r="K210" s="603">
        <f t="shared" si="18"/>
        <v>16</v>
      </c>
      <c r="L210" s="604">
        <v>0.6875</v>
      </c>
      <c r="M210" s="605">
        <f t="shared" si="19"/>
        <v>0.6875</v>
      </c>
      <c r="N210" s="663"/>
      <c r="P210" s="37" t="str">
        <f t="shared" si="20"/>
        <v>1969F0</v>
      </c>
      <c r="Q210" s="37" t="str">
        <f t="shared" si="21"/>
        <v>F016</v>
      </c>
      <c r="R210" s="37" t="str">
        <f t="shared" si="22"/>
        <v>MayF0</v>
      </c>
    </row>
    <row r="211" spans="1:18">
      <c r="A211" s="616">
        <f t="shared" si="23"/>
        <v>207</v>
      </c>
      <c r="B211" s="617">
        <v>4</v>
      </c>
      <c r="C211" s="618">
        <v>25335</v>
      </c>
      <c r="D211" s="618" t="s">
        <v>177</v>
      </c>
      <c r="E211" s="619">
        <v>12</v>
      </c>
      <c r="F211" s="603">
        <v>1969</v>
      </c>
      <c r="G211" s="617" t="s">
        <v>137</v>
      </c>
      <c r="H211" s="620" t="s">
        <v>149</v>
      </c>
      <c r="I211" s="621">
        <v>33</v>
      </c>
      <c r="J211" s="621">
        <v>0.1</v>
      </c>
      <c r="K211" s="603">
        <f t="shared" si="18"/>
        <v>17</v>
      </c>
      <c r="L211" s="604">
        <v>0.72222222222222221</v>
      </c>
      <c r="M211" s="605">
        <f t="shared" si="19"/>
        <v>0.72222222222222221</v>
      </c>
      <c r="N211" s="663"/>
      <c r="P211" s="37" t="str">
        <f t="shared" si="20"/>
        <v>1969F0</v>
      </c>
      <c r="Q211" s="37" t="str">
        <f t="shared" si="21"/>
        <v>F017</v>
      </c>
      <c r="R211" s="37" t="str">
        <f t="shared" si="22"/>
        <v>MayF0</v>
      </c>
    </row>
    <row r="212" spans="1:18">
      <c r="A212" s="616">
        <f t="shared" si="23"/>
        <v>208</v>
      </c>
      <c r="B212" s="617">
        <v>5</v>
      </c>
      <c r="C212" s="618">
        <v>25335</v>
      </c>
      <c r="D212" s="618" t="s">
        <v>177</v>
      </c>
      <c r="E212" s="619">
        <v>12</v>
      </c>
      <c r="F212" s="603">
        <v>1969</v>
      </c>
      <c r="G212" s="617" t="s">
        <v>143</v>
      </c>
      <c r="H212" s="620" t="s">
        <v>149</v>
      </c>
      <c r="I212" s="621">
        <v>33</v>
      </c>
      <c r="J212" s="621">
        <v>0.1</v>
      </c>
      <c r="K212" s="603">
        <f t="shared" si="18"/>
        <v>19</v>
      </c>
      <c r="L212" s="604">
        <v>0.79166666666666663</v>
      </c>
      <c r="M212" s="605">
        <f t="shared" si="19"/>
        <v>0.79166666666666663</v>
      </c>
      <c r="N212" s="663"/>
      <c r="P212" s="37" t="str">
        <f t="shared" si="20"/>
        <v>1969F0</v>
      </c>
      <c r="Q212" s="37" t="str">
        <f t="shared" si="21"/>
        <v>F019</v>
      </c>
      <c r="R212" s="37" t="str">
        <f t="shared" si="22"/>
        <v>MayF0</v>
      </c>
    </row>
    <row r="213" spans="1:18">
      <c r="A213" s="616">
        <f t="shared" si="23"/>
        <v>209</v>
      </c>
      <c r="B213" s="617">
        <v>6</v>
      </c>
      <c r="C213" s="618">
        <v>25335</v>
      </c>
      <c r="D213" s="618" t="s">
        <v>177</v>
      </c>
      <c r="E213" s="619">
        <v>12</v>
      </c>
      <c r="F213" s="603">
        <v>1969</v>
      </c>
      <c r="G213" s="617" t="s">
        <v>143</v>
      </c>
      <c r="H213" s="620" t="s">
        <v>149</v>
      </c>
      <c r="I213" s="621">
        <v>10</v>
      </c>
      <c r="J213" s="621">
        <v>0.1</v>
      </c>
      <c r="K213" s="603">
        <f t="shared" si="18"/>
        <v>23</v>
      </c>
      <c r="L213" s="604">
        <v>0.97222222222222221</v>
      </c>
      <c r="M213" s="605">
        <f t="shared" si="19"/>
        <v>0.97222222222222221</v>
      </c>
      <c r="N213" s="663"/>
      <c r="P213" s="37" t="str">
        <f t="shared" si="20"/>
        <v>1969F0</v>
      </c>
      <c r="Q213" s="37" t="str">
        <f t="shared" si="21"/>
        <v>F023</v>
      </c>
      <c r="R213" s="37" t="str">
        <f t="shared" si="22"/>
        <v>MayF0</v>
      </c>
    </row>
    <row r="214" spans="1:18">
      <c r="A214" s="616">
        <f t="shared" si="23"/>
        <v>210</v>
      </c>
      <c r="B214" s="617">
        <v>7</v>
      </c>
      <c r="C214" s="618">
        <v>25336</v>
      </c>
      <c r="D214" s="618" t="s">
        <v>177</v>
      </c>
      <c r="E214" s="619">
        <v>13</v>
      </c>
      <c r="F214" s="603">
        <v>1969</v>
      </c>
      <c r="G214" s="617" t="s">
        <v>143</v>
      </c>
      <c r="H214" s="620" t="s">
        <v>149</v>
      </c>
      <c r="I214" s="621">
        <v>10</v>
      </c>
      <c r="J214" s="621">
        <v>0.1</v>
      </c>
      <c r="K214" s="603">
        <f t="shared" si="18"/>
        <v>18</v>
      </c>
      <c r="L214" s="604">
        <v>0.78125</v>
      </c>
      <c r="M214" s="605">
        <f t="shared" si="19"/>
        <v>0.78125</v>
      </c>
      <c r="N214" s="663"/>
      <c r="P214" s="37" t="str">
        <f t="shared" si="20"/>
        <v>1969F0</v>
      </c>
      <c r="Q214" s="37" t="str">
        <f t="shared" si="21"/>
        <v>F018</v>
      </c>
      <c r="R214" s="37" t="str">
        <f t="shared" si="22"/>
        <v>MayF0</v>
      </c>
    </row>
    <row r="215" spans="1:18">
      <c r="A215" s="616">
        <f t="shared" si="23"/>
        <v>211</v>
      </c>
      <c r="B215" s="617">
        <v>8</v>
      </c>
      <c r="C215" s="618">
        <v>25337</v>
      </c>
      <c r="D215" s="618" t="s">
        <v>177</v>
      </c>
      <c r="E215" s="619">
        <v>14</v>
      </c>
      <c r="F215" s="603">
        <v>1969</v>
      </c>
      <c r="G215" s="617" t="s">
        <v>130</v>
      </c>
      <c r="H215" s="620" t="s">
        <v>149</v>
      </c>
      <c r="I215" s="621">
        <v>17</v>
      </c>
      <c r="J215" s="621">
        <v>0.1</v>
      </c>
      <c r="K215" s="603">
        <f t="shared" si="18"/>
        <v>19</v>
      </c>
      <c r="L215" s="604">
        <v>0.79861111111111116</v>
      </c>
      <c r="M215" s="605">
        <f t="shared" si="19"/>
        <v>0.79861111111111116</v>
      </c>
      <c r="N215" s="663"/>
      <c r="P215" s="37" t="str">
        <f t="shared" si="20"/>
        <v>1969F0</v>
      </c>
      <c r="Q215" s="37" t="str">
        <f t="shared" si="21"/>
        <v>F019</v>
      </c>
      <c r="R215" s="37" t="str">
        <f t="shared" si="22"/>
        <v>MayF0</v>
      </c>
    </row>
    <row r="216" spans="1:18">
      <c r="A216" s="616">
        <f t="shared" si="23"/>
        <v>212</v>
      </c>
      <c r="B216" s="617">
        <v>9</v>
      </c>
      <c r="C216" s="618">
        <v>25338</v>
      </c>
      <c r="D216" s="618" t="s">
        <v>177</v>
      </c>
      <c r="E216" s="619">
        <v>15</v>
      </c>
      <c r="F216" s="603">
        <v>1969</v>
      </c>
      <c r="G216" s="617" t="s">
        <v>145</v>
      </c>
      <c r="H216" s="620" t="s">
        <v>149</v>
      </c>
      <c r="I216" s="621">
        <v>33</v>
      </c>
      <c r="J216" s="621">
        <v>0.5</v>
      </c>
      <c r="K216" s="603">
        <f t="shared" si="18"/>
        <v>15</v>
      </c>
      <c r="L216" s="604">
        <v>0.625</v>
      </c>
      <c r="M216" s="605">
        <f t="shared" si="19"/>
        <v>0.625</v>
      </c>
      <c r="N216" s="663"/>
      <c r="P216" s="37" t="str">
        <f t="shared" si="20"/>
        <v>1969F0</v>
      </c>
      <c r="Q216" s="37" t="str">
        <f t="shared" si="21"/>
        <v>F015</v>
      </c>
      <c r="R216" s="37" t="str">
        <f t="shared" si="22"/>
        <v>MayF0</v>
      </c>
    </row>
    <row r="217" spans="1:18">
      <c r="A217" s="616">
        <f t="shared" si="23"/>
        <v>213</v>
      </c>
      <c r="B217" s="617">
        <v>10</v>
      </c>
      <c r="C217" s="618">
        <v>25339</v>
      </c>
      <c r="D217" s="618" t="s">
        <v>177</v>
      </c>
      <c r="E217" s="619">
        <v>16</v>
      </c>
      <c r="F217" s="603">
        <v>1969</v>
      </c>
      <c r="G217" s="617" t="s">
        <v>134</v>
      </c>
      <c r="H217" s="620" t="s">
        <v>149</v>
      </c>
      <c r="I217" s="621">
        <v>33</v>
      </c>
      <c r="J217" s="621">
        <v>1</v>
      </c>
      <c r="K217" s="603">
        <v>4</v>
      </c>
      <c r="L217" s="604">
        <v>0.60416666666666663</v>
      </c>
      <c r="M217" s="605">
        <f t="shared" si="19"/>
        <v>0.60416666666666663</v>
      </c>
      <c r="N217" s="663"/>
      <c r="P217" s="37" t="str">
        <f t="shared" si="20"/>
        <v>1969F0</v>
      </c>
      <c r="Q217" s="37" t="str">
        <f t="shared" si="21"/>
        <v>F04</v>
      </c>
      <c r="R217" s="37" t="str">
        <f t="shared" si="22"/>
        <v>MayF0</v>
      </c>
    </row>
    <row r="218" spans="1:18">
      <c r="A218" s="616">
        <f t="shared" si="23"/>
        <v>214</v>
      </c>
      <c r="B218" s="617">
        <v>11</v>
      </c>
      <c r="C218" s="618">
        <v>25339</v>
      </c>
      <c r="D218" s="618" t="s">
        <v>177</v>
      </c>
      <c r="E218" s="619">
        <v>16</v>
      </c>
      <c r="F218" s="603">
        <v>1969</v>
      </c>
      <c r="G218" s="617" t="s">
        <v>142</v>
      </c>
      <c r="H218" s="620" t="s">
        <v>149</v>
      </c>
      <c r="I218" s="621">
        <v>33</v>
      </c>
      <c r="J218" s="621">
        <v>0.1</v>
      </c>
      <c r="K218" s="603">
        <f t="shared" ref="K218:K277" si="24">HOUR(M218)</f>
        <v>14</v>
      </c>
      <c r="L218" s="604">
        <v>0.61111111111111105</v>
      </c>
      <c r="M218" s="605">
        <f t="shared" si="19"/>
        <v>0.61111111111111105</v>
      </c>
      <c r="N218" s="663"/>
      <c r="P218" s="37" t="str">
        <f t="shared" si="20"/>
        <v>1969F0</v>
      </c>
      <c r="Q218" s="37" t="str">
        <f t="shared" si="21"/>
        <v>F014</v>
      </c>
      <c r="R218" s="37" t="str">
        <f t="shared" si="22"/>
        <v>MayF0</v>
      </c>
    </row>
    <row r="219" spans="1:18">
      <c r="A219" s="616">
        <f t="shared" si="23"/>
        <v>215</v>
      </c>
      <c r="B219" s="617">
        <v>12</v>
      </c>
      <c r="C219" s="618">
        <v>25361</v>
      </c>
      <c r="D219" s="618" t="s">
        <v>178</v>
      </c>
      <c r="E219" s="619">
        <v>7</v>
      </c>
      <c r="F219" s="603">
        <v>1969</v>
      </c>
      <c r="G219" s="617" t="s">
        <v>127</v>
      </c>
      <c r="H219" s="620" t="s">
        <v>151</v>
      </c>
      <c r="I219" s="621">
        <v>10</v>
      </c>
      <c r="J219" s="621">
        <v>0.1</v>
      </c>
      <c r="K219" s="603">
        <f t="shared" si="24"/>
        <v>22</v>
      </c>
      <c r="L219" s="604">
        <v>0.92361111111111116</v>
      </c>
      <c r="M219" s="605">
        <f t="shared" si="19"/>
        <v>0.92361111111111116</v>
      </c>
      <c r="N219" s="663"/>
      <c r="P219" s="37" t="str">
        <f t="shared" si="20"/>
        <v>1969F2</v>
      </c>
      <c r="Q219" s="37" t="str">
        <f t="shared" si="21"/>
        <v>F222</v>
      </c>
      <c r="R219" s="37" t="str">
        <f t="shared" si="22"/>
        <v>JuneF2</v>
      </c>
    </row>
    <row r="220" spans="1:18">
      <c r="A220" s="616">
        <f t="shared" si="23"/>
        <v>216</v>
      </c>
      <c r="B220" s="617">
        <v>13</v>
      </c>
      <c r="C220" s="618">
        <v>25364</v>
      </c>
      <c r="D220" s="618" t="s">
        <v>178</v>
      </c>
      <c r="E220" s="619">
        <v>10</v>
      </c>
      <c r="F220" s="603">
        <v>1969</v>
      </c>
      <c r="G220" s="617" t="s">
        <v>132</v>
      </c>
      <c r="H220" s="620" t="s">
        <v>149</v>
      </c>
      <c r="I220" s="621">
        <v>33</v>
      </c>
      <c r="J220" s="621">
        <v>0.1</v>
      </c>
      <c r="K220" s="603">
        <f t="shared" si="24"/>
        <v>18</v>
      </c>
      <c r="L220" s="604">
        <v>0.76249999999999996</v>
      </c>
      <c r="M220" s="605">
        <f t="shared" si="19"/>
        <v>0.76249999999999996</v>
      </c>
      <c r="N220" s="663"/>
      <c r="P220" s="37" t="str">
        <f t="shared" si="20"/>
        <v>1969F0</v>
      </c>
      <c r="Q220" s="37" t="str">
        <f t="shared" si="21"/>
        <v>F018</v>
      </c>
      <c r="R220" s="37" t="str">
        <f t="shared" si="22"/>
        <v>JuneF0</v>
      </c>
    </row>
    <row r="221" spans="1:18">
      <c r="A221" s="616">
        <f t="shared" si="23"/>
        <v>217</v>
      </c>
      <c r="B221" s="617">
        <v>14</v>
      </c>
      <c r="C221" s="618">
        <v>25364</v>
      </c>
      <c r="D221" s="618" t="s">
        <v>178</v>
      </c>
      <c r="E221" s="619">
        <v>10</v>
      </c>
      <c r="F221" s="603">
        <v>1969</v>
      </c>
      <c r="G221" s="617" t="s">
        <v>128</v>
      </c>
      <c r="H221" s="620" t="s">
        <v>149</v>
      </c>
      <c r="I221" s="621">
        <v>10</v>
      </c>
      <c r="J221" s="621">
        <v>0.1</v>
      </c>
      <c r="K221" s="603">
        <f t="shared" si="24"/>
        <v>19</v>
      </c>
      <c r="L221" s="604">
        <v>0.79166666666666663</v>
      </c>
      <c r="M221" s="605">
        <f t="shared" si="19"/>
        <v>0.79166666666666663</v>
      </c>
      <c r="N221" s="663"/>
      <c r="P221" s="37" t="str">
        <f t="shared" si="20"/>
        <v>1969F0</v>
      </c>
      <c r="Q221" s="37" t="str">
        <f t="shared" si="21"/>
        <v>F019</v>
      </c>
      <c r="R221" s="37" t="str">
        <f t="shared" si="22"/>
        <v>JuneF0</v>
      </c>
    </row>
    <row r="222" spans="1:18">
      <c r="A222" s="616">
        <f t="shared" si="23"/>
        <v>218</v>
      </c>
      <c r="B222" s="617">
        <v>15</v>
      </c>
      <c r="C222" s="618">
        <v>25364</v>
      </c>
      <c r="D222" s="618" t="s">
        <v>178</v>
      </c>
      <c r="E222" s="619">
        <v>10</v>
      </c>
      <c r="F222" s="603">
        <v>1969</v>
      </c>
      <c r="G222" s="617" t="s">
        <v>130</v>
      </c>
      <c r="H222" s="620" t="s">
        <v>149</v>
      </c>
      <c r="I222" s="621">
        <v>17</v>
      </c>
      <c r="J222" s="621">
        <v>0.1</v>
      </c>
      <c r="K222" s="603">
        <f t="shared" si="24"/>
        <v>21</v>
      </c>
      <c r="L222" s="604">
        <v>0.91180555555555554</v>
      </c>
      <c r="M222" s="605">
        <f t="shared" si="19"/>
        <v>0.91180555555555554</v>
      </c>
      <c r="N222" s="663"/>
      <c r="P222" s="37" t="str">
        <f t="shared" si="20"/>
        <v>1969F0</v>
      </c>
      <c r="Q222" s="37" t="str">
        <f t="shared" si="21"/>
        <v>F021</v>
      </c>
      <c r="R222" s="37" t="str">
        <f t="shared" si="22"/>
        <v>JuneF0</v>
      </c>
    </row>
    <row r="223" spans="1:18">
      <c r="A223" s="616">
        <f t="shared" si="23"/>
        <v>219</v>
      </c>
      <c r="B223" s="617">
        <v>16</v>
      </c>
      <c r="C223" s="618">
        <v>25377</v>
      </c>
      <c r="D223" s="618" t="s">
        <v>178</v>
      </c>
      <c r="E223" s="619">
        <v>23</v>
      </c>
      <c r="F223" s="603">
        <v>1969</v>
      </c>
      <c r="G223" s="617" t="s">
        <v>133</v>
      </c>
      <c r="H223" s="620" t="s">
        <v>149</v>
      </c>
      <c r="I223" s="621">
        <v>300</v>
      </c>
      <c r="J223" s="621">
        <v>1</v>
      </c>
      <c r="K223" s="603">
        <f t="shared" si="24"/>
        <v>16</v>
      </c>
      <c r="L223" s="604">
        <v>0.70486111111111116</v>
      </c>
      <c r="M223" s="605">
        <f t="shared" si="19"/>
        <v>0.70486111111111116</v>
      </c>
      <c r="N223" s="663"/>
      <c r="P223" s="37" t="str">
        <f t="shared" si="20"/>
        <v>1969F0</v>
      </c>
      <c r="Q223" s="37" t="str">
        <f t="shared" si="21"/>
        <v>F016</v>
      </c>
      <c r="R223" s="37" t="str">
        <f t="shared" si="22"/>
        <v>JuneF0</v>
      </c>
    </row>
    <row r="224" spans="1:18">
      <c r="A224" s="616">
        <f t="shared" si="23"/>
        <v>220</v>
      </c>
      <c r="B224" s="617">
        <v>1</v>
      </c>
      <c r="C224" s="618">
        <v>25675</v>
      </c>
      <c r="D224" s="618" t="s">
        <v>176</v>
      </c>
      <c r="E224" s="619">
        <v>17</v>
      </c>
      <c r="F224" s="603">
        <v>1970</v>
      </c>
      <c r="G224" s="617" t="s">
        <v>145</v>
      </c>
      <c r="H224" s="620" t="s">
        <v>153</v>
      </c>
      <c r="I224" s="621">
        <v>75</v>
      </c>
      <c r="J224" s="621">
        <v>95</v>
      </c>
      <c r="K224" s="603">
        <f t="shared" si="24"/>
        <v>22</v>
      </c>
      <c r="L224" s="604">
        <v>0.94444444444444453</v>
      </c>
      <c r="M224" s="605">
        <f t="shared" si="19"/>
        <v>0.94444444444444453</v>
      </c>
      <c r="N224" s="663">
        <v>5.2083333333333336E-2</v>
      </c>
      <c r="P224" s="37" t="str">
        <f t="shared" si="20"/>
        <v>1970F4</v>
      </c>
      <c r="Q224" s="37" t="str">
        <f t="shared" si="21"/>
        <v>F422</v>
      </c>
      <c r="R224" s="37" t="str">
        <f t="shared" si="22"/>
        <v>AprilF4</v>
      </c>
    </row>
    <row r="225" spans="1:18">
      <c r="A225" s="616">
        <f t="shared" si="23"/>
        <v>221</v>
      </c>
      <c r="B225" s="617">
        <v>2</v>
      </c>
      <c r="C225" s="618">
        <v>25675</v>
      </c>
      <c r="D225" s="618" t="s">
        <v>176</v>
      </c>
      <c r="E225" s="619">
        <v>17</v>
      </c>
      <c r="F225" s="603">
        <v>1970</v>
      </c>
      <c r="G225" s="617" t="s">
        <v>147</v>
      </c>
      <c r="H225" s="620" t="s">
        <v>153</v>
      </c>
      <c r="I225" s="621">
        <v>880</v>
      </c>
      <c r="J225" s="621">
        <v>12</v>
      </c>
      <c r="K225" s="603">
        <f t="shared" si="24"/>
        <v>23</v>
      </c>
      <c r="L225" s="604">
        <v>0.99097222222222225</v>
      </c>
      <c r="M225" s="605">
        <f t="shared" si="19"/>
        <v>0.99097222222222225</v>
      </c>
      <c r="N225" s="663">
        <v>2.7777777777777776E-2</v>
      </c>
      <c r="P225" s="37" t="str">
        <f t="shared" si="20"/>
        <v>1970F4</v>
      </c>
      <c r="Q225" s="37" t="str">
        <f t="shared" si="21"/>
        <v>F423</v>
      </c>
      <c r="R225" s="37" t="str">
        <f t="shared" si="22"/>
        <v>AprilF4</v>
      </c>
    </row>
    <row r="226" spans="1:18">
      <c r="A226" s="616">
        <f t="shared" si="23"/>
        <v>222</v>
      </c>
      <c r="B226" s="617">
        <v>3</v>
      </c>
      <c r="C226" s="618">
        <v>25676</v>
      </c>
      <c r="D226" s="618" t="s">
        <v>176</v>
      </c>
      <c r="E226" s="619">
        <v>18</v>
      </c>
      <c r="F226" s="603">
        <v>1970</v>
      </c>
      <c r="G226" s="617" t="s">
        <v>147</v>
      </c>
      <c r="H226" s="620" t="s">
        <v>153</v>
      </c>
      <c r="I226" s="621">
        <v>880</v>
      </c>
      <c r="J226" s="621">
        <v>65</v>
      </c>
      <c r="K226" s="603">
        <f t="shared" si="24"/>
        <v>1</v>
      </c>
      <c r="L226" s="604">
        <v>7.5694444444444439E-2</v>
      </c>
      <c r="M226" s="605">
        <f t="shared" si="19"/>
        <v>7.5694444444444439E-2</v>
      </c>
      <c r="N226" s="663">
        <v>0.13541666666666666</v>
      </c>
      <c r="P226" s="37" t="str">
        <f t="shared" si="20"/>
        <v>1970F4</v>
      </c>
      <c r="Q226" s="37" t="str">
        <f t="shared" si="21"/>
        <v>F41</v>
      </c>
      <c r="R226" s="37" t="str">
        <f t="shared" si="22"/>
        <v>AprilF4</v>
      </c>
    </row>
    <row r="227" spans="1:18">
      <c r="A227" s="616">
        <f t="shared" si="23"/>
        <v>223</v>
      </c>
      <c r="B227" s="617">
        <v>4</v>
      </c>
      <c r="C227" s="618">
        <v>25719</v>
      </c>
      <c r="D227" s="618" t="s">
        <v>177</v>
      </c>
      <c r="E227" s="619">
        <v>31</v>
      </c>
      <c r="F227" s="603">
        <v>1970</v>
      </c>
      <c r="G227" s="617" t="s">
        <v>141</v>
      </c>
      <c r="H227" s="620" t="s">
        <v>149</v>
      </c>
      <c r="I227" s="621">
        <v>33</v>
      </c>
      <c r="J227" s="621">
        <v>5.0999999999999996</v>
      </c>
      <c r="K227" s="603">
        <f t="shared" si="24"/>
        <v>14</v>
      </c>
      <c r="L227" s="604">
        <v>0.58819444444444446</v>
      </c>
      <c r="M227" s="605">
        <f t="shared" si="19"/>
        <v>0.58819444444444446</v>
      </c>
      <c r="N227" s="663"/>
      <c r="P227" s="37" t="str">
        <f t="shared" si="20"/>
        <v>1970F0</v>
      </c>
      <c r="Q227" s="37" t="str">
        <f t="shared" si="21"/>
        <v>F014</v>
      </c>
      <c r="R227" s="37" t="str">
        <f t="shared" si="22"/>
        <v>MayF0</v>
      </c>
    </row>
    <row r="228" spans="1:18">
      <c r="A228" s="616">
        <f t="shared" si="23"/>
        <v>224</v>
      </c>
      <c r="B228" s="617">
        <v>5</v>
      </c>
      <c r="C228" s="618">
        <v>25719</v>
      </c>
      <c r="D228" s="618" t="s">
        <v>177</v>
      </c>
      <c r="E228" s="619">
        <v>31</v>
      </c>
      <c r="F228" s="603">
        <v>1970</v>
      </c>
      <c r="G228" s="617" t="s">
        <v>145</v>
      </c>
      <c r="H228" s="620" t="s">
        <v>150</v>
      </c>
      <c r="I228" s="621">
        <v>67</v>
      </c>
      <c r="J228" s="621">
        <v>17.2</v>
      </c>
      <c r="K228" s="603">
        <f t="shared" si="24"/>
        <v>15</v>
      </c>
      <c r="L228" s="604">
        <v>0.64236111111111105</v>
      </c>
      <c r="M228" s="605">
        <f t="shared" si="19"/>
        <v>0.64236111111111105</v>
      </c>
      <c r="N228" s="663"/>
      <c r="P228" s="37" t="str">
        <f t="shared" si="20"/>
        <v>1970F1</v>
      </c>
      <c r="Q228" s="37" t="str">
        <f t="shared" si="21"/>
        <v>F115</v>
      </c>
      <c r="R228" s="37" t="str">
        <f t="shared" si="22"/>
        <v>MayF1</v>
      </c>
    </row>
    <row r="229" spans="1:18">
      <c r="A229" s="616">
        <f t="shared" si="23"/>
        <v>225</v>
      </c>
      <c r="B229" s="617">
        <v>6</v>
      </c>
      <c r="C229" s="618">
        <v>25817</v>
      </c>
      <c r="D229" s="618" t="s">
        <v>181</v>
      </c>
      <c r="E229" s="619">
        <v>6</v>
      </c>
      <c r="F229" s="603">
        <v>1970</v>
      </c>
      <c r="G229" s="617" t="s">
        <v>128</v>
      </c>
      <c r="H229" s="620" t="s">
        <v>151</v>
      </c>
      <c r="I229" s="621">
        <v>10</v>
      </c>
      <c r="J229" s="621">
        <v>0.1</v>
      </c>
      <c r="K229" s="603">
        <f t="shared" si="24"/>
        <v>19</v>
      </c>
      <c r="L229" s="604">
        <v>0.80902777777777779</v>
      </c>
      <c r="M229" s="605">
        <f t="shared" si="19"/>
        <v>0.80902777777777779</v>
      </c>
      <c r="N229" s="663"/>
      <c r="P229" s="37" t="str">
        <f t="shared" si="20"/>
        <v>1970F2</v>
      </c>
      <c r="Q229" s="37" t="str">
        <f t="shared" si="21"/>
        <v>F219</v>
      </c>
      <c r="R229" s="37" t="str">
        <f t="shared" si="22"/>
        <v>SeptemberF2</v>
      </c>
    </row>
    <row r="230" spans="1:18">
      <c r="A230" s="616">
        <f t="shared" si="23"/>
        <v>226</v>
      </c>
      <c r="B230" s="617">
        <v>1</v>
      </c>
      <c r="C230" s="618">
        <v>26038</v>
      </c>
      <c r="D230" s="618" t="s">
        <v>176</v>
      </c>
      <c r="E230" s="619">
        <v>15</v>
      </c>
      <c r="F230" s="603">
        <v>1971</v>
      </c>
      <c r="G230" s="617" t="s">
        <v>130</v>
      </c>
      <c r="H230" s="620" t="s">
        <v>150</v>
      </c>
      <c r="I230" s="621">
        <v>100</v>
      </c>
      <c r="J230" s="621">
        <v>0.3</v>
      </c>
      <c r="K230" s="603">
        <f t="shared" si="24"/>
        <v>18</v>
      </c>
      <c r="L230" s="604">
        <v>0.75</v>
      </c>
      <c r="M230" s="605">
        <f t="shared" si="19"/>
        <v>0.75</v>
      </c>
      <c r="N230" s="663"/>
      <c r="P230" s="37" t="str">
        <f t="shared" si="20"/>
        <v>1971F1</v>
      </c>
      <c r="Q230" s="37" t="str">
        <f t="shared" si="21"/>
        <v>F118</v>
      </c>
      <c r="R230" s="37" t="str">
        <f t="shared" si="22"/>
        <v>AprilF1</v>
      </c>
    </row>
    <row r="231" spans="1:18">
      <c r="A231" s="616">
        <f t="shared" si="23"/>
        <v>227</v>
      </c>
      <c r="B231" s="617">
        <v>2</v>
      </c>
      <c r="C231" s="618">
        <v>26042</v>
      </c>
      <c r="D231" s="618" t="s">
        <v>176</v>
      </c>
      <c r="E231" s="619">
        <v>19</v>
      </c>
      <c r="F231" s="603">
        <v>1971</v>
      </c>
      <c r="G231" s="617" t="s">
        <v>129</v>
      </c>
      <c r="H231" s="620" t="s">
        <v>151</v>
      </c>
      <c r="I231" s="621">
        <v>150</v>
      </c>
      <c r="J231" s="621">
        <v>7.2</v>
      </c>
      <c r="K231" s="603">
        <f t="shared" si="24"/>
        <v>0</v>
      </c>
      <c r="L231" s="604">
        <v>1.0416666666666666E-2</v>
      </c>
      <c r="M231" s="605">
        <f t="shared" si="19"/>
        <v>1.0416666666666666E-2</v>
      </c>
      <c r="N231" s="663"/>
      <c r="P231" s="37" t="str">
        <f t="shared" si="20"/>
        <v>1971F2</v>
      </c>
      <c r="Q231" s="37" t="str">
        <f t="shared" si="21"/>
        <v>F20</v>
      </c>
      <c r="R231" s="37" t="str">
        <f t="shared" si="22"/>
        <v>AprilF2</v>
      </c>
    </row>
    <row r="232" spans="1:18">
      <c r="A232" s="616">
        <f t="shared" si="23"/>
        <v>228</v>
      </c>
      <c r="B232" s="617">
        <v>3</v>
      </c>
      <c r="C232" s="618">
        <v>26042</v>
      </c>
      <c r="D232" s="618" t="s">
        <v>176</v>
      </c>
      <c r="E232" s="619">
        <v>19</v>
      </c>
      <c r="F232" s="603">
        <v>1971</v>
      </c>
      <c r="G232" s="617" t="s">
        <v>129</v>
      </c>
      <c r="H232" s="620" t="s">
        <v>151</v>
      </c>
      <c r="I232" s="621">
        <v>10</v>
      </c>
      <c r="J232" s="621">
        <v>0.1</v>
      </c>
      <c r="K232" s="603">
        <f t="shared" si="24"/>
        <v>0</v>
      </c>
      <c r="L232" s="604">
        <v>1.0416666666666666E-2</v>
      </c>
      <c r="M232" s="605">
        <f t="shared" si="19"/>
        <v>1.0416666666666666E-2</v>
      </c>
      <c r="N232" s="663"/>
      <c r="P232" s="37" t="str">
        <f t="shared" si="20"/>
        <v>1971F2</v>
      </c>
      <c r="Q232" s="37" t="str">
        <f t="shared" si="21"/>
        <v>F20</v>
      </c>
      <c r="R232" s="37" t="str">
        <f t="shared" si="22"/>
        <v>AprilF2</v>
      </c>
    </row>
    <row r="233" spans="1:18">
      <c r="A233" s="616">
        <f t="shared" si="23"/>
        <v>229</v>
      </c>
      <c r="B233" s="617">
        <v>4</v>
      </c>
      <c r="C233" s="618">
        <v>26042</v>
      </c>
      <c r="D233" s="618" t="s">
        <v>176</v>
      </c>
      <c r="E233" s="619">
        <v>19</v>
      </c>
      <c r="F233" s="603">
        <v>1971</v>
      </c>
      <c r="G233" s="617" t="s">
        <v>144</v>
      </c>
      <c r="H233" s="620" t="s">
        <v>152</v>
      </c>
      <c r="I233" s="621">
        <v>133</v>
      </c>
      <c r="J233" s="621">
        <v>6.1</v>
      </c>
      <c r="K233" s="603">
        <f t="shared" si="24"/>
        <v>0</v>
      </c>
      <c r="L233" s="604">
        <v>2.0833333333333332E-2</v>
      </c>
      <c r="M233" s="605">
        <f t="shared" si="19"/>
        <v>2.0833333333333332E-2</v>
      </c>
      <c r="N233" s="663"/>
      <c r="P233" s="37" t="str">
        <f t="shared" si="20"/>
        <v>1971F3</v>
      </c>
      <c r="Q233" s="37" t="str">
        <f t="shared" si="21"/>
        <v>F30</v>
      </c>
      <c r="R233" s="37" t="str">
        <f t="shared" si="22"/>
        <v>AprilF3</v>
      </c>
    </row>
    <row r="234" spans="1:18">
      <c r="A234" s="616">
        <f t="shared" si="23"/>
        <v>230</v>
      </c>
      <c r="B234" s="617">
        <v>5</v>
      </c>
      <c r="C234" s="618">
        <v>26042</v>
      </c>
      <c r="D234" s="618" t="s">
        <v>176</v>
      </c>
      <c r="E234" s="619">
        <v>19</v>
      </c>
      <c r="F234" s="603">
        <v>1971</v>
      </c>
      <c r="G234" s="617" t="s">
        <v>126</v>
      </c>
      <c r="H234" s="620" t="s">
        <v>150</v>
      </c>
      <c r="I234" s="621">
        <v>10</v>
      </c>
      <c r="J234" s="621">
        <v>0.1</v>
      </c>
      <c r="K234" s="603">
        <f t="shared" si="24"/>
        <v>1</v>
      </c>
      <c r="L234" s="604">
        <v>4.1666666666666664E-2</v>
      </c>
      <c r="M234" s="605">
        <f t="shared" si="19"/>
        <v>4.1666666666666664E-2</v>
      </c>
      <c r="N234" s="663"/>
      <c r="P234" s="37" t="str">
        <f t="shared" si="20"/>
        <v>1971F1</v>
      </c>
      <c r="Q234" s="37" t="str">
        <f t="shared" si="21"/>
        <v>F11</v>
      </c>
      <c r="R234" s="37" t="str">
        <f t="shared" si="22"/>
        <v>AprilF1</v>
      </c>
    </row>
    <row r="235" spans="1:18">
      <c r="A235" s="616">
        <f t="shared" si="23"/>
        <v>231</v>
      </c>
      <c r="B235" s="617">
        <v>6</v>
      </c>
      <c r="C235" s="618">
        <v>26042</v>
      </c>
      <c r="D235" s="618" t="s">
        <v>176</v>
      </c>
      <c r="E235" s="619">
        <v>19</v>
      </c>
      <c r="F235" s="603">
        <v>1971</v>
      </c>
      <c r="G235" s="617" t="s">
        <v>145</v>
      </c>
      <c r="H235" s="620" t="s">
        <v>150</v>
      </c>
      <c r="I235" s="621">
        <v>20</v>
      </c>
      <c r="J235" s="621">
        <v>0.3</v>
      </c>
      <c r="K235" s="603">
        <f t="shared" si="24"/>
        <v>1</v>
      </c>
      <c r="L235" s="604">
        <v>4.7916666666666663E-2</v>
      </c>
      <c r="M235" s="605">
        <f t="shared" si="19"/>
        <v>4.7916666666666663E-2</v>
      </c>
      <c r="N235" s="663"/>
      <c r="P235" s="37" t="str">
        <f t="shared" si="20"/>
        <v>1971F1</v>
      </c>
      <c r="Q235" s="37" t="str">
        <f t="shared" si="21"/>
        <v>F11</v>
      </c>
      <c r="R235" s="37" t="str">
        <f t="shared" si="22"/>
        <v>AprilF1</v>
      </c>
    </row>
    <row r="236" spans="1:18">
      <c r="A236" s="616">
        <f t="shared" si="23"/>
        <v>232</v>
      </c>
      <c r="B236" s="617">
        <v>7</v>
      </c>
      <c r="C236" s="618">
        <v>26042</v>
      </c>
      <c r="D236" s="618" t="s">
        <v>176</v>
      </c>
      <c r="E236" s="619">
        <v>19</v>
      </c>
      <c r="F236" s="603">
        <v>1971</v>
      </c>
      <c r="G236" s="617" t="s">
        <v>126</v>
      </c>
      <c r="H236" s="620" t="s">
        <v>151</v>
      </c>
      <c r="I236" s="621">
        <v>10</v>
      </c>
      <c r="J236" s="621">
        <v>0.1</v>
      </c>
      <c r="K236" s="603">
        <f t="shared" si="24"/>
        <v>1</v>
      </c>
      <c r="L236" s="604">
        <v>6.25E-2</v>
      </c>
      <c r="M236" s="605">
        <f t="shared" si="19"/>
        <v>6.25E-2</v>
      </c>
      <c r="N236" s="663"/>
      <c r="P236" s="37" t="str">
        <f t="shared" si="20"/>
        <v>1971F2</v>
      </c>
      <c r="Q236" s="37" t="str">
        <f t="shared" si="21"/>
        <v>F21</v>
      </c>
      <c r="R236" s="37" t="str">
        <f t="shared" si="22"/>
        <v>AprilF2</v>
      </c>
    </row>
    <row r="237" spans="1:18">
      <c r="A237" s="616">
        <f t="shared" si="23"/>
        <v>233</v>
      </c>
      <c r="B237" s="617">
        <v>8</v>
      </c>
      <c r="C237" s="618">
        <v>26042</v>
      </c>
      <c r="D237" s="618" t="s">
        <v>176</v>
      </c>
      <c r="E237" s="619">
        <v>19</v>
      </c>
      <c r="F237" s="603">
        <v>1971</v>
      </c>
      <c r="G237" s="617" t="s">
        <v>144</v>
      </c>
      <c r="H237" s="620" t="s">
        <v>150</v>
      </c>
      <c r="I237" s="621">
        <v>20</v>
      </c>
      <c r="J237" s="621">
        <v>0.3</v>
      </c>
      <c r="K237" s="603">
        <f t="shared" si="24"/>
        <v>6</v>
      </c>
      <c r="L237" s="604">
        <v>0.25</v>
      </c>
      <c r="M237" s="605">
        <f t="shared" si="19"/>
        <v>0.25</v>
      </c>
      <c r="N237" s="663"/>
      <c r="P237" s="37" t="str">
        <f t="shared" si="20"/>
        <v>1971F1</v>
      </c>
      <c r="Q237" s="37" t="str">
        <f t="shared" si="21"/>
        <v>F16</v>
      </c>
      <c r="R237" s="37" t="str">
        <f t="shared" si="22"/>
        <v>AprilF1</v>
      </c>
    </row>
    <row r="238" spans="1:18">
      <c r="A238" s="616">
        <f t="shared" si="23"/>
        <v>234</v>
      </c>
      <c r="B238" s="617">
        <v>9</v>
      </c>
      <c r="C238" s="618">
        <v>26045</v>
      </c>
      <c r="D238" s="618" t="s">
        <v>176</v>
      </c>
      <c r="E238" s="619">
        <v>22</v>
      </c>
      <c r="F238" s="603">
        <v>1971</v>
      </c>
      <c r="G238" s="617" t="s">
        <v>126</v>
      </c>
      <c r="H238" s="620" t="s">
        <v>149</v>
      </c>
      <c r="I238" s="621">
        <v>10</v>
      </c>
      <c r="J238" s="621">
        <v>0.1</v>
      </c>
      <c r="K238" s="603">
        <f t="shared" si="24"/>
        <v>12</v>
      </c>
      <c r="L238" s="604">
        <v>0.52083333333333337</v>
      </c>
      <c r="M238" s="605">
        <f t="shared" si="19"/>
        <v>0.52083333333333337</v>
      </c>
      <c r="N238" s="663"/>
      <c r="P238" s="37" t="str">
        <f t="shared" si="20"/>
        <v>1971F0</v>
      </c>
      <c r="Q238" s="37" t="str">
        <f t="shared" si="21"/>
        <v>F012</v>
      </c>
      <c r="R238" s="37" t="str">
        <f t="shared" si="22"/>
        <v>AprilF0</v>
      </c>
    </row>
    <row r="239" spans="1:18">
      <c r="A239" s="616">
        <f t="shared" si="23"/>
        <v>235</v>
      </c>
      <c r="B239" s="617">
        <v>10</v>
      </c>
      <c r="C239" s="618">
        <v>26081</v>
      </c>
      <c r="D239" s="618" t="s">
        <v>177</v>
      </c>
      <c r="E239" s="619">
        <v>28</v>
      </c>
      <c r="F239" s="603">
        <v>1971</v>
      </c>
      <c r="G239" s="617" t="s">
        <v>126</v>
      </c>
      <c r="H239" s="620" t="s">
        <v>149</v>
      </c>
      <c r="I239" s="621">
        <v>10</v>
      </c>
      <c r="J239" s="621">
        <v>0.1</v>
      </c>
      <c r="K239" s="603">
        <f t="shared" si="24"/>
        <v>18</v>
      </c>
      <c r="L239" s="604">
        <v>0.76597222222222217</v>
      </c>
      <c r="M239" s="605">
        <f t="shared" si="19"/>
        <v>0.76597222222222217</v>
      </c>
      <c r="N239" s="663"/>
      <c r="P239" s="37" t="str">
        <f t="shared" si="20"/>
        <v>1971F0</v>
      </c>
      <c r="Q239" s="37" t="str">
        <f t="shared" si="21"/>
        <v>F018</v>
      </c>
      <c r="R239" s="37" t="str">
        <f t="shared" si="22"/>
        <v>MayF0</v>
      </c>
    </row>
    <row r="240" spans="1:18">
      <c r="A240" s="616">
        <f t="shared" si="23"/>
        <v>236</v>
      </c>
      <c r="B240" s="617">
        <v>11</v>
      </c>
      <c r="C240" s="618">
        <v>26089</v>
      </c>
      <c r="D240" s="618" t="s">
        <v>178</v>
      </c>
      <c r="E240" s="619">
        <v>5</v>
      </c>
      <c r="F240" s="603">
        <v>1971</v>
      </c>
      <c r="G240" s="617" t="s">
        <v>145</v>
      </c>
      <c r="H240" s="620" t="s">
        <v>151</v>
      </c>
      <c r="I240" s="621">
        <v>50</v>
      </c>
      <c r="J240" s="621">
        <v>0.3</v>
      </c>
      <c r="K240" s="603">
        <f t="shared" si="24"/>
        <v>16</v>
      </c>
      <c r="L240" s="604">
        <v>0.67361111111111116</v>
      </c>
      <c r="M240" s="605">
        <f t="shared" si="19"/>
        <v>0.67361111111111116</v>
      </c>
      <c r="N240" s="663"/>
      <c r="P240" s="37" t="str">
        <f t="shared" si="20"/>
        <v>1971F2</v>
      </c>
      <c r="Q240" s="37" t="str">
        <f t="shared" si="21"/>
        <v>F216</v>
      </c>
      <c r="R240" s="37" t="str">
        <f t="shared" si="22"/>
        <v>JuneF2</v>
      </c>
    </row>
    <row r="241" spans="1:18">
      <c r="A241" s="616">
        <f t="shared" si="23"/>
        <v>237</v>
      </c>
      <c r="B241" s="617">
        <v>12</v>
      </c>
      <c r="C241" s="618">
        <v>26089</v>
      </c>
      <c r="D241" s="618" t="s">
        <v>178</v>
      </c>
      <c r="E241" s="619">
        <v>5</v>
      </c>
      <c r="F241" s="603">
        <v>1971</v>
      </c>
      <c r="G241" s="617" t="s">
        <v>136</v>
      </c>
      <c r="H241" s="620" t="s">
        <v>152</v>
      </c>
      <c r="I241" s="621">
        <v>1320</v>
      </c>
      <c r="J241" s="621">
        <v>4.7</v>
      </c>
      <c r="K241" s="603">
        <f t="shared" si="24"/>
        <v>18</v>
      </c>
      <c r="L241" s="604">
        <v>0.75</v>
      </c>
      <c r="M241" s="605">
        <f t="shared" si="19"/>
        <v>0.75</v>
      </c>
      <c r="N241" s="663"/>
      <c r="P241" s="37" t="str">
        <f t="shared" si="20"/>
        <v>1971F3</v>
      </c>
      <c r="Q241" s="37" t="str">
        <f t="shared" si="21"/>
        <v>F318</v>
      </c>
      <c r="R241" s="37" t="str">
        <f t="shared" si="22"/>
        <v>JuneF3</v>
      </c>
    </row>
    <row r="242" spans="1:18">
      <c r="A242" s="616">
        <f t="shared" si="23"/>
        <v>238</v>
      </c>
      <c r="B242" s="617">
        <v>13</v>
      </c>
      <c r="C242" s="618">
        <v>26089</v>
      </c>
      <c r="D242" s="618" t="s">
        <v>178</v>
      </c>
      <c r="E242" s="619">
        <v>5</v>
      </c>
      <c r="F242" s="603">
        <v>1971</v>
      </c>
      <c r="G242" s="617" t="s">
        <v>136</v>
      </c>
      <c r="H242" s="620" t="s">
        <v>151</v>
      </c>
      <c r="I242" s="621">
        <v>10</v>
      </c>
      <c r="J242" s="621">
        <v>0.1</v>
      </c>
      <c r="K242" s="603">
        <f t="shared" si="24"/>
        <v>18</v>
      </c>
      <c r="L242" s="604">
        <v>0.75347222222222221</v>
      </c>
      <c r="M242" s="605">
        <f t="shared" si="19"/>
        <v>0.75347222222222221</v>
      </c>
      <c r="N242" s="663"/>
      <c r="P242" s="37" t="str">
        <f t="shared" si="20"/>
        <v>1971F2</v>
      </c>
      <c r="Q242" s="37" t="str">
        <f t="shared" si="21"/>
        <v>F218</v>
      </c>
      <c r="R242" s="37" t="str">
        <f t="shared" si="22"/>
        <v>JuneF2</v>
      </c>
    </row>
    <row r="243" spans="1:18">
      <c r="A243" s="616">
        <f t="shared" si="23"/>
        <v>239</v>
      </c>
      <c r="B243" s="617">
        <v>14</v>
      </c>
      <c r="C243" s="618">
        <v>26089</v>
      </c>
      <c r="D243" s="618" t="s">
        <v>178</v>
      </c>
      <c r="E243" s="619">
        <v>5</v>
      </c>
      <c r="F243" s="603">
        <v>1971</v>
      </c>
      <c r="G243" s="617" t="s">
        <v>136</v>
      </c>
      <c r="H243" s="620" t="s">
        <v>151</v>
      </c>
      <c r="I243" s="621">
        <v>10</v>
      </c>
      <c r="J243" s="621">
        <v>0.1</v>
      </c>
      <c r="K243" s="603">
        <f t="shared" si="24"/>
        <v>18</v>
      </c>
      <c r="L243" s="604">
        <v>0.75694444444444453</v>
      </c>
      <c r="M243" s="605">
        <f t="shared" si="19"/>
        <v>0.75694444444444453</v>
      </c>
      <c r="N243" s="663"/>
      <c r="P243" s="37" t="str">
        <f t="shared" si="20"/>
        <v>1971F2</v>
      </c>
      <c r="Q243" s="37" t="str">
        <f t="shared" si="21"/>
        <v>F218</v>
      </c>
      <c r="R243" s="37" t="str">
        <f t="shared" si="22"/>
        <v>JuneF2</v>
      </c>
    </row>
    <row r="244" spans="1:18">
      <c r="A244" s="616">
        <f t="shared" si="23"/>
        <v>240</v>
      </c>
      <c r="B244" s="617">
        <v>15</v>
      </c>
      <c r="C244" s="618">
        <v>26089</v>
      </c>
      <c r="D244" s="618" t="s">
        <v>178</v>
      </c>
      <c r="E244" s="619">
        <v>5</v>
      </c>
      <c r="F244" s="603">
        <v>1971</v>
      </c>
      <c r="G244" s="617" t="s">
        <v>136</v>
      </c>
      <c r="H244" s="620" t="s">
        <v>151</v>
      </c>
      <c r="I244" s="621">
        <v>10</v>
      </c>
      <c r="J244" s="621">
        <v>0.1</v>
      </c>
      <c r="K244" s="603">
        <f t="shared" si="24"/>
        <v>18</v>
      </c>
      <c r="L244" s="604">
        <v>0.76041666666666663</v>
      </c>
      <c r="M244" s="605">
        <f t="shared" si="19"/>
        <v>0.76041666666666663</v>
      </c>
      <c r="N244" s="663"/>
      <c r="P244" s="37" t="str">
        <f t="shared" si="20"/>
        <v>1971F2</v>
      </c>
      <c r="Q244" s="37" t="str">
        <f t="shared" si="21"/>
        <v>F218</v>
      </c>
      <c r="R244" s="37" t="str">
        <f t="shared" si="22"/>
        <v>JuneF2</v>
      </c>
    </row>
    <row r="245" spans="1:18">
      <c r="A245" s="616">
        <f t="shared" si="23"/>
        <v>241</v>
      </c>
      <c r="B245" s="617">
        <v>16</v>
      </c>
      <c r="C245" s="618">
        <v>26089</v>
      </c>
      <c r="D245" s="618" t="s">
        <v>178</v>
      </c>
      <c r="E245" s="619">
        <v>5</v>
      </c>
      <c r="F245" s="603">
        <v>1971</v>
      </c>
      <c r="G245" s="617" t="s">
        <v>136</v>
      </c>
      <c r="H245" s="620" t="s">
        <v>151</v>
      </c>
      <c r="I245" s="621">
        <v>10</v>
      </c>
      <c r="J245" s="621">
        <v>0.1</v>
      </c>
      <c r="K245" s="603">
        <f t="shared" si="24"/>
        <v>18</v>
      </c>
      <c r="L245" s="604">
        <v>0.76388888888888884</v>
      </c>
      <c r="M245" s="605">
        <f t="shared" si="19"/>
        <v>0.76388888888888884</v>
      </c>
      <c r="N245" s="663"/>
      <c r="P245" s="37" t="str">
        <f t="shared" si="20"/>
        <v>1971F2</v>
      </c>
      <c r="Q245" s="37" t="str">
        <f t="shared" si="21"/>
        <v>F218</v>
      </c>
      <c r="R245" s="37" t="str">
        <f t="shared" si="22"/>
        <v>JuneF2</v>
      </c>
    </row>
    <row r="246" spans="1:18">
      <c r="A246" s="616">
        <f t="shared" si="23"/>
        <v>242</v>
      </c>
      <c r="B246" s="617">
        <v>17</v>
      </c>
      <c r="C246" s="618">
        <v>26089</v>
      </c>
      <c r="D246" s="618" t="s">
        <v>178</v>
      </c>
      <c r="E246" s="619">
        <v>5</v>
      </c>
      <c r="F246" s="603">
        <v>1971</v>
      </c>
      <c r="G246" s="617" t="s">
        <v>136</v>
      </c>
      <c r="H246" s="620" t="s">
        <v>151</v>
      </c>
      <c r="I246" s="621">
        <v>10</v>
      </c>
      <c r="J246" s="621">
        <v>0.1</v>
      </c>
      <c r="K246" s="603">
        <f t="shared" si="24"/>
        <v>18</v>
      </c>
      <c r="L246" s="604">
        <v>0.76736111111111116</v>
      </c>
      <c r="M246" s="605">
        <f t="shared" si="19"/>
        <v>0.76736111111111116</v>
      </c>
      <c r="N246" s="663"/>
      <c r="P246" s="37" t="str">
        <f t="shared" si="20"/>
        <v>1971F2</v>
      </c>
      <c r="Q246" s="37" t="str">
        <f t="shared" si="21"/>
        <v>F218</v>
      </c>
      <c r="R246" s="37" t="str">
        <f t="shared" si="22"/>
        <v>JuneF2</v>
      </c>
    </row>
    <row r="247" spans="1:18">
      <c r="A247" s="616">
        <f t="shared" si="23"/>
        <v>243</v>
      </c>
      <c r="B247" s="617">
        <v>18</v>
      </c>
      <c r="C247" s="618">
        <v>26089</v>
      </c>
      <c r="D247" s="618" t="s">
        <v>178</v>
      </c>
      <c r="E247" s="619">
        <v>5</v>
      </c>
      <c r="F247" s="603">
        <v>1971</v>
      </c>
      <c r="G247" s="617" t="s">
        <v>136</v>
      </c>
      <c r="H247" s="620" t="s">
        <v>151</v>
      </c>
      <c r="I247" s="621">
        <v>10</v>
      </c>
      <c r="J247" s="621">
        <v>0.1</v>
      </c>
      <c r="K247" s="603">
        <f t="shared" si="24"/>
        <v>18</v>
      </c>
      <c r="L247" s="604">
        <v>0.77083333333333337</v>
      </c>
      <c r="M247" s="605">
        <f t="shared" si="19"/>
        <v>0.77083333333333337</v>
      </c>
      <c r="N247" s="663"/>
      <c r="P247" s="37" t="str">
        <f t="shared" si="20"/>
        <v>1971F2</v>
      </c>
      <c r="Q247" s="37" t="str">
        <f t="shared" si="21"/>
        <v>F218</v>
      </c>
      <c r="R247" s="37" t="str">
        <f t="shared" si="22"/>
        <v>JuneF2</v>
      </c>
    </row>
    <row r="248" spans="1:18">
      <c r="A248" s="616">
        <f t="shared" si="23"/>
        <v>244</v>
      </c>
      <c r="B248" s="617">
        <v>19</v>
      </c>
      <c r="C248" s="618">
        <v>26092</v>
      </c>
      <c r="D248" s="618" t="s">
        <v>178</v>
      </c>
      <c r="E248" s="619">
        <v>8</v>
      </c>
      <c r="F248" s="603">
        <v>1971</v>
      </c>
      <c r="G248" s="617" t="s">
        <v>134</v>
      </c>
      <c r="H248" s="620" t="s">
        <v>151</v>
      </c>
      <c r="I248" s="621">
        <v>100</v>
      </c>
      <c r="J248" s="621">
        <v>2</v>
      </c>
      <c r="K248" s="603">
        <f t="shared" si="24"/>
        <v>16</v>
      </c>
      <c r="L248" s="604">
        <v>0.70138888888888884</v>
      </c>
      <c r="M248" s="605">
        <f t="shared" si="19"/>
        <v>0.70138888888888884</v>
      </c>
      <c r="N248" s="663"/>
      <c r="P248" s="37" t="str">
        <f t="shared" si="20"/>
        <v>1971F2</v>
      </c>
      <c r="Q248" s="37" t="str">
        <f t="shared" si="21"/>
        <v>F216</v>
      </c>
      <c r="R248" s="37" t="str">
        <f t="shared" si="22"/>
        <v>JuneF2</v>
      </c>
    </row>
    <row r="249" spans="1:18">
      <c r="A249" s="616">
        <f t="shared" si="23"/>
        <v>245</v>
      </c>
      <c r="B249" s="617">
        <v>20</v>
      </c>
      <c r="C249" s="618">
        <v>26092</v>
      </c>
      <c r="D249" s="618" t="s">
        <v>178</v>
      </c>
      <c r="E249" s="619">
        <v>8</v>
      </c>
      <c r="F249" s="603">
        <v>1971</v>
      </c>
      <c r="G249" s="617" t="s">
        <v>134</v>
      </c>
      <c r="H249" s="620" t="s">
        <v>151</v>
      </c>
      <c r="I249" s="621">
        <v>100</v>
      </c>
      <c r="J249" s="621">
        <v>2</v>
      </c>
      <c r="K249" s="603">
        <f t="shared" si="24"/>
        <v>18</v>
      </c>
      <c r="L249" s="604">
        <v>0.77430555555555547</v>
      </c>
      <c r="M249" s="605">
        <f t="shared" si="19"/>
        <v>0.77430555555555547</v>
      </c>
      <c r="N249" s="663"/>
      <c r="P249" s="37" t="str">
        <f t="shared" si="20"/>
        <v>1971F2</v>
      </c>
      <c r="Q249" s="37" t="str">
        <f t="shared" si="21"/>
        <v>F218</v>
      </c>
      <c r="R249" s="37" t="str">
        <f t="shared" si="22"/>
        <v>JuneF2</v>
      </c>
    </row>
    <row r="250" spans="1:18">
      <c r="A250" s="616">
        <f t="shared" si="23"/>
        <v>246</v>
      </c>
      <c r="B250" s="617">
        <v>21</v>
      </c>
      <c r="C250" s="618">
        <v>26093</v>
      </c>
      <c r="D250" s="618" t="s">
        <v>178</v>
      </c>
      <c r="E250" s="619">
        <v>9</v>
      </c>
      <c r="F250" s="603">
        <v>1971</v>
      </c>
      <c r="G250" s="617" t="s">
        <v>130</v>
      </c>
      <c r="H250" s="620" t="s">
        <v>151</v>
      </c>
      <c r="I250" s="621">
        <v>10</v>
      </c>
      <c r="J250" s="621">
        <v>0.1</v>
      </c>
      <c r="K250" s="603">
        <f t="shared" si="24"/>
        <v>17</v>
      </c>
      <c r="L250" s="604">
        <v>0.70833333333333337</v>
      </c>
      <c r="M250" s="605">
        <f t="shared" si="19"/>
        <v>0.70833333333333337</v>
      </c>
      <c r="N250" s="663"/>
      <c r="P250" s="37" t="str">
        <f t="shared" si="20"/>
        <v>1971F2</v>
      </c>
      <c r="Q250" s="37" t="str">
        <f t="shared" si="21"/>
        <v>F217</v>
      </c>
      <c r="R250" s="37" t="str">
        <f t="shared" si="22"/>
        <v>JuneF2</v>
      </c>
    </row>
    <row r="251" spans="1:18">
      <c r="A251" s="616">
        <f t="shared" si="23"/>
        <v>247</v>
      </c>
      <c r="B251" s="617">
        <v>22</v>
      </c>
      <c r="C251" s="618">
        <v>26093</v>
      </c>
      <c r="D251" s="618" t="s">
        <v>178</v>
      </c>
      <c r="E251" s="619">
        <v>9</v>
      </c>
      <c r="F251" s="603">
        <v>1971</v>
      </c>
      <c r="G251" s="617" t="s">
        <v>130</v>
      </c>
      <c r="H251" s="620" t="s">
        <v>151</v>
      </c>
      <c r="I251" s="621">
        <v>10</v>
      </c>
      <c r="J251" s="621">
        <v>0.1</v>
      </c>
      <c r="K251" s="603">
        <f t="shared" si="24"/>
        <v>17</v>
      </c>
      <c r="L251" s="604">
        <v>0.70833333333333337</v>
      </c>
      <c r="M251" s="605">
        <f t="shared" si="19"/>
        <v>0.70833333333333337</v>
      </c>
      <c r="N251" s="663"/>
      <c r="P251" s="37" t="str">
        <f t="shared" si="20"/>
        <v>1971F2</v>
      </c>
      <c r="Q251" s="37" t="str">
        <f t="shared" si="21"/>
        <v>F217</v>
      </c>
      <c r="R251" s="37" t="str">
        <f t="shared" si="22"/>
        <v>JuneF2</v>
      </c>
    </row>
    <row r="252" spans="1:18">
      <c r="A252" s="616">
        <f t="shared" si="23"/>
        <v>248</v>
      </c>
      <c r="B252" s="617">
        <v>23</v>
      </c>
      <c r="C252" s="618">
        <v>26093</v>
      </c>
      <c r="D252" s="618" t="s">
        <v>178</v>
      </c>
      <c r="E252" s="619">
        <v>9</v>
      </c>
      <c r="F252" s="603">
        <v>1971</v>
      </c>
      <c r="G252" s="617" t="s">
        <v>130</v>
      </c>
      <c r="H252" s="620" t="s">
        <v>151</v>
      </c>
      <c r="I252" s="621">
        <v>10</v>
      </c>
      <c r="J252" s="621">
        <v>0.1</v>
      </c>
      <c r="K252" s="603">
        <f t="shared" si="24"/>
        <v>17</v>
      </c>
      <c r="L252" s="604">
        <v>0.70833333333333337</v>
      </c>
      <c r="M252" s="605">
        <f t="shared" si="19"/>
        <v>0.70833333333333337</v>
      </c>
      <c r="N252" s="663"/>
      <c r="P252" s="37" t="str">
        <f t="shared" si="20"/>
        <v>1971F2</v>
      </c>
      <c r="Q252" s="37" t="str">
        <f t="shared" si="21"/>
        <v>F217</v>
      </c>
      <c r="R252" s="37" t="str">
        <f t="shared" si="22"/>
        <v>JuneF2</v>
      </c>
    </row>
    <row r="253" spans="1:18">
      <c r="A253" s="616">
        <f t="shared" si="23"/>
        <v>249</v>
      </c>
      <c r="B253" s="617">
        <v>24</v>
      </c>
      <c r="C253" s="618">
        <v>26093</v>
      </c>
      <c r="D253" s="618" t="s">
        <v>178</v>
      </c>
      <c r="E253" s="619">
        <v>9</v>
      </c>
      <c r="F253" s="603">
        <v>1971</v>
      </c>
      <c r="G253" s="617" t="s">
        <v>130</v>
      </c>
      <c r="H253" s="620" t="s">
        <v>153</v>
      </c>
      <c r="I253" s="621">
        <v>1320</v>
      </c>
      <c r="J253" s="621">
        <v>5.9</v>
      </c>
      <c r="K253" s="603">
        <f t="shared" si="24"/>
        <v>17</v>
      </c>
      <c r="L253" s="604">
        <v>0.70833333333333337</v>
      </c>
      <c r="M253" s="605">
        <f t="shared" si="19"/>
        <v>0.70833333333333337</v>
      </c>
      <c r="N253" s="663"/>
      <c r="P253" s="37" t="str">
        <f t="shared" si="20"/>
        <v>1971F4</v>
      </c>
      <c r="Q253" s="37" t="str">
        <f t="shared" si="21"/>
        <v>F417</v>
      </c>
      <c r="R253" s="37" t="str">
        <f t="shared" si="22"/>
        <v>JuneF4</v>
      </c>
    </row>
    <row r="254" spans="1:18">
      <c r="A254" s="616">
        <f t="shared" si="23"/>
        <v>250</v>
      </c>
      <c r="B254" s="617">
        <v>25</v>
      </c>
      <c r="C254" s="618">
        <v>26093</v>
      </c>
      <c r="D254" s="618" t="s">
        <v>178</v>
      </c>
      <c r="E254" s="619">
        <v>9</v>
      </c>
      <c r="F254" s="603">
        <v>1971</v>
      </c>
      <c r="G254" s="617" t="s">
        <v>128</v>
      </c>
      <c r="H254" s="620" t="s">
        <v>149</v>
      </c>
      <c r="I254" s="621">
        <v>10</v>
      </c>
      <c r="J254" s="621">
        <v>0.1</v>
      </c>
      <c r="K254" s="603">
        <f t="shared" si="24"/>
        <v>17</v>
      </c>
      <c r="L254" s="604">
        <v>0.71250000000000002</v>
      </c>
      <c r="M254" s="605">
        <f t="shared" si="19"/>
        <v>0.71250000000000002</v>
      </c>
      <c r="N254" s="663"/>
      <c r="P254" s="37" t="str">
        <f t="shared" si="20"/>
        <v>1971F0</v>
      </c>
      <c r="Q254" s="37" t="str">
        <f t="shared" si="21"/>
        <v>F017</v>
      </c>
      <c r="R254" s="37" t="str">
        <f t="shared" si="22"/>
        <v>JuneF0</v>
      </c>
    </row>
    <row r="255" spans="1:18">
      <c r="A255" s="616">
        <f t="shared" si="23"/>
        <v>251</v>
      </c>
      <c r="B255" s="617">
        <v>26</v>
      </c>
      <c r="C255" s="618">
        <v>26093</v>
      </c>
      <c r="D255" s="618" t="s">
        <v>178</v>
      </c>
      <c r="E255" s="619">
        <v>9</v>
      </c>
      <c r="F255" s="603">
        <v>1971</v>
      </c>
      <c r="G255" s="617" t="s">
        <v>136</v>
      </c>
      <c r="H255" s="620" t="s">
        <v>151</v>
      </c>
      <c r="I255" s="621">
        <v>440</v>
      </c>
      <c r="J255" s="621">
        <v>3</v>
      </c>
      <c r="K255" s="603">
        <f t="shared" si="24"/>
        <v>19</v>
      </c>
      <c r="L255" s="604">
        <v>0.79166666666666663</v>
      </c>
      <c r="M255" s="605">
        <f t="shared" si="19"/>
        <v>0.79166666666666663</v>
      </c>
      <c r="N255" s="663"/>
      <c r="P255" s="37" t="str">
        <f t="shared" si="20"/>
        <v>1971F2</v>
      </c>
      <c r="Q255" s="37" t="str">
        <f t="shared" si="21"/>
        <v>F219</v>
      </c>
      <c r="R255" s="37" t="str">
        <f t="shared" si="22"/>
        <v>JuneF2</v>
      </c>
    </row>
    <row r="256" spans="1:18">
      <c r="A256" s="616">
        <f t="shared" si="23"/>
        <v>252</v>
      </c>
      <c r="B256" s="617">
        <v>27</v>
      </c>
      <c r="C256" s="618">
        <v>26093</v>
      </c>
      <c r="D256" s="618" t="s">
        <v>178</v>
      </c>
      <c r="E256" s="619">
        <v>9</v>
      </c>
      <c r="F256" s="603">
        <v>1971</v>
      </c>
      <c r="G256" s="617" t="s">
        <v>128</v>
      </c>
      <c r="H256" s="620" t="s">
        <v>150</v>
      </c>
      <c r="I256" s="621">
        <v>10</v>
      </c>
      <c r="J256" s="621">
        <v>0.1</v>
      </c>
      <c r="K256" s="603">
        <f t="shared" si="24"/>
        <v>20</v>
      </c>
      <c r="L256" s="604">
        <v>0.86458333333333337</v>
      </c>
      <c r="M256" s="605">
        <f t="shared" si="19"/>
        <v>0.86458333333333337</v>
      </c>
      <c r="N256" s="663"/>
      <c r="P256" s="37" t="str">
        <f t="shared" si="20"/>
        <v>1971F1</v>
      </c>
      <c r="Q256" s="37" t="str">
        <f t="shared" si="21"/>
        <v>F120</v>
      </c>
      <c r="R256" s="37" t="str">
        <f t="shared" si="22"/>
        <v>JuneF1</v>
      </c>
    </row>
    <row r="257" spans="1:18">
      <c r="A257" s="616">
        <f t="shared" si="23"/>
        <v>253</v>
      </c>
      <c r="B257" s="617">
        <v>28</v>
      </c>
      <c r="C257" s="618">
        <v>26093</v>
      </c>
      <c r="D257" s="618" t="s">
        <v>178</v>
      </c>
      <c r="E257" s="619">
        <v>9</v>
      </c>
      <c r="F257" s="603">
        <v>1971</v>
      </c>
      <c r="G257" s="617" t="s">
        <v>131</v>
      </c>
      <c r="H257" s="620" t="s">
        <v>151</v>
      </c>
      <c r="I257" s="621">
        <v>10</v>
      </c>
      <c r="J257" s="621">
        <v>0.1</v>
      </c>
      <c r="K257" s="603">
        <f t="shared" si="24"/>
        <v>20</v>
      </c>
      <c r="L257" s="604">
        <v>0.86805555555555547</v>
      </c>
      <c r="M257" s="605">
        <f t="shared" ref="M257:M319" si="25">+L257</f>
        <v>0.86805555555555547</v>
      </c>
      <c r="N257" s="663"/>
      <c r="P257" s="37" t="str">
        <f t="shared" si="20"/>
        <v>1971F2</v>
      </c>
      <c r="Q257" s="37" t="str">
        <f t="shared" si="21"/>
        <v>F220</v>
      </c>
      <c r="R257" s="37" t="str">
        <f t="shared" si="22"/>
        <v>JuneF2</v>
      </c>
    </row>
    <row r="258" spans="1:18">
      <c r="A258" s="616">
        <f t="shared" si="23"/>
        <v>254</v>
      </c>
      <c r="B258" s="617">
        <v>29</v>
      </c>
      <c r="C258" s="618">
        <v>26093</v>
      </c>
      <c r="D258" s="618" t="s">
        <v>178</v>
      </c>
      <c r="E258" s="619">
        <v>9</v>
      </c>
      <c r="F258" s="603">
        <v>1971</v>
      </c>
      <c r="G258" s="617" t="s">
        <v>131</v>
      </c>
      <c r="H258" s="620" t="s">
        <v>153</v>
      </c>
      <c r="I258" s="621">
        <v>1760</v>
      </c>
      <c r="J258" s="621">
        <v>15.9</v>
      </c>
      <c r="K258" s="603">
        <f t="shared" si="24"/>
        <v>20</v>
      </c>
      <c r="L258" s="604">
        <v>0.86805555555555547</v>
      </c>
      <c r="M258" s="605">
        <f t="shared" si="25"/>
        <v>0.86805555555555547</v>
      </c>
      <c r="N258" s="663"/>
      <c r="P258" s="37" t="str">
        <f t="shared" si="20"/>
        <v>1971F4</v>
      </c>
      <c r="Q258" s="37" t="str">
        <f t="shared" si="21"/>
        <v>F420</v>
      </c>
      <c r="R258" s="37" t="str">
        <f t="shared" si="22"/>
        <v>JuneF4</v>
      </c>
    </row>
    <row r="259" spans="1:18">
      <c r="A259" s="616">
        <f t="shared" si="23"/>
        <v>255</v>
      </c>
      <c r="B259" s="617">
        <v>30</v>
      </c>
      <c r="C259" s="618">
        <v>26093</v>
      </c>
      <c r="D259" s="618" t="s">
        <v>178</v>
      </c>
      <c r="E259" s="619">
        <v>9</v>
      </c>
      <c r="F259" s="603">
        <v>1971</v>
      </c>
      <c r="G259" s="617" t="s">
        <v>127</v>
      </c>
      <c r="H259" s="620" t="s">
        <v>149</v>
      </c>
      <c r="I259" s="621">
        <v>10</v>
      </c>
      <c r="J259" s="621">
        <v>0.1</v>
      </c>
      <c r="K259" s="603">
        <f t="shared" si="24"/>
        <v>21</v>
      </c>
      <c r="L259" s="604">
        <v>0.89930555555555547</v>
      </c>
      <c r="M259" s="605">
        <f t="shared" si="25"/>
        <v>0.89930555555555547</v>
      </c>
      <c r="N259" s="663"/>
      <c r="P259" s="37" t="str">
        <f t="shared" si="20"/>
        <v>1971F0</v>
      </c>
      <c r="Q259" s="37" t="str">
        <f t="shared" si="21"/>
        <v>F021</v>
      </c>
      <c r="R259" s="37" t="str">
        <f t="shared" si="22"/>
        <v>JuneF0</v>
      </c>
    </row>
    <row r="260" spans="1:18">
      <c r="A260" s="616">
        <f t="shared" si="23"/>
        <v>256</v>
      </c>
      <c r="B260" s="617">
        <v>31</v>
      </c>
      <c r="C260" s="618">
        <v>26095</v>
      </c>
      <c r="D260" s="618" t="s">
        <v>178</v>
      </c>
      <c r="E260" s="619">
        <v>11</v>
      </c>
      <c r="F260" s="603">
        <v>1971</v>
      </c>
      <c r="G260" s="617" t="s">
        <v>139</v>
      </c>
      <c r="H260" s="620" t="s">
        <v>150</v>
      </c>
      <c r="I260" s="621">
        <v>20</v>
      </c>
      <c r="J260" s="621">
        <v>0.1</v>
      </c>
      <c r="K260" s="603">
        <f t="shared" si="24"/>
        <v>16</v>
      </c>
      <c r="L260" s="604">
        <v>0.66666666666666663</v>
      </c>
      <c r="M260" s="605">
        <f t="shared" si="25"/>
        <v>0.66666666666666663</v>
      </c>
      <c r="N260" s="663"/>
      <c r="P260" s="37" t="str">
        <f t="shared" si="20"/>
        <v>1971F1</v>
      </c>
      <c r="Q260" s="37" t="str">
        <f t="shared" si="21"/>
        <v>F116</v>
      </c>
      <c r="R260" s="37" t="str">
        <f t="shared" si="22"/>
        <v>JuneF1</v>
      </c>
    </row>
    <row r="261" spans="1:18">
      <c r="A261" s="616">
        <f t="shared" si="23"/>
        <v>257</v>
      </c>
      <c r="B261" s="617">
        <v>32</v>
      </c>
      <c r="C261" s="618">
        <v>26095</v>
      </c>
      <c r="D261" s="618" t="s">
        <v>178</v>
      </c>
      <c r="E261" s="619">
        <v>11</v>
      </c>
      <c r="F261" s="603">
        <v>1971</v>
      </c>
      <c r="G261" s="617" t="s">
        <v>136</v>
      </c>
      <c r="H261" s="620" t="s">
        <v>150</v>
      </c>
      <c r="I261" s="621">
        <v>6</v>
      </c>
      <c r="J261" s="621">
        <v>0.1</v>
      </c>
      <c r="K261" s="603">
        <f t="shared" si="24"/>
        <v>19</v>
      </c>
      <c r="L261" s="604">
        <v>0.79166666666666663</v>
      </c>
      <c r="M261" s="605">
        <f t="shared" si="25"/>
        <v>0.79166666666666663</v>
      </c>
      <c r="N261" s="663"/>
      <c r="P261" s="37" t="str">
        <f t="shared" si="20"/>
        <v>1971F1</v>
      </c>
      <c r="Q261" s="37" t="str">
        <f t="shared" si="21"/>
        <v>F119</v>
      </c>
      <c r="R261" s="37" t="str">
        <f t="shared" si="22"/>
        <v>JuneF1</v>
      </c>
    </row>
    <row r="262" spans="1:18">
      <c r="A262" s="616">
        <f t="shared" si="23"/>
        <v>258</v>
      </c>
      <c r="B262" s="617">
        <v>33</v>
      </c>
      <c r="C262" s="618">
        <v>26097</v>
      </c>
      <c r="D262" s="618" t="s">
        <v>178</v>
      </c>
      <c r="E262" s="619">
        <v>13</v>
      </c>
      <c r="F262" s="603">
        <v>1971</v>
      </c>
      <c r="G262" s="617" t="s">
        <v>136</v>
      </c>
      <c r="H262" s="620" t="s">
        <v>150</v>
      </c>
      <c r="I262" s="621">
        <v>20</v>
      </c>
      <c r="J262" s="621">
        <v>1</v>
      </c>
      <c r="K262" s="603">
        <f t="shared" si="24"/>
        <v>16</v>
      </c>
      <c r="L262" s="604">
        <v>0.6875</v>
      </c>
      <c r="M262" s="605">
        <f t="shared" si="25"/>
        <v>0.6875</v>
      </c>
      <c r="N262" s="663"/>
      <c r="P262" s="37" t="str">
        <f t="shared" ref="P262:P325" si="26">CONCATENATE(F262,H262)</f>
        <v>1971F1</v>
      </c>
      <c r="Q262" s="37" t="str">
        <f t="shared" ref="Q262:Q325" si="27">CONCATENATE(H262,K262)</f>
        <v>F116</v>
      </c>
      <c r="R262" s="37" t="str">
        <f t="shared" ref="R262:R325" si="28">CONCATENATE(D262,H262)</f>
        <v>JuneF1</v>
      </c>
    </row>
    <row r="263" spans="1:18">
      <c r="A263" s="616">
        <f t="shared" ref="A263:A326" si="29">+A262+1</f>
        <v>259</v>
      </c>
      <c r="B263" s="617">
        <v>34</v>
      </c>
      <c r="C263" s="618">
        <v>26151</v>
      </c>
      <c r="D263" s="618" t="s">
        <v>180</v>
      </c>
      <c r="E263" s="619">
        <v>6</v>
      </c>
      <c r="F263" s="603">
        <v>1971</v>
      </c>
      <c r="G263" s="617" t="s">
        <v>141</v>
      </c>
      <c r="H263" s="620" t="s">
        <v>150</v>
      </c>
      <c r="I263" s="621">
        <v>50</v>
      </c>
      <c r="J263" s="621">
        <v>2</v>
      </c>
      <c r="K263" s="603">
        <f t="shared" si="24"/>
        <v>16</v>
      </c>
      <c r="L263" s="604">
        <v>0.6875</v>
      </c>
      <c r="M263" s="605">
        <f t="shared" si="25"/>
        <v>0.6875</v>
      </c>
      <c r="N263" s="663"/>
      <c r="P263" s="37" t="str">
        <f t="shared" si="26"/>
        <v>1971F1</v>
      </c>
      <c r="Q263" s="37" t="str">
        <f t="shared" si="27"/>
        <v>F116</v>
      </c>
      <c r="R263" s="37" t="str">
        <f t="shared" si="28"/>
        <v>AugustF1</v>
      </c>
    </row>
    <row r="264" spans="1:18">
      <c r="A264" s="616">
        <f t="shared" si="29"/>
        <v>260</v>
      </c>
      <c r="B264" s="617">
        <v>35</v>
      </c>
      <c r="C264" s="618">
        <v>26223</v>
      </c>
      <c r="D264" s="618" t="s">
        <v>182</v>
      </c>
      <c r="E264" s="619">
        <v>17</v>
      </c>
      <c r="F264" s="603">
        <v>1971</v>
      </c>
      <c r="G264" s="617" t="s">
        <v>141</v>
      </c>
      <c r="H264" s="620" t="s">
        <v>150</v>
      </c>
      <c r="I264" s="621">
        <v>50</v>
      </c>
      <c r="J264" s="621">
        <v>0.3</v>
      </c>
      <c r="K264" s="603">
        <f t="shared" si="24"/>
        <v>17</v>
      </c>
      <c r="L264" s="604">
        <v>0.70833333333333337</v>
      </c>
      <c r="M264" s="605">
        <f t="shared" si="25"/>
        <v>0.70833333333333337</v>
      </c>
      <c r="N264" s="663"/>
      <c r="P264" s="37" t="str">
        <f t="shared" si="26"/>
        <v>1971F1</v>
      </c>
      <c r="Q264" s="37" t="str">
        <f t="shared" si="27"/>
        <v>F117</v>
      </c>
      <c r="R264" s="37" t="str">
        <f t="shared" si="28"/>
        <v>OctoberF1</v>
      </c>
    </row>
    <row r="265" spans="1:18">
      <c r="A265" s="616">
        <f t="shared" si="29"/>
        <v>261</v>
      </c>
      <c r="B265" s="617">
        <v>36</v>
      </c>
      <c r="C265" s="618">
        <v>26223</v>
      </c>
      <c r="D265" s="618" t="s">
        <v>182</v>
      </c>
      <c r="E265" s="619">
        <v>17</v>
      </c>
      <c r="F265" s="603">
        <v>1971</v>
      </c>
      <c r="G265" s="617" t="s">
        <v>131</v>
      </c>
      <c r="H265" s="620" t="s">
        <v>150</v>
      </c>
      <c r="I265" s="621">
        <v>17</v>
      </c>
      <c r="J265" s="621">
        <v>0.1</v>
      </c>
      <c r="K265" s="603">
        <f t="shared" si="24"/>
        <v>18</v>
      </c>
      <c r="L265" s="604">
        <v>0.77083333333333337</v>
      </c>
      <c r="M265" s="605">
        <f t="shared" si="25"/>
        <v>0.77083333333333337</v>
      </c>
      <c r="N265" s="663"/>
      <c r="P265" s="37" t="str">
        <f t="shared" si="26"/>
        <v>1971F1</v>
      </c>
      <c r="Q265" s="37" t="str">
        <f t="shared" si="27"/>
        <v>F118</v>
      </c>
      <c r="R265" s="37" t="str">
        <f t="shared" si="28"/>
        <v>OctoberF1</v>
      </c>
    </row>
    <row r="266" spans="1:18">
      <c r="A266" s="616">
        <f t="shared" si="29"/>
        <v>262</v>
      </c>
      <c r="B266" s="617">
        <v>37</v>
      </c>
      <c r="C266" s="618">
        <v>26223</v>
      </c>
      <c r="D266" s="618" t="s">
        <v>182</v>
      </c>
      <c r="E266" s="619">
        <v>17</v>
      </c>
      <c r="F266" s="603">
        <v>1971</v>
      </c>
      <c r="G266" s="617" t="s">
        <v>137</v>
      </c>
      <c r="H266" s="620" t="s">
        <v>150</v>
      </c>
      <c r="I266" s="621">
        <v>20</v>
      </c>
      <c r="J266" s="621">
        <v>0.5</v>
      </c>
      <c r="K266" s="603">
        <f t="shared" si="24"/>
        <v>19</v>
      </c>
      <c r="L266" s="604">
        <v>0.79166666666666663</v>
      </c>
      <c r="M266" s="605">
        <f t="shared" si="25"/>
        <v>0.79166666666666663</v>
      </c>
      <c r="N266" s="663"/>
      <c r="P266" s="37" t="str">
        <f t="shared" si="26"/>
        <v>1971F1</v>
      </c>
      <c r="Q266" s="37" t="str">
        <f t="shared" si="27"/>
        <v>F119</v>
      </c>
      <c r="R266" s="37" t="str">
        <f t="shared" si="28"/>
        <v>OctoberF1</v>
      </c>
    </row>
    <row r="267" spans="1:18">
      <c r="A267" s="616">
        <f t="shared" si="29"/>
        <v>263</v>
      </c>
      <c r="B267" s="617">
        <v>38</v>
      </c>
      <c r="C267" s="618">
        <v>26223</v>
      </c>
      <c r="D267" s="618" t="s">
        <v>182</v>
      </c>
      <c r="E267" s="619">
        <v>17</v>
      </c>
      <c r="F267" s="603">
        <v>1971</v>
      </c>
      <c r="G267" s="617" t="s">
        <v>137</v>
      </c>
      <c r="H267" s="620" t="s">
        <v>150</v>
      </c>
      <c r="I267" s="621">
        <v>20</v>
      </c>
      <c r="J267" s="621">
        <v>0.5</v>
      </c>
      <c r="K267" s="603">
        <f t="shared" si="24"/>
        <v>19</v>
      </c>
      <c r="L267" s="604">
        <v>0.79166666666666663</v>
      </c>
      <c r="M267" s="605">
        <f t="shared" si="25"/>
        <v>0.79166666666666663</v>
      </c>
      <c r="N267" s="663"/>
      <c r="P267" s="37" t="str">
        <f t="shared" si="26"/>
        <v>1971F1</v>
      </c>
      <c r="Q267" s="37" t="str">
        <f t="shared" si="27"/>
        <v>F119</v>
      </c>
      <c r="R267" s="37" t="str">
        <f t="shared" si="28"/>
        <v>OctoberF1</v>
      </c>
    </row>
    <row r="268" spans="1:18">
      <c r="A268" s="616">
        <f t="shared" si="29"/>
        <v>264</v>
      </c>
      <c r="B268" s="617">
        <v>39</v>
      </c>
      <c r="C268" s="618">
        <v>26223</v>
      </c>
      <c r="D268" s="618" t="s">
        <v>182</v>
      </c>
      <c r="E268" s="619">
        <v>17</v>
      </c>
      <c r="F268" s="603">
        <v>1971</v>
      </c>
      <c r="G268" s="617" t="s">
        <v>141</v>
      </c>
      <c r="H268" s="620" t="s">
        <v>152</v>
      </c>
      <c r="I268" s="621">
        <v>100</v>
      </c>
      <c r="J268" s="621">
        <v>2.2999999999999998</v>
      </c>
      <c r="K268" s="603">
        <f t="shared" si="24"/>
        <v>21</v>
      </c>
      <c r="L268" s="604">
        <v>0.89583333333333337</v>
      </c>
      <c r="M268" s="605">
        <f t="shared" si="25"/>
        <v>0.89583333333333337</v>
      </c>
      <c r="N268" s="663"/>
      <c r="P268" s="37" t="str">
        <f t="shared" si="26"/>
        <v>1971F3</v>
      </c>
      <c r="Q268" s="37" t="str">
        <f t="shared" si="27"/>
        <v>F321</v>
      </c>
      <c r="R268" s="37" t="str">
        <f t="shared" si="28"/>
        <v>OctoberF3</v>
      </c>
    </row>
    <row r="269" spans="1:18">
      <c r="A269" s="616">
        <f t="shared" si="29"/>
        <v>265</v>
      </c>
      <c r="B269" s="617">
        <v>1</v>
      </c>
      <c r="C269" s="618">
        <v>26414</v>
      </c>
      <c r="D269" s="618" t="s">
        <v>176</v>
      </c>
      <c r="E269" s="619">
        <v>25</v>
      </c>
      <c r="F269" s="603">
        <v>1972</v>
      </c>
      <c r="G269" s="617" t="s">
        <v>130</v>
      </c>
      <c r="H269" s="620" t="s">
        <v>150</v>
      </c>
      <c r="I269" s="621">
        <v>10</v>
      </c>
      <c r="J269" s="621">
        <v>0.5</v>
      </c>
      <c r="K269" s="603">
        <f t="shared" si="24"/>
        <v>21</v>
      </c>
      <c r="L269" s="604">
        <v>0.88541666666666663</v>
      </c>
      <c r="M269" s="605">
        <f t="shared" si="25"/>
        <v>0.88541666666666663</v>
      </c>
      <c r="N269" s="663"/>
      <c r="P269" s="37" t="str">
        <f t="shared" si="26"/>
        <v>1972F1</v>
      </c>
      <c r="Q269" s="37" t="str">
        <f t="shared" si="27"/>
        <v>F121</v>
      </c>
      <c r="R269" s="37" t="str">
        <f t="shared" si="28"/>
        <v>AprilF1</v>
      </c>
    </row>
    <row r="270" spans="1:18">
      <c r="A270" s="616">
        <f t="shared" si="29"/>
        <v>266</v>
      </c>
      <c r="B270" s="617">
        <v>2</v>
      </c>
      <c r="C270" s="618">
        <v>26414</v>
      </c>
      <c r="D270" s="618" t="s">
        <v>176</v>
      </c>
      <c r="E270" s="619">
        <v>25</v>
      </c>
      <c r="F270" s="603">
        <v>1972</v>
      </c>
      <c r="G270" s="617" t="s">
        <v>128</v>
      </c>
      <c r="H270" s="620" t="s">
        <v>150</v>
      </c>
      <c r="I270" s="621">
        <v>17</v>
      </c>
      <c r="J270" s="621">
        <v>0.1</v>
      </c>
      <c r="K270" s="603">
        <f t="shared" si="24"/>
        <v>23</v>
      </c>
      <c r="L270" s="604">
        <v>0.98958333333333337</v>
      </c>
      <c r="M270" s="605">
        <f t="shared" si="25"/>
        <v>0.98958333333333337</v>
      </c>
      <c r="N270" s="663"/>
      <c r="P270" s="37" t="str">
        <f t="shared" si="26"/>
        <v>1972F1</v>
      </c>
      <c r="Q270" s="37" t="str">
        <f t="shared" si="27"/>
        <v>F123</v>
      </c>
      <c r="R270" s="37" t="str">
        <f t="shared" si="28"/>
        <v>AprilF1</v>
      </c>
    </row>
    <row r="271" spans="1:18">
      <c r="A271" s="616">
        <f t="shared" si="29"/>
        <v>267</v>
      </c>
      <c r="B271" s="617">
        <v>3</v>
      </c>
      <c r="C271" s="618">
        <v>26418</v>
      </c>
      <c r="D271" s="618" t="s">
        <v>176</v>
      </c>
      <c r="E271" s="619">
        <v>29</v>
      </c>
      <c r="F271" s="603">
        <v>1972</v>
      </c>
      <c r="G271" s="617" t="s">
        <v>137</v>
      </c>
      <c r="H271" s="620" t="s">
        <v>150</v>
      </c>
      <c r="I271" s="621">
        <v>50</v>
      </c>
      <c r="J271" s="621">
        <v>0.1</v>
      </c>
      <c r="K271" s="603">
        <f t="shared" si="24"/>
        <v>16</v>
      </c>
      <c r="L271" s="604">
        <v>0.69097222222222221</v>
      </c>
      <c r="M271" s="605">
        <f t="shared" si="25"/>
        <v>0.69097222222222221</v>
      </c>
      <c r="N271" s="663"/>
      <c r="P271" s="37" t="str">
        <f t="shared" si="26"/>
        <v>1972F1</v>
      </c>
      <c r="Q271" s="37" t="str">
        <f t="shared" si="27"/>
        <v>F116</v>
      </c>
      <c r="R271" s="37" t="str">
        <f t="shared" si="28"/>
        <v>AprilF1</v>
      </c>
    </row>
    <row r="272" spans="1:18">
      <c r="A272" s="616">
        <f t="shared" si="29"/>
        <v>268</v>
      </c>
      <c r="B272" s="617">
        <v>4</v>
      </c>
      <c r="C272" s="618">
        <v>26418</v>
      </c>
      <c r="D272" s="618" t="s">
        <v>176</v>
      </c>
      <c r="E272" s="619">
        <v>29</v>
      </c>
      <c r="F272" s="603">
        <v>1972</v>
      </c>
      <c r="G272" s="617" t="s">
        <v>148</v>
      </c>
      <c r="H272" s="620" t="s">
        <v>150</v>
      </c>
      <c r="I272" s="621">
        <v>880</v>
      </c>
      <c r="J272" s="621">
        <v>11.1</v>
      </c>
      <c r="K272" s="603">
        <f t="shared" si="24"/>
        <v>19</v>
      </c>
      <c r="L272" s="604">
        <v>0.8125</v>
      </c>
      <c r="M272" s="605">
        <f t="shared" si="25"/>
        <v>0.8125</v>
      </c>
      <c r="N272" s="663"/>
      <c r="P272" s="37" t="str">
        <f t="shared" si="26"/>
        <v>1972F1</v>
      </c>
      <c r="Q272" s="37" t="str">
        <f t="shared" si="27"/>
        <v>F119</v>
      </c>
      <c r="R272" s="37" t="str">
        <f t="shared" si="28"/>
        <v>AprilF1</v>
      </c>
    </row>
    <row r="273" spans="1:18">
      <c r="A273" s="616">
        <f t="shared" si="29"/>
        <v>269</v>
      </c>
      <c r="B273" s="617">
        <v>5</v>
      </c>
      <c r="C273" s="618">
        <v>26423</v>
      </c>
      <c r="D273" s="618" t="s">
        <v>177</v>
      </c>
      <c r="E273" s="619">
        <v>4</v>
      </c>
      <c r="F273" s="603">
        <v>1972</v>
      </c>
      <c r="G273" s="617" t="s">
        <v>148</v>
      </c>
      <c r="H273" s="620" t="s">
        <v>150</v>
      </c>
      <c r="I273" s="621">
        <v>50</v>
      </c>
      <c r="J273" s="621">
        <v>0.5</v>
      </c>
      <c r="K273" s="603">
        <f t="shared" si="24"/>
        <v>16</v>
      </c>
      <c r="L273" s="604">
        <v>0.67708333333333337</v>
      </c>
      <c r="M273" s="605">
        <f t="shared" si="25"/>
        <v>0.67708333333333337</v>
      </c>
      <c r="N273" s="663"/>
      <c r="P273" s="37" t="str">
        <f t="shared" si="26"/>
        <v>1972F1</v>
      </c>
      <c r="Q273" s="37" t="str">
        <f t="shared" si="27"/>
        <v>F116</v>
      </c>
      <c r="R273" s="37" t="str">
        <f t="shared" si="28"/>
        <v>MayF1</v>
      </c>
    </row>
    <row r="274" spans="1:18">
      <c r="A274" s="616">
        <f t="shared" si="29"/>
        <v>270</v>
      </c>
      <c r="B274" s="617">
        <v>6</v>
      </c>
      <c r="C274" s="618">
        <v>26428</v>
      </c>
      <c r="D274" s="618" t="s">
        <v>177</v>
      </c>
      <c r="E274" s="619">
        <v>9</v>
      </c>
      <c r="F274" s="603">
        <v>1972</v>
      </c>
      <c r="G274" s="617" t="s">
        <v>145</v>
      </c>
      <c r="H274" s="620" t="s">
        <v>150</v>
      </c>
      <c r="I274" s="621">
        <v>20</v>
      </c>
      <c r="J274" s="621">
        <v>0.5</v>
      </c>
      <c r="K274" s="603">
        <f t="shared" si="24"/>
        <v>20</v>
      </c>
      <c r="L274" s="604">
        <v>0.83611111111111114</v>
      </c>
      <c r="M274" s="605">
        <f t="shared" si="25"/>
        <v>0.83611111111111114</v>
      </c>
      <c r="N274" s="663"/>
      <c r="P274" s="37" t="str">
        <f t="shared" si="26"/>
        <v>1972F1</v>
      </c>
      <c r="Q274" s="37" t="str">
        <f t="shared" si="27"/>
        <v>F120</v>
      </c>
      <c r="R274" s="37" t="str">
        <f t="shared" si="28"/>
        <v>MayF1</v>
      </c>
    </row>
    <row r="275" spans="1:18">
      <c r="A275" s="616">
        <f t="shared" si="29"/>
        <v>271</v>
      </c>
      <c r="B275" s="617">
        <v>7</v>
      </c>
      <c r="C275" s="618">
        <v>26429</v>
      </c>
      <c r="D275" s="618" t="s">
        <v>177</v>
      </c>
      <c r="E275" s="619">
        <v>10</v>
      </c>
      <c r="F275" s="603">
        <v>1972</v>
      </c>
      <c r="G275" s="617" t="s">
        <v>134</v>
      </c>
      <c r="H275" s="620" t="s">
        <v>150</v>
      </c>
      <c r="I275" s="621">
        <v>10</v>
      </c>
      <c r="J275" s="621">
        <v>0.1</v>
      </c>
      <c r="K275" s="603">
        <f t="shared" si="24"/>
        <v>16</v>
      </c>
      <c r="L275" s="604">
        <v>0.68402777777777779</v>
      </c>
      <c r="M275" s="605">
        <f t="shared" si="25"/>
        <v>0.68402777777777779</v>
      </c>
      <c r="N275" s="663"/>
      <c r="P275" s="37" t="str">
        <f t="shared" si="26"/>
        <v>1972F1</v>
      </c>
      <c r="Q275" s="37" t="str">
        <f t="shared" si="27"/>
        <v>F116</v>
      </c>
      <c r="R275" s="37" t="str">
        <f t="shared" si="28"/>
        <v>MayF1</v>
      </c>
    </row>
    <row r="276" spans="1:18">
      <c r="A276" s="616">
        <f t="shared" si="29"/>
        <v>272</v>
      </c>
      <c r="B276" s="617">
        <v>8</v>
      </c>
      <c r="C276" s="618">
        <v>26429</v>
      </c>
      <c r="D276" s="618" t="s">
        <v>177</v>
      </c>
      <c r="E276" s="619">
        <v>10</v>
      </c>
      <c r="F276" s="603">
        <v>1972</v>
      </c>
      <c r="G276" s="617" t="s">
        <v>134</v>
      </c>
      <c r="H276" s="620" t="s">
        <v>150</v>
      </c>
      <c r="I276" s="621">
        <v>10</v>
      </c>
      <c r="J276" s="621">
        <v>0.1</v>
      </c>
      <c r="K276" s="603">
        <f t="shared" si="24"/>
        <v>16</v>
      </c>
      <c r="L276" s="604">
        <v>0.68402777777777779</v>
      </c>
      <c r="M276" s="605">
        <f t="shared" si="25"/>
        <v>0.68402777777777779</v>
      </c>
      <c r="N276" s="663"/>
      <c r="P276" s="37" t="str">
        <f t="shared" si="26"/>
        <v>1972F1</v>
      </c>
      <c r="Q276" s="37" t="str">
        <f t="shared" si="27"/>
        <v>F116</v>
      </c>
      <c r="R276" s="37" t="str">
        <f t="shared" si="28"/>
        <v>MayF1</v>
      </c>
    </row>
    <row r="277" spans="1:18">
      <c r="A277" s="616">
        <f t="shared" si="29"/>
        <v>273</v>
      </c>
      <c r="B277" s="617">
        <v>9</v>
      </c>
      <c r="C277" s="618">
        <v>26429</v>
      </c>
      <c r="D277" s="618" t="s">
        <v>177</v>
      </c>
      <c r="E277" s="619">
        <v>10</v>
      </c>
      <c r="F277" s="603">
        <v>1972</v>
      </c>
      <c r="G277" s="617" t="s">
        <v>129</v>
      </c>
      <c r="H277" s="620" t="s">
        <v>151</v>
      </c>
      <c r="I277" s="621">
        <v>100</v>
      </c>
      <c r="J277" s="621">
        <v>1</v>
      </c>
      <c r="K277" s="603">
        <f t="shared" si="24"/>
        <v>19</v>
      </c>
      <c r="L277" s="604">
        <v>0.82291666666666663</v>
      </c>
      <c r="M277" s="605">
        <f t="shared" si="25"/>
        <v>0.82291666666666663</v>
      </c>
      <c r="N277" s="663"/>
      <c r="P277" s="37" t="str">
        <f t="shared" si="26"/>
        <v>1972F2</v>
      </c>
      <c r="Q277" s="37" t="str">
        <f t="shared" si="27"/>
        <v>F219</v>
      </c>
      <c r="R277" s="37" t="str">
        <f t="shared" si="28"/>
        <v>MayF2</v>
      </c>
    </row>
    <row r="278" spans="1:18">
      <c r="A278" s="616">
        <f t="shared" si="29"/>
        <v>274</v>
      </c>
      <c r="B278" s="617">
        <v>10</v>
      </c>
      <c r="C278" s="618">
        <v>26429</v>
      </c>
      <c r="D278" s="618" t="s">
        <v>177</v>
      </c>
      <c r="E278" s="619">
        <v>10</v>
      </c>
      <c r="F278" s="603">
        <v>1972</v>
      </c>
      <c r="G278" s="617" t="s">
        <v>129</v>
      </c>
      <c r="H278" s="620" t="s">
        <v>151</v>
      </c>
      <c r="I278" s="621">
        <v>100</v>
      </c>
      <c r="J278" s="621">
        <v>1</v>
      </c>
      <c r="K278" s="603">
        <f t="shared" ref="K278:K340" si="30">HOUR(M278)</f>
        <v>19</v>
      </c>
      <c r="L278" s="604">
        <v>0.82291666666666663</v>
      </c>
      <c r="M278" s="605">
        <f t="shared" si="25"/>
        <v>0.82291666666666663</v>
      </c>
      <c r="N278" s="663"/>
      <c r="P278" s="37" t="str">
        <f t="shared" si="26"/>
        <v>1972F2</v>
      </c>
      <c r="Q278" s="37" t="str">
        <f t="shared" si="27"/>
        <v>F219</v>
      </c>
      <c r="R278" s="37" t="str">
        <f t="shared" si="28"/>
        <v>MayF2</v>
      </c>
    </row>
    <row r="279" spans="1:18">
      <c r="A279" s="616">
        <f t="shared" si="29"/>
        <v>275</v>
      </c>
      <c r="B279" s="617">
        <v>11</v>
      </c>
      <c r="C279" s="618">
        <v>26432</v>
      </c>
      <c r="D279" s="618" t="s">
        <v>177</v>
      </c>
      <c r="E279" s="619">
        <v>13</v>
      </c>
      <c r="F279" s="603">
        <v>1972</v>
      </c>
      <c r="G279" s="617" t="s">
        <v>130</v>
      </c>
      <c r="H279" s="620" t="s">
        <v>150</v>
      </c>
      <c r="I279" s="621">
        <v>100</v>
      </c>
      <c r="J279" s="621">
        <v>0.5</v>
      </c>
      <c r="K279" s="603">
        <f t="shared" si="30"/>
        <v>12</v>
      </c>
      <c r="L279" s="604">
        <v>0.51041666666666663</v>
      </c>
      <c r="M279" s="605">
        <f t="shared" si="25"/>
        <v>0.51041666666666663</v>
      </c>
      <c r="N279" s="663"/>
      <c r="P279" s="37" t="str">
        <f t="shared" si="26"/>
        <v>1972F1</v>
      </c>
      <c r="Q279" s="37" t="str">
        <f t="shared" si="27"/>
        <v>F112</v>
      </c>
      <c r="R279" s="37" t="str">
        <f t="shared" si="28"/>
        <v>MayF1</v>
      </c>
    </row>
    <row r="280" spans="1:18">
      <c r="A280" s="616">
        <f t="shared" si="29"/>
        <v>276</v>
      </c>
      <c r="B280" s="617">
        <v>12</v>
      </c>
      <c r="C280" s="618">
        <v>26443</v>
      </c>
      <c r="D280" s="618" t="s">
        <v>177</v>
      </c>
      <c r="E280" s="619">
        <v>24</v>
      </c>
      <c r="F280" s="603">
        <v>1972</v>
      </c>
      <c r="G280" s="617" t="s">
        <v>132</v>
      </c>
      <c r="H280" s="620" t="s">
        <v>150</v>
      </c>
      <c r="I280" s="621">
        <v>440</v>
      </c>
      <c r="J280" s="621">
        <v>4.3</v>
      </c>
      <c r="K280" s="603">
        <f t="shared" si="30"/>
        <v>16</v>
      </c>
      <c r="L280" s="604">
        <v>0.6875</v>
      </c>
      <c r="M280" s="605">
        <f t="shared" si="25"/>
        <v>0.6875</v>
      </c>
      <c r="N280" s="663"/>
      <c r="P280" s="37" t="str">
        <f t="shared" si="26"/>
        <v>1972F1</v>
      </c>
      <c r="Q280" s="37" t="str">
        <f t="shared" si="27"/>
        <v>F116</v>
      </c>
      <c r="R280" s="37" t="str">
        <f t="shared" si="28"/>
        <v>MayF1</v>
      </c>
    </row>
    <row r="281" spans="1:18">
      <c r="A281" s="616">
        <f t="shared" si="29"/>
        <v>277</v>
      </c>
      <c r="B281" s="617">
        <v>13</v>
      </c>
      <c r="C281" s="618">
        <v>26465</v>
      </c>
      <c r="D281" s="618" t="s">
        <v>178</v>
      </c>
      <c r="E281" s="619">
        <v>15</v>
      </c>
      <c r="F281" s="603">
        <v>1972</v>
      </c>
      <c r="G281" s="617" t="s">
        <v>131</v>
      </c>
      <c r="H281" s="620" t="s">
        <v>150</v>
      </c>
      <c r="I281" s="621">
        <v>20</v>
      </c>
      <c r="J281" s="621">
        <v>3.6</v>
      </c>
      <c r="K281" s="603">
        <f t="shared" si="30"/>
        <v>16</v>
      </c>
      <c r="L281" s="604">
        <v>0.69097222222222221</v>
      </c>
      <c r="M281" s="605">
        <f t="shared" si="25"/>
        <v>0.69097222222222221</v>
      </c>
      <c r="N281" s="663"/>
      <c r="P281" s="37" t="str">
        <f t="shared" si="26"/>
        <v>1972F1</v>
      </c>
      <c r="Q281" s="37" t="str">
        <f t="shared" si="27"/>
        <v>F116</v>
      </c>
      <c r="R281" s="37" t="str">
        <f t="shared" si="28"/>
        <v>JuneF1</v>
      </c>
    </row>
    <row r="282" spans="1:18">
      <c r="A282" s="616">
        <f t="shared" si="29"/>
        <v>278</v>
      </c>
      <c r="B282" s="617">
        <v>14</v>
      </c>
      <c r="C282" s="618">
        <v>26471</v>
      </c>
      <c r="D282" s="618" t="s">
        <v>178</v>
      </c>
      <c r="E282" s="619">
        <v>21</v>
      </c>
      <c r="F282" s="603">
        <v>1972</v>
      </c>
      <c r="G282" s="617" t="s">
        <v>144</v>
      </c>
      <c r="H282" s="620" t="s">
        <v>150</v>
      </c>
      <c r="I282" s="621">
        <v>20</v>
      </c>
      <c r="J282" s="621">
        <v>5.9</v>
      </c>
      <c r="K282" s="603">
        <f t="shared" si="30"/>
        <v>20</v>
      </c>
      <c r="L282" s="604">
        <v>0.86458333333333337</v>
      </c>
      <c r="M282" s="605">
        <f t="shared" si="25"/>
        <v>0.86458333333333337</v>
      </c>
      <c r="N282" s="663"/>
      <c r="P282" s="37" t="str">
        <f t="shared" si="26"/>
        <v>1972F1</v>
      </c>
      <c r="Q282" s="37" t="str">
        <f t="shared" si="27"/>
        <v>F120</v>
      </c>
      <c r="R282" s="37" t="str">
        <f t="shared" si="28"/>
        <v>JuneF1</v>
      </c>
    </row>
    <row r="283" spans="1:18">
      <c r="A283" s="616">
        <f t="shared" si="29"/>
        <v>279</v>
      </c>
      <c r="B283" s="617">
        <v>15</v>
      </c>
      <c r="C283" s="618">
        <v>26471</v>
      </c>
      <c r="D283" s="618" t="s">
        <v>178</v>
      </c>
      <c r="E283" s="619">
        <v>21</v>
      </c>
      <c r="F283" s="603">
        <v>1972</v>
      </c>
      <c r="G283" s="617" t="s">
        <v>144</v>
      </c>
      <c r="H283" s="620" t="s">
        <v>150</v>
      </c>
      <c r="I283" s="621">
        <v>20</v>
      </c>
      <c r="J283" s="621">
        <v>1</v>
      </c>
      <c r="K283" s="603">
        <f t="shared" si="30"/>
        <v>20</v>
      </c>
      <c r="L283" s="604">
        <v>0.86458333333333337</v>
      </c>
      <c r="M283" s="605">
        <f t="shared" si="25"/>
        <v>0.86458333333333337</v>
      </c>
      <c r="N283" s="663"/>
      <c r="P283" s="37" t="str">
        <f t="shared" si="26"/>
        <v>1972F1</v>
      </c>
      <c r="Q283" s="37" t="str">
        <f t="shared" si="27"/>
        <v>F120</v>
      </c>
      <c r="R283" s="37" t="str">
        <f t="shared" si="28"/>
        <v>JuneF1</v>
      </c>
    </row>
    <row r="284" spans="1:18">
      <c r="A284" s="616">
        <f t="shared" si="29"/>
        <v>280</v>
      </c>
      <c r="B284" s="617">
        <v>16</v>
      </c>
      <c r="C284" s="618">
        <v>26471</v>
      </c>
      <c r="D284" s="618" t="s">
        <v>178</v>
      </c>
      <c r="E284" s="619">
        <v>21</v>
      </c>
      <c r="F284" s="603">
        <v>1972</v>
      </c>
      <c r="G284" s="617" t="s">
        <v>140</v>
      </c>
      <c r="H284" s="620" t="s">
        <v>151</v>
      </c>
      <c r="I284" s="621">
        <v>100</v>
      </c>
      <c r="J284" s="621">
        <v>4.0999999999999996</v>
      </c>
      <c r="K284" s="603">
        <f t="shared" si="30"/>
        <v>21</v>
      </c>
      <c r="L284" s="604">
        <v>0.88541666666666663</v>
      </c>
      <c r="M284" s="605">
        <f t="shared" si="25"/>
        <v>0.88541666666666663</v>
      </c>
      <c r="N284" s="663"/>
      <c r="P284" s="37" t="str">
        <f t="shared" si="26"/>
        <v>1972F2</v>
      </c>
      <c r="Q284" s="37" t="str">
        <f t="shared" si="27"/>
        <v>F221</v>
      </c>
      <c r="R284" s="37" t="str">
        <f t="shared" si="28"/>
        <v>JuneF2</v>
      </c>
    </row>
    <row r="285" spans="1:18">
      <c r="A285" s="616">
        <f t="shared" si="29"/>
        <v>281</v>
      </c>
      <c r="B285" s="617">
        <v>17</v>
      </c>
      <c r="C285" s="618">
        <v>26482</v>
      </c>
      <c r="D285" s="618" t="s">
        <v>179</v>
      </c>
      <c r="E285" s="619">
        <v>2</v>
      </c>
      <c r="F285" s="603">
        <v>1972</v>
      </c>
      <c r="G285" s="617" t="s">
        <v>144</v>
      </c>
      <c r="H285" s="620" t="s">
        <v>150</v>
      </c>
      <c r="I285" s="621">
        <v>50</v>
      </c>
      <c r="J285" s="621">
        <v>0.3</v>
      </c>
      <c r="K285" s="603">
        <f t="shared" si="30"/>
        <v>20</v>
      </c>
      <c r="L285" s="604">
        <v>0.85416666666666663</v>
      </c>
      <c r="M285" s="605">
        <f t="shared" si="25"/>
        <v>0.85416666666666663</v>
      </c>
      <c r="N285" s="663"/>
      <c r="P285" s="37" t="str">
        <f t="shared" si="26"/>
        <v>1972F1</v>
      </c>
      <c r="Q285" s="37" t="str">
        <f t="shared" si="27"/>
        <v>F120</v>
      </c>
      <c r="R285" s="37" t="str">
        <f t="shared" si="28"/>
        <v>JulyF1</v>
      </c>
    </row>
    <row r="286" spans="1:18">
      <c r="A286" s="616">
        <f t="shared" si="29"/>
        <v>282</v>
      </c>
      <c r="B286" s="617">
        <v>18</v>
      </c>
      <c r="C286" s="618">
        <v>26497</v>
      </c>
      <c r="D286" s="618" t="s">
        <v>179</v>
      </c>
      <c r="E286" s="619">
        <v>17</v>
      </c>
      <c r="F286" s="603">
        <v>1972</v>
      </c>
      <c r="G286" s="617" t="s">
        <v>127</v>
      </c>
      <c r="H286" s="620" t="s">
        <v>150</v>
      </c>
      <c r="I286" s="621">
        <v>20</v>
      </c>
      <c r="J286" s="621">
        <v>0.1</v>
      </c>
      <c r="K286" s="603">
        <f t="shared" si="30"/>
        <v>14</v>
      </c>
      <c r="L286" s="604">
        <v>0.59375</v>
      </c>
      <c r="M286" s="605">
        <f t="shared" si="25"/>
        <v>0.59375</v>
      </c>
      <c r="N286" s="663"/>
      <c r="P286" s="37" t="str">
        <f t="shared" si="26"/>
        <v>1972F1</v>
      </c>
      <c r="Q286" s="37" t="str">
        <f t="shared" si="27"/>
        <v>F114</v>
      </c>
      <c r="R286" s="37" t="str">
        <f t="shared" si="28"/>
        <v>JulyF1</v>
      </c>
    </row>
    <row r="287" spans="1:18">
      <c r="A287" s="616">
        <f t="shared" si="29"/>
        <v>283</v>
      </c>
      <c r="B287" s="617">
        <v>19</v>
      </c>
      <c r="C287" s="618">
        <v>26519</v>
      </c>
      <c r="D287" s="618" t="s">
        <v>180</v>
      </c>
      <c r="E287" s="619">
        <v>8</v>
      </c>
      <c r="F287" s="603">
        <v>1972</v>
      </c>
      <c r="G287" s="617" t="s">
        <v>140</v>
      </c>
      <c r="H287" s="620" t="s">
        <v>149</v>
      </c>
      <c r="I287" s="621">
        <v>50</v>
      </c>
      <c r="J287" s="621">
        <v>2</v>
      </c>
      <c r="K287" s="603">
        <f t="shared" si="30"/>
        <v>14</v>
      </c>
      <c r="L287" s="604">
        <v>0.59375</v>
      </c>
      <c r="M287" s="605">
        <f t="shared" si="25"/>
        <v>0.59375</v>
      </c>
      <c r="N287" s="663"/>
      <c r="P287" s="37" t="str">
        <f t="shared" si="26"/>
        <v>1972F0</v>
      </c>
      <c r="Q287" s="37" t="str">
        <f t="shared" si="27"/>
        <v>F014</v>
      </c>
      <c r="R287" s="37" t="str">
        <f t="shared" si="28"/>
        <v>AugustF0</v>
      </c>
    </row>
    <row r="288" spans="1:18">
      <c r="A288" s="616">
        <f t="shared" si="29"/>
        <v>284</v>
      </c>
      <c r="B288" s="617">
        <v>1</v>
      </c>
      <c r="C288" s="618">
        <v>26746</v>
      </c>
      <c r="D288" s="618" t="s">
        <v>175</v>
      </c>
      <c r="E288" s="619">
        <v>23</v>
      </c>
      <c r="F288" s="603">
        <v>1973</v>
      </c>
      <c r="G288" s="617" t="s">
        <v>140</v>
      </c>
      <c r="H288" s="620" t="s">
        <v>151</v>
      </c>
      <c r="I288" s="621">
        <v>50</v>
      </c>
      <c r="J288" s="621">
        <v>2</v>
      </c>
      <c r="K288" s="603">
        <f t="shared" si="30"/>
        <v>16</v>
      </c>
      <c r="L288" s="604">
        <v>0.66666666666666663</v>
      </c>
      <c r="M288" s="605">
        <f t="shared" si="25"/>
        <v>0.66666666666666663</v>
      </c>
      <c r="N288" s="663"/>
      <c r="P288" s="37" t="str">
        <f t="shared" si="26"/>
        <v>1973F2</v>
      </c>
      <c r="Q288" s="37" t="str">
        <f t="shared" si="27"/>
        <v>F216</v>
      </c>
      <c r="R288" s="37" t="str">
        <f t="shared" si="28"/>
        <v>MarchF2</v>
      </c>
    </row>
    <row r="289" spans="1:18">
      <c r="A289" s="616">
        <f t="shared" si="29"/>
        <v>285</v>
      </c>
      <c r="B289" s="617">
        <v>2</v>
      </c>
      <c r="C289" s="618">
        <v>26767</v>
      </c>
      <c r="D289" s="618" t="s">
        <v>176</v>
      </c>
      <c r="E289" s="619">
        <v>13</v>
      </c>
      <c r="F289" s="603">
        <v>1973</v>
      </c>
      <c r="G289" s="617" t="s">
        <v>140</v>
      </c>
      <c r="H289" s="620" t="s">
        <v>150</v>
      </c>
      <c r="I289" s="621">
        <v>17</v>
      </c>
      <c r="J289" s="621">
        <v>1</v>
      </c>
      <c r="K289" s="603">
        <f t="shared" si="30"/>
        <v>17</v>
      </c>
      <c r="L289" s="604">
        <v>0.74861111111111101</v>
      </c>
      <c r="M289" s="605">
        <f t="shared" si="25"/>
        <v>0.74861111111111101</v>
      </c>
      <c r="N289" s="663"/>
      <c r="P289" s="37" t="str">
        <f t="shared" si="26"/>
        <v>1973F1</v>
      </c>
      <c r="Q289" s="37" t="str">
        <f t="shared" si="27"/>
        <v>F117</v>
      </c>
      <c r="R289" s="37" t="str">
        <f t="shared" si="28"/>
        <v>AprilF1</v>
      </c>
    </row>
    <row r="290" spans="1:18">
      <c r="A290" s="616">
        <f t="shared" si="29"/>
        <v>286</v>
      </c>
      <c r="B290" s="617">
        <v>3</v>
      </c>
      <c r="C290" s="618">
        <v>26768</v>
      </c>
      <c r="D290" s="618" t="s">
        <v>176</v>
      </c>
      <c r="E290" s="619">
        <v>14</v>
      </c>
      <c r="F290" s="603">
        <v>1973</v>
      </c>
      <c r="G290" s="617" t="s">
        <v>146</v>
      </c>
      <c r="H290" s="620" t="s">
        <v>151</v>
      </c>
      <c r="I290" s="621">
        <v>150</v>
      </c>
      <c r="J290" s="621">
        <v>70</v>
      </c>
      <c r="K290" s="603">
        <f t="shared" si="30"/>
        <v>17</v>
      </c>
      <c r="L290" s="604">
        <v>0.72916666666666663</v>
      </c>
      <c r="M290" s="605">
        <f>+L290</f>
        <v>0.72916666666666663</v>
      </c>
      <c r="N290" s="663">
        <v>0.82291666666666663</v>
      </c>
      <c r="P290" s="37" t="str">
        <f t="shared" si="26"/>
        <v>1973F2</v>
      </c>
      <c r="Q290" s="37" t="str">
        <f t="shared" si="27"/>
        <v>F217</v>
      </c>
      <c r="R290" s="37" t="str">
        <f t="shared" si="28"/>
        <v>AprilF2</v>
      </c>
    </row>
    <row r="291" spans="1:18">
      <c r="A291" s="616">
        <f t="shared" si="29"/>
        <v>287</v>
      </c>
      <c r="B291" s="617">
        <v>4</v>
      </c>
      <c r="C291" s="618">
        <v>26777</v>
      </c>
      <c r="D291" s="618" t="s">
        <v>176</v>
      </c>
      <c r="E291" s="619">
        <v>23</v>
      </c>
      <c r="F291" s="603">
        <v>1973</v>
      </c>
      <c r="G291" s="617" t="s">
        <v>143</v>
      </c>
      <c r="H291" s="620" t="s">
        <v>151</v>
      </c>
      <c r="I291" s="621">
        <v>100</v>
      </c>
      <c r="J291" s="621">
        <v>0.3</v>
      </c>
      <c r="K291" s="603">
        <f t="shared" si="30"/>
        <v>21</v>
      </c>
      <c r="L291" s="604">
        <v>0.90625</v>
      </c>
      <c r="M291" s="605">
        <f t="shared" si="25"/>
        <v>0.90625</v>
      </c>
      <c r="N291" s="663"/>
      <c r="P291" s="37" t="str">
        <f t="shared" si="26"/>
        <v>1973F2</v>
      </c>
      <c r="Q291" s="37" t="str">
        <f t="shared" si="27"/>
        <v>F221</v>
      </c>
      <c r="R291" s="37" t="str">
        <f t="shared" si="28"/>
        <v>AprilF2</v>
      </c>
    </row>
    <row r="292" spans="1:18">
      <c r="A292" s="616">
        <f t="shared" si="29"/>
        <v>288</v>
      </c>
      <c r="B292" s="617">
        <v>5</v>
      </c>
      <c r="C292" s="618">
        <v>26784</v>
      </c>
      <c r="D292" s="618" t="s">
        <v>176</v>
      </c>
      <c r="E292" s="619">
        <v>30</v>
      </c>
      <c r="F292" s="603">
        <v>1973</v>
      </c>
      <c r="G292" s="617" t="s">
        <v>141</v>
      </c>
      <c r="H292" s="620" t="s">
        <v>151</v>
      </c>
      <c r="I292" s="621">
        <v>100</v>
      </c>
      <c r="J292" s="621">
        <v>0.5</v>
      </c>
      <c r="K292" s="603">
        <f t="shared" si="30"/>
        <v>17</v>
      </c>
      <c r="L292" s="604">
        <v>0.73611111111111116</v>
      </c>
      <c r="M292" s="605">
        <f t="shared" si="25"/>
        <v>0.73611111111111116</v>
      </c>
      <c r="N292" s="663"/>
      <c r="P292" s="37" t="str">
        <f t="shared" si="26"/>
        <v>1973F2</v>
      </c>
      <c r="Q292" s="37" t="str">
        <f t="shared" si="27"/>
        <v>F217</v>
      </c>
      <c r="R292" s="37" t="str">
        <f t="shared" si="28"/>
        <v>AprilF2</v>
      </c>
    </row>
    <row r="293" spans="1:18">
      <c r="A293" s="616">
        <f t="shared" si="29"/>
        <v>289</v>
      </c>
      <c r="B293" s="617">
        <v>6</v>
      </c>
      <c r="C293" s="618">
        <v>26785</v>
      </c>
      <c r="D293" s="618" t="s">
        <v>177</v>
      </c>
      <c r="E293" s="619">
        <v>1</v>
      </c>
      <c r="F293" s="603">
        <v>1973</v>
      </c>
      <c r="G293" s="617" t="s">
        <v>127</v>
      </c>
      <c r="H293" s="620" t="s">
        <v>149</v>
      </c>
      <c r="I293" s="621">
        <v>150</v>
      </c>
      <c r="J293" s="621">
        <v>1</v>
      </c>
      <c r="K293" s="603">
        <f t="shared" si="30"/>
        <v>9</v>
      </c>
      <c r="L293" s="604">
        <v>0.375</v>
      </c>
      <c r="M293" s="605">
        <f t="shared" si="25"/>
        <v>0.375</v>
      </c>
      <c r="N293" s="663"/>
      <c r="P293" s="37" t="str">
        <f t="shared" si="26"/>
        <v>1973F0</v>
      </c>
      <c r="Q293" s="37" t="str">
        <f t="shared" si="27"/>
        <v>F09</v>
      </c>
      <c r="R293" s="37" t="str">
        <f t="shared" si="28"/>
        <v>MayF0</v>
      </c>
    </row>
    <row r="294" spans="1:18">
      <c r="A294" s="616">
        <f t="shared" si="29"/>
        <v>290</v>
      </c>
      <c r="B294" s="617">
        <v>7</v>
      </c>
      <c r="C294" s="618">
        <v>26806</v>
      </c>
      <c r="D294" s="618" t="s">
        <v>177</v>
      </c>
      <c r="E294" s="619">
        <v>22</v>
      </c>
      <c r="F294" s="603">
        <v>1973</v>
      </c>
      <c r="G294" s="617" t="s">
        <v>145</v>
      </c>
      <c r="H294" s="620" t="s">
        <v>150</v>
      </c>
      <c r="I294" s="621">
        <v>20</v>
      </c>
      <c r="J294" s="621">
        <v>0.3</v>
      </c>
      <c r="K294" s="603">
        <f t="shared" si="30"/>
        <v>17</v>
      </c>
      <c r="L294" s="604">
        <v>0.71527777777777779</v>
      </c>
      <c r="M294" s="605">
        <f t="shared" si="25"/>
        <v>0.71527777777777779</v>
      </c>
      <c r="N294" s="663"/>
      <c r="P294" s="37" t="str">
        <f t="shared" si="26"/>
        <v>1973F1</v>
      </c>
      <c r="Q294" s="37" t="str">
        <f t="shared" si="27"/>
        <v>F117</v>
      </c>
      <c r="R294" s="37" t="str">
        <f t="shared" si="28"/>
        <v>MayF1</v>
      </c>
    </row>
    <row r="295" spans="1:18">
      <c r="A295" s="616">
        <f t="shared" si="29"/>
        <v>291</v>
      </c>
      <c r="B295" s="617">
        <v>8</v>
      </c>
      <c r="C295" s="618">
        <v>26884</v>
      </c>
      <c r="D295" s="618" t="s">
        <v>180</v>
      </c>
      <c r="E295" s="619">
        <v>8</v>
      </c>
      <c r="F295" s="603">
        <v>1973</v>
      </c>
      <c r="G295" s="617" t="s">
        <v>136</v>
      </c>
      <c r="H295" s="620" t="s">
        <v>150</v>
      </c>
      <c r="I295" s="621">
        <v>10</v>
      </c>
      <c r="J295" s="621">
        <v>0.1</v>
      </c>
      <c r="K295" s="603">
        <f t="shared" si="30"/>
        <v>16</v>
      </c>
      <c r="L295" s="604">
        <v>0.70625000000000004</v>
      </c>
      <c r="M295" s="605">
        <f t="shared" si="25"/>
        <v>0.70625000000000004</v>
      </c>
      <c r="N295" s="663"/>
      <c r="P295" s="37" t="str">
        <f t="shared" si="26"/>
        <v>1973F1</v>
      </c>
      <c r="Q295" s="37" t="str">
        <f t="shared" si="27"/>
        <v>F116</v>
      </c>
      <c r="R295" s="37" t="str">
        <f t="shared" si="28"/>
        <v>AugustF1</v>
      </c>
    </row>
    <row r="296" spans="1:18">
      <c r="A296" s="616">
        <f t="shared" si="29"/>
        <v>292</v>
      </c>
      <c r="B296" s="617">
        <v>1</v>
      </c>
      <c r="C296" s="618">
        <v>27097</v>
      </c>
      <c r="D296" s="618" t="s">
        <v>175</v>
      </c>
      <c r="E296" s="619">
        <v>9</v>
      </c>
      <c r="F296" s="603">
        <v>1974</v>
      </c>
      <c r="G296" s="617" t="s">
        <v>145</v>
      </c>
      <c r="H296" s="620" t="s">
        <v>150</v>
      </c>
      <c r="I296" s="621">
        <v>20</v>
      </c>
      <c r="J296" s="621">
        <v>3</v>
      </c>
      <c r="K296" s="603">
        <f t="shared" si="30"/>
        <v>13</v>
      </c>
      <c r="L296" s="604">
        <v>0.55694444444444446</v>
      </c>
      <c r="M296" s="605">
        <f t="shared" si="25"/>
        <v>0.55694444444444446</v>
      </c>
      <c r="N296" s="663"/>
      <c r="P296" s="37" t="str">
        <f t="shared" si="26"/>
        <v>1974F1</v>
      </c>
      <c r="Q296" s="37" t="str">
        <f t="shared" si="27"/>
        <v>F113</v>
      </c>
      <c r="R296" s="37" t="str">
        <f t="shared" si="28"/>
        <v>MarchF1</v>
      </c>
    </row>
    <row r="297" spans="1:18">
      <c r="A297" s="616">
        <f t="shared" si="29"/>
        <v>293</v>
      </c>
      <c r="B297" s="617">
        <v>2</v>
      </c>
      <c r="C297" s="618">
        <v>27129</v>
      </c>
      <c r="D297" s="618" t="s">
        <v>176</v>
      </c>
      <c r="E297" s="619">
        <v>10</v>
      </c>
      <c r="F297" s="603">
        <v>1974</v>
      </c>
      <c r="G297" s="617" t="s">
        <v>148</v>
      </c>
      <c r="H297" s="620" t="s">
        <v>150</v>
      </c>
      <c r="I297" s="621">
        <v>33</v>
      </c>
      <c r="J297" s="621">
        <v>2</v>
      </c>
      <c r="K297" s="603">
        <f t="shared" si="30"/>
        <v>21</v>
      </c>
      <c r="L297" s="604">
        <v>0.88194444444444453</v>
      </c>
      <c r="M297" s="605">
        <f t="shared" si="25"/>
        <v>0.88194444444444453</v>
      </c>
      <c r="N297" s="663"/>
      <c r="P297" s="37" t="str">
        <f t="shared" si="26"/>
        <v>1974F1</v>
      </c>
      <c r="Q297" s="37" t="str">
        <f t="shared" si="27"/>
        <v>F121</v>
      </c>
      <c r="R297" s="37" t="str">
        <f t="shared" si="28"/>
        <v>AprilF1</v>
      </c>
    </row>
    <row r="298" spans="1:18">
      <c r="A298" s="616">
        <f t="shared" si="29"/>
        <v>294</v>
      </c>
      <c r="B298" s="617">
        <v>3</v>
      </c>
      <c r="C298" s="618">
        <v>27138</v>
      </c>
      <c r="D298" s="618" t="s">
        <v>176</v>
      </c>
      <c r="E298" s="619">
        <v>19</v>
      </c>
      <c r="F298" s="603">
        <v>1974</v>
      </c>
      <c r="G298" s="617" t="s">
        <v>141</v>
      </c>
      <c r="H298" s="620" t="s">
        <v>150</v>
      </c>
      <c r="I298" s="621">
        <v>20</v>
      </c>
      <c r="J298" s="621">
        <v>1.9</v>
      </c>
      <c r="K298" s="603">
        <f t="shared" si="30"/>
        <v>15</v>
      </c>
      <c r="L298" s="604">
        <v>0.64930555555555558</v>
      </c>
      <c r="M298" s="605">
        <f t="shared" si="25"/>
        <v>0.64930555555555558</v>
      </c>
      <c r="N298" s="663"/>
      <c r="P298" s="37" t="str">
        <f t="shared" si="26"/>
        <v>1974F1</v>
      </c>
      <c r="Q298" s="37" t="str">
        <f t="shared" si="27"/>
        <v>F115</v>
      </c>
      <c r="R298" s="37" t="str">
        <f t="shared" si="28"/>
        <v>AprilF1</v>
      </c>
    </row>
    <row r="299" spans="1:18">
      <c r="A299" s="616">
        <f t="shared" si="29"/>
        <v>295</v>
      </c>
      <c r="B299" s="617">
        <v>4</v>
      </c>
      <c r="C299" s="618">
        <v>27138</v>
      </c>
      <c r="D299" s="618" t="s">
        <v>176</v>
      </c>
      <c r="E299" s="619">
        <v>19</v>
      </c>
      <c r="F299" s="603">
        <v>1974</v>
      </c>
      <c r="G299" s="617" t="s">
        <v>137</v>
      </c>
      <c r="H299" s="620" t="s">
        <v>151</v>
      </c>
      <c r="I299" s="621">
        <v>30</v>
      </c>
      <c r="J299" s="621">
        <v>5.9</v>
      </c>
      <c r="K299" s="603">
        <f t="shared" si="30"/>
        <v>19</v>
      </c>
      <c r="L299" s="604">
        <v>0.80555555555555547</v>
      </c>
      <c r="M299" s="605">
        <f t="shared" si="25"/>
        <v>0.80555555555555547</v>
      </c>
      <c r="N299" s="663"/>
      <c r="P299" s="37" t="str">
        <f t="shared" si="26"/>
        <v>1974F2</v>
      </c>
      <c r="Q299" s="37" t="str">
        <f t="shared" si="27"/>
        <v>F219</v>
      </c>
      <c r="R299" s="37" t="str">
        <f t="shared" si="28"/>
        <v>AprilF2</v>
      </c>
    </row>
    <row r="300" spans="1:18">
      <c r="A300" s="616">
        <f t="shared" si="29"/>
        <v>296</v>
      </c>
      <c r="B300" s="617">
        <v>5</v>
      </c>
      <c r="C300" s="618">
        <v>27147</v>
      </c>
      <c r="D300" s="618" t="s">
        <v>176</v>
      </c>
      <c r="E300" s="619">
        <v>28</v>
      </c>
      <c r="F300" s="603">
        <v>1974</v>
      </c>
      <c r="G300" s="617" t="s">
        <v>148</v>
      </c>
      <c r="H300" s="620" t="s">
        <v>150</v>
      </c>
      <c r="I300" s="621">
        <v>20</v>
      </c>
      <c r="J300" s="621">
        <v>1</v>
      </c>
      <c r="K300" s="603">
        <f t="shared" si="30"/>
        <v>22</v>
      </c>
      <c r="L300" s="604">
        <v>0.93055555555555547</v>
      </c>
      <c r="M300" s="605">
        <f t="shared" si="25"/>
        <v>0.93055555555555547</v>
      </c>
      <c r="N300" s="663"/>
      <c r="P300" s="37" t="str">
        <f t="shared" si="26"/>
        <v>1974F1</v>
      </c>
      <c r="Q300" s="37" t="str">
        <f t="shared" si="27"/>
        <v>F122</v>
      </c>
      <c r="R300" s="37" t="str">
        <f t="shared" si="28"/>
        <v>AprilF1</v>
      </c>
    </row>
    <row r="301" spans="1:18">
      <c r="A301" s="616">
        <f t="shared" si="29"/>
        <v>297</v>
      </c>
      <c r="B301" s="617">
        <v>6</v>
      </c>
      <c r="C301" s="618">
        <v>27173</v>
      </c>
      <c r="D301" s="618" t="s">
        <v>177</v>
      </c>
      <c r="E301" s="619">
        <v>24</v>
      </c>
      <c r="F301" s="603">
        <v>1974</v>
      </c>
      <c r="G301" s="617" t="s">
        <v>144</v>
      </c>
      <c r="H301" s="620" t="s">
        <v>150</v>
      </c>
      <c r="I301" s="621">
        <v>30</v>
      </c>
      <c r="J301" s="621">
        <v>3</v>
      </c>
      <c r="K301" s="603">
        <f t="shared" si="30"/>
        <v>20</v>
      </c>
      <c r="L301" s="604">
        <v>0.87152777777777779</v>
      </c>
      <c r="M301" s="605">
        <f t="shared" si="25"/>
        <v>0.87152777777777779</v>
      </c>
      <c r="N301" s="663"/>
      <c r="P301" s="37" t="str">
        <f t="shared" si="26"/>
        <v>1974F1</v>
      </c>
      <c r="Q301" s="37" t="str">
        <f t="shared" si="27"/>
        <v>F120</v>
      </c>
      <c r="R301" s="37" t="str">
        <f t="shared" si="28"/>
        <v>MayF1</v>
      </c>
    </row>
    <row r="302" spans="1:18">
      <c r="A302" s="616">
        <f t="shared" si="29"/>
        <v>298</v>
      </c>
      <c r="B302" s="617">
        <v>7</v>
      </c>
      <c r="C302" s="618">
        <v>27183</v>
      </c>
      <c r="D302" s="618" t="s">
        <v>178</v>
      </c>
      <c r="E302" s="619">
        <v>3</v>
      </c>
      <c r="F302" s="603">
        <v>1974</v>
      </c>
      <c r="G302" s="617" t="s">
        <v>135</v>
      </c>
      <c r="H302" s="620" t="s">
        <v>149</v>
      </c>
      <c r="I302" s="621">
        <v>30</v>
      </c>
      <c r="J302" s="621">
        <v>0.5</v>
      </c>
      <c r="K302" s="603">
        <f t="shared" si="30"/>
        <v>18</v>
      </c>
      <c r="L302" s="604">
        <v>0.77083333333333337</v>
      </c>
      <c r="M302" s="605">
        <f t="shared" si="25"/>
        <v>0.77083333333333337</v>
      </c>
      <c r="N302" s="663"/>
      <c r="P302" s="37" t="str">
        <f t="shared" si="26"/>
        <v>1974F0</v>
      </c>
      <c r="Q302" s="37" t="str">
        <f t="shared" si="27"/>
        <v>F018</v>
      </c>
      <c r="R302" s="37" t="str">
        <f t="shared" si="28"/>
        <v>JuneF0</v>
      </c>
    </row>
    <row r="303" spans="1:18">
      <c r="A303" s="616">
        <f t="shared" si="29"/>
        <v>299</v>
      </c>
      <c r="B303" s="617">
        <v>8</v>
      </c>
      <c r="C303" s="618">
        <v>27187</v>
      </c>
      <c r="D303" s="618" t="s">
        <v>178</v>
      </c>
      <c r="E303" s="619">
        <v>7</v>
      </c>
      <c r="F303" s="603">
        <v>1974</v>
      </c>
      <c r="G303" s="617" t="s">
        <v>140</v>
      </c>
      <c r="H303" s="620" t="s">
        <v>150</v>
      </c>
      <c r="I303" s="621">
        <v>200</v>
      </c>
      <c r="J303" s="621">
        <v>4.7</v>
      </c>
      <c r="K303" s="603">
        <f t="shared" si="30"/>
        <v>18</v>
      </c>
      <c r="L303" s="604">
        <v>0.78472222222222221</v>
      </c>
      <c r="M303" s="605">
        <f t="shared" si="25"/>
        <v>0.78472222222222221</v>
      </c>
      <c r="N303" s="663"/>
      <c r="P303" s="37" t="str">
        <f t="shared" si="26"/>
        <v>1974F1</v>
      </c>
      <c r="Q303" s="37" t="str">
        <f t="shared" si="27"/>
        <v>F118</v>
      </c>
      <c r="R303" s="37" t="str">
        <f t="shared" si="28"/>
        <v>JuneF1</v>
      </c>
    </row>
    <row r="304" spans="1:18">
      <c r="A304" s="616">
        <f t="shared" si="29"/>
        <v>300</v>
      </c>
      <c r="B304" s="617">
        <v>9</v>
      </c>
      <c r="C304" s="618">
        <v>27191</v>
      </c>
      <c r="D304" s="618" t="s">
        <v>178</v>
      </c>
      <c r="E304" s="619">
        <v>11</v>
      </c>
      <c r="F304" s="603">
        <v>1974</v>
      </c>
      <c r="G304" s="617" t="s">
        <v>147</v>
      </c>
      <c r="H304" s="620" t="s">
        <v>149</v>
      </c>
      <c r="I304" s="621">
        <v>17</v>
      </c>
      <c r="J304" s="621">
        <v>0.5</v>
      </c>
      <c r="K304" s="603">
        <f t="shared" si="30"/>
        <v>14</v>
      </c>
      <c r="L304" s="604">
        <v>0.6069444444444444</v>
      </c>
      <c r="M304" s="605">
        <f t="shared" si="25"/>
        <v>0.6069444444444444</v>
      </c>
      <c r="N304" s="663"/>
      <c r="P304" s="37" t="str">
        <f t="shared" si="26"/>
        <v>1974F0</v>
      </c>
      <c r="Q304" s="37" t="str">
        <f t="shared" si="27"/>
        <v>F014</v>
      </c>
      <c r="R304" s="37" t="str">
        <f t="shared" si="28"/>
        <v>JuneF0</v>
      </c>
    </row>
    <row r="305" spans="1:18">
      <c r="A305" s="616">
        <f t="shared" si="29"/>
        <v>301</v>
      </c>
      <c r="B305" s="617">
        <v>10</v>
      </c>
      <c r="C305" s="618">
        <v>27193</v>
      </c>
      <c r="D305" s="618" t="s">
        <v>178</v>
      </c>
      <c r="E305" s="619">
        <v>13</v>
      </c>
      <c r="F305" s="603">
        <v>1974</v>
      </c>
      <c r="G305" s="617" t="s">
        <v>139</v>
      </c>
      <c r="H305" s="620" t="s">
        <v>149</v>
      </c>
      <c r="I305" s="621">
        <v>10</v>
      </c>
      <c r="J305" s="621">
        <v>0.5</v>
      </c>
      <c r="K305" s="603">
        <f t="shared" si="30"/>
        <v>16</v>
      </c>
      <c r="L305" s="604">
        <v>0.66666666666666663</v>
      </c>
      <c r="M305" s="605">
        <f t="shared" si="25"/>
        <v>0.66666666666666663</v>
      </c>
      <c r="N305" s="663"/>
      <c r="P305" s="37" t="str">
        <f t="shared" si="26"/>
        <v>1974F0</v>
      </c>
      <c r="Q305" s="37" t="str">
        <f t="shared" si="27"/>
        <v>F016</v>
      </c>
      <c r="R305" s="37" t="str">
        <f t="shared" si="28"/>
        <v>JuneF0</v>
      </c>
    </row>
    <row r="306" spans="1:18">
      <c r="A306" s="616">
        <f t="shared" si="29"/>
        <v>302</v>
      </c>
      <c r="B306" s="617">
        <v>11</v>
      </c>
      <c r="C306" s="618">
        <v>27201</v>
      </c>
      <c r="D306" s="618" t="s">
        <v>178</v>
      </c>
      <c r="E306" s="619">
        <v>21</v>
      </c>
      <c r="F306" s="603">
        <v>1974</v>
      </c>
      <c r="G306" s="617" t="s">
        <v>130</v>
      </c>
      <c r="H306" s="620" t="s">
        <v>149</v>
      </c>
      <c r="I306" s="621">
        <v>20</v>
      </c>
      <c r="J306" s="621">
        <v>0.5</v>
      </c>
      <c r="K306" s="603">
        <f t="shared" si="30"/>
        <v>17</v>
      </c>
      <c r="L306" s="604">
        <v>0.74097222222222225</v>
      </c>
      <c r="M306" s="605">
        <f t="shared" si="25"/>
        <v>0.74097222222222225</v>
      </c>
      <c r="N306" s="663"/>
      <c r="P306" s="37" t="str">
        <f t="shared" si="26"/>
        <v>1974F0</v>
      </c>
      <c r="Q306" s="37" t="str">
        <f t="shared" si="27"/>
        <v>F017</v>
      </c>
      <c r="R306" s="37" t="str">
        <f t="shared" si="28"/>
        <v>JuneF0</v>
      </c>
    </row>
    <row r="307" spans="1:18">
      <c r="A307" s="616">
        <f t="shared" si="29"/>
        <v>303</v>
      </c>
      <c r="B307" s="617">
        <v>12</v>
      </c>
      <c r="C307" s="618">
        <v>27248</v>
      </c>
      <c r="D307" s="618" t="s">
        <v>180</v>
      </c>
      <c r="E307" s="619">
        <v>7</v>
      </c>
      <c r="F307" s="603">
        <v>1974</v>
      </c>
      <c r="G307" s="617" t="s">
        <v>146</v>
      </c>
      <c r="H307" s="620" t="s">
        <v>149</v>
      </c>
      <c r="I307" s="621">
        <v>20</v>
      </c>
      <c r="J307" s="621">
        <v>0.5</v>
      </c>
      <c r="K307" s="603">
        <f t="shared" si="30"/>
        <v>18</v>
      </c>
      <c r="L307" s="604">
        <v>0.78125</v>
      </c>
      <c r="M307" s="605">
        <f t="shared" si="25"/>
        <v>0.78125</v>
      </c>
      <c r="N307" s="663"/>
      <c r="P307" s="37" t="str">
        <f t="shared" si="26"/>
        <v>1974F0</v>
      </c>
      <c r="Q307" s="37" t="str">
        <f t="shared" si="27"/>
        <v>F018</v>
      </c>
      <c r="R307" s="37" t="str">
        <f t="shared" si="28"/>
        <v>AugustF0</v>
      </c>
    </row>
    <row r="308" spans="1:18">
      <c r="A308" s="616">
        <f t="shared" si="29"/>
        <v>304</v>
      </c>
      <c r="B308" s="617">
        <v>13</v>
      </c>
      <c r="C308" s="618">
        <v>27248</v>
      </c>
      <c r="D308" s="618" t="s">
        <v>180</v>
      </c>
      <c r="E308" s="619">
        <v>7</v>
      </c>
      <c r="F308" s="603">
        <v>1974</v>
      </c>
      <c r="G308" s="617" t="s">
        <v>141</v>
      </c>
      <c r="H308" s="620" t="s">
        <v>149</v>
      </c>
      <c r="I308" s="621">
        <v>17</v>
      </c>
      <c r="J308" s="621">
        <v>0.3</v>
      </c>
      <c r="K308" s="603">
        <f t="shared" si="30"/>
        <v>21</v>
      </c>
      <c r="L308" s="604">
        <v>0.88888888888888884</v>
      </c>
      <c r="M308" s="605">
        <f t="shared" si="25"/>
        <v>0.88888888888888884</v>
      </c>
      <c r="N308" s="663"/>
      <c r="P308" s="37" t="str">
        <f t="shared" si="26"/>
        <v>1974F0</v>
      </c>
      <c r="Q308" s="37" t="str">
        <f t="shared" si="27"/>
        <v>F021</v>
      </c>
      <c r="R308" s="37" t="str">
        <f t="shared" si="28"/>
        <v>AugustF0</v>
      </c>
    </row>
    <row r="309" spans="1:18">
      <c r="A309" s="616">
        <f t="shared" si="29"/>
        <v>305</v>
      </c>
      <c r="B309" s="617">
        <v>1</v>
      </c>
      <c r="C309" s="618">
        <v>27479</v>
      </c>
      <c r="D309" s="618" t="s">
        <v>175</v>
      </c>
      <c r="E309" s="619">
        <v>26</v>
      </c>
      <c r="F309" s="603">
        <v>1975</v>
      </c>
      <c r="G309" s="617" t="s">
        <v>142</v>
      </c>
      <c r="H309" s="620" t="s">
        <v>152</v>
      </c>
      <c r="I309" s="621">
        <v>220</v>
      </c>
      <c r="J309" s="621">
        <v>1</v>
      </c>
      <c r="K309" s="603">
        <f t="shared" si="30"/>
        <v>23</v>
      </c>
      <c r="L309" s="604">
        <v>0.99305555555555547</v>
      </c>
      <c r="M309" s="605">
        <f t="shared" si="25"/>
        <v>0.99305555555555547</v>
      </c>
      <c r="N309" s="663"/>
      <c r="P309" s="37" t="str">
        <f t="shared" si="26"/>
        <v>1975F3</v>
      </c>
      <c r="Q309" s="37" t="str">
        <f t="shared" si="27"/>
        <v>F323</v>
      </c>
      <c r="R309" s="37" t="str">
        <f t="shared" si="28"/>
        <v>MarchF3</v>
      </c>
    </row>
    <row r="310" spans="1:18">
      <c r="A310" s="616">
        <f t="shared" si="29"/>
        <v>306</v>
      </c>
      <c r="B310" s="617">
        <v>2</v>
      </c>
      <c r="C310" s="618">
        <v>27480</v>
      </c>
      <c r="D310" s="618" t="s">
        <v>175</v>
      </c>
      <c r="E310" s="619">
        <v>27</v>
      </c>
      <c r="F310" s="603">
        <v>1975</v>
      </c>
      <c r="G310" s="617" t="s">
        <v>142</v>
      </c>
      <c r="H310" s="620" t="s">
        <v>150</v>
      </c>
      <c r="I310" s="621">
        <v>17</v>
      </c>
      <c r="J310" s="621">
        <v>0.3</v>
      </c>
      <c r="K310" s="603">
        <f t="shared" si="30"/>
        <v>0</v>
      </c>
      <c r="L310" s="604">
        <v>6.9444444444444447E-4</v>
      </c>
      <c r="M310" s="605">
        <f t="shared" si="25"/>
        <v>6.9444444444444447E-4</v>
      </c>
      <c r="N310" s="663"/>
      <c r="P310" s="37" t="str">
        <f t="shared" si="26"/>
        <v>1975F1</v>
      </c>
      <c r="Q310" s="37" t="str">
        <f t="shared" si="27"/>
        <v>F10</v>
      </c>
      <c r="R310" s="37" t="str">
        <f t="shared" si="28"/>
        <v>MarchF1</v>
      </c>
    </row>
    <row r="311" spans="1:18">
      <c r="A311" s="616">
        <f t="shared" si="29"/>
        <v>307</v>
      </c>
      <c r="B311" s="617">
        <v>3</v>
      </c>
      <c r="C311" s="618">
        <v>27480</v>
      </c>
      <c r="D311" s="618" t="s">
        <v>175</v>
      </c>
      <c r="E311" s="619">
        <v>27</v>
      </c>
      <c r="F311" s="603">
        <v>1975</v>
      </c>
      <c r="G311" s="617" t="s">
        <v>133</v>
      </c>
      <c r="H311" s="620" t="s">
        <v>150</v>
      </c>
      <c r="I311" s="621">
        <v>20</v>
      </c>
      <c r="J311" s="621">
        <v>0.1</v>
      </c>
      <c r="K311" s="603">
        <f t="shared" si="30"/>
        <v>1</v>
      </c>
      <c r="L311" s="604">
        <v>4.1666666666666664E-2</v>
      </c>
      <c r="M311" s="605">
        <f t="shared" si="25"/>
        <v>4.1666666666666664E-2</v>
      </c>
      <c r="N311" s="663"/>
      <c r="P311" s="37" t="str">
        <f t="shared" si="26"/>
        <v>1975F1</v>
      </c>
      <c r="Q311" s="37" t="str">
        <f t="shared" si="27"/>
        <v>F11</v>
      </c>
      <c r="R311" s="37" t="str">
        <f t="shared" si="28"/>
        <v>MarchF1</v>
      </c>
    </row>
    <row r="312" spans="1:18">
      <c r="A312" s="616">
        <f t="shared" si="29"/>
        <v>308</v>
      </c>
      <c r="B312" s="617">
        <v>4</v>
      </c>
      <c r="C312" s="618">
        <v>27524</v>
      </c>
      <c r="D312" s="618" t="s">
        <v>177</v>
      </c>
      <c r="E312" s="619">
        <v>10</v>
      </c>
      <c r="F312" s="603">
        <v>1975</v>
      </c>
      <c r="G312" s="617" t="s">
        <v>139</v>
      </c>
      <c r="H312" s="620" t="s">
        <v>149</v>
      </c>
      <c r="I312" s="621">
        <v>30</v>
      </c>
      <c r="J312" s="621">
        <v>1</v>
      </c>
      <c r="K312" s="603">
        <f t="shared" si="30"/>
        <v>19</v>
      </c>
      <c r="L312" s="604">
        <v>0.80555555555555547</v>
      </c>
      <c r="M312" s="605">
        <f t="shared" si="25"/>
        <v>0.80555555555555547</v>
      </c>
      <c r="N312" s="663"/>
      <c r="P312" s="37" t="str">
        <f t="shared" si="26"/>
        <v>1975F0</v>
      </c>
      <c r="Q312" s="37" t="str">
        <f t="shared" si="27"/>
        <v>F019</v>
      </c>
      <c r="R312" s="37" t="str">
        <f t="shared" si="28"/>
        <v>MayF0</v>
      </c>
    </row>
    <row r="313" spans="1:18">
      <c r="A313" s="616">
        <f t="shared" si="29"/>
        <v>309</v>
      </c>
      <c r="B313" s="617">
        <v>5</v>
      </c>
      <c r="C313" s="618">
        <v>27526</v>
      </c>
      <c r="D313" s="618" t="s">
        <v>177</v>
      </c>
      <c r="E313" s="619">
        <v>12</v>
      </c>
      <c r="F313" s="603">
        <v>1975</v>
      </c>
      <c r="G313" s="617" t="s">
        <v>134</v>
      </c>
      <c r="H313" s="620" t="s">
        <v>149</v>
      </c>
      <c r="I313" s="621">
        <v>60</v>
      </c>
      <c r="J313" s="621">
        <v>3.6</v>
      </c>
      <c r="K313" s="603">
        <f t="shared" si="30"/>
        <v>17</v>
      </c>
      <c r="L313" s="604">
        <v>0.72222222222222221</v>
      </c>
      <c r="M313" s="605">
        <f t="shared" si="25"/>
        <v>0.72222222222222221</v>
      </c>
      <c r="N313" s="663"/>
      <c r="P313" s="37" t="str">
        <f t="shared" si="26"/>
        <v>1975F0</v>
      </c>
      <c r="Q313" s="37" t="str">
        <f t="shared" si="27"/>
        <v>F017</v>
      </c>
      <c r="R313" s="37" t="str">
        <f t="shared" si="28"/>
        <v>MayF0</v>
      </c>
    </row>
    <row r="314" spans="1:18">
      <c r="A314" s="616">
        <f t="shared" si="29"/>
        <v>310</v>
      </c>
      <c r="B314" s="617">
        <v>6</v>
      </c>
      <c r="C314" s="618">
        <v>27526</v>
      </c>
      <c r="D314" s="618" t="s">
        <v>177</v>
      </c>
      <c r="E314" s="619">
        <v>12</v>
      </c>
      <c r="F314" s="603">
        <v>1975</v>
      </c>
      <c r="G314" s="617" t="s">
        <v>141</v>
      </c>
      <c r="H314" s="620" t="s">
        <v>149</v>
      </c>
      <c r="I314" s="621">
        <v>30</v>
      </c>
      <c r="J314" s="621">
        <v>1</v>
      </c>
      <c r="K314" s="603">
        <f t="shared" si="30"/>
        <v>23</v>
      </c>
      <c r="L314" s="604">
        <v>0.97916666666666663</v>
      </c>
      <c r="M314" s="605">
        <f t="shared" si="25"/>
        <v>0.97916666666666663</v>
      </c>
      <c r="N314" s="663"/>
      <c r="P314" s="37" t="str">
        <f t="shared" si="26"/>
        <v>1975F0</v>
      </c>
      <c r="Q314" s="37" t="str">
        <f t="shared" si="27"/>
        <v>F023</v>
      </c>
      <c r="R314" s="37" t="str">
        <f t="shared" si="28"/>
        <v>MayF0</v>
      </c>
    </row>
    <row r="315" spans="1:18">
      <c r="A315" s="616">
        <f t="shared" si="29"/>
        <v>311</v>
      </c>
      <c r="B315" s="617">
        <v>7</v>
      </c>
      <c r="C315" s="618">
        <v>27526</v>
      </c>
      <c r="D315" s="618" t="s">
        <v>177</v>
      </c>
      <c r="E315" s="619">
        <v>12</v>
      </c>
      <c r="F315" s="603">
        <v>1975</v>
      </c>
      <c r="G315" s="617" t="s">
        <v>142</v>
      </c>
      <c r="H315" s="620" t="s">
        <v>149</v>
      </c>
      <c r="I315" s="621">
        <v>30</v>
      </c>
      <c r="J315" s="621">
        <v>0.5</v>
      </c>
      <c r="K315" s="603">
        <f t="shared" si="30"/>
        <v>23</v>
      </c>
      <c r="L315" s="604">
        <v>0.99791666666666667</v>
      </c>
      <c r="M315" s="605">
        <f t="shared" si="25"/>
        <v>0.99791666666666667</v>
      </c>
      <c r="N315" s="663"/>
      <c r="P315" s="37" t="str">
        <f t="shared" si="26"/>
        <v>1975F0</v>
      </c>
      <c r="Q315" s="37" t="str">
        <f t="shared" si="27"/>
        <v>F023</v>
      </c>
      <c r="R315" s="37" t="str">
        <f t="shared" si="28"/>
        <v>MayF0</v>
      </c>
    </row>
    <row r="316" spans="1:18">
      <c r="A316" s="616">
        <f t="shared" si="29"/>
        <v>312</v>
      </c>
      <c r="B316" s="617">
        <v>8</v>
      </c>
      <c r="C316" s="618">
        <v>27536</v>
      </c>
      <c r="D316" s="618" t="s">
        <v>177</v>
      </c>
      <c r="E316" s="619">
        <v>22</v>
      </c>
      <c r="F316" s="603">
        <v>1975</v>
      </c>
      <c r="G316" s="617" t="s">
        <v>136</v>
      </c>
      <c r="H316" s="620" t="s">
        <v>149</v>
      </c>
      <c r="I316" s="621">
        <v>40</v>
      </c>
      <c r="J316" s="621">
        <v>2</v>
      </c>
      <c r="K316" s="603">
        <f t="shared" si="30"/>
        <v>19</v>
      </c>
      <c r="L316" s="604">
        <v>0.82291666666666663</v>
      </c>
      <c r="M316" s="605">
        <f t="shared" si="25"/>
        <v>0.82291666666666663</v>
      </c>
      <c r="N316" s="663"/>
      <c r="P316" s="37" t="str">
        <f t="shared" si="26"/>
        <v>1975F0</v>
      </c>
      <c r="Q316" s="37" t="str">
        <f t="shared" si="27"/>
        <v>F019</v>
      </c>
      <c r="R316" s="37" t="str">
        <f t="shared" si="28"/>
        <v>MayF0</v>
      </c>
    </row>
    <row r="317" spans="1:18">
      <c r="A317" s="616">
        <f t="shared" si="29"/>
        <v>313</v>
      </c>
      <c r="B317" s="617">
        <v>9</v>
      </c>
      <c r="C317" s="618">
        <v>27542</v>
      </c>
      <c r="D317" s="618" t="s">
        <v>177</v>
      </c>
      <c r="E317" s="619">
        <v>28</v>
      </c>
      <c r="F317" s="603">
        <v>1975</v>
      </c>
      <c r="G317" s="617" t="s">
        <v>146</v>
      </c>
      <c r="H317" s="620" t="s">
        <v>149</v>
      </c>
      <c r="I317" s="621">
        <v>50</v>
      </c>
      <c r="J317" s="621">
        <v>3</v>
      </c>
      <c r="K317" s="603">
        <f t="shared" si="30"/>
        <v>17</v>
      </c>
      <c r="L317" s="604">
        <v>0.73472222222222217</v>
      </c>
      <c r="M317" s="605">
        <f t="shared" si="25"/>
        <v>0.73472222222222217</v>
      </c>
      <c r="N317" s="663"/>
      <c r="P317" s="37" t="str">
        <f t="shared" si="26"/>
        <v>1975F0</v>
      </c>
      <c r="Q317" s="37" t="str">
        <f t="shared" si="27"/>
        <v>F017</v>
      </c>
      <c r="R317" s="37" t="str">
        <f t="shared" si="28"/>
        <v>MayF0</v>
      </c>
    </row>
    <row r="318" spans="1:18">
      <c r="A318" s="616">
        <f t="shared" si="29"/>
        <v>314</v>
      </c>
      <c r="B318" s="617">
        <v>10</v>
      </c>
      <c r="C318" s="618">
        <v>27542</v>
      </c>
      <c r="D318" s="618" t="s">
        <v>177</v>
      </c>
      <c r="E318" s="619">
        <v>28</v>
      </c>
      <c r="F318" s="603">
        <v>1975</v>
      </c>
      <c r="G318" s="617" t="s">
        <v>131</v>
      </c>
      <c r="H318" s="620" t="s">
        <v>149</v>
      </c>
      <c r="I318" s="621">
        <v>30</v>
      </c>
      <c r="J318" s="621">
        <v>0.5</v>
      </c>
      <c r="K318" s="603">
        <f t="shared" si="30"/>
        <v>18</v>
      </c>
      <c r="L318" s="604">
        <v>0.79027777777777775</v>
      </c>
      <c r="M318" s="605">
        <f t="shared" si="25"/>
        <v>0.79027777777777775</v>
      </c>
      <c r="N318" s="663"/>
      <c r="P318" s="37" t="str">
        <f t="shared" si="26"/>
        <v>1975F0</v>
      </c>
      <c r="Q318" s="37" t="str">
        <f t="shared" si="27"/>
        <v>F018</v>
      </c>
      <c r="R318" s="37" t="str">
        <f t="shared" si="28"/>
        <v>MayF0</v>
      </c>
    </row>
    <row r="319" spans="1:18">
      <c r="A319" s="616">
        <f t="shared" si="29"/>
        <v>315</v>
      </c>
      <c r="B319" s="617">
        <v>11</v>
      </c>
      <c r="C319" s="618">
        <v>27542</v>
      </c>
      <c r="D319" s="618" t="s">
        <v>177</v>
      </c>
      <c r="E319" s="619">
        <v>28</v>
      </c>
      <c r="F319" s="603">
        <v>1975</v>
      </c>
      <c r="G319" s="617" t="s">
        <v>136</v>
      </c>
      <c r="H319" s="620" t="s">
        <v>149</v>
      </c>
      <c r="I319" s="621">
        <v>40</v>
      </c>
      <c r="J319" s="621">
        <v>1</v>
      </c>
      <c r="K319" s="603">
        <f t="shared" si="30"/>
        <v>19</v>
      </c>
      <c r="L319" s="604">
        <v>0.80902777777777779</v>
      </c>
      <c r="M319" s="605">
        <f t="shared" si="25"/>
        <v>0.80902777777777779</v>
      </c>
      <c r="N319" s="663"/>
      <c r="P319" s="37" t="str">
        <f t="shared" si="26"/>
        <v>1975F0</v>
      </c>
      <c r="Q319" s="37" t="str">
        <f t="shared" si="27"/>
        <v>F019</v>
      </c>
      <c r="R319" s="37" t="str">
        <f t="shared" si="28"/>
        <v>MayF0</v>
      </c>
    </row>
    <row r="320" spans="1:18">
      <c r="A320" s="616">
        <f t="shared" si="29"/>
        <v>316</v>
      </c>
      <c r="B320" s="617">
        <v>12</v>
      </c>
      <c r="C320" s="618">
        <v>27571</v>
      </c>
      <c r="D320" s="618" t="s">
        <v>178</v>
      </c>
      <c r="E320" s="619">
        <v>26</v>
      </c>
      <c r="F320" s="603">
        <v>1975</v>
      </c>
      <c r="G320" s="617" t="s">
        <v>131</v>
      </c>
      <c r="H320" s="620" t="s">
        <v>149</v>
      </c>
      <c r="I320" s="621">
        <v>60</v>
      </c>
      <c r="J320" s="621">
        <v>1.9</v>
      </c>
      <c r="K320" s="603">
        <f t="shared" si="30"/>
        <v>16</v>
      </c>
      <c r="L320" s="604">
        <v>0.69791666666666663</v>
      </c>
      <c r="M320" s="605">
        <f t="shared" ref="M320:M382" si="31">+L320</f>
        <v>0.69791666666666663</v>
      </c>
      <c r="N320" s="663"/>
      <c r="P320" s="37" t="str">
        <f t="shared" si="26"/>
        <v>1975F0</v>
      </c>
      <c r="Q320" s="37" t="str">
        <f t="shared" si="27"/>
        <v>F016</v>
      </c>
      <c r="R320" s="37" t="str">
        <f t="shared" si="28"/>
        <v>JuneF0</v>
      </c>
    </row>
    <row r="321" spans="1:18">
      <c r="A321" s="616">
        <f t="shared" si="29"/>
        <v>317</v>
      </c>
      <c r="B321" s="617">
        <v>13</v>
      </c>
      <c r="C321" s="618">
        <v>27571</v>
      </c>
      <c r="D321" s="618" t="s">
        <v>178</v>
      </c>
      <c r="E321" s="619">
        <v>26</v>
      </c>
      <c r="F321" s="603">
        <v>1975</v>
      </c>
      <c r="G321" s="617" t="s">
        <v>131</v>
      </c>
      <c r="H321" s="620" t="s">
        <v>150</v>
      </c>
      <c r="I321" s="621">
        <v>40</v>
      </c>
      <c r="J321" s="621">
        <v>1</v>
      </c>
      <c r="K321" s="603">
        <f t="shared" si="30"/>
        <v>17</v>
      </c>
      <c r="L321" s="604">
        <v>0.72916666666666663</v>
      </c>
      <c r="M321" s="605">
        <f t="shared" si="31"/>
        <v>0.72916666666666663</v>
      </c>
      <c r="N321" s="663"/>
      <c r="P321" s="37" t="str">
        <f t="shared" si="26"/>
        <v>1975F1</v>
      </c>
      <c r="Q321" s="37" t="str">
        <f t="shared" si="27"/>
        <v>F117</v>
      </c>
      <c r="R321" s="37" t="str">
        <f t="shared" si="28"/>
        <v>JuneF1</v>
      </c>
    </row>
    <row r="322" spans="1:18">
      <c r="A322" s="616">
        <f t="shared" si="29"/>
        <v>318</v>
      </c>
      <c r="B322" s="617">
        <v>14</v>
      </c>
      <c r="C322" s="618">
        <v>27584</v>
      </c>
      <c r="D322" s="618" t="s">
        <v>179</v>
      </c>
      <c r="E322" s="619">
        <v>9</v>
      </c>
      <c r="F322" s="603">
        <v>1975</v>
      </c>
      <c r="G322" s="617" t="s">
        <v>136</v>
      </c>
      <c r="H322" s="620" t="s">
        <v>149</v>
      </c>
      <c r="I322" s="621">
        <v>10</v>
      </c>
      <c r="J322" s="621">
        <v>0.1</v>
      </c>
      <c r="K322" s="603">
        <f t="shared" si="30"/>
        <v>20</v>
      </c>
      <c r="L322" s="604">
        <v>0.85069444444444453</v>
      </c>
      <c r="M322" s="605">
        <f t="shared" si="31"/>
        <v>0.85069444444444453</v>
      </c>
      <c r="N322" s="663"/>
      <c r="P322" s="37" t="str">
        <f t="shared" si="26"/>
        <v>1975F0</v>
      </c>
      <c r="Q322" s="37" t="str">
        <f t="shared" si="27"/>
        <v>F020</v>
      </c>
      <c r="R322" s="37" t="str">
        <f t="shared" si="28"/>
        <v>JulyF0</v>
      </c>
    </row>
    <row r="323" spans="1:18">
      <c r="A323" s="616">
        <f t="shared" si="29"/>
        <v>319</v>
      </c>
      <c r="B323" s="617">
        <v>15</v>
      </c>
      <c r="C323" s="618">
        <v>27585</v>
      </c>
      <c r="D323" s="618" t="s">
        <v>179</v>
      </c>
      <c r="E323" s="619">
        <v>10</v>
      </c>
      <c r="F323" s="603">
        <v>1975</v>
      </c>
      <c r="G323" s="617" t="s">
        <v>127</v>
      </c>
      <c r="H323" s="620" t="s">
        <v>150</v>
      </c>
      <c r="I323" s="621">
        <v>60</v>
      </c>
      <c r="J323" s="621">
        <v>2</v>
      </c>
      <c r="K323" s="603">
        <f t="shared" si="30"/>
        <v>16</v>
      </c>
      <c r="L323" s="604">
        <v>0.67708333333333337</v>
      </c>
      <c r="M323" s="605">
        <f t="shared" si="31"/>
        <v>0.67708333333333337</v>
      </c>
      <c r="N323" s="663"/>
      <c r="P323" s="37" t="str">
        <f t="shared" si="26"/>
        <v>1975F1</v>
      </c>
      <c r="Q323" s="37" t="str">
        <f t="shared" si="27"/>
        <v>F116</v>
      </c>
      <c r="R323" s="37" t="str">
        <f t="shared" si="28"/>
        <v>JulyF1</v>
      </c>
    </row>
    <row r="324" spans="1:18">
      <c r="A324" s="616">
        <f t="shared" si="29"/>
        <v>320</v>
      </c>
      <c r="B324" s="617">
        <v>16</v>
      </c>
      <c r="C324" s="618">
        <v>27717</v>
      </c>
      <c r="D324" s="618" t="s">
        <v>183</v>
      </c>
      <c r="E324" s="619">
        <v>19</v>
      </c>
      <c r="F324" s="603">
        <v>1975</v>
      </c>
      <c r="G324" s="617" t="s">
        <v>127</v>
      </c>
      <c r="H324" s="620" t="s">
        <v>151</v>
      </c>
      <c r="I324" s="621">
        <v>270</v>
      </c>
      <c r="J324" s="621">
        <v>0.3</v>
      </c>
      <c r="K324" s="603">
        <f t="shared" si="30"/>
        <v>3</v>
      </c>
      <c r="L324" s="604">
        <v>0.125</v>
      </c>
      <c r="M324" s="605">
        <f t="shared" si="31"/>
        <v>0.125</v>
      </c>
      <c r="N324" s="663"/>
      <c r="P324" s="37" t="str">
        <f t="shared" si="26"/>
        <v>1975F2</v>
      </c>
      <c r="Q324" s="37" t="str">
        <f t="shared" si="27"/>
        <v>F23</v>
      </c>
      <c r="R324" s="37" t="str">
        <f t="shared" si="28"/>
        <v>NovemberF2</v>
      </c>
    </row>
    <row r="325" spans="1:18">
      <c r="A325" s="616">
        <f t="shared" si="29"/>
        <v>321</v>
      </c>
      <c r="B325" s="617">
        <v>1</v>
      </c>
      <c r="C325" s="618">
        <v>27857</v>
      </c>
      <c r="D325" s="618" t="s">
        <v>176</v>
      </c>
      <c r="E325" s="619">
        <v>7</v>
      </c>
      <c r="F325" s="603">
        <v>1976</v>
      </c>
      <c r="G325" s="617" t="s">
        <v>147</v>
      </c>
      <c r="H325" s="620" t="s">
        <v>149</v>
      </c>
      <c r="I325" s="621">
        <v>10</v>
      </c>
      <c r="J325" s="621">
        <v>0.1</v>
      </c>
      <c r="K325" s="603">
        <f t="shared" si="30"/>
        <v>16</v>
      </c>
      <c r="L325" s="604">
        <v>0.6875</v>
      </c>
      <c r="M325" s="605">
        <f t="shared" si="31"/>
        <v>0.6875</v>
      </c>
      <c r="N325" s="663"/>
      <c r="P325" s="37" t="str">
        <f t="shared" si="26"/>
        <v>1976F0</v>
      </c>
      <c r="Q325" s="37" t="str">
        <f t="shared" si="27"/>
        <v>F016</v>
      </c>
      <c r="R325" s="37" t="str">
        <f t="shared" si="28"/>
        <v>AprilF0</v>
      </c>
    </row>
    <row r="326" spans="1:18">
      <c r="A326" s="616">
        <f t="shared" si="29"/>
        <v>322</v>
      </c>
      <c r="B326" s="617">
        <v>2</v>
      </c>
      <c r="C326" s="618">
        <v>27857</v>
      </c>
      <c r="D326" s="618" t="s">
        <v>176</v>
      </c>
      <c r="E326" s="619">
        <v>7</v>
      </c>
      <c r="F326" s="603">
        <v>1976</v>
      </c>
      <c r="G326" s="617" t="s">
        <v>147</v>
      </c>
      <c r="H326" s="620" t="s">
        <v>149</v>
      </c>
      <c r="I326" s="621">
        <v>10</v>
      </c>
      <c r="J326" s="621">
        <v>0.1</v>
      </c>
      <c r="K326" s="603">
        <f t="shared" si="30"/>
        <v>16</v>
      </c>
      <c r="L326" s="604">
        <v>0.69097222222222221</v>
      </c>
      <c r="M326" s="605">
        <f t="shared" si="31"/>
        <v>0.69097222222222221</v>
      </c>
      <c r="N326" s="663"/>
      <c r="P326" s="37" t="str">
        <f t="shared" ref="P326:P389" si="32">CONCATENATE(F326,H326)</f>
        <v>1976F0</v>
      </c>
      <c r="Q326" s="37" t="str">
        <f t="shared" ref="Q326:Q389" si="33">CONCATENATE(H326,K326)</f>
        <v>F016</v>
      </c>
      <c r="R326" s="37" t="str">
        <f t="shared" ref="R326:R389" si="34">CONCATENATE(D326,H326)</f>
        <v>AprilF0</v>
      </c>
    </row>
    <row r="327" spans="1:18">
      <c r="A327" s="616">
        <f t="shared" ref="A327:A390" si="35">+A326+1</f>
        <v>323</v>
      </c>
      <c r="B327" s="617">
        <v>3</v>
      </c>
      <c r="C327" s="618">
        <v>27857</v>
      </c>
      <c r="D327" s="618" t="s">
        <v>176</v>
      </c>
      <c r="E327" s="619">
        <v>7</v>
      </c>
      <c r="F327" s="603">
        <v>1976</v>
      </c>
      <c r="G327" s="617" t="s">
        <v>148</v>
      </c>
      <c r="H327" s="620" t="s">
        <v>149</v>
      </c>
      <c r="I327" s="621">
        <v>10</v>
      </c>
      <c r="J327" s="621">
        <v>0.1</v>
      </c>
      <c r="K327" s="603">
        <f t="shared" si="30"/>
        <v>17</v>
      </c>
      <c r="L327" s="604">
        <v>0.74305555555555547</v>
      </c>
      <c r="M327" s="605">
        <f t="shared" si="31"/>
        <v>0.74305555555555547</v>
      </c>
      <c r="N327" s="663"/>
      <c r="P327" s="37" t="str">
        <f t="shared" si="32"/>
        <v>1976F0</v>
      </c>
      <c r="Q327" s="37" t="str">
        <f t="shared" si="33"/>
        <v>F017</v>
      </c>
      <c r="R327" s="37" t="str">
        <f t="shared" si="34"/>
        <v>AprilF0</v>
      </c>
    </row>
    <row r="328" spans="1:18">
      <c r="A328" s="616">
        <f t="shared" si="35"/>
        <v>324</v>
      </c>
      <c r="B328" s="617">
        <v>4</v>
      </c>
      <c r="C328" s="618">
        <v>27865</v>
      </c>
      <c r="D328" s="618" t="s">
        <v>176</v>
      </c>
      <c r="E328" s="619">
        <v>15</v>
      </c>
      <c r="F328" s="603">
        <v>1976</v>
      </c>
      <c r="G328" s="617" t="s">
        <v>144</v>
      </c>
      <c r="H328" s="620" t="s">
        <v>150</v>
      </c>
      <c r="I328" s="621">
        <v>30</v>
      </c>
      <c r="J328" s="621">
        <v>0.5</v>
      </c>
      <c r="K328" s="603">
        <f t="shared" si="30"/>
        <v>12</v>
      </c>
      <c r="L328" s="604">
        <v>0.51736111111111105</v>
      </c>
      <c r="M328" s="605">
        <f t="shared" si="31"/>
        <v>0.51736111111111105</v>
      </c>
      <c r="N328" s="663"/>
      <c r="P328" s="37" t="str">
        <f t="shared" si="32"/>
        <v>1976F1</v>
      </c>
      <c r="Q328" s="37" t="str">
        <f t="shared" si="33"/>
        <v>F112</v>
      </c>
      <c r="R328" s="37" t="str">
        <f t="shared" si="34"/>
        <v>AprilF1</v>
      </c>
    </row>
    <row r="329" spans="1:18">
      <c r="A329" s="616">
        <f t="shared" si="35"/>
        <v>325</v>
      </c>
      <c r="B329" s="617">
        <v>5</v>
      </c>
      <c r="C329" s="618">
        <v>27865</v>
      </c>
      <c r="D329" s="618" t="s">
        <v>176</v>
      </c>
      <c r="E329" s="619">
        <v>15</v>
      </c>
      <c r="F329" s="603">
        <v>1976</v>
      </c>
      <c r="G329" s="617" t="s">
        <v>131</v>
      </c>
      <c r="H329" s="620" t="s">
        <v>149</v>
      </c>
      <c r="I329" s="621">
        <v>10</v>
      </c>
      <c r="J329" s="621">
        <v>0.1</v>
      </c>
      <c r="K329" s="603">
        <f t="shared" si="30"/>
        <v>14</v>
      </c>
      <c r="L329" s="604">
        <v>0.60416666666666663</v>
      </c>
      <c r="M329" s="605">
        <f t="shared" si="31"/>
        <v>0.60416666666666663</v>
      </c>
      <c r="N329" s="663"/>
      <c r="P329" s="37" t="str">
        <f t="shared" si="32"/>
        <v>1976F0</v>
      </c>
      <c r="Q329" s="37" t="str">
        <f t="shared" si="33"/>
        <v>F014</v>
      </c>
      <c r="R329" s="37" t="str">
        <f t="shared" si="34"/>
        <v>AprilF0</v>
      </c>
    </row>
    <row r="330" spans="1:18">
      <c r="A330" s="616">
        <f t="shared" si="35"/>
        <v>326</v>
      </c>
      <c r="B330" s="617">
        <v>6</v>
      </c>
      <c r="C330" s="618">
        <v>27865</v>
      </c>
      <c r="D330" s="618" t="s">
        <v>176</v>
      </c>
      <c r="E330" s="619">
        <v>15</v>
      </c>
      <c r="F330" s="603">
        <v>1976</v>
      </c>
      <c r="G330" s="617" t="s">
        <v>131</v>
      </c>
      <c r="H330" s="620" t="s">
        <v>149</v>
      </c>
      <c r="I330" s="621">
        <v>10</v>
      </c>
      <c r="J330" s="621">
        <v>0.1</v>
      </c>
      <c r="K330" s="603">
        <f t="shared" si="30"/>
        <v>14</v>
      </c>
      <c r="L330" s="604">
        <v>0.60416666666666663</v>
      </c>
      <c r="M330" s="605">
        <f t="shared" si="31"/>
        <v>0.60416666666666663</v>
      </c>
      <c r="N330" s="663"/>
      <c r="P330" s="37" t="str">
        <f t="shared" si="32"/>
        <v>1976F0</v>
      </c>
      <c r="Q330" s="37" t="str">
        <f t="shared" si="33"/>
        <v>F014</v>
      </c>
      <c r="R330" s="37" t="str">
        <f t="shared" si="34"/>
        <v>AprilF0</v>
      </c>
    </row>
    <row r="331" spans="1:18">
      <c r="A331" s="616">
        <f t="shared" si="35"/>
        <v>327</v>
      </c>
      <c r="B331" s="617">
        <v>7</v>
      </c>
      <c r="C331" s="618">
        <v>27865</v>
      </c>
      <c r="D331" s="618" t="s">
        <v>176</v>
      </c>
      <c r="E331" s="619">
        <v>15</v>
      </c>
      <c r="F331" s="603">
        <v>1976</v>
      </c>
      <c r="G331" s="617" t="s">
        <v>131</v>
      </c>
      <c r="H331" s="620" t="s">
        <v>149</v>
      </c>
      <c r="I331" s="621">
        <v>10</v>
      </c>
      <c r="J331" s="621">
        <v>0.1</v>
      </c>
      <c r="K331" s="603">
        <f t="shared" si="30"/>
        <v>14</v>
      </c>
      <c r="L331" s="604">
        <v>0.61597222222222225</v>
      </c>
      <c r="M331" s="605">
        <f t="shared" si="31"/>
        <v>0.61597222222222225</v>
      </c>
      <c r="N331" s="663"/>
      <c r="P331" s="37" t="str">
        <f t="shared" si="32"/>
        <v>1976F0</v>
      </c>
      <c r="Q331" s="37" t="str">
        <f t="shared" si="33"/>
        <v>F014</v>
      </c>
      <c r="R331" s="37" t="str">
        <f t="shared" si="34"/>
        <v>AprilF0</v>
      </c>
    </row>
    <row r="332" spans="1:18">
      <c r="A332" s="616">
        <f t="shared" si="35"/>
        <v>328</v>
      </c>
      <c r="B332" s="617">
        <v>8</v>
      </c>
      <c r="C332" s="618">
        <v>27869</v>
      </c>
      <c r="D332" s="618" t="s">
        <v>176</v>
      </c>
      <c r="E332" s="619">
        <v>19</v>
      </c>
      <c r="F332" s="603">
        <v>1976</v>
      </c>
      <c r="G332" s="617" t="s">
        <v>135</v>
      </c>
      <c r="H332" s="620" t="s">
        <v>149</v>
      </c>
      <c r="I332" s="621">
        <v>10</v>
      </c>
      <c r="J332" s="621">
        <v>0.1</v>
      </c>
      <c r="K332" s="603">
        <f t="shared" si="30"/>
        <v>14</v>
      </c>
      <c r="L332" s="604">
        <v>0.62152777777777779</v>
      </c>
      <c r="M332" s="605">
        <f t="shared" si="31"/>
        <v>0.62152777777777779</v>
      </c>
      <c r="N332" s="663"/>
      <c r="P332" s="37" t="str">
        <f t="shared" si="32"/>
        <v>1976F0</v>
      </c>
      <c r="Q332" s="37" t="str">
        <f t="shared" si="33"/>
        <v>F014</v>
      </c>
      <c r="R332" s="37" t="str">
        <f t="shared" si="34"/>
        <v>AprilF0</v>
      </c>
    </row>
    <row r="333" spans="1:18">
      <c r="A333" s="616">
        <f t="shared" si="35"/>
        <v>329</v>
      </c>
      <c r="B333" s="617">
        <v>9</v>
      </c>
      <c r="C333" s="618">
        <v>27877</v>
      </c>
      <c r="D333" s="618" t="s">
        <v>176</v>
      </c>
      <c r="E333" s="619">
        <v>27</v>
      </c>
      <c r="F333" s="603">
        <v>1976</v>
      </c>
      <c r="G333" s="617" t="s">
        <v>135</v>
      </c>
      <c r="H333" s="620" t="s">
        <v>149</v>
      </c>
      <c r="I333" s="621">
        <v>10</v>
      </c>
      <c r="J333" s="621">
        <v>0.1</v>
      </c>
      <c r="K333" s="603">
        <f t="shared" si="30"/>
        <v>19</v>
      </c>
      <c r="L333" s="604">
        <v>0.79166666666666663</v>
      </c>
      <c r="M333" s="605">
        <f t="shared" si="31"/>
        <v>0.79166666666666663</v>
      </c>
      <c r="N333" s="663"/>
      <c r="P333" s="37" t="str">
        <f t="shared" si="32"/>
        <v>1976F0</v>
      </c>
      <c r="Q333" s="37" t="str">
        <f t="shared" si="33"/>
        <v>F019</v>
      </c>
      <c r="R333" s="37" t="str">
        <f t="shared" si="34"/>
        <v>AprilF0</v>
      </c>
    </row>
    <row r="334" spans="1:18">
      <c r="A334" s="616">
        <f t="shared" si="35"/>
        <v>330</v>
      </c>
      <c r="B334" s="617">
        <v>10</v>
      </c>
      <c r="C334" s="618">
        <v>27932</v>
      </c>
      <c r="D334" s="618" t="s">
        <v>178</v>
      </c>
      <c r="E334" s="619">
        <v>21</v>
      </c>
      <c r="F334" s="603">
        <v>1976</v>
      </c>
      <c r="G334" s="617" t="s">
        <v>145</v>
      </c>
      <c r="H334" s="620" t="s">
        <v>149</v>
      </c>
      <c r="I334" s="621">
        <v>10</v>
      </c>
      <c r="J334" s="621">
        <v>0.3</v>
      </c>
      <c r="K334" s="603">
        <f t="shared" si="30"/>
        <v>18</v>
      </c>
      <c r="L334" s="604">
        <v>0.76249999999999996</v>
      </c>
      <c r="M334" s="605">
        <f t="shared" si="31"/>
        <v>0.76249999999999996</v>
      </c>
      <c r="N334" s="663"/>
      <c r="P334" s="37" t="str">
        <f t="shared" si="32"/>
        <v>1976F0</v>
      </c>
      <c r="Q334" s="37" t="str">
        <f t="shared" si="33"/>
        <v>F018</v>
      </c>
      <c r="R334" s="37" t="str">
        <f t="shared" si="34"/>
        <v>JuneF0</v>
      </c>
    </row>
    <row r="335" spans="1:18">
      <c r="A335" s="616">
        <f t="shared" si="35"/>
        <v>331</v>
      </c>
      <c r="B335" s="617">
        <v>1</v>
      </c>
      <c r="C335" s="618">
        <v>28234</v>
      </c>
      <c r="D335" s="618" t="s">
        <v>176</v>
      </c>
      <c r="E335" s="619">
        <v>19</v>
      </c>
      <c r="F335" s="603">
        <v>1977</v>
      </c>
      <c r="G335" s="617" t="s">
        <v>147</v>
      </c>
      <c r="H335" s="620" t="s">
        <v>149</v>
      </c>
      <c r="I335" s="621">
        <v>10</v>
      </c>
      <c r="J335" s="621">
        <v>0.1</v>
      </c>
      <c r="K335" s="603">
        <f t="shared" si="30"/>
        <v>15</v>
      </c>
      <c r="L335" s="604">
        <v>0.64583333333333337</v>
      </c>
      <c r="M335" s="605">
        <f t="shared" si="31"/>
        <v>0.64583333333333337</v>
      </c>
      <c r="N335" s="663"/>
      <c r="P335" s="37" t="str">
        <f t="shared" si="32"/>
        <v>1977F0</v>
      </c>
      <c r="Q335" s="37" t="str">
        <f t="shared" si="33"/>
        <v>F015</v>
      </c>
      <c r="R335" s="37" t="str">
        <f t="shared" si="34"/>
        <v>AprilF0</v>
      </c>
    </row>
    <row r="336" spans="1:18">
      <c r="A336" s="616">
        <f t="shared" si="35"/>
        <v>332</v>
      </c>
      <c r="B336" s="617">
        <v>2</v>
      </c>
      <c r="C336" s="618">
        <v>28246</v>
      </c>
      <c r="D336" s="618" t="s">
        <v>177</v>
      </c>
      <c r="E336" s="619">
        <v>1</v>
      </c>
      <c r="F336" s="603">
        <v>1977</v>
      </c>
      <c r="G336" s="617" t="s">
        <v>128</v>
      </c>
      <c r="H336" s="620" t="s">
        <v>151</v>
      </c>
      <c r="I336" s="621">
        <v>100</v>
      </c>
      <c r="J336" s="621">
        <v>2.7</v>
      </c>
      <c r="K336" s="603">
        <f t="shared" si="30"/>
        <v>15</v>
      </c>
      <c r="L336" s="604">
        <v>0.65972222222222221</v>
      </c>
      <c r="M336" s="605">
        <f t="shared" si="31"/>
        <v>0.65972222222222221</v>
      </c>
      <c r="N336" s="663">
        <v>0.67361111111111116</v>
      </c>
      <c r="P336" s="37" t="str">
        <f t="shared" si="32"/>
        <v>1977F2</v>
      </c>
      <c r="Q336" s="37" t="str">
        <f t="shared" si="33"/>
        <v>F215</v>
      </c>
      <c r="R336" s="37" t="str">
        <f t="shared" si="34"/>
        <v>MayF2</v>
      </c>
    </row>
    <row r="337" spans="1:18">
      <c r="A337" s="616">
        <f t="shared" si="35"/>
        <v>333</v>
      </c>
      <c r="B337" s="617">
        <v>3</v>
      </c>
      <c r="C337" s="618">
        <v>28259</v>
      </c>
      <c r="D337" s="618" t="s">
        <v>177</v>
      </c>
      <c r="E337" s="619">
        <v>14</v>
      </c>
      <c r="F337" s="603">
        <v>1977</v>
      </c>
      <c r="G337" s="617" t="s">
        <v>129</v>
      </c>
      <c r="H337" s="620" t="s">
        <v>150</v>
      </c>
      <c r="I337" s="621">
        <v>20</v>
      </c>
      <c r="J337" s="621">
        <v>1</v>
      </c>
      <c r="K337" s="603">
        <f t="shared" si="30"/>
        <v>0</v>
      </c>
      <c r="L337" s="604">
        <v>6.9444444444444447E-4</v>
      </c>
      <c r="M337" s="605">
        <f t="shared" si="31"/>
        <v>6.9444444444444447E-4</v>
      </c>
      <c r="N337" s="663"/>
      <c r="P337" s="37" t="str">
        <f t="shared" si="32"/>
        <v>1977F1</v>
      </c>
      <c r="Q337" s="37" t="str">
        <f t="shared" si="33"/>
        <v>F10</v>
      </c>
      <c r="R337" s="37" t="str">
        <f t="shared" si="34"/>
        <v>MayF1</v>
      </c>
    </row>
    <row r="338" spans="1:18">
      <c r="A338" s="616">
        <f t="shared" si="35"/>
        <v>334</v>
      </c>
      <c r="B338" s="617">
        <v>4</v>
      </c>
      <c r="C338" s="618">
        <v>28259</v>
      </c>
      <c r="D338" s="618" t="s">
        <v>177</v>
      </c>
      <c r="E338" s="619">
        <v>14</v>
      </c>
      <c r="F338" s="603">
        <v>1977</v>
      </c>
      <c r="G338" s="617" t="s">
        <v>141</v>
      </c>
      <c r="H338" s="620" t="s">
        <v>150</v>
      </c>
      <c r="I338" s="621">
        <v>20</v>
      </c>
      <c r="J338" s="621">
        <v>1</v>
      </c>
      <c r="K338" s="603">
        <f t="shared" si="30"/>
        <v>14</v>
      </c>
      <c r="L338" s="604">
        <v>0.60069444444444442</v>
      </c>
      <c r="M338" s="605">
        <f t="shared" si="31"/>
        <v>0.60069444444444442</v>
      </c>
      <c r="N338" s="663">
        <v>0.6020833333333333</v>
      </c>
      <c r="P338" s="37" t="str">
        <f t="shared" si="32"/>
        <v>1977F1</v>
      </c>
      <c r="Q338" s="37" t="str">
        <f t="shared" si="33"/>
        <v>F114</v>
      </c>
      <c r="R338" s="37" t="str">
        <f t="shared" si="34"/>
        <v>MayF1</v>
      </c>
    </row>
    <row r="339" spans="1:18">
      <c r="A339" s="616">
        <f t="shared" si="35"/>
        <v>335</v>
      </c>
      <c r="B339" s="617">
        <v>5</v>
      </c>
      <c r="C339" s="618">
        <v>28261</v>
      </c>
      <c r="D339" s="618" t="s">
        <v>177</v>
      </c>
      <c r="E339" s="619">
        <v>16</v>
      </c>
      <c r="F339" s="603">
        <v>1977</v>
      </c>
      <c r="G339" s="617" t="s">
        <v>148</v>
      </c>
      <c r="H339" s="620" t="s">
        <v>152</v>
      </c>
      <c r="I339" s="621">
        <v>500</v>
      </c>
      <c r="J339" s="621">
        <v>16.7</v>
      </c>
      <c r="K339" s="603">
        <f t="shared" si="30"/>
        <v>15</v>
      </c>
      <c r="L339" s="604">
        <v>0.63194444444444442</v>
      </c>
      <c r="M339" s="605">
        <f t="shared" si="31"/>
        <v>0.63194444444444442</v>
      </c>
      <c r="N339" s="663"/>
      <c r="P339" s="37" t="str">
        <f t="shared" si="32"/>
        <v>1977F3</v>
      </c>
      <c r="Q339" s="37" t="str">
        <f t="shared" si="33"/>
        <v>F315</v>
      </c>
      <c r="R339" s="37" t="str">
        <f t="shared" si="34"/>
        <v>MayF3</v>
      </c>
    </row>
    <row r="340" spans="1:18">
      <c r="A340" s="616">
        <f t="shared" si="35"/>
        <v>336</v>
      </c>
      <c r="B340" s="617">
        <v>6</v>
      </c>
      <c r="C340" s="618">
        <v>28261</v>
      </c>
      <c r="D340" s="618" t="s">
        <v>177</v>
      </c>
      <c r="E340" s="619">
        <v>16</v>
      </c>
      <c r="F340" s="603">
        <v>1977</v>
      </c>
      <c r="G340" s="617" t="s">
        <v>148</v>
      </c>
      <c r="H340" s="620" t="s">
        <v>152</v>
      </c>
      <c r="I340" s="621">
        <v>500</v>
      </c>
      <c r="J340" s="621">
        <v>15</v>
      </c>
      <c r="K340" s="603">
        <f t="shared" si="30"/>
        <v>16</v>
      </c>
      <c r="L340" s="604">
        <v>0.67013888888888884</v>
      </c>
      <c r="M340" s="605">
        <f t="shared" si="31"/>
        <v>0.67013888888888884</v>
      </c>
      <c r="N340" s="663">
        <v>0.69444444444444453</v>
      </c>
      <c r="P340" s="37" t="str">
        <f t="shared" si="32"/>
        <v>1977F3</v>
      </c>
      <c r="Q340" s="37" t="str">
        <f t="shared" si="33"/>
        <v>F316</v>
      </c>
      <c r="R340" s="37" t="str">
        <f t="shared" si="34"/>
        <v>MayF3</v>
      </c>
    </row>
    <row r="341" spans="1:18">
      <c r="A341" s="616">
        <f t="shared" si="35"/>
        <v>337</v>
      </c>
      <c r="B341" s="617">
        <v>7</v>
      </c>
      <c r="C341" s="618">
        <v>28262</v>
      </c>
      <c r="D341" s="618" t="s">
        <v>177</v>
      </c>
      <c r="E341" s="619">
        <v>17</v>
      </c>
      <c r="F341" s="603">
        <v>1977</v>
      </c>
      <c r="G341" s="617" t="s">
        <v>146</v>
      </c>
      <c r="H341" s="620" t="s">
        <v>149</v>
      </c>
      <c r="I341" s="621">
        <v>20</v>
      </c>
      <c r="J341" s="621">
        <v>0.2</v>
      </c>
      <c r="K341" s="603">
        <f t="shared" ref="K341:K403" si="36">HOUR(M341)</f>
        <v>18</v>
      </c>
      <c r="L341" s="604">
        <v>0.77083333333333337</v>
      </c>
      <c r="M341" s="605">
        <f t="shared" si="31"/>
        <v>0.77083333333333337</v>
      </c>
      <c r="N341" s="663"/>
      <c r="P341" s="37" t="str">
        <f t="shared" si="32"/>
        <v>1977F0</v>
      </c>
      <c r="Q341" s="37" t="str">
        <f t="shared" si="33"/>
        <v>F018</v>
      </c>
      <c r="R341" s="37" t="str">
        <f t="shared" si="34"/>
        <v>MayF0</v>
      </c>
    </row>
    <row r="342" spans="1:18">
      <c r="A342" s="616">
        <f t="shared" si="35"/>
        <v>338</v>
      </c>
      <c r="B342" s="617">
        <v>8</v>
      </c>
      <c r="C342" s="618">
        <v>28262</v>
      </c>
      <c r="D342" s="618" t="s">
        <v>177</v>
      </c>
      <c r="E342" s="619">
        <v>17</v>
      </c>
      <c r="F342" s="603">
        <v>1977</v>
      </c>
      <c r="G342" s="617" t="s">
        <v>136</v>
      </c>
      <c r="H342" s="620" t="s">
        <v>150</v>
      </c>
      <c r="I342" s="621">
        <v>20</v>
      </c>
      <c r="J342" s="621">
        <v>1</v>
      </c>
      <c r="K342" s="603">
        <f t="shared" si="36"/>
        <v>19</v>
      </c>
      <c r="L342" s="604">
        <v>0.79166666666666663</v>
      </c>
      <c r="M342" s="605">
        <f t="shared" si="31"/>
        <v>0.79166666666666663</v>
      </c>
      <c r="N342" s="663"/>
      <c r="P342" s="37" t="str">
        <f t="shared" si="32"/>
        <v>1977F1</v>
      </c>
      <c r="Q342" s="37" t="str">
        <f t="shared" si="33"/>
        <v>F119</v>
      </c>
      <c r="R342" s="37" t="str">
        <f t="shared" si="34"/>
        <v>MayF1</v>
      </c>
    </row>
    <row r="343" spans="1:18">
      <c r="A343" s="616">
        <f t="shared" si="35"/>
        <v>339</v>
      </c>
      <c r="B343" s="617">
        <v>9</v>
      </c>
      <c r="C343" s="618">
        <v>28262</v>
      </c>
      <c r="D343" s="618" t="s">
        <v>177</v>
      </c>
      <c r="E343" s="619">
        <v>17</v>
      </c>
      <c r="F343" s="603">
        <v>1977</v>
      </c>
      <c r="G343" s="617" t="s">
        <v>146</v>
      </c>
      <c r="H343" s="620" t="s">
        <v>150</v>
      </c>
      <c r="I343" s="621">
        <v>20</v>
      </c>
      <c r="J343" s="621">
        <v>6.4</v>
      </c>
      <c r="K343" s="603">
        <f t="shared" si="36"/>
        <v>19</v>
      </c>
      <c r="L343" s="604">
        <v>0.81041666666666667</v>
      </c>
      <c r="M343" s="605">
        <f t="shared" si="31"/>
        <v>0.81041666666666667</v>
      </c>
      <c r="N343" s="663"/>
      <c r="P343" s="37" t="str">
        <f t="shared" si="32"/>
        <v>1977F1</v>
      </c>
      <c r="Q343" s="37" t="str">
        <f t="shared" si="33"/>
        <v>F119</v>
      </c>
      <c r="R343" s="37" t="str">
        <f t="shared" si="34"/>
        <v>MayF1</v>
      </c>
    </row>
    <row r="344" spans="1:18">
      <c r="A344" s="616">
        <f t="shared" si="35"/>
        <v>340</v>
      </c>
      <c r="B344" s="617">
        <v>10</v>
      </c>
      <c r="C344" s="618">
        <v>28262</v>
      </c>
      <c r="D344" s="618" t="s">
        <v>177</v>
      </c>
      <c r="E344" s="619">
        <v>17</v>
      </c>
      <c r="F344" s="603">
        <v>1977</v>
      </c>
      <c r="G344" s="617" t="s">
        <v>141</v>
      </c>
      <c r="H344" s="620" t="s">
        <v>150</v>
      </c>
      <c r="I344" s="621">
        <v>20</v>
      </c>
      <c r="J344" s="621">
        <v>1</v>
      </c>
      <c r="K344" s="603">
        <f t="shared" si="36"/>
        <v>19</v>
      </c>
      <c r="L344" s="604">
        <v>0.82638888888888884</v>
      </c>
      <c r="M344" s="605">
        <f t="shared" si="31"/>
        <v>0.82638888888888884</v>
      </c>
      <c r="N344" s="663"/>
      <c r="P344" s="37" t="str">
        <f t="shared" si="32"/>
        <v>1977F1</v>
      </c>
      <c r="Q344" s="37" t="str">
        <f t="shared" si="33"/>
        <v>F119</v>
      </c>
      <c r="R344" s="37" t="str">
        <f t="shared" si="34"/>
        <v>MayF1</v>
      </c>
    </row>
    <row r="345" spans="1:18">
      <c r="A345" s="616">
        <f t="shared" si="35"/>
        <v>341</v>
      </c>
      <c r="B345" s="617">
        <v>11</v>
      </c>
      <c r="C345" s="618">
        <v>28262</v>
      </c>
      <c r="D345" s="618" t="s">
        <v>177</v>
      </c>
      <c r="E345" s="619">
        <v>17</v>
      </c>
      <c r="F345" s="603">
        <v>1977</v>
      </c>
      <c r="G345" s="617" t="s">
        <v>146</v>
      </c>
      <c r="H345" s="620" t="s">
        <v>150</v>
      </c>
      <c r="I345" s="621">
        <v>20</v>
      </c>
      <c r="J345" s="621">
        <v>1</v>
      </c>
      <c r="K345" s="603">
        <f t="shared" si="36"/>
        <v>20</v>
      </c>
      <c r="L345" s="604">
        <v>0.86111111111111116</v>
      </c>
      <c r="M345" s="605">
        <f t="shared" si="31"/>
        <v>0.86111111111111116</v>
      </c>
      <c r="N345" s="663"/>
      <c r="P345" s="37" t="str">
        <f t="shared" si="32"/>
        <v>1977F1</v>
      </c>
      <c r="Q345" s="37" t="str">
        <f t="shared" si="33"/>
        <v>F120</v>
      </c>
      <c r="R345" s="37" t="str">
        <f t="shared" si="34"/>
        <v>MayF1</v>
      </c>
    </row>
    <row r="346" spans="1:18">
      <c r="A346" s="616">
        <f t="shared" si="35"/>
        <v>342</v>
      </c>
      <c r="B346" s="617">
        <v>12</v>
      </c>
      <c r="C346" s="618">
        <v>28262</v>
      </c>
      <c r="D346" s="618" t="s">
        <v>177</v>
      </c>
      <c r="E346" s="619">
        <v>17</v>
      </c>
      <c r="F346" s="603">
        <v>1977</v>
      </c>
      <c r="G346" s="617" t="s">
        <v>142</v>
      </c>
      <c r="H346" s="620" t="s">
        <v>149</v>
      </c>
      <c r="I346" s="621">
        <v>20</v>
      </c>
      <c r="J346" s="621">
        <v>0.5</v>
      </c>
      <c r="K346" s="603">
        <f t="shared" si="36"/>
        <v>22</v>
      </c>
      <c r="L346" s="604">
        <v>0.92361111111111116</v>
      </c>
      <c r="M346" s="605">
        <f t="shared" si="31"/>
        <v>0.92361111111111116</v>
      </c>
      <c r="N346" s="663"/>
      <c r="P346" s="37" t="str">
        <f t="shared" si="32"/>
        <v>1977F0</v>
      </c>
      <c r="Q346" s="37" t="str">
        <f t="shared" si="33"/>
        <v>F022</v>
      </c>
      <c r="R346" s="37" t="str">
        <f t="shared" si="34"/>
        <v>MayF0</v>
      </c>
    </row>
    <row r="347" spans="1:18">
      <c r="A347" s="616">
        <f t="shared" si="35"/>
        <v>343</v>
      </c>
      <c r="B347" s="617">
        <v>13</v>
      </c>
      <c r="C347" s="618">
        <v>28263</v>
      </c>
      <c r="D347" s="618" t="s">
        <v>177</v>
      </c>
      <c r="E347" s="619">
        <v>18</v>
      </c>
      <c r="F347" s="603">
        <v>1977</v>
      </c>
      <c r="G347" s="617" t="s">
        <v>126</v>
      </c>
      <c r="H347" s="620" t="s">
        <v>153</v>
      </c>
      <c r="I347" s="621">
        <v>440</v>
      </c>
      <c r="J347" s="621">
        <v>29.3</v>
      </c>
      <c r="K347" s="603">
        <f t="shared" si="36"/>
        <v>13</v>
      </c>
      <c r="L347" s="604">
        <v>0.57638888888888895</v>
      </c>
      <c r="M347" s="605">
        <f t="shared" si="31"/>
        <v>0.57638888888888895</v>
      </c>
      <c r="N347" s="663">
        <v>0.60069444444444442</v>
      </c>
      <c r="P347" s="37" t="str">
        <f t="shared" si="32"/>
        <v>1977F4</v>
      </c>
      <c r="Q347" s="37" t="str">
        <f t="shared" si="33"/>
        <v>F413</v>
      </c>
      <c r="R347" s="37" t="str">
        <f t="shared" si="34"/>
        <v>MayF4</v>
      </c>
    </row>
    <row r="348" spans="1:18">
      <c r="A348" s="616">
        <f t="shared" si="35"/>
        <v>344</v>
      </c>
      <c r="B348" s="617">
        <v>14</v>
      </c>
      <c r="C348" s="618">
        <v>28263</v>
      </c>
      <c r="D348" s="618" t="s">
        <v>177</v>
      </c>
      <c r="E348" s="619">
        <v>18</v>
      </c>
      <c r="F348" s="603">
        <v>1977</v>
      </c>
      <c r="G348" s="617" t="s">
        <v>126</v>
      </c>
      <c r="H348" s="620" t="s">
        <v>151</v>
      </c>
      <c r="I348" s="621">
        <v>50</v>
      </c>
      <c r="J348" s="621">
        <v>16.100000000000001</v>
      </c>
      <c r="K348" s="603">
        <f t="shared" si="36"/>
        <v>13</v>
      </c>
      <c r="L348" s="604">
        <v>0.5625</v>
      </c>
      <c r="M348" s="605">
        <f t="shared" si="31"/>
        <v>0.5625</v>
      </c>
      <c r="N348" s="663"/>
      <c r="P348" s="37" t="str">
        <f t="shared" si="32"/>
        <v>1977F2</v>
      </c>
      <c r="Q348" s="37" t="str">
        <f t="shared" si="33"/>
        <v>F213</v>
      </c>
      <c r="R348" s="37" t="str">
        <f t="shared" si="34"/>
        <v>MayF2</v>
      </c>
    </row>
    <row r="349" spans="1:18">
      <c r="A349" s="616">
        <f t="shared" si="35"/>
        <v>345</v>
      </c>
      <c r="B349" s="617">
        <v>15</v>
      </c>
      <c r="C349" s="618">
        <v>28265</v>
      </c>
      <c r="D349" s="618" t="s">
        <v>177</v>
      </c>
      <c r="E349" s="619">
        <v>20</v>
      </c>
      <c r="F349" s="603">
        <v>1977</v>
      </c>
      <c r="G349" s="617" t="s">
        <v>147</v>
      </c>
      <c r="H349" s="620" t="s">
        <v>150</v>
      </c>
      <c r="I349" s="621">
        <v>30</v>
      </c>
      <c r="J349" s="621">
        <v>2</v>
      </c>
      <c r="K349" s="603">
        <f t="shared" si="36"/>
        <v>15</v>
      </c>
      <c r="L349" s="604">
        <v>0.64444444444444449</v>
      </c>
      <c r="M349" s="605">
        <f t="shared" si="31"/>
        <v>0.64444444444444449</v>
      </c>
      <c r="N349" s="663"/>
      <c r="P349" s="37" t="str">
        <f t="shared" si="32"/>
        <v>1977F1</v>
      </c>
      <c r="Q349" s="37" t="str">
        <f t="shared" si="33"/>
        <v>F115</v>
      </c>
      <c r="R349" s="37" t="str">
        <f t="shared" si="34"/>
        <v>MayF1</v>
      </c>
    </row>
    <row r="350" spans="1:18">
      <c r="A350" s="616">
        <f t="shared" si="35"/>
        <v>346</v>
      </c>
      <c r="B350" s="617">
        <v>16</v>
      </c>
      <c r="C350" s="618">
        <v>28265</v>
      </c>
      <c r="D350" s="618" t="s">
        <v>177</v>
      </c>
      <c r="E350" s="619">
        <v>20</v>
      </c>
      <c r="F350" s="603">
        <v>1977</v>
      </c>
      <c r="G350" s="617" t="s">
        <v>143</v>
      </c>
      <c r="H350" s="620" t="s">
        <v>149</v>
      </c>
      <c r="I350" s="621">
        <v>20</v>
      </c>
      <c r="J350" s="621">
        <v>1</v>
      </c>
      <c r="K350" s="603">
        <f t="shared" si="36"/>
        <v>17</v>
      </c>
      <c r="L350" s="604">
        <v>0.71805555555555556</v>
      </c>
      <c r="M350" s="605">
        <f t="shared" si="31"/>
        <v>0.71805555555555556</v>
      </c>
      <c r="N350" s="663"/>
      <c r="P350" s="37" t="str">
        <f t="shared" si="32"/>
        <v>1977F0</v>
      </c>
      <c r="Q350" s="37" t="str">
        <f t="shared" si="33"/>
        <v>F017</v>
      </c>
      <c r="R350" s="37" t="str">
        <f t="shared" si="34"/>
        <v>MayF0</v>
      </c>
    </row>
    <row r="351" spans="1:18">
      <c r="A351" s="616">
        <f t="shared" si="35"/>
        <v>347</v>
      </c>
      <c r="B351" s="617">
        <v>17</v>
      </c>
      <c r="C351" s="618">
        <v>28267</v>
      </c>
      <c r="D351" s="618" t="s">
        <v>177</v>
      </c>
      <c r="E351" s="619">
        <v>22</v>
      </c>
      <c r="F351" s="603">
        <v>1977</v>
      </c>
      <c r="G351" s="617" t="s">
        <v>133</v>
      </c>
      <c r="H351" s="620" t="s">
        <v>150</v>
      </c>
      <c r="I351" s="621">
        <v>30</v>
      </c>
      <c r="J351" s="621">
        <v>2</v>
      </c>
      <c r="K351" s="603">
        <f t="shared" si="36"/>
        <v>18</v>
      </c>
      <c r="L351" s="604">
        <v>0.76597222222222217</v>
      </c>
      <c r="M351" s="605">
        <f t="shared" si="31"/>
        <v>0.76597222222222217</v>
      </c>
      <c r="N351" s="663"/>
      <c r="P351" s="37" t="str">
        <f t="shared" si="32"/>
        <v>1977F1</v>
      </c>
      <c r="Q351" s="37" t="str">
        <f t="shared" si="33"/>
        <v>F118</v>
      </c>
      <c r="R351" s="37" t="str">
        <f t="shared" si="34"/>
        <v>MayF1</v>
      </c>
    </row>
    <row r="352" spans="1:18">
      <c r="A352" s="616">
        <f t="shared" si="35"/>
        <v>348</v>
      </c>
      <c r="B352" s="617">
        <v>18</v>
      </c>
      <c r="C352" s="618">
        <v>28270</v>
      </c>
      <c r="D352" s="618" t="s">
        <v>177</v>
      </c>
      <c r="E352" s="619">
        <v>25</v>
      </c>
      <c r="F352" s="603">
        <v>1977</v>
      </c>
      <c r="G352" s="617" t="s">
        <v>131</v>
      </c>
      <c r="H352" s="620" t="s">
        <v>149</v>
      </c>
      <c r="I352" s="621">
        <v>20</v>
      </c>
      <c r="J352" s="621">
        <v>1</v>
      </c>
      <c r="K352" s="603">
        <f t="shared" si="36"/>
        <v>17</v>
      </c>
      <c r="L352" s="604">
        <v>0.71944444444444444</v>
      </c>
      <c r="M352" s="605">
        <f t="shared" si="31"/>
        <v>0.71944444444444444</v>
      </c>
      <c r="N352" s="663"/>
      <c r="P352" s="37" t="str">
        <f t="shared" si="32"/>
        <v>1977F0</v>
      </c>
      <c r="Q352" s="37" t="str">
        <f t="shared" si="33"/>
        <v>F017</v>
      </c>
      <c r="R352" s="37" t="str">
        <f t="shared" si="34"/>
        <v>MayF0</v>
      </c>
    </row>
    <row r="353" spans="1:18">
      <c r="A353" s="616">
        <f t="shared" si="35"/>
        <v>349</v>
      </c>
      <c r="B353" s="617">
        <v>19</v>
      </c>
      <c r="C353" s="618">
        <v>28295</v>
      </c>
      <c r="D353" s="618" t="s">
        <v>178</v>
      </c>
      <c r="E353" s="619">
        <v>19</v>
      </c>
      <c r="F353" s="603">
        <v>1977</v>
      </c>
      <c r="G353" s="617" t="s">
        <v>130</v>
      </c>
      <c r="H353" s="620" t="s">
        <v>149</v>
      </c>
      <c r="I353" s="621">
        <v>30</v>
      </c>
      <c r="J353" s="621">
        <v>0.5</v>
      </c>
      <c r="K353" s="603">
        <f t="shared" si="36"/>
        <v>20</v>
      </c>
      <c r="L353" s="604">
        <v>0.87152777777777779</v>
      </c>
      <c r="M353" s="605">
        <f t="shared" si="31"/>
        <v>0.87152777777777779</v>
      </c>
      <c r="N353" s="663"/>
      <c r="P353" s="37" t="str">
        <f t="shared" si="32"/>
        <v>1977F0</v>
      </c>
      <c r="Q353" s="37" t="str">
        <f t="shared" si="33"/>
        <v>F020</v>
      </c>
      <c r="R353" s="37" t="str">
        <f t="shared" si="34"/>
        <v>JuneF0</v>
      </c>
    </row>
    <row r="354" spans="1:18">
      <c r="A354" s="616">
        <f t="shared" si="35"/>
        <v>350</v>
      </c>
      <c r="B354" s="617">
        <v>20</v>
      </c>
      <c r="C354" s="618">
        <v>28331</v>
      </c>
      <c r="D354" s="618" t="s">
        <v>179</v>
      </c>
      <c r="E354" s="619">
        <v>25</v>
      </c>
      <c r="F354" s="603">
        <v>1977</v>
      </c>
      <c r="G354" s="617" t="s">
        <v>130</v>
      </c>
      <c r="H354" s="620" t="s">
        <v>150</v>
      </c>
      <c r="I354" s="621">
        <v>20</v>
      </c>
      <c r="J354" s="621">
        <v>0.5</v>
      </c>
      <c r="K354" s="603">
        <f t="shared" si="36"/>
        <v>23</v>
      </c>
      <c r="L354" s="604">
        <v>0.9590277777777777</v>
      </c>
      <c r="M354" s="605">
        <f t="shared" si="31"/>
        <v>0.9590277777777777</v>
      </c>
      <c r="N354" s="663"/>
      <c r="P354" s="37" t="str">
        <f t="shared" si="32"/>
        <v>1977F1</v>
      </c>
      <c r="Q354" s="37" t="str">
        <f t="shared" si="33"/>
        <v>F123</v>
      </c>
      <c r="R354" s="37" t="str">
        <f t="shared" si="34"/>
        <v>JulyF1</v>
      </c>
    </row>
    <row r="355" spans="1:18">
      <c r="A355" s="616">
        <f t="shared" si="35"/>
        <v>351</v>
      </c>
      <c r="B355" s="617">
        <v>21</v>
      </c>
      <c r="C355" s="618">
        <v>28339</v>
      </c>
      <c r="D355" s="618" t="s">
        <v>180</v>
      </c>
      <c r="E355" s="619">
        <v>2</v>
      </c>
      <c r="F355" s="603">
        <v>1977</v>
      </c>
      <c r="G355" s="617" t="s">
        <v>131</v>
      </c>
      <c r="H355" s="620" t="s">
        <v>149</v>
      </c>
      <c r="I355" s="621">
        <v>30</v>
      </c>
      <c r="J355" s="621">
        <v>0.5</v>
      </c>
      <c r="K355" s="603">
        <f t="shared" si="36"/>
        <v>16</v>
      </c>
      <c r="L355" s="604">
        <v>0.6875</v>
      </c>
      <c r="M355" s="605">
        <f t="shared" si="31"/>
        <v>0.6875</v>
      </c>
      <c r="N355" s="663"/>
      <c r="P355" s="37" t="str">
        <f t="shared" si="32"/>
        <v>1977F0</v>
      </c>
      <c r="Q355" s="37" t="str">
        <f t="shared" si="33"/>
        <v>F016</v>
      </c>
      <c r="R355" s="37" t="str">
        <f t="shared" si="34"/>
        <v>AugustF0</v>
      </c>
    </row>
    <row r="356" spans="1:18">
      <c r="A356" s="616">
        <f t="shared" si="35"/>
        <v>352</v>
      </c>
      <c r="B356" s="617">
        <v>1</v>
      </c>
      <c r="C356" s="618">
        <v>28610</v>
      </c>
      <c r="D356" s="618" t="s">
        <v>176</v>
      </c>
      <c r="E356" s="619">
        <v>30</v>
      </c>
      <c r="F356" s="603">
        <v>1978</v>
      </c>
      <c r="G356" s="617" t="s">
        <v>132</v>
      </c>
      <c r="H356" s="620" t="s">
        <v>151</v>
      </c>
      <c r="I356" s="621">
        <v>100</v>
      </c>
      <c r="J356" s="621">
        <v>8.6</v>
      </c>
      <c r="K356" s="603">
        <f t="shared" si="36"/>
        <v>15</v>
      </c>
      <c r="L356" s="604">
        <v>0.64166666666666672</v>
      </c>
      <c r="M356" s="605">
        <f t="shared" si="31"/>
        <v>0.64166666666666672</v>
      </c>
      <c r="N356" s="663"/>
      <c r="P356" s="37" t="str">
        <f t="shared" si="32"/>
        <v>1978F2</v>
      </c>
      <c r="Q356" s="37" t="str">
        <f t="shared" si="33"/>
        <v>F215</v>
      </c>
      <c r="R356" s="37" t="str">
        <f t="shared" si="34"/>
        <v>AprilF2</v>
      </c>
    </row>
    <row r="357" spans="1:18">
      <c r="A357" s="616">
        <f t="shared" si="35"/>
        <v>353</v>
      </c>
      <c r="B357" s="617">
        <v>2</v>
      </c>
      <c r="C357" s="618">
        <v>28610</v>
      </c>
      <c r="D357" s="618" t="s">
        <v>176</v>
      </c>
      <c r="E357" s="619">
        <v>30</v>
      </c>
      <c r="F357" s="603">
        <v>1978</v>
      </c>
      <c r="G357" s="617" t="s">
        <v>133</v>
      </c>
      <c r="H357" s="620" t="s">
        <v>152</v>
      </c>
      <c r="I357" s="621">
        <v>100</v>
      </c>
      <c r="J357" s="621">
        <v>14.4</v>
      </c>
      <c r="K357" s="603">
        <f t="shared" si="36"/>
        <v>16</v>
      </c>
      <c r="L357" s="604">
        <v>0.68611111111111101</v>
      </c>
      <c r="M357" s="605">
        <f t="shared" si="31"/>
        <v>0.68611111111111101</v>
      </c>
      <c r="N357" s="663"/>
      <c r="P357" s="37" t="str">
        <f t="shared" si="32"/>
        <v>1978F3</v>
      </c>
      <c r="Q357" s="37" t="str">
        <f t="shared" si="33"/>
        <v>F316</v>
      </c>
      <c r="R357" s="37" t="str">
        <f t="shared" si="34"/>
        <v>AprilF3</v>
      </c>
    </row>
    <row r="358" spans="1:18">
      <c r="A358" s="616">
        <f t="shared" si="35"/>
        <v>354</v>
      </c>
      <c r="B358" s="617">
        <v>3</v>
      </c>
      <c r="C358" s="618">
        <v>28613</v>
      </c>
      <c r="D358" s="618" t="s">
        <v>177</v>
      </c>
      <c r="E358" s="619">
        <v>3</v>
      </c>
      <c r="F358" s="603">
        <v>1978</v>
      </c>
      <c r="G358" s="617" t="s">
        <v>133</v>
      </c>
      <c r="H358" s="620" t="s">
        <v>149</v>
      </c>
      <c r="I358" s="621">
        <v>400</v>
      </c>
      <c r="J358" s="621">
        <v>6.5</v>
      </c>
      <c r="K358" s="603">
        <f t="shared" si="36"/>
        <v>16</v>
      </c>
      <c r="L358" s="604">
        <v>0.6875</v>
      </c>
      <c r="M358" s="605">
        <f t="shared" si="31"/>
        <v>0.6875</v>
      </c>
      <c r="N358" s="663"/>
      <c r="P358" s="37" t="str">
        <f t="shared" si="32"/>
        <v>1978F0</v>
      </c>
      <c r="Q358" s="37" t="str">
        <f t="shared" si="33"/>
        <v>F016</v>
      </c>
      <c r="R358" s="37" t="str">
        <f t="shared" si="34"/>
        <v>MayF0</v>
      </c>
    </row>
    <row r="359" spans="1:18">
      <c r="A359" s="616">
        <f t="shared" si="35"/>
        <v>355</v>
      </c>
      <c r="B359" s="617">
        <v>4</v>
      </c>
      <c r="C359" s="618">
        <v>28614</v>
      </c>
      <c r="D359" s="618" t="s">
        <v>177</v>
      </c>
      <c r="E359" s="619">
        <v>4</v>
      </c>
      <c r="F359" s="603">
        <v>1978</v>
      </c>
      <c r="G359" s="617" t="s">
        <v>130</v>
      </c>
      <c r="H359" s="620" t="s">
        <v>149</v>
      </c>
      <c r="I359" s="621">
        <v>60</v>
      </c>
      <c r="J359" s="621">
        <v>11.3</v>
      </c>
      <c r="K359" s="603">
        <f t="shared" si="36"/>
        <v>16</v>
      </c>
      <c r="L359" s="604">
        <v>0.70138888888888884</v>
      </c>
      <c r="M359" s="605">
        <f t="shared" si="31"/>
        <v>0.70138888888888884</v>
      </c>
      <c r="N359" s="663"/>
      <c r="P359" s="37" t="str">
        <f t="shared" si="32"/>
        <v>1978F0</v>
      </c>
      <c r="Q359" s="37" t="str">
        <f t="shared" si="33"/>
        <v>F016</v>
      </c>
      <c r="R359" s="37" t="str">
        <f t="shared" si="34"/>
        <v>MayF0</v>
      </c>
    </row>
    <row r="360" spans="1:18">
      <c r="A360" s="616">
        <f t="shared" si="35"/>
        <v>356</v>
      </c>
      <c r="B360" s="617">
        <v>5</v>
      </c>
      <c r="C360" s="618">
        <v>28615</v>
      </c>
      <c r="D360" s="618" t="s">
        <v>177</v>
      </c>
      <c r="E360" s="619">
        <v>5</v>
      </c>
      <c r="F360" s="603">
        <v>1978</v>
      </c>
      <c r="G360" s="617" t="s">
        <v>129</v>
      </c>
      <c r="H360" s="620" t="s">
        <v>149</v>
      </c>
      <c r="I360" s="621">
        <v>30</v>
      </c>
      <c r="J360" s="621">
        <v>4.5</v>
      </c>
      <c r="K360" s="603">
        <f t="shared" si="36"/>
        <v>17</v>
      </c>
      <c r="L360" s="604">
        <v>0.73958333333333337</v>
      </c>
      <c r="M360" s="605">
        <f t="shared" si="31"/>
        <v>0.73958333333333337</v>
      </c>
      <c r="N360" s="663"/>
      <c r="P360" s="37" t="str">
        <f t="shared" si="32"/>
        <v>1978F0</v>
      </c>
      <c r="Q360" s="37" t="str">
        <f t="shared" si="33"/>
        <v>F017</v>
      </c>
      <c r="R360" s="37" t="str">
        <f t="shared" si="34"/>
        <v>MayF0</v>
      </c>
    </row>
    <row r="361" spans="1:18">
      <c r="A361" s="616">
        <f t="shared" si="35"/>
        <v>357</v>
      </c>
      <c r="B361" s="617">
        <v>6</v>
      </c>
      <c r="C361" s="618">
        <v>28615</v>
      </c>
      <c r="D361" s="618" t="s">
        <v>177</v>
      </c>
      <c r="E361" s="619">
        <v>5</v>
      </c>
      <c r="F361" s="603">
        <v>1978</v>
      </c>
      <c r="G361" s="617" t="s">
        <v>129</v>
      </c>
      <c r="H361" s="620" t="s">
        <v>149</v>
      </c>
      <c r="I361" s="621">
        <v>30</v>
      </c>
      <c r="J361" s="621">
        <v>2</v>
      </c>
      <c r="K361" s="603">
        <f t="shared" si="36"/>
        <v>18</v>
      </c>
      <c r="L361" s="604">
        <v>0.77083333333333337</v>
      </c>
      <c r="M361" s="605">
        <f t="shared" si="31"/>
        <v>0.77083333333333337</v>
      </c>
      <c r="N361" s="663"/>
      <c r="P361" s="37" t="str">
        <f t="shared" si="32"/>
        <v>1978F0</v>
      </c>
      <c r="Q361" s="37" t="str">
        <f t="shared" si="33"/>
        <v>F018</v>
      </c>
      <c r="R361" s="37" t="str">
        <f t="shared" si="34"/>
        <v>MayF0</v>
      </c>
    </row>
    <row r="362" spans="1:18">
      <c r="A362" s="616">
        <f t="shared" si="35"/>
        <v>358</v>
      </c>
      <c r="B362" s="617">
        <v>7</v>
      </c>
      <c r="C362" s="618">
        <v>28630</v>
      </c>
      <c r="D362" s="618" t="s">
        <v>177</v>
      </c>
      <c r="E362" s="619">
        <v>20</v>
      </c>
      <c r="F362" s="603">
        <v>1978</v>
      </c>
      <c r="G362" s="617" t="s">
        <v>143</v>
      </c>
      <c r="H362" s="620" t="s">
        <v>149</v>
      </c>
      <c r="I362" s="621">
        <v>30</v>
      </c>
      <c r="J362" s="621">
        <v>2</v>
      </c>
      <c r="K362" s="603">
        <f t="shared" si="36"/>
        <v>23</v>
      </c>
      <c r="L362" s="604">
        <v>0.96597222222222223</v>
      </c>
      <c r="M362" s="605">
        <f t="shared" si="31"/>
        <v>0.96597222222222223</v>
      </c>
      <c r="N362" s="663"/>
      <c r="P362" s="37" t="str">
        <f t="shared" si="32"/>
        <v>1978F0</v>
      </c>
      <c r="Q362" s="37" t="str">
        <f t="shared" si="33"/>
        <v>F023</v>
      </c>
      <c r="R362" s="37" t="str">
        <f t="shared" si="34"/>
        <v>MayF0</v>
      </c>
    </row>
    <row r="363" spans="1:18">
      <c r="A363" s="616">
        <f t="shared" si="35"/>
        <v>359</v>
      </c>
      <c r="B363" s="617">
        <v>8</v>
      </c>
      <c r="C363" s="618">
        <v>28635</v>
      </c>
      <c r="D363" s="618" t="s">
        <v>177</v>
      </c>
      <c r="E363" s="619">
        <v>25</v>
      </c>
      <c r="F363" s="603">
        <v>1978</v>
      </c>
      <c r="G363" s="617" t="s">
        <v>144</v>
      </c>
      <c r="H363" s="620" t="s">
        <v>149</v>
      </c>
      <c r="I363" s="621">
        <v>60</v>
      </c>
      <c r="J363" s="621">
        <v>6.1</v>
      </c>
      <c r="K363" s="603">
        <f t="shared" si="36"/>
        <v>18</v>
      </c>
      <c r="L363" s="604">
        <v>0.76736111111111116</v>
      </c>
      <c r="M363" s="605">
        <f t="shared" si="31"/>
        <v>0.76736111111111116</v>
      </c>
      <c r="N363" s="663"/>
      <c r="P363" s="37" t="str">
        <f t="shared" si="32"/>
        <v>1978F0</v>
      </c>
      <c r="Q363" s="37" t="str">
        <f t="shared" si="33"/>
        <v>F018</v>
      </c>
      <c r="R363" s="37" t="str">
        <f t="shared" si="34"/>
        <v>MayF0</v>
      </c>
    </row>
    <row r="364" spans="1:18">
      <c r="A364" s="616">
        <f t="shared" si="35"/>
        <v>360</v>
      </c>
      <c r="B364" s="617">
        <v>9</v>
      </c>
      <c r="C364" s="618">
        <v>28636</v>
      </c>
      <c r="D364" s="618" t="s">
        <v>177</v>
      </c>
      <c r="E364" s="619">
        <v>26</v>
      </c>
      <c r="F364" s="603">
        <v>1978</v>
      </c>
      <c r="G364" s="617" t="s">
        <v>145</v>
      </c>
      <c r="H364" s="620" t="s">
        <v>149</v>
      </c>
      <c r="I364" s="621">
        <v>40</v>
      </c>
      <c r="J364" s="621">
        <v>1</v>
      </c>
      <c r="K364" s="603">
        <f t="shared" si="36"/>
        <v>18</v>
      </c>
      <c r="L364" s="604">
        <v>0.78888888888888886</v>
      </c>
      <c r="M364" s="605">
        <f t="shared" si="31"/>
        <v>0.78888888888888886</v>
      </c>
      <c r="N364" s="663"/>
      <c r="P364" s="37" t="str">
        <f t="shared" si="32"/>
        <v>1978F0</v>
      </c>
      <c r="Q364" s="37" t="str">
        <f t="shared" si="33"/>
        <v>F018</v>
      </c>
      <c r="R364" s="37" t="str">
        <f t="shared" si="34"/>
        <v>MayF0</v>
      </c>
    </row>
    <row r="365" spans="1:18">
      <c r="A365" s="616">
        <f t="shared" si="35"/>
        <v>361</v>
      </c>
      <c r="B365" s="617">
        <v>10</v>
      </c>
      <c r="C365" s="618">
        <v>28636</v>
      </c>
      <c r="D365" s="618" t="s">
        <v>177</v>
      </c>
      <c r="E365" s="619">
        <v>26</v>
      </c>
      <c r="F365" s="603">
        <v>1978</v>
      </c>
      <c r="G365" s="617" t="s">
        <v>144</v>
      </c>
      <c r="H365" s="620" t="s">
        <v>149</v>
      </c>
      <c r="I365" s="621">
        <v>30</v>
      </c>
      <c r="J365" s="621">
        <v>2</v>
      </c>
      <c r="K365" s="603">
        <f t="shared" si="36"/>
        <v>19</v>
      </c>
      <c r="L365" s="604">
        <v>0.7944444444444444</v>
      </c>
      <c r="M365" s="605">
        <f t="shared" si="31"/>
        <v>0.7944444444444444</v>
      </c>
      <c r="N365" s="663"/>
      <c r="P365" s="37" t="str">
        <f t="shared" si="32"/>
        <v>1978F0</v>
      </c>
      <c r="Q365" s="37" t="str">
        <f t="shared" si="33"/>
        <v>F019</v>
      </c>
      <c r="R365" s="37" t="str">
        <f t="shared" si="34"/>
        <v>MayF0</v>
      </c>
    </row>
    <row r="366" spans="1:18">
      <c r="A366" s="616">
        <f t="shared" si="35"/>
        <v>362</v>
      </c>
      <c r="B366" s="617">
        <v>11</v>
      </c>
      <c r="C366" s="618">
        <v>28636</v>
      </c>
      <c r="D366" s="618" t="s">
        <v>177</v>
      </c>
      <c r="E366" s="619">
        <v>26</v>
      </c>
      <c r="F366" s="603">
        <v>1978</v>
      </c>
      <c r="G366" s="617" t="s">
        <v>144</v>
      </c>
      <c r="H366" s="620" t="s">
        <v>149</v>
      </c>
      <c r="I366" s="621">
        <v>50</v>
      </c>
      <c r="J366" s="621">
        <v>2</v>
      </c>
      <c r="K366" s="603">
        <f t="shared" si="36"/>
        <v>19</v>
      </c>
      <c r="L366" s="604">
        <v>0.80902777777777779</v>
      </c>
      <c r="M366" s="605">
        <f t="shared" si="31"/>
        <v>0.80902777777777779</v>
      </c>
      <c r="N366" s="663"/>
      <c r="P366" s="37" t="str">
        <f t="shared" si="32"/>
        <v>1978F0</v>
      </c>
      <c r="Q366" s="37" t="str">
        <f t="shared" si="33"/>
        <v>F019</v>
      </c>
      <c r="R366" s="37" t="str">
        <f t="shared" si="34"/>
        <v>MayF0</v>
      </c>
    </row>
    <row r="367" spans="1:18">
      <c r="A367" s="616">
        <f t="shared" si="35"/>
        <v>363</v>
      </c>
      <c r="B367" s="617">
        <v>12</v>
      </c>
      <c r="C367" s="618">
        <v>28636</v>
      </c>
      <c r="D367" s="618" t="s">
        <v>177</v>
      </c>
      <c r="E367" s="619">
        <v>26</v>
      </c>
      <c r="F367" s="603">
        <v>1978</v>
      </c>
      <c r="G367" s="617" t="s">
        <v>147</v>
      </c>
      <c r="H367" s="620" t="s">
        <v>149</v>
      </c>
      <c r="I367" s="621">
        <v>40</v>
      </c>
      <c r="J367" s="621">
        <v>1</v>
      </c>
      <c r="K367" s="603">
        <f t="shared" si="36"/>
        <v>22</v>
      </c>
      <c r="L367" s="604">
        <v>0.91666666666666663</v>
      </c>
      <c r="M367" s="605">
        <f t="shared" si="31"/>
        <v>0.91666666666666663</v>
      </c>
      <c r="N367" s="663"/>
      <c r="P367" s="37" t="str">
        <f t="shared" si="32"/>
        <v>1978F0</v>
      </c>
      <c r="Q367" s="37" t="str">
        <f t="shared" si="33"/>
        <v>F022</v>
      </c>
      <c r="R367" s="37" t="str">
        <f t="shared" si="34"/>
        <v>MayF0</v>
      </c>
    </row>
    <row r="368" spans="1:18">
      <c r="A368" s="616">
        <f t="shared" si="35"/>
        <v>364</v>
      </c>
      <c r="B368" s="617">
        <v>13</v>
      </c>
      <c r="C368" s="618">
        <v>28637</v>
      </c>
      <c r="D368" s="618" t="s">
        <v>177</v>
      </c>
      <c r="E368" s="619">
        <v>27</v>
      </c>
      <c r="F368" s="603">
        <v>1978</v>
      </c>
      <c r="G368" s="617" t="s">
        <v>148</v>
      </c>
      <c r="H368" s="620" t="s">
        <v>149</v>
      </c>
      <c r="I368" s="621">
        <v>30</v>
      </c>
      <c r="J368" s="621">
        <v>2</v>
      </c>
      <c r="K368" s="603">
        <f t="shared" si="36"/>
        <v>2</v>
      </c>
      <c r="L368" s="604">
        <v>8.3333333333333329E-2</v>
      </c>
      <c r="M368" s="605">
        <f t="shared" si="31"/>
        <v>8.3333333333333329E-2</v>
      </c>
      <c r="N368" s="663"/>
      <c r="P368" s="37" t="str">
        <f t="shared" si="32"/>
        <v>1978F0</v>
      </c>
      <c r="Q368" s="37" t="str">
        <f t="shared" si="33"/>
        <v>F02</v>
      </c>
      <c r="R368" s="37" t="str">
        <f t="shared" si="34"/>
        <v>MayF0</v>
      </c>
    </row>
    <row r="369" spans="1:18">
      <c r="A369" s="616">
        <f t="shared" si="35"/>
        <v>365</v>
      </c>
      <c r="B369" s="617">
        <v>14</v>
      </c>
      <c r="C369" s="618">
        <v>28641</v>
      </c>
      <c r="D369" s="618" t="s">
        <v>177</v>
      </c>
      <c r="E369" s="619">
        <v>31</v>
      </c>
      <c r="F369" s="603">
        <v>1978</v>
      </c>
      <c r="G369" s="617" t="s">
        <v>144</v>
      </c>
      <c r="H369" s="620" t="s">
        <v>149</v>
      </c>
      <c r="I369" s="621">
        <v>30</v>
      </c>
      <c r="J369" s="621">
        <v>2</v>
      </c>
      <c r="K369" s="603">
        <f t="shared" si="36"/>
        <v>15</v>
      </c>
      <c r="L369" s="604">
        <v>0.64930555555555558</v>
      </c>
      <c r="M369" s="605">
        <f t="shared" si="31"/>
        <v>0.64930555555555558</v>
      </c>
      <c r="N369" s="663"/>
      <c r="P369" s="37" t="str">
        <f t="shared" si="32"/>
        <v>1978F0</v>
      </c>
      <c r="Q369" s="37" t="str">
        <f t="shared" si="33"/>
        <v>F015</v>
      </c>
      <c r="R369" s="37" t="str">
        <f t="shared" si="34"/>
        <v>MayF0</v>
      </c>
    </row>
    <row r="370" spans="1:18">
      <c r="A370" s="616">
        <f t="shared" si="35"/>
        <v>366</v>
      </c>
      <c r="B370" s="617">
        <v>15</v>
      </c>
      <c r="C370" s="618">
        <v>28645</v>
      </c>
      <c r="D370" s="618" t="s">
        <v>178</v>
      </c>
      <c r="E370" s="619">
        <v>4</v>
      </c>
      <c r="F370" s="603">
        <v>1978</v>
      </c>
      <c r="G370" s="617" t="s">
        <v>130</v>
      </c>
      <c r="H370" s="620" t="s">
        <v>149</v>
      </c>
      <c r="I370" s="621">
        <v>60</v>
      </c>
      <c r="J370" s="621">
        <v>1</v>
      </c>
      <c r="K370" s="603">
        <f t="shared" si="36"/>
        <v>0</v>
      </c>
      <c r="L370" s="604">
        <v>2.9861111111111113E-2</v>
      </c>
      <c r="M370" s="605">
        <f t="shared" si="31"/>
        <v>2.9861111111111113E-2</v>
      </c>
      <c r="N370" s="663"/>
      <c r="P370" s="37" t="str">
        <f t="shared" si="32"/>
        <v>1978F0</v>
      </c>
      <c r="Q370" s="37" t="str">
        <f t="shared" si="33"/>
        <v>F00</v>
      </c>
      <c r="R370" s="37" t="str">
        <f t="shared" si="34"/>
        <v>JuneF0</v>
      </c>
    </row>
    <row r="371" spans="1:18">
      <c r="A371" s="616">
        <f t="shared" si="35"/>
        <v>367</v>
      </c>
      <c r="B371" s="617">
        <v>16</v>
      </c>
      <c r="C371" s="618">
        <v>28672</v>
      </c>
      <c r="D371" s="618" t="s">
        <v>179</v>
      </c>
      <c r="E371" s="619">
        <v>1</v>
      </c>
      <c r="F371" s="603">
        <v>1978</v>
      </c>
      <c r="G371" s="617" t="s">
        <v>130</v>
      </c>
      <c r="H371" s="620" t="s">
        <v>149</v>
      </c>
      <c r="I371" s="621">
        <v>7</v>
      </c>
      <c r="J371" s="621">
        <v>0.4</v>
      </c>
      <c r="K371" s="603">
        <f t="shared" si="36"/>
        <v>16</v>
      </c>
      <c r="L371" s="604">
        <v>0.68055555555555547</v>
      </c>
      <c r="M371" s="605">
        <f t="shared" si="31"/>
        <v>0.68055555555555547</v>
      </c>
      <c r="N371" s="663"/>
      <c r="P371" s="37" t="str">
        <f t="shared" si="32"/>
        <v>1978F0</v>
      </c>
      <c r="Q371" s="37" t="str">
        <f t="shared" si="33"/>
        <v>F016</v>
      </c>
      <c r="R371" s="37" t="str">
        <f t="shared" si="34"/>
        <v>JulyF0</v>
      </c>
    </row>
    <row r="372" spans="1:18">
      <c r="A372" s="616">
        <f t="shared" si="35"/>
        <v>368</v>
      </c>
      <c r="B372" s="617">
        <v>1</v>
      </c>
      <c r="C372" s="618">
        <v>28932</v>
      </c>
      <c r="D372" s="632" t="s">
        <v>175</v>
      </c>
      <c r="E372" s="633">
        <v>18</v>
      </c>
      <c r="F372" s="603">
        <v>1979</v>
      </c>
      <c r="G372" s="617" t="s">
        <v>141</v>
      </c>
      <c r="H372" s="620" t="s">
        <v>149</v>
      </c>
      <c r="I372" s="621">
        <v>30</v>
      </c>
      <c r="J372" s="621">
        <v>0.5</v>
      </c>
      <c r="K372" s="603">
        <f t="shared" si="36"/>
        <v>2</v>
      </c>
      <c r="L372" s="604">
        <v>0.10416666666666667</v>
      </c>
      <c r="M372" s="605">
        <f t="shared" si="31"/>
        <v>0.10416666666666667</v>
      </c>
      <c r="N372" s="663"/>
      <c r="P372" s="37" t="str">
        <f t="shared" si="32"/>
        <v>1979F0</v>
      </c>
      <c r="Q372" s="37" t="str">
        <f t="shared" si="33"/>
        <v>F02</v>
      </c>
      <c r="R372" s="37" t="str">
        <f t="shared" si="34"/>
        <v>MarchF0</v>
      </c>
    </row>
    <row r="373" spans="1:18">
      <c r="A373" s="616">
        <f t="shared" si="35"/>
        <v>369</v>
      </c>
      <c r="B373" s="617">
        <v>2</v>
      </c>
      <c r="C373" s="618">
        <v>28932</v>
      </c>
      <c r="D373" s="632" t="s">
        <v>175</v>
      </c>
      <c r="E373" s="633">
        <v>18</v>
      </c>
      <c r="F373" s="603">
        <v>1979</v>
      </c>
      <c r="G373" s="617" t="s">
        <v>148</v>
      </c>
      <c r="H373" s="620" t="s">
        <v>150</v>
      </c>
      <c r="I373" s="621">
        <v>500</v>
      </c>
      <c r="J373" s="621">
        <v>13.3</v>
      </c>
      <c r="K373" s="603">
        <f t="shared" si="36"/>
        <v>3</v>
      </c>
      <c r="L373" s="604">
        <v>0.13194444444444445</v>
      </c>
      <c r="M373" s="605">
        <f t="shared" si="31"/>
        <v>0.13194444444444445</v>
      </c>
      <c r="N373" s="663"/>
      <c r="P373" s="37" t="str">
        <f t="shared" si="32"/>
        <v>1979F1</v>
      </c>
      <c r="Q373" s="37" t="str">
        <f t="shared" si="33"/>
        <v>F13</v>
      </c>
      <c r="R373" s="37" t="str">
        <f t="shared" si="34"/>
        <v>MarchF1</v>
      </c>
    </row>
    <row r="374" spans="1:18">
      <c r="A374" s="616">
        <f t="shared" si="35"/>
        <v>370</v>
      </c>
      <c r="B374" s="617">
        <v>3</v>
      </c>
      <c r="C374" s="618">
        <v>28984</v>
      </c>
      <c r="D374" s="618" t="s">
        <v>177</v>
      </c>
      <c r="E374" s="619">
        <v>9</v>
      </c>
      <c r="F374" s="603">
        <v>1979</v>
      </c>
      <c r="G374" s="617" t="s">
        <v>138</v>
      </c>
      <c r="H374" s="620" t="s">
        <v>149</v>
      </c>
      <c r="I374" s="621">
        <v>33</v>
      </c>
      <c r="J374" s="621">
        <v>5.7</v>
      </c>
      <c r="K374" s="603">
        <f t="shared" si="36"/>
        <v>17</v>
      </c>
      <c r="L374" s="604">
        <v>0.72013888888888899</v>
      </c>
      <c r="M374" s="605">
        <f t="shared" si="31"/>
        <v>0.72013888888888899</v>
      </c>
      <c r="N374" s="663"/>
      <c r="P374" s="37" t="str">
        <f t="shared" si="32"/>
        <v>1979F0</v>
      </c>
      <c r="Q374" s="37" t="str">
        <f t="shared" si="33"/>
        <v>F017</v>
      </c>
      <c r="R374" s="37" t="str">
        <f t="shared" si="34"/>
        <v>MayF0</v>
      </c>
    </row>
    <row r="375" spans="1:18">
      <c r="A375" s="616">
        <f t="shared" si="35"/>
        <v>371</v>
      </c>
      <c r="B375" s="617">
        <v>4</v>
      </c>
      <c r="C375" s="618">
        <v>29001</v>
      </c>
      <c r="D375" s="618" t="s">
        <v>177</v>
      </c>
      <c r="E375" s="619">
        <v>26</v>
      </c>
      <c r="F375" s="603">
        <v>1979</v>
      </c>
      <c r="G375" s="617" t="s">
        <v>142</v>
      </c>
      <c r="H375" s="620" t="s">
        <v>149</v>
      </c>
      <c r="I375" s="621">
        <v>30</v>
      </c>
      <c r="J375" s="621">
        <v>0.3</v>
      </c>
      <c r="K375" s="603">
        <f t="shared" si="36"/>
        <v>15</v>
      </c>
      <c r="L375" s="604">
        <v>0.65347222222222223</v>
      </c>
      <c r="M375" s="605">
        <f t="shared" si="31"/>
        <v>0.65347222222222223</v>
      </c>
      <c r="N375" s="663"/>
      <c r="P375" s="37" t="str">
        <f t="shared" si="32"/>
        <v>1979F0</v>
      </c>
      <c r="Q375" s="37" t="str">
        <f t="shared" si="33"/>
        <v>F015</v>
      </c>
      <c r="R375" s="37" t="str">
        <f t="shared" si="34"/>
        <v>MayF0</v>
      </c>
    </row>
    <row r="376" spans="1:18">
      <c r="A376" s="616">
        <f t="shared" si="35"/>
        <v>372</v>
      </c>
      <c r="B376" s="617">
        <v>5</v>
      </c>
      <c r="C376" s="618">
        <v>29002</v>
      </c>
      <c r="D376" s="618" t="s">
        <v>177</v>
      </c>
      <c r="E376" s="619">
        <v>27</v>
      </c>
      <c r="F376" s="603">
        <v>1979</v>
      </c>
      <c r="G376" s="617" t="s">
        <v>139</v>
      </c>
      <c r="H376" s="620" t="s">
        <v>149</v>
      </c>
      <c r="I376" s="621">
        <v>10</v>
      </c>
      <c r="J376" s="621">
        <v>0.1</v>
      </c>
      <c r="K376" s="603">
        <f t="shared" si="36"/>
        <v>16</v>
      </c>
      <c r="L376" s="604">
        <v>0.6875</v>
      </c>
      <c r="M376" s="605">
        <f t="shared" si="31"/>
        <v>0.6875</v>
      </c>
      <c r="N376" s="663"/>
      <c r="P376" s="37" t="str">
        <f t="shared" si="32"/>
        <v>1979F0</v>
      </c>
      <c r="Q376" s="37" t="str">
        <f t="shared" si="33"/>
        <v>F016</v>
      </c>
      <c r="R376" s="37" t="str">
        <f t="shared" si="34"/>
        <v>MayF0</v>
      </c>
    </row>
    <row r="377" spans="1:18">
      <c r="A377" s="616">
        <f t="shared" si="35"/>
        <v>373</v>
      </c>
      <c r="B377" s="617">
        <v>6</v>
      </c>
      <c r="C377" s="618">
        <v>29043</v>
      </c>
      <c r="D377" s="618" t="s">
        <v>179</v>
      </c>
      <c r="E377" s="619">
        <v>7</v>
      </c>
      <c r="F377" s="603">
        <v>1979</v>
      </c>
      <c r="G377" s="617" t="s">
        <v>140</v>
      </c>
      <c r="H377" s="620" t="s">
        <v>149</v>
      </c>
      <c r="I377" s="621">
        <v>10</v>
      </c>
      <c r="J377" s="621">
        <v>0.1</v>
      </c>
      <c r="K377" s="603">
        <f t="shared" si="36"/>
        <v>21</v>
      </c>
      <c r="L377" s="604">
        <v>0.88194444444444453</v>
      </c>
      <c r="M377" s="605">
        <f t="shared" si="31"/>
        <v>0.88194444444444453</v>
      </c>
      <c r="N377" s="663"/>
      <c r="P377" s="37" t="str">
        <f t="shared" si="32"/>
        <v>1979F0</v>
      </c>
      <c r="Q377" s="37" t="str">
        <f t="shared" si="33"/>
        <v>F021</v>
      </c>
      <c r="R377" s="37" t="str">
        <f t="shared" si="34"/>
        <v>JulyF0</v>
      </c>
    </row>
    <row r="378" spans="1:18">
      <c r="A378" s="616">
        <f t="shared" si="35"/>
        <v>374</v>
      </c>
      <c r="B378" s="617">
        <v>7</v>
      </c>
      <c r="C378" s="618">
        <v>29059</v>
      </c>
      <c r="D378" s="618" t="s">
        <v>179</v>
      </c>
      <c r="E378" s="619">
        <v>23</v>
      </c>
      <c r="F378" s="603">
        <v>1979</v>
      </c>
      <c r="G378" s="617" t="s">
        <v>138</v>
      </c>
      <c r="H378" s="620" t="s">
        <v>149</v>
      </c>
      <c r="I378" s="621">
        <v>10</v>
      </c>
      <c r="J378" s="621">
        <v>0.1</v>
      </c>
      <c r="K378" s="603">
        <f t="shared" si="36"/>
        <v>16</v>
      </c>
      <c r="L378" s="604">
        <v>0.70486111111111116</v>
      </c>
      <c r="M378" s="605">
        <f t="shared" si="31"/>
        <v>0.70486111111111116</v>
      </c>
      <c r="N378" s="663"/>
      <c r="P378" s="37" t="str">
        <f t="shared" si="32"/>
        <v>1979F0</v>
      </c>
      <c r="Q378" s="37" t="str">
        <f t="shared" si="33"/>
        <v>F016</v>
      </c>
      <c r="R378" s="37" t="str">
        <f t="shared" si="34"/>
        <v>JulyF0</v>
      </c>
    </row>
    <row r="379" spans="1:18">
      <c r="A379" s="616">
        <f t="shared" si="35"/>
        <v>375</v>
      </c>
      <c r="B379" s="617">
        <v>8</v>
      </c>
      <c r="C379" s="618">
        <v>29060</v>
      </c>
      <c r="D379" s="618" t="s">
        <v>179</v>
      </c>
      <c r="E379" s="619">
        <v>24</v>
      </c>
      <c r="F379" s="603">
        <v>1979</v>
      </c>
      <c r="G379" s="617" t="s">
        <v>131</v>
      </c>
      <c r="H379" s="620" t="s">
        <v>149</v>
      </c>
      <c r="I379" s="621">
        <v>10</v>
      </c>
      <c r="J379" s="621">
        <v>0.1</v>
      </c>
      <c r="K379" s="603">
        <f t="shared" si="36"/>
        <v>16</v>
      </c>
      <c r="L379" s="604">
        <v>0.70486111111111116</v>
      </c>
      <c r="M379" s="605">
        <f t="shared" si="31"/>
        <v>0.70486111111111116</v>
      </c>
      <c r="N379" s="663"/>
      <c r="P379" s="37" t="str">
        <f t="shared" si="32"/>
        <v>1979F0</v>
      </c>
      <c r="Q379" s="37" t="str">
        <f t="shared" si="33"/>
        <v>F016</v>
      </c>
      <c r="R379" s="37" t="str">
        <f t="shared" si="34"/>
        <v>JulyF0</v>
      </c>
    </row>
    <row r="380" spans="1:18">
      <c r="A380" s="616">
        <f t="shared" si="35"/>
        <v>376</v>
      </c>
      <c r="B380" s="617">
        <v>9</v>
      </c>
      <c r="C380" s="618">
        <v>29060</v>
      </c>
      <c r="D380" s="618" t="s">
        <v>179</v>
      </c>
      <c r="E380" s="619">
        <v>24</v>
      </c>
      <c r="F380" s="603">
        <v>1979</v>
      </c>
      <c r="G380" s="617" t="s">
        <v>131</v>
      </c>
      <c r="H380" s="620" t="s">
        <v>149</v>
      </c>
      <c r="I380" s="621">
        <v>10</v>
      </c>
      <c r="J380" s="621">
        <v>0.1</v>
      </c>
      <c r="K380" s="603">
        <f t="shared" si="36"/>
        <v>16</v>
      </c>
      <c r="L380" s="604">
        <v>0.70486111111111116</v>
      </c>
      <c r="M380" s="605">
        <f t="shared" si="31"/>
        <v>0.70486111111111116</v>
      </c>
      <c r="N380" s="663"/>
      <c r="P380" s="37" t="str">
        <f t="shared" si="32"/>
        <v>1979F0</v>
      </c>
      <c r="Q380" s="37" t="str">
        <f t="shared" si="33"/>
        <v>F016</v>
      </c>
      <c r="R380" s="37" t="str">
        <f t="shared" si="34"/>
        <v>JulyF0</v>
      </c>
    </row>
    <row r="381" spans="1:18">
      <c r="A381" s="616">
        <f t="shared" si="35"/>
        <v>377</v>
      </c>
      <c r="B381" s="617">
        <v>10</v>
      </c>
      <c r="C381" s="618">
        <v>29088</v>
      </c>
      <c r="D381" s="618" t="s">
        <v>180</v>
      </c>
      <c r="E381" s="619">
        <v>21</v>
      </c>
      <c r="F381" s="603">
        <v>1979</v>
      </c>
      <c r="G381" s="617" t="s">
        <v>138</v>
      </c>
      <c r="H381" s="620" t="s">
        <v>149</v>
      </c>
      <c r="I381" s="621">
        <v>20</v>
      </c>
      <c r="J381" s="621">
        <v>1</v>
      </c>
      <c r="K381" s="603">
        <f t="shared" si="36"/>
        <v>17</v>
      </c>
      <c r="L381" s="604">
        <v>0.73263888888888884</v>
      </c>
      <c r="M381" s="605">
        <f t="shared" si="31"/>
        <v>0.73263888888888884</v>
      </c>
      <c r="N381" s="663"/>
      <c r="P381" s="37" t="str">
        <f t="shared" si="32"/>
        <v>1979F0</v>
      </c>
      <c r="Q381" s="37" t="str">
        <f t="shared" si="33"/>
        <v>F017</v>
      </c>
      <c r="R381" s="37" t="str">
        <f t="shared" si="34"/>
        <v>AugustF0</v>
      </c>
    </row>
    <row r="382" spans="1:18">
      <c r="A382" s="616">
        <f t="shared" si="35"/>
        <v>378</v>
      </c>
      <c r="B382" s="617">
        <v>11</v>
      </c>
      <c r="C382" s="618">
        <v>29092</v>
      </c>
      <c r="D382" s="618" t="s">
        <v>180</v>
      </c>
      <c r="E382" s="619">
        <v>25</v>
      </c>
      <c r="F382" s="603">
        <v>1979</v>
      </c>
      <c r="G382" s="617" t="s">
        <v>130</v>
      </c>
      <c r="H382" s="620" t="s">
        <v>149</v>
      </c>
      <c r="I382" s="621">
        <v>10</v>
      </c>
      <c r="J382" s="621">
        <v>0.1</v>
      </c>
      <c r="K382" s="603">
        <f t="shared" si="36"/>
        <v>22</v>
      </c>
      <c r="L382" s="604">
        <v>0.92500000000000004</v>
      </c>
      <c r="M382" s="605">
        <f t="shared" si="31"/>
        <v>0.92500000000000004</v>
      </c>
      <c r="N382" s="663"/>
      <c r="P382" s="37" t="str">
        <f t="shared" si="32"/>
        <v>1979F0</v>
      </c>
      <c r="Q382" s="37" t="str">
        <f t="shared" si="33"/>
        <v>F022</v>
      </c>
      <c r="R382" s="37" t="str">
        <f t="shared" si="34"/>
        <v>AugustF0</v>
      </c>
    </row>
    <row r="383" spans="1:18">
      <c r="A383" s="616">
        <f t="shared" si="35"/>
        <v>379</v>
      </c>
      <c r="B383" s="617">
        <v>1</v>
      </c>
      <c r="C383" s="618">
        <v>29335</v>
      </c>
      <c r="D383" s="618" t="s">
        <v>176</v>
      </c>
      <c r="E383" s="619">
        <v>24</v>
      </c>
      <c r="F383" s="603">
        <v>1980</v>
      </c>
      <c r="G383" s="617" t="s">
        <v>145</v>
      </c>
      <c r="H383" s="620" t="s">
        <v>149</v>
      </c>
      <c r="I383" s="621">
        <v>7</v>
      </c>
      <c r="J383" s="621">
        <v>0.5</v>
      </c>
      <c r="K383" s="603">
        <f t="shared" si="36"/>
        <v>12</v>
      </c>
      <c r="L383" s="604">
        <v>0.50694444444444442</v>
      </c>
      <c r="M383" s="605">
        <f t="shared" ref="M383:M442" si="37">+L383</f>
        <v>0.50694444444444442</v>
      </c>
      <c r="N383" s="663"/>
      <c r="P383" s="37" t="str">
        <f t="shared" si="32"/>
        <v>1980F0</v>
      </c>
      <c r="Q383" s="37" t="str">
        <f t="shared" si="33"/>
        <v>F012</v>
      </c>
      <c r="R383" s="37" t="str">
        <f t="shared" si="34"/>
        <v>AprilF0</v>
      </c>
    </row>
    <row r="384" spans="1:18">
      <c r="A384" s="616">
        <f t="shared" si="35"/>
        <v>380</v>
      </c>
      <c r="B384" s="617">
        <v>2</v>
      </c>
      <c r="C384" s="618">
        <v>29335</v>
      </c>
      <c r="D384" s="618" t="s">
        <v>176</v>
      </c>
      <c r="E384" s="619">
        <v>24</v>
      </c>
      <c r="F384" s="603">
        <v>1980</v>
      </c>
      <c r="G384" s="617" t="s">
        <v>138</v>
      </c>
      <c r="H384" s="620" t="s">
        <v>149</v>
      </c>
      <c r="I384" s="621">
        <v>7</v>
      </c>
      <c r="J384" s="621">
        <v>1.5</v>
      </c>
      <c r="K384" s="603">
        <f t="shared" si="36"/>
        <v>17</v>
      </c>
      <c r="L384" s="604">
        <v>0.72916666666666663</v>
      </c>
      <c r="M384" s="605">
        <f t="shared" si="37"/>
        <v>0.72916666666666663</v>
      </c>
      <c r="N384" s="663"/>
      <c r="P384" s="37" t="str">
        <f t="shared" si="32"/>
        <v>1980F0</v>
      </c>
      <c r="Q384" s="37" t="str">
        <f t="shared" si="33"/>
        <v>F017</v>
      </c>
      <c r="R384" s="37" t="str">
        <f t="shared" si="34"/>
        <v>AprilF0</v>
      </c>
    </row>
    <row r="385" spans="1:18">
      <c r="A385" s="616">
        <f t="shared" si="35"/>
        <v>381</v>
      </c>
      <c r="B385" s="617">
        <v>3</v>
      </c>
      <c r="C385" s="618">
        <v>29361</v>
      </c>
      <c r="D385" s="618" t="s">
        <v>177</v>
      </c>
      <c r="E385" s="619">
        <v>20</v>
      </c>
      <c r="F385" s="603">
        <v>1980</v>
      </c>
      <c r="G385" s="617" t="s">
        <v>128</v>
      </c>
      <c r="H385" s="620" t="s">
        <v>149</v>
      </c>
      <c r="I385" s="621">
        <v>10</v>
      </c>
      <c r="J385" s="621">
        <v>0.1</v>
      </c>
      <c r="K385" s="603">
        <f t="shared" si="36"/>
        <v>16</v>
      </c>
      <c r="L385" s="604">
        <v>0.68402777777777779</v>
      </c>
      <c r="M385" s="605">
        <f t="shared" si="37"/>
        <v>0.68402777777777779</v>
      </c>
      <c r="N385" s="663"/>
      <c r="P385" s="37" t="str">
        <f t="shared" si="32"/>
        <v>1980F0</v>
      </c>
      <c r="Q385" s="37" t="str">
        <f t="shared" si="33"/>
        <v>F016</v>
      </c>
      <c r="R385" s="37" t="str">
        <f t="shared" si="34"/>
        <v>MayF0</v>
      </c>
    </row>
    <row r="386" spans="1:18">
      <c r="A386" s="616">
        <f t="shared" si="35"/>
        <v>382</v>
      </c>
      <c r="B386" s="617">
        <v>4</v>
      </c>
      <c r="C386" s="618">
        <v>29368</v>
      </c>
      <c r="D386" s="618" t="s">
        <v>177</v>
      </c>
      <c r="E386" s="619">
        <v>27</v>
      </c>
      <c r="F386" s="603">
        <v>1980</v>
      </c>
      <c r="G386" s="617" t="s">
        <v>135</v>
      </c>
      <c r="H386" s="620" t="s">
        <v>150</v>
      </c>
      <c r="I386" s="621">
        <v>10</v>
      </c>
      <c r="J386" s="621">
        <v>0.1</v>
      </c>
      <c r="K386" s="603">
        <f t="shared" si="36"/>
        <v>14</v>
      </c>
      <c r="L386" s="604">
        <v>0.59375</v>
      </c>
      <c r="M386" s="605">
        <f t="shared" si="37"/>
        <v>0.59375</v>
      </c>
      <c r="N386" s="663"/>
      <c r="P386" s="37" t="str">
        <f t="shared" si="32"/>
        <v>1980F1</v>
      </c>
      <c r="Q386" s="37" t="str">
        <f t="shared" si="33"/>
        <v>F114</v>
      </c>
      <c r="R386" s="37" t="str">
        <f t="shared" si="34"/>
        <v>MayF1</v>
      </c>
    </row>
    <row r="387" spans="1:18">
      <c r="A387" s="616">
        <f t="shared" si="35"/>
        <v>383</v>
      </c>
      <c r="B387" s="617">
        <v>5</v>
      </c>
      <c r="C387" s="618">
        <v>29368</v>
      </c>
      <c r="D387" s="618" t="s">
        <v>177</v>
      </c>
      <c r="E387" s="619">
        <v>27</v>
      </c>
      <c r="F387" s="603">
        <v>1980</v>
      </c>
      <c r="G387" s="617" t="s">
        <v>134</v>
      </c>
      <c r="H387" s="620" t="s">
        <v>149</v>
      </c>
      <c r="I387" s="621">
        <v>10</v>
      </c>
      <c r="J387" s="621">
        <v>0.1</v>
      </c>
      <c r="K387" s="603">
        <f t="shared" si="36"/>
        <v>15</v>
      </c>
      <c r="L387" s="604">
        <v>0.63541666666666663</v>
      </c>
      <c r="M387" s="605">
        <f t="shared" si="37"/>
        <v>0.63541666666666663</v>
      </c>
      <c r="N387" s="663"/>
      <c r="P387" s="37" t="str">
        <f t="shared" si="32"/>
        <v>1980F0</v>
      </c>
      <c r="Q387" s="37" t="str">
        <f t="shared" si="33"/>
        <v>F015</v>
      </c>
      <c r="R387" s="37" t="str">
        <f t="shared" si="34"/>
        <v>MayF0</v>
      </c>
    </row>
    <row r="388" spans="1:18">
      <c r="A388" s="616">
        <f t="shared" si="35"/>
        <v>384</v>
      </c>
      <c r="B388" s="617">
        <v>6</v>
      </c>
      <c r="C388" s="618">
        <v>29368</v>
      </c>
      <c r="D388" s="618" t="s">
        <v>177</v>
      </c>
      <c r="E388" s="619">
        <v>27</v>
      </c>
      <c r="F388" s="603">
        <v>1980</v>
      </c>
      <c r="G388" s="617" t="s">
        <v>134</v>
      </c>
      <c r="H388" s="620" t="s">
        <v>149</v>
      </c>
      <c r="I388" s="621">
        <v>10</v>
      </c>
      <c r="J388" s="621">
        <v>0.1</v>
      </c>
      <c r="K388" s="603">
        <f t="shared" si="36"/>
        <v>15</v>
      </c>
      <c r="L388" s="604">
        <v>0.65138888888888891</v>
      </c>
      <c r="M388" s="605">
        <f t="shared" si="37"/>
        <v>0.65138888888888891</v>
      </c>
      <c r="N388" s="663"/>
      <c r="P388" s="37" t="str">
        <f t="shared" si="32"/>
        <v>1980F0</v>
      </c>
      <c r="Q388" s="37" t="str">
        <f t="shared" si="33"/>
        <v>F015</v>
      </c>
      <c r="R388" s="37" t="str">
        <f t="shared" si="34"/>
        <v>MayF0</v>
      </c>
    </row>
    <row r="389" spans="1:18">
      <c r="A389" s="616">
        <f t="shared" si="35"/>
        <v>385</v>
      </c>
      <c r="B389" s="617">
        <v>7</v>
      </c>
      <c r="C389" s="618">
        <v>29369</v>
      </c>
      <c r="D389" s="618" t="s">
        <v>177</v>
      </c>
      <c r="E389" s="619">
        <v>28</v>
      </c>
      <c r="F389" s="603">
        <v>1980</v>
      </c>
      <c r="G389" s="617" t="s">
        <v>131</v>
      </c>
      <c r="H389" s="620" t="s">
        <v>149</v>
      </c>
      <c r="I389" s="621">
        <v>20</v>
      </c>
      <c r="J389" s="621">
        <v>0.3</v>
      </c>
      <c r="K389" s="603">
        <f t="shared" si="36"/>
        <v>17</v>
      </c>
      <c r="L389" s="604">
        <v>0.73263888888888884</v>
      </c>
      <c r="M389" s="605">
        <f t="shared" si="37"/>
        <v>0.73263888888888884</v>
      </c>
      <c r="N389" s="663"/>
      <c r="P389" s="37" t="str">
        <f t="shared" si="32"/>
        <v>1980F0</v>
      </c>
      <c r="Q389" s="37" t="str">
        <f t="shared" si="33"/>
        <v>F017</v>
      </c>
      <c r="R389" s="37" t="str">
        <f t="shared" si="34"/>
        <v>MayF0</v>
      </c>
    </row>
    <row r="390" spans="1:18">
      <c r="A390" s="616">
        <f t="shared" si="35"/>
        <v>386</v>
      </c>
      <c r="B390" s="617">
        <v>8</v>
      </c>
      <c r="C390" s="618">
        <v>29369</v>
      </c>
      <c r="D390" s="618" t="s">
        <v>177</v>
      </c>
      <c r="E390" s="619">
        <v>28</v>
      </c>
      <c r="F390" s="603">
        <v>1980</v>
      </c>
      <c r="G390" s="617" t="s">
        <v>143</v>
      </c>
      <c r="H390" s="620" t="s">
        <v>151</v>
      </c>
      <c r="I390" s="621">
        <v>50</v>
      </c>
      <c r="J390" s="621">
        <v>8</v>
      </c>
      <c r="K390" s="603">
        <f t="shared" si="36"/>
        <v>20</v>
      </c>
      <c r="L390" s="604">
        <v>0.85416666666666663</v>
      </c>
      <c r="M390" s="605">
        <f t="shared" si="37"/>
        <v>0.85416666666666663</v>
      </c>
      <c r="N390" s="663"/>
      <c r="P390" s="37" t="str">
        <f t="shared" ref="P390:P453" si="38">CONCATENATE(F390,H390)</f>
        <v>1980F2</v>
      </c>
      <c r="Q390" s="37" t="str">
        <f t="shared" ref="Q390:Q453" si="39">CONCATENATE(H390,K390)</f>
        <v>F220</v>
      </c>
      <c r="R390" s="37" t="str">
        <f t="shared" ref="R390:R453" si="40">CONCATENATE(D390,H390)</f>
        <v>MayF2</v>
      </c>
    </row>
    <row r="391" spans="1:18">
      <c r="A391" s="616">
        <f t="shared" ref="A391:A454" si="41">+A390+1</f>
        <v>387</v>
      </c>
      <c r="B391" s="617">
        <v>9</v>
      </c>
      <c r="C391" s="618">
        <v>29369</v>
      </c>
      <c r="D391" s="618" t="s">
        <v>177</v>
      </c>
      <c r="E391" s="619">
        <v>28</v>
      </c>
      <c r="F391" s="603">
        <v>1980</v>
      </c>
      <c r="G391" s="617" t="s">
        <v>148</v>
      </c>
      <c r="H391" s="620" t="s">
        <v>151</v>
      </c>
      <c r="I391" s="621">
        <v>10</v>
      </c>
      <c r="J391" s="621">
        <v>0.1</v>
      </c>
      <c r="K391" s="603">
        <f t="shared" si="36"/>
        <v>23</v>
      </c>
      <c r="L391" s="604">
        <v>0.99652777777777779</v>
      </c>
      <c r="M391" s="605">
        <f t="shared" si="37"/>
        <v>0.99652777777777779</v>
      </c>
      <c r="N391" s="663"/>
      <c r="P391" s="37" t="str">
        <f t="shared" si="38"/>
        <v>1980F2</v>
      </c>
      <c r="Q391" s="37" t="str">
        <f t="shared" si="39"/>
        <v>F223</v>
      </c>
      <c r="R391" s="37" t="str">
        <f t="shared" si="40"/>
        <v>MayF2</v>
      </c>
    </row>
    <row r="392" spans="1:18">
      <c r="A392" s="616">
        <f t="shared" si="41"/>
        <v>388</v>
      </c>
      <c r="B392" s="617">
        <v>10</v>
      </c>
      <c r="C392" s="618">
        <v>29370</v>
      </c>
      <c r="D392" s="618" t="s">
        <v>177</v>
      </c>
      <c r="E392" s="619">
        <v>29</v>
      </c>
      <c r="F392" s="603">
        <v>1980</v>
      </c>
      <c r="G392" s="617" t="s">
        <v>148</v>
      </c>
      <c r="H392" s="620" t="s">
        <v>151</v>
      </c>
      <c r="I392" s="621">
        <v>160</v>
      </c>
      <c r="J392" s="621">
        <v>16.2</v>
      </c>
      <c r="K392" s="603">
        <f t="shared" si="36"/>
        <v>16</v>
      </c>
      <c r="L392" s="604">
        <v>0.69236111111111109</v>
      </c>
      <c r="M392" s="605">
        <f t="shared" si="37"/>
        <v>0.69236111111111109</v>
      </c>
      <c r="N392" s="663"/>
      <c r="P392" s="37" t="str">
        <f t="shared" si="38"/>
        <v>1980F2</v>
      </c>
      <c r="Q392" s="37" t="str">
        <f t="shared" si="39"/>
        <v>F216</v>
      </c>
      <c r="R392" s="37" t="str">
        <f t="shared" si="40"/>
        <v>MayF2</v>
      </c>
    </row>
    <row r="393" spans="1:18">
      <c r="A393" s="616">
        <f t="shared" si="41"/>
        <v>389</v>
      </c>
      <c r="B393" s="617">
        <v>11</v>
      </c>
      <c r="C393" s="618">
        <v>29376</v>
      </c>
      <c r="D393" s="618" t="s">
        <v>178</v>
      </c>
      <c r="E393" s="619">
        <v>4</v>
      </c>
      <c r="F393" s="603">
        <v>1980</v>
      </c>
      <c r="G393" s="617" t="s">
        <v>131</v>
      </c>
      <c r="H393" s="620" t="s">
        <v>150</v>
      </c>
      <c r="I393" s="621">
        <v>60</v>
      </c>
      <c r="J393" s="621">
        <v>2.5</v>
      </c>
      <c r="K393" s="603">
        <f t="shared" si="36"/>
        <v>17</v>
      </c>
      <c r="L393" s="604">
        <v>0.73611111111111116</v>
      </c>
      <c r="M393" s="605">
        <f t="shared" si="37"/>
        <v>0.73611111111111116</v>
      </c>
      <c r="N393" s="663"/>
      <c r="P393" s="37" t="str">
        <f t="shared" si="38"/>
        <v>1980F1</v>
      </c>
      <c r="Q393" s="37" t="str">
        <f t="shared" si="39"/>
        <v>F117</v>
      </c>
      <c r="R393" s="37" t="str">
        <f t="shared" si="40"/>
        <v>JuneF1</v>
      </c>
    </row>
    <row r="394" spans="1:18">
      <c r="A394" s="616">
        <f t="shared" si="41"/>
        <v>390</v>
      </c>
      <c r="B394" s="617">
        <v>12</v>
      </c>
      <c r="C394" s="618">
        <v>29438</v>
      </c>
      <c r="D394" s="618" t="s">
        <v>180</v>
      </c>
      <c r="E394" s="619">
        <v>5</v>
      </c>
      <c r="F394" s="603">
        <v>1980</v>
      </c>
      <c r="G394" s="617" t="s">
        <v>127</v>
      </c>
      <c r="H394" s="620" t="s">
        <v>150</v>
      </c>
      <c r="I394" s="621">
        <v>100</v>
      </c>
      <c r="J394" s="621">
        <v>0.6</v>
      </c>
      <c r="K394" s="603">
        <f t="shared" si="36"/>
        <v>16</v>
      </c>
      <c r="L394" s="604">
        <v>0.66666666666666663</v>
      </c>
      <c r="M394" s="605">
        <f t="shared" si="37"/>
        <v>0.66666666666666663</v>
      </c>
      <c r="N394" s="663"/>
      <c r="P394" s="37" t="str">
        <f t="shared" si="38"/>
        <v>1980F1</v>
      </c>
      <c r="Q394" s="37" t="str">
        <f t="shared" si="39"/>
        <v>F116</v>
      </c>
      <c r="R394" s="37" t="str">
        <f t="shared" si="40"/>
        <v>AugustF1</v>
      </c>
    </row>
    <row r="395" spans="1:18">
      <c r="A395" s="616">
        <f t="shared" si="41"/>
        <v>391</v>
      </c>
      <c r="B395" s="617">
        <v>13</v>
      </c>
      <c r="C395" s="618">
        <v>29438</v>
      </c>
      <c r="D395" s="618" t="s">
        <v>180</v>
      </c>
      <c r="E395" s="619">
        <v>5</v>
      </c>
      <c r="F395" s="603">
        <v>1980</v>
      </c>
      <c r="G395" s="617" t="s">
        <v>127</v>
      </c>
      <c r="H395" s="620" t="s">
        <v>150</v>
      </c>
      <c r="I395" s="621">
        <v>100</v>
      </c>
      <c r="J395" s="621">
        <v>3.6</v>
      </c>
      <c r="K395" s="603">
        <f t="shared" si="36"/>
        <v>16</v>
      </c>
      <c r="L395" s="604">
        <v>0.69444444444444453</v>
      </c>
      <c r="M395" s="605">
        <f t="shared" si="37"/>
        <v>0.69444444444444453</v>
      </c>
      <c r="N395" s="663"/>
      <c r="P395" s="37" t="str">
        <f t="shared" si="38"/>
        <v>1980F1</v>
      </c>
      <c r="Q395" s="37" t="str">
        <f t="shared" si="39"/>
        <v>F116</v>
      </c>
      <c r="R395" s="37" t="str">
        <f t="shared" si="40"/>
        <v>AugustF1</v>
      </c>
    </row>
    <row r="396" spans="1:18">
      <c r="A396" s="616">
        <f t="shared" si="41"/>
        <v>392</v>
      </c>
      <c r="B396" s="617">
        <v>1</v>
      </c>
      <c r="C396" s="618">
        <v>29648</v>
      </c>
      <c r="D396" s="632" t="s">
        <v>175</v>
      </c>
      <c r="E396" s="633">
        <v>3</v>
      </c>
      <c r="F396" s="603">
        <v>1981</v>
      </c>
      <c r="G396" s="617" t="s">
        <v>136</v>
      </c>
      <c r="H396" s="620" t="s">
        <v>149</v>
      </c>
      <c r="I396" s="621">
        <v>50</v>
      </c>
      <c r="J396" s="621">
        <v>1</v>
      </c>
      <c r="K396" s="603">
        <f t="shared" si="36"/>
        <v>16</v>
      </c>
      <c r="L396" s="604">
        <v>0.68402777777777779</v>
      </c>
      <c r="M396" s="605">
        <f t="shared" si="37"/>
        <v>0.68402777777777779</v>
      </c>
      <c r="N396" s="663"/>
      <c r="P396" s="37" t="str">
        <f t="shared" si="38"/>
        <v>1981F0</v>
      </c>
      <c r="Q396" s="37" t="str">
        <f t="shared" si="39"/>
        <v>F016</v>
      </c>
      <c r="R396" s="37" t="str">
        <f t="shared" si="40"/>
        <v>MarchF0</v>
      </c>
    </row>
    <row r="397" spans="1:18">
      <c r="A397" s="616">
        <f t="shared" si="41"/>
        <v>393</v>
      </c>
      <c r="B397" s="617">
        <v>2</v>
      </c>
      <c r="C397" s="618">
        <v>29712</v>
      </c>
      <c r="D397" s="618" t="s">
        <v>177</v>
      </c>
      <c r="E397" s="619">
        <v>6</v>
      </c>
      <c r="F397" s="603">
        <v>1981</v>
      </c>
      <c r="G397" s="617" t="s">
        <v>131</v>
      </c>
      <c r="H397" s="620" t="s">
        <v>149</v>
      </c>
      <c r="I397" s="621">
        <v>30</v>
      </c>
      <c r="J397" s="621">
        <v>0.5</v>
      </c>
      <c r="K397" s="603">
        <f t="shared" si="36"/>
        <v>20</v>
      </c>
      <c r="L397" s="604">
        <v>0.84722222222222221</v>
      </c>
      <c r="M397" s="605">
        <f t="shared" si="37"/>
        <v>0.84722222222222221</v>
      </c>
      <c r="N397" s="663"/>
      <c r="P397" s="37" t="str">
        <f t="shared" si="38"/>
        <v>1981F0</v>
      </c>
      <c r="Q397" s="37" t="str">
        <f t="shared" si="39"/>
        <v>F020</v>
      </c>
      <c r="R397" s="37" t="str">
        <f t="shared" si="40"/>
        <v>MayF0</v>
      </c>
    </row>
    <row r="398" spans="1:18">
      <c r="A398" s="616">
        <f t="shared" si="41"/>
        <v>394</v>
      </c>
      <c r="B398" s="617">
        <v>3</v>
      </c>
      <c r="C398" s="618">
        <v>29714</v>
      </c>
      <c r="D398" s="618" t="s">
        <v>177</v>
      </c>
      <c r="E398" s="619">
        <v>8</v>
      </c>
      <c r="F398" s="603">
        <v>1981</v>
      </c>
      <c r="G398" s="617" t="s">
        <v>138</v>
      </c>
      <c r="H398" s="620" t="s">
        <v>150</v>
      </c>
      <c r="I398" s="621">
        <v>30</v>
      </c>
      <c r="J398" s="621">
        <v>1</v>
      </c>
      <c r="K398" s="603">
        <f t="shared" si="36"/>
        <v>22</v>
      </c>
      <c r="L398" s="604">
        <v>0.9375</v>
      </c>
      <c r="M398" s="605">
        <f t="shared" si="37"/>
        <v>0.9375</v>
      </c>
      <c r="N398" s="663"/>
      <c r="P398" s="37" t="str">
        <f t="shared" si="38"/>
        <v>1981F1</v>
      </c>
      <c r="Q398" s="37" t="str">
        <f t="shared" si="39"/>
        <v>F122</v>
      </c>
      <c r="R398" s="37" t="str">
        <f t="shared" si="40"/>
        <v>MayF1</v>
      </c>
    </row>
    <row r="399" spans="1:18">
      <c r="A399" s="616">
        <f t="shared" si="41"/>
        <v>395</v>
      </c>
      <c r="B399" s="617">
        <v>4</v>
      </c>
      <c r="C399" s="618">
        <v>29738</v>
      </c>
      <c r="D399" s="618" t="s">
        <v>178</v>
      </c>
      <c r="E399" s="619">
        <v>1</v>
      </c>
      <c r="F399" s="603">
        <v>1981</v>
      </c>
      <c r="G399" s="617" t="s">
        <v>148</v>
      </c>
      <c r="H399" s="620" t="s">
        <v>149</v>
      </c>
      <c r="I399" s="621">
        <v>20</v>
      </c>
      <c r="J399" s="621">
        <v>0.3</v>
      </c>
      <c r="K399" s="603">
        <f t="shared" si="36"/>
        <v>17</v>
      </c>
      <c r="L399" s="604">
        <v>0.72222222222222221</v>
      </c>
      <c r="M399" s="605">
        <f t="shared" si="37"/>
        <v>0.72222222222222221</v>
      </c>
      <c r="N399" s="663"/>
      <c r="P399" s="37" t="str">
        <f t="shared" si="38"/>
        <v>1981F0</v>
      </c>
      <c r="Q399" s="37" t="str">
        <f t="shared" si="39"/>
        <v>F017</v>
      </c>
      <c r="R399" s="37" t="str">
        <f t="shared" si="40"/>
        <v>JuneF0</v>
      </c>
    </row>
    <row r="400" spans="1:18">
      <c r="A400" s="616">
        <f t="shared" si="41"/>
        <v>396</v>
      </c>
      <c r="B400" s="617">
        <v>5</v>
      </c>
      <c r="C400" s="618">
        <v>29738</v>
      </c>
      <c r="D400" s="618" t="s">
        <v>178</v>
      </c>
      <c r="E400" s="619">
        <v>1</v>
      </c>
      <c r="F400" s="603">
        <v>1981</v>
      </c>
      <c r="G400" s="617" t="s">
        <v>148</v>
      </c>
      <c r="H400" s="620" t="s">
        <v>151</v>
      </c>
      <c r="I400" s="621">
        <v>50</v>
      </c>
      <c r="J400" s="621">
        <v>5.7</v>
      </c>
      <c r="K400" s="603">
        <f t="shared" si="36"/>
        <v>17</v>
      </c>
      <c r="L400" s="604">
        <v>0.72916666666666663</v>
      </c>
      <c r="M400" s="605">
        <f t="shared" si="37"/>
        <v>0.72916666666666663</v>
      </c>
      <c r="N400" s="663"/>
      <c r="P400" s="37" t="str">
        <f t="shared" si="38"/>
        <v>1981F2</v>
      </c>
      <c r="Q400" s="37" t="str">
        <f t="shared" si="39"/>
        <v>F217</v>
      </c>
      <c r="R400" s="37" t="str">
        <f t="shared" si="40"/>
        <v>JuneF2</v>
      </c>
    </row>
    <row r="401" spans="1:18">
      <c r="A401" s="616">
        <f t="shared" si="41"/>
        <v>397</v>
      </c>
      <c r="B401" s="617">
        <v>6</v>
      </c>
      <c r="C401" s="618">
        <v>29739</v>
      </c>
      <c r="D401" s="618" t="s">
        <v>178</v>
      </c>
      <c r="E401" s="619">
        <v>2</v>
      </c>
      <c r="F401" s="603">
        <v>1981</v>
      </c>
      <c r="G401" s="617" t="s">
        <v>135</v>
      </c>
      <c r="H401" s="620" t="s">
        <v>149</v>
      </c>
      <c r="I401" s="621">
        <v>10</v>
      </c>
      <c r="J401" s="621">
        <v>0.3</v>
      </c>
      <c r="K401" s="603">
        <f t="shared" si="36"/>
        <v>17</v>
      </c>
      <c r="L401" s="604">
        <v>0.70833333333333337</v>
      </c>
      <c r="M401" s="605">
        <f t="shared" si="37"/>
        <v>0.70833333333333337</v>
      </c>
      <c r="N401" s="663"/>
      <c r="P401" s="37" t="str">
        <f t="shared" si="38"/>
        <v>1981F0</v>
      </c>
      <c r="Q401" s="37" t="str">
        <f t="shared" si="39"/>
        <v>F017</v>
      </c>
      <c r="R401" s="37" t="str">
        <f t="shared" si="40"/>
        <v>JuneF0</v>
      </c>
    </row>
    <row r="402" spans="1:18">
      <c r="A402" s="616">
        <f t="shared" si="41"/>
        <v>398</v>
      </c>
      <c r="B402" s="617">
        <v>7</v>
      </c>
      <c r="C402" s="618">
        <v>29739</v>
      </c>
      <c r="D402" s="618" t="s">
        <v>178</v>
      </c>
      <c r="E402" s="619">
        <v>2</v>
      </c>
      <c r="F402" s="603">
        <v>1981</v>
      </c>
      <c r="G402" s="617" t="s">
        <v>135</v>
      </c>
      <c r="H402" s="620" t="s">
        <v>149</v>
      </c>
      <c r="I402" s="621">
        <v>10</v>
      </c>
      <c r="J402" s="621">
        <v>0.3</v>
      </c>
      <c r="K402" s="603">
        <f t="shared" si="36"/>
        <v>17</v>
      </c>
      <c r="L402" s="604">
        <v>0.70833333333333337</v>
      </c>
      <c r="M402" s="605">
        <f t="shared" si="37"/>
        <v>0.70833333333333337</v>
      </c>
      <c r="N402" s="663"/>
      <c r="P402" s="37" t="str">
        <f t="shared" si="38"/>
        <v>1981F0</v>
      </c>
      <c r="Q402" s="37" t="str">
        <f t="shared" si="39"/>
        <v>F017</v>
      </c>
      <c r="R402" s="37" t="str">
        <f t="shared" si="40"/>
        <v>JuneF0</v>
      </c>
    </row>
    <row r="403" spans="1:18">
      <c r="A403" s="616">
        <f t="shared" si="41"/>
        <v>399</v>
      </c>
      <c r="B403" s="617">
        <v>8</v>
      </c>
      <c r="C403" s="618">
        <v>29739</v>
      </c>
      <c r="D403" s="618" t="s">
        <v>178</v>
      </c>
      <c r="E403" s="619">
        <v>2</v>
      </c>
      <c r="F403" s="603">
        <v>1981</v>
      </c>
      <c r="G403" s="617" t="s">
        <v>127</v>
      </c>
      <c r="H403" s="620" t="s">
        <v>149</v>
      </c>
      <c r="I403" s="621">
        <v>10</v>
      </c>
      <c r="J403" s="621">
        <v>0.1</v>
      </c>
      <c r="K403" s="603">
        <f t="shared" si="36"/>
        <v>17</v>
      </c>
      <c r="L403" s="604">
        <v>0.70833333333333337</v>
      </c>
      <c r="M403" s="605">
        <f t="shared" si="37"/>
        <v>0.70833333333333337</v>
      </c>
      <c r="N403" s="663"/>
      <c r="P403" s="37" t="str">
        <f t="shared" si="38"/>
        <v>1981F0</v>
      </c>
      <c r="Q403" s="37" t="str">
        <f t="shared" si="39"/>
        <v>F017</v>
      </c>
      <c r="R403" s="37" t="str">
        <f t="shared" si="40"/>
        <v>JuneF0</v>
      </c>
    </row>
    <row r="404" spans="1:18">
      <c r="A404" s="616">
        <f t="shared" si="41"/>
        <v>400</v>
      </c>
      <c r="B404" s="617">
        <v>9</v>
      </c>
      <c r="C404" s="618">
        <v>29739</v>
      </c>
      <c r="D404" s="618" t="s">
        <v>178</v>
      </c>
      <c r="E404" s="619">
        <v>2</v>
      </c>
      <c r="F404" s="603">
        <v>1981</v>
      </c>
      <c r="G404" s="617" t="s">
        <v>148</v>
      </c>
      <c r="H404" s="620" t="s">
        <v>150</v>
      </c>
      <c r="I404" s="621">
        <v>40</v>
      </c>
      <c r="J404" s="621">
        <v>1</v>
      </c>
      <c r="K404" s="603">
        <f t="shared" ref="K404:K463" si="42">HOUR(M404)</f>
        <v>21</v>
      </c>
      <c r="L404" s="604">
        <v>0.875</v>
      </c>
      <c r="M404" s="605">
        <f t="shared" si="37"/>
        <v>0.875</v>
      </c>
      <c r="N404" s="663"/>
      <c r="P404" s="37" t="str">
        <f t="shared" si="38"/>
        <v>1981F1</v>
      </c>
      <c r="Q404" s="37" t="str">
        <f t="shared" si="39"/>
        <v>F121</v>
      </c>
      <c r="R404" s="37" t="str">
        <f t="shared" si="40"/>
        <v>JuneF1</v>
      </c>
    </row>
    <row r="405" spans="1:18">
      <c r="A405" s="616">
        <f t="shared" si="41"/>
        <v>401</v>
      </c>
      <c r="B405" s="617">
        <v>10</v>
      </c>
      <c r="C405" s="618">
        <v>29748</v>
      </c>
      <c r="D405" s="618" t="s">
        <v>178</v>
      </c>
      <c r="E405" s="619">
        <v>11</v>
      </c>
      <c r="F405" s="603">
        <v>1981</v>
      </c>
      <c r="G405" s="617" t="s">
        <v>126</v>
      </c>
      <c r="H405" s="620" t="s">
        <v>149</v>
      </c>
      <c r="I405" s="621">
        <v>10</v>
      </c>
      <c r="J405" s="621">
        <v>0.1</v>
      </c>
      <c r="K405" s="603">
        <f t="shared" si="42"/>
        <v>18</v>
      </c>
      <c r="L405" s="604">
        <v>0.75</v>
      </c>
      <c r="M405" s="605">
        <f t="shared" si="37"/>
        <v>0.75</v>
      </c>
      <c r="N405" s="663"/>
      <c r="P405" s="37" t="str">
        <f t="shared" si="38"/>
        <v>1981F0</v>
      </c>
      <c r="Q405" s="37" t="str">
        <f t="shared" si="39"/>
        <v>F018</v>
      </c>
      <c r="R405" s="37" t="str">
        <f t="shared" si="40"/>
        <v>JuneF0</v>
      </c>
    </row>
    <row r="406" spans="1:18">
      <c r="A406" s="616">
        <f t="shared" si="41"/>
        <v>402</v>
      </c>
      <c r="B406" s="617">
        <v>11</v>
      </c>
      <c r="C406" s="618">
        <v>29748</v>
      </c>
      <c r="D406" s="618" t="s">
        <v>178</v>
      </c>
      <c r="E406" s="619">
        <v>11</v>
      </c>
      <c r="F406" s="603">
        <v>1981</v>
      </c>
      <c r="G406" s="617" t="s">
        <v>141</v>
      </c>
      <c r="H406" s="620" t="s">
        <v>149</v>
      </c>
      <c r="I406" s="621">
        <v>30</v>
      </c>
      <c r="J406" s="621">
        <v>0.5</v>
      </c>
      <c r="K406" s="603">
        <f t="shared" si="42"/>
        <v>21</v>
      </c>
      <c r="L406" s="604">
        <v>0.89583333333333337</v>
      </c>
      <c r="M406" s="605">
        <f t="shared" si="37"/>
        <v>0.89583333333333337</v>
      </c>
      <c r="N406" s="663"/>
      <c r="P406" s="37" t="str">
        <f t="shared" si="38"/>
        <v>1981F0</v>
      </c>
      <c r="Q406" s="37" t="str">
        <f t="shared" si="39"/>
        <v>F021</v>
      </c>
      <c r="R406" s="37" t="str">
        <f t="shared" si="40"/>
        <v>JuneF0</v>
      </c>
    </row>
    <row r="407" spans="1:18">
      <c r="A407" s="616">
        <f t="shared" si="41"/>
        <v>403</v>
      </c>
      <c r="B407" s="617">
        <v>12</v>
      </c>
      <c r="C407" s="618">
        <v>29771</v>
      </c>
      <c r="D407" s="618" t="s">
        <v>179</v>
      </c>
      <c r="E407" s="619">
        <v>4</v>
      </c>
      <c r="F407" s="603">
        <v>1981</v>
      </c>
      <c r="G407" s="617" t="s">
        <v>131</v>
      </c>
      <c r="H407" s="620" t="s">
        <v>149</v>
      </c>
      <c r="I407" s="621">
        <v>10</v>
      </c>
      <c r="J407" s="621">
        <v>0.2</v>
      </c>
      <c r="K407" s="603">
        <f t="shared" si="42"/>
        <v>16</v>
      </c>
      <c r="L407" s="604">
        <v>0.6875</v>
      </c>
      <c r="M407" s="605">
        <f t="shared" si="37"/>
        <v>0.6875</v>
      </c>
      <c r="N407" s="663"/>
      <c r="P407" s="37" t="str">
        <f t="shared" si="38"/>
        <v>1981F0</v>
      </c>
      <c r="Q407" s="37" t="str">
        <f t="shared" si="39"/>
        <v>F016</v>
      </c>
      <c r="R407" s="37" t="str">
        <f t="shared" si="40"/>
        <v>JulyF0</v>
      </c>
    </row>
    <row r="408" spans="1:18">
      <c r="A408" s="616">
        <f t="shared" si="41"/>
        <v>404</v>
      </c>
      <c r="B408" s="617">
        <v>13</v>
      </c>
      <c r="C408" s="618">
        <v>29774</v>
      </c>
      <c r="D408" s="618" t="s">
        <v>179</v>
      </c>
      <c r="E408" s="619">
        <v>7</v>
      </c>
      <c r="F408" s="603">
        <v>1981</v>
      </c>
      <c r="G408" s="617" t="s">
        <v>144</v>
      </c>
      <c r="H408" s="620" t="s">
        <v>150</v>
      </c>
      <c r="I408" s="621">
        <v>10</v>
      </c>
      <c r="J408" s="621">
        <v>0.3</v>
      </c>
      <c r="K408" s="603">
        <f t="shared" si="42"/>
        <v>23</v>
      </c>
      <c r="L408" s="604">
        <v>0.96875</v>
      </c>
      <c r="M408" s="605">
        <f t="shared" si="37"/>
        <v>0.96875</v>
      </c>
      <c r="N408" s="663"/>
      <c r="P408" s="37" t="str">
        <f t="shared" si="38"/>
        <v>1981F1</v>
      </c>
      <c r="Q408" s="37" t="str">
        <f t="shared" si="39"/>
        <v>F123</v>
      </c>
      <c r="R408" s="37" t="str">
        <f t="shared" si="40"/>
        <v>JulyF1</v>
      </c>
    </row>
    <row r="409" spans="1:18">
      <c r="A409" s="616">
        <f t="shared" si="41"/>
        <v>405</v>
      </c>
      <c r="B409" s="617">
        <v>14</v>
      </c>
      <c r="C409" s="618">
        <v>29804</v>
      </c>
      <c r="D409" s="618" t="s">
        <v>180</v>
      </c>
      <c r="E409" s="619">
        <v>6</v>
      </c>
      <c r="F409" s="603">
        <v>1981</v>
      </c>
      <c r="G409" s="617" t="s">
        <v>129</v>
      </c>
      <c r="H409" s="620" t="s">
        <v>149</v>
      </c>
      <c r="I409" s="621">
        <v>67</v>
      </c>
      <c r="J409" s="621">
        <v>0.1</v>
      </c>
      <c r="K409" s="603">
        <f t="shared" si="42"/>
        <v>12</v>
      </c>
      <c r="L409" s="604">
        <v>0.54027777777777775</v>
      </c>
      <c r="M409" s="605">
        <f t="shared" si="37"/>
        <v>0.54027777777777775</v>
      </c>
      <c r="N409" s="663"/>
      <c r="P409" s="37" t="str">
        <f t="shared" si="38"/>
        <v>1981F0</v>
      </c>
      <c r="Q409" s="37" t="str">
        <f t="shared" si="39"/>
        <v>F012</v>
      </c>
      <c r="R409" s="37" t="str">
        <f t="shared" si="40"/>
        <v>AugustF0</v>
      </c>
    </row>
    <row r="410" spans="1:18">
      <c r="A410" s="616">
        <f t="shared" si="41"/>
        <v>406</v>
      </c>
      <c r="B410" s="617">
        <v>1</v>
      </c>
      <c r="C410" s="618">
        <v>30028</v>
      </c>
      <c r="D410" s="632" t="s">
        <v>175</v>
      </c>
      <c r="E410" s="633">
        <v>18</v>
      </c>
      <c r="F410" s="603">
        <v>1982</v>
      </c>
      <c r="G410" s="617" t="s">
        <v>135</v>
      </c>
      <c r="H410" s="620" t="s">
        <v>153</v>
      </c>
      <c r="I410" s="621">
        <v>880</v>
      </c>
      <c r="J410" s="621">
        <v>87.9</v>
      </c>
      <c r="K410" s="603">
        <f t="shared" si="42"/>
        <v>23</v>
      </c>
      <c r="L410" s="604">
        <v>0.99652777777777779</v>
      </c>
      <c r="M410" s="605">
        <f t="shared" si="37"/>
        <v>0.99652777777777779</v>
      </c>
      <c r="N410" s="663"/>
      <c r="P410" s="37" t="str">
        <f t="shared" si="38"/>
        <v>1982F4</v>
      </c>
      <c r="Q410" s="37" t="str">
        <f t="shared" si="39"/>
        <v>F423</v>
      </c>
      <c r="R410" s="37" t="str">
        <f t="shared" si="40"/>
        <v>MarchF4</v>
      </c>
    </row>
    <row r="411" spans="1:18">
      <c r="A411" s="616">
        <f t="shared" si="41"/>
        <v>407</v>
      </c>
      <c r="B411" s="617">
        <v>2</v>
      </c>
      <c r="C411" s="618">
        <v>30080</v>
      </c>
      <c r="D411" s="618" t="s">
        <v>177</v>
      </c>
      <c r="E411" s="633">
        <v>9</v>
      </c>
      <c r="F411" s="603">
        <v>1982</v>
      </c>
      <c r="G411" s="617" t="s">
        <v>136</v>
      </c>
      <c r="H411" s="620" t="s">
        <v>149</v>
      </c>
      <c r="I411" s="621">
        <v>20</v>
      </c>
      <c r="J411" s="621">
        <v>0.2</v>
      </c>
      <c r="K411" s="603">
        <f t="shared" si="42"/>
        <v>18</v>
      </c>
      <c r="L411" s="604">
        <v>0.77361111111111114</v>
      </c>
      <c r="M411" s="605">
        <f t="shared" si="37"/>
        <v>0.77361111111111114</v>
      </c>
      <c r="N411" s="663"/>
      <c r="P411" s="37" t="str">
        <f t="shared" si="38"/>
        <v>1982F0</v>
      </c>
      <c r="Q411" s="37" t="str">
        <f t="shared" si="39"/>
        <v>F018</v>
      </c>
      <c r="R411" s="37" t="str">
        <f t="shared" si="40"/>
        <v>MayF0</v>
      </c>
    </row>
    <row r="412" spans="1:18">
      <c r="A412" s="616">
        <f t="shared" si="41"/>
        <v>408</v>
      </c>
      <c r="B412" s="617">
        <v>3</v>
      </c>
      <c r="C412" s="618">
        <v>30080</v>
      </c>
      <c r="D412" s="618" t="s">
        <v>177</v>
      </c>
      <c r="E412" s="633">
        <v>9</v>
      </c>
      <c r="F412" s="603">
        <v>1982</v>
      </c>
      <c r="G412" s="617" t="s">
        <v>135</v>
      </c>
      <c r="H412" s="620" t="s">
        <v>149</v>
      </c>
      <c r="I412" s="621">
        <v>10</v>
      </c>
      <c r="J412" s="621">
        <v>0.1</v>
      </c>
      <c r="K412" s="603">
        <f t="shared" si="42"/>
        <v>18</v>
      </c>
      <c r="L412" s="604">
        <v>0.78680555555555554</v>
      </c>
      <c r="M412" s="605">
        <f t="shared" si="37"/>
        <v>0.78680555555555554</v>
      </c>
      <c r="N412" s="663"/>
      <c r="P412" s="37" t="str">
        <f t="shared" si="38"/>
        <v>1982F0</v>
      </c>
      <c r="Q412" s="37" t="str">
        <f t="shared" si="39"/>
        <v>F018</v>
      </c>
      <c r="R412" s="37" t="str">
        <f t="shared" si="40"/>
        <v>MayF0</v>
      </c>
    </row>
    <row r="413" spans="1:18">
      <c r="A413" s="616">
        <f t="shared" si="41"/>
        <v>409</v>
      </c>
      <c r="B413" s="617">
        <v>4</v>
      </c>
      <c r="C413" s="618">
        <v>30080</v>
      </c>
      <c r="D413" s="618" t="s">
        <v>177</v>
      </c>
      <c r="E413" s="633">
        <v>9</v>
      </c>
      <c r="F413" s="603">
        <v>1982</v>
      </c>
      <c r="G413" s="617" t="s">
        <v>144</v>
      </c>
      <c r="H413" s="620" t="s">
        <v>149</v>
      </c>
      <c r="I413" s="621">
        <v>100</v>
      </c>
      <c r="J413" s="621">
        <v>1</v>
      </c>
      <c r="K413" s="603">
        <f t="shared" si="42"/>
        <v>19</v>
      </c>
      <c r="L413" s="604">
        <v>0.79722222222222217</v>
      </c>
      <c r="M413" s="605">
        <f t="shared" si="37"/>
        <v>0.79722222222222217</v>
      </c>
      <c r="N413" s="663"/>
      <c r="P413" s="37" t="str">
        <f t="shared" si="38"/>
        <v>1982F0</v>
      </c>
      <c r="Q413" s="37" t="str">
        <f t="shared" si="39"/>
        <v>F019</v>
      </c>
      <c r="R413" s="37" t="str">
        <f t="shared" si="40"/>
        <v>MayF0</v>
      </c>
    </row>
    <row r="414" spans="1:18">
      <c r="A414" s="616">
        <f t="shared" si="41"/>
        <v>410</v>
      </c>
      <c r="B414" s="617">
        <v>5</v>
      </c>
      <c r="C414" s="618">
        <v>30080</v>
      </c>
      <c r="D414" s="618" t="s">
        <v>177</v>
      </c>
      <c r="E414" s="633">
        <v>9</v>
      </c>
      <c r="F414" s="603">
        <v>1982</v>
      </c>
      <c r="G414" s="617" t="s">
        <v>145</v>
      </c>
      <c r="H414" s="620" t="s">
        <v>152</v>
      </c>
      <c r="I414" s="621">
        <v>40</v>
      </c>
      <c r="J414" s="621">
        <v>8</v>
      </c>
      <c r="K414" s="603">
        <f t="shared" si="42"/>
        <v>19</v>
      </c>
      <c r="L414" s="604">
        <v>0.7993055555555556</v>
      </c>
      <c r="M414" s="605">
        <f t="shared" si="37"/>
        <v>0.7993055555555556</v>
      </c>
      <c r="N414" s="663"/>
      <c r="P414" s="37" t="str">
        <f t="shared" si="38"/>
        <v>1982F3</v>
      </c>
      <c r="Q414" s="37" t="str">
        <f t="shared" si="39"/>
        <v>F319</v>
      </c>
      <c r="R414" s="37" t="str">
        <f t="shared" si="40"/>
        <v>MayF3</v>
      </c>
    </row>
    <row r="415" spans="1:18">
      <c r="A415" s="616">
        <f t="shared" si="41"/>
        <v>411</v>
      </c>
      <c r="B415" s="617">
        <v>6</v>
      </c>
      <c r="C415" s="618">
        <v>30080</v>
      </c>
      <c r="D415" s="618" t="s">
        <v>177</v>
      </c>
      <c r="E415" s="633">
        <v>9</v>
      </c>
      <c r="F415" s="603">
        <v>1982</v>
      </c>
      <c r="G415" s="617" t="s">
        <v>145</v>
      </c>
      <c r="H415" s="620" t="s">
        <v>149</v>
      </c>
      <c r="I415" s="621">
        <v>10</v>
      </c>
      <c r="J415" s="621">
        <v>0.1</v>
      </c>
      <c r="K415" s="603">
        <f t="shared" si="42"/>
        <v>19</v>
      </c>
      <c r="L415" s="604">
        <v>0.80833333333333324</v>
      </c>
      <c r="M415" s="605">
        <f t="shared" si="37"/>
        <v>0.80833333333333324</v>
      </c>
      <c r="N415" s="663"/>
      <c r="P415" s="37" t="str">
        <f t="shared" si="38"/>
        <v>1982F0</v>
      </c>
      <c r="Q415" s="37" t="str">
        <f t="shared" si="39"/>
        <v>F019</v>
      </c>
      <c r="R415" s="37" t="str">
        <f t="shared" si="40"/>
        <v>MayF0</v>
      </c>
    </row>
    <row r="416" spans="1:18">
      <c r="A416" s="616">
        <f t="shared" si="41"/>
        <v>412</v>
      </c>
      <c r="B416" s="617">
        <v>7</v>
      </c>
      <c r="C416" s="618">
        <v>30080</v>
      </c>
      <c r="D416" s="618" t="s">
        <v>177</v>
      </c>
      <c r="E416" s="633">
        <v>9</v>
      </c>
      <c r="F416" s="603">
        <v>1982</v>
      </c>
      <c r="G416" s="617" t="s">
        <v>140</v>
      </c>
      <c r="H416" s="620" t="s">
        <v>150</v>
      </c>
      <c r="I416" s="621">
        <v>10</v>
      </c>
      <c r="J416" s="621">
        <v>0.1</v>
      </c>
      <c r="K416" s="603">
        <f t="shared" si="42"/>
        <v>20</v>
      </c>
      <c r="L416" s="604">
        <v>0.83333333333333337</v>
      </c>
      <c r="M416" s="605">
        <f t="shared" si="37"/>
        <v>0.83333333333333337</v>
      </c>
      <c r="N416" s="663"/>
      <c r="P416" s="37" t="str">
        <f t="shared" si="38"/>
        <v>1982F1</v>
      </c>
      <c r="Q416" s="37" t="str">
        <f t="shared" si="39"/>
        <v>F120</v>
      </c>
      <c r="R416" s="37" t="str">
        <f t="shared" si="40"/>
        <v>MayF1</v>
      </c>
    </row>
    <row r="417" spans="1:18">
      <c r="A417" s="616">
        <f t="shared" si="41"/>
        <v>413</v>
      </c>
      <c r="B417" s="617">
        <v>8</v>
      </c>
      <c r="C417" s="618">
        <v>30082</v>
      </c>
      <c r="D417" s="618" t="s">
        <v>177</v>
      </c>
      <c r="E417" s="633">
        <v>11</v>
      </c>
      <c r="F417" s="603">
        <v>1982</v>
      </c>
      <c r="G417" s="617" t="s">
        <v>146</v>
      </c>
      <c r="H417" s="620" t="s">
        <v>149</v>
      </c>
      <c r="I417" s="621">
        <v>20</v>
      </c>
      <c r="J417" s="621">
        <v>0.1</v>
      </c>
      <c r="K417" s="603">
        <f t="shared" si="42"/>
        <v>14</v>
      </c>
      <c r="L417" s="604">
        <v>0.60069444444444442</v>
      </c>
      <c r="M417" s="605">
        <f t="shared" si="37"/>
        <v>0.60069444444444442</v>
      </c>
      <c r="N417" s="663"/>
      <c r="P417" s="37" t="str">
        <f t="shared" si="38"/>
        <v>1982F0</v>
      </c>
      <c r="Q417" s="37" t="str">
        <f t="shared" si="39"/>
        <v>F014</v>
      </c>
      <c r="R417" s="37" t="str">
        <f t="shared" si="40"/>
        <v>MayF0</v>
      </c>
    </row>
    <row r="418" spans="1:18">
      <c r="A418" s="616">
        <f t="shared" si="41"/>
        <v>414</v>
      </c>
      <c r="B418" s="617">
        <v>9</v>
      </c>
      <c r="C418" s="618">
        <v>30083</v>
      </c>
      <c r="D418" s="618" t="s">
        <v>177</v>
      </c>
      <c r="E418" s="633">
        <v>12</v>
      </c>
      <c r="F418" s="603">
        <v>1982</v>
      </c>
      <c r="G418" s="617" t="s">
        <v>141</v>
      </c>
      <c r="H418" s="620" t="s">
        <v>150</v>
      </c>
      <c r="I418" s="621">
        <v>30</v>
      </c>
      <c r="J418" s="621">
        <v>0.6</v>
      </c>
      <c r="K418" s="603">
        <f t="shared" si="42"/>
        <v>14</v>
      </c>
      <c r="L418" s="604">
        <v>0.61111111111111105</v>
      </c>
      <c r="M418" s="605">
        <f t="shared" si="37"/>
        <v>0.61111111111111105</v>
      </c>
      <c r="N418" s="663"/>
      <c r="P418" s="37" t="str">
        <f t="shared" si="38"/>
        <v>1982F1</v>
      </c>
      <c r="Q418" s="37" t="str">
        <f t="shared" si="39"/>
        <v>F114</v>
      </c>
      <c r="R418" s="37" t="str">
        <f t="shared" si="40"/>
        <v>MayF1</v>
      </c>
    </row>
    <row r="419" spans="1:18">
      <c r="A419" s="616">
        <f t="shared" si="41"/>
        <v>415</v>
      </c>
      <c r="B419" s="617">
        <v>10</v>
      </c>
      <c r="C419" s="618">
        <v>30083</v>
      </c>
      <c r="D419" s="618" t="s">
        <v>177</v>
      </c>
      <c r="E419" s="633">
        <v>12</v>
      </c>
      <c r="F419" s="603">
        <v>1982</v>
      </c>
      <c r="G419" s="617" t="s">
        <v>142</v>
      </c>
      <c r="H419" s="620" t="s">
        <v>149</v>
      </c>
      <c r="I419" s="621">
        <v>10</v>
      </c>
      <c r="J419" s="621">
        <v>0.1</v>
      </c>
      <c r="K419" s="603">
        <f t="shared" si="42"/>
        <v>15</v>
      </c>
      <c r="L419" s="604">
        <v>0.64375000000000004</v>
      </c>
      <c r="M419" s="605">
        <f t="shared" si="37"/>
        <v>0.64375000000000004</v>
      </c>
      <c r="N419" s="663"/>
      <c r="P419" s="37" t="str">
        <f t="shared" si="38"/>
        <v>1982F0</v>
      </c>
      <c r="Q419" s="37" t="str">
        <f t="shared" si="39"/>
        <v>F015</v>
      </c>
      <c r="R419" s="37" t="str">
        <f t="shared" si="40"/>
        <v>MayF0</v>
      </c>
    </row>
    <row r="420" spans="1:18">
      <c r="A420" s="616">
        <f t="shared" si="41"/>
        <v>416</v>
      </c>
      <c r="B420" s="617">
        <v>11</v>
      </c>
      <c r="C420" s="618">
        <v>30088</v>
      </c>
      <c r="D420" s="618" t="s">
        <v>177</v>
      </c>
      <c r="E420" s="633">
        <v>17</v>
      </c>
      <c r="F420" s="603">
        <v>1982</v>
      </c>
      <c r="G420" s="617" t="s">
        <v>146</v>
      </c>
      <c r="H420" s="620" t="s">
        <v>149</v>
      </c>
      <c r="I420" s="621">
        <v>20</v>
      </c>
      <c r="J420" s="621">
        <v>0.2</v>
      </c>
      <c r="K420" s="603">
        <f t="shared" si="42"/>
        <v>19</v>
      </c>
      <c r="L420" s="604">
        <v>0.80902777777777779</v>
      </c>
      <c r="M420" s="605">
        <f t="shared" si="37"/>
        <v>0.80902777777777779</v>
      </c>
      <c r="N420" s="663"/>
      <c r="P420" s="37" t="str">
        <f t="shared" si="38"/>
        <v>1982F0</v>
      </c>
      <c r="Q420" s="37" t="str">
        <f t="shared" si="39"/>
        <v>F019</v>
      </c>
      <c r="R420" s="37" t="str">
        <f t="shared" si="40"/>
        <v>MayF0</v>
      </c>
    </row>
    <row r="421" spans="1:18">
      <c r="A421" s="616">
        <f t="shared" si="41"/>
        <v>417</v>
      </c>
      <c r="B421" s="617">
        <v>12</v>
      </c>
      <c r="C421" s="618">
        <v>30089</v>
      </c>
      <c r="D421" s="618" t="s">
        <v>177</v>
      </c>
      <c r="E421" s="633">
        <v>18</v>
      </c>
      <c r="F421" s="603">
        <v>1982</v>
      </c>
      <c r="G421" s="617" t="s">
        <v>141</v>
      </c>
      <c r="H421" s="620" t="s">
        <v>149</v>
      </c>
      <c r="I421" s="621">
        <v>10</v>
      </c>
      <c r="J421" s="621">
        <v>0.1</v>
      </c>
      <c r="K421" s="603">
        <f t="shared" si="42"/>
        <v>19</v>
      </c>
      <c r="L421" s="604">
        <v>0.83263888888888893</v>
      </c>
      <c r="M421" s="605">
        <f t="shared" si="37"/>
        <v>0.83263888888888893</v>
      </c>
      <c r="N421" s="663"/>
      <c r="P421" s="37" t="str">
        <f t="shared" si="38"/>
        <v>1982F0</v>
      </c>
      <c r="Q421" s="37" t="str">
        <f t="shared" si="39"/>
        <v>F019</v>
      </c>
      <c r="R421" s="37" t="str">
        <f t="shared" si="40"/>
        <v>MayF0</v>
      </c>
    </row>
    <row r="422" spans="1:18">
      <c r="A422" s="616">
        <f t="shared" si="41"/>
        <v>418</v>
      </c>
      <c r="B422" s="617">
        <v>13</v>
      </c>
      <c r="C422" s="618">
        <v>30089</v>
      </c>
      <c r="D422" s="618" t="s">
        <v>177</v>
      </c>
      <c r="E422" s="633">
        <v>18</v>
      </c>
      <c r="F422" s="603">
        <v>1982</v>
      </c>
      <c r="G422" s="617" t="s">
        <v>130</v>
      </c>
      <c r="H422" s="620" t="s">
        <v>149</v>
      </c>
      <c r="I422" s="621">
        <v>7</v>
      </c>
      <c r="J422" s="621">
        <v>0.1</v>
      </c>
      <c r="K422" s="603">
        <f t="shared" si="42"/>
        <v>19</v>
      </c>
      <c r="L422" s="604">
        <v>0.83263888888888893</v>
      </c>
      <c r="M422" s="605">
        <f t="shared" si="37"/>
        <v>0.83263888888888893</v>
      </c>
      <c r="N422" s="663"/>
      <c r="P422" s="37" t="str">
        <f t="shared" si="38"/>
        <v>1982F0</v>
      </c>
      <c r="Q422" s="37" t="str">
        <f t="shared" si="39"/>
        <v>F019</v>
      </c>
      <c r="R422" s="37" t="str">
        <f t="shared" si="40"/>
        <v>MayF0</v>
      </c>
    </row>
    <row r="423" spans="1:18">
      <c r="A423" s="616">
        <f t="shared" si="41"/>
        <v>419</v>
      </c>
      <c r="B423" s="617">
        <v>14</v>
      </c>
      <c r="C423" s="618">
        <v>30090</v>
      </c>
      <c r="D423" s="618" t="s">
        <v>177</v>
      </c>
      <c r="E423" s="633">
        <v>19</v>
      </c>
      <c r="F423" s="603">
        <v>1982</v>
      </c>
      <c r="G423" s="617" t="s">
        <v>141</v>
      </c>
      <c r="H423" s="620" t="s">
        <v>149</v>
      </c>
      <c r="I423" s="621">
        <v>50</v>
      </c>
      <c r="J423" s="621">
        <v>0.5</v>
      </c>
      <c r="K423" s="603">
        <f t="shared" si="42"/>
        <v>16</v>
      </c>
      <c r="L423" s="604">
        <v>0.70694444444444438</v>
      </c>
      <c r="M423" s="605">
        <f t="shared" si="37"/>
        <v>0.70694444444444438</v>
      </c>
      <c r="N423" s="663"/>
      <c r="P423" s="37" t="str">
        <f t="shared" si="38"/>
        <v>1982F0</v>
      </c>
      <c r="Q423" s="37" t="str">
        <f t="shared" si="39"/>
        <v>F016</v>
      </c>
      <c r="R423" s="37" t="str">
        <f t="shared" si="40"/>
        <v>MayF0</v>
      </c>
    </row>
    <row r="424" spans="1:18">
      <c r="A424" s="616">
        <f t="shared" si="41"/>
        <v>420</v>
      </c>
      <c r="B424" s="617">
        <v>15</v>
      </c>
      <c r="C424" s="618">
        <v>30090</v>
      </c>
      <c r="D424" s="618" t="s">
        <v>177</v>
      </c>
      <c r="E424" s="633">
        <v>19</v>
      </c>
      <c r="F424" s="603">
        <v>1982</v>
      </c>
      <c r="G424" s="617" t="s">
        <v>142</v>
      </c>
      <c r="H424" s="620" t="s">
        <v>152</v>
      </c>
      <c r="I424" s="621">
        <v>587</v>
      </c>
      <c r="J424" s="621">
        <v>1.5</v>
      </c>
      <c r="K424" s="603">
        <f t="shared" si="42"/>
        <v>17</v>
      </c>
      <c r="L424" s="604">
        <v>0.72430555555555554</v>
      </c>
      <c r="M424" s="605">
        <f t="shared" si="37"/>
        <v>0.72430555555555554</v>
      </c>
      <c r="N424" s="663"/>
      <c r="P424" s="37" t="str">
        <f t="shared" si="38"/>
        <v>1982F3</v>
      </c>
      <c r="Q424" s="37" t="str">
        <f t="shared" si="39"/>
        <v>F317</v>
      </c>
      <c r="R424" s="37" t="str">
        <f t="shared" si="40"/>
        <v>MayF3</v>
      </c>
    </row>
    <row r="425" spans="1:18">
      <c r="A425" s="616">
        <f t="shared" si="41"/>
        <v>421</v>
      </c>
      <c r="B425" s="617">
        <v>16</v>
      </c>
      <c r="C425" s="618">
        <v>30090</v>
      </c>
      <c r="D425" s="618" t="s">
        <v>177</v>
      </c>
      <c r="E425" s="633">
        <v>19</v>
      </c>
      <c r="F425" s="603">
        <v>1982</v>
      </c>
      <c r="G425" s="617" t="s">
        <v>142</v>
      </c>
      <c r="H425" s="620" t="s">
        <v>152</v>
      </c>
      <c r="I425" s="621">
        <v>880</v>
      </c>
      <c r="J425" s="621">
        <v>4</v>
      </c>
      <c r="K425" s="603">
        <f t="shared" si="42"/>
        <v>17</v>
      </c>
      <c r="L425" s="604">
        <v>0.74513888888888891</v>
      </c>
      <c r="M425" s="605">
        <f t="shared" si="37"/>
        <v>0.74513888888888891</v>
      </c>
      <c r="N425" s="663"/>
      <c r="P425" s="37" t="str">
        <f t="shared" si="38"/>
        <v>1982F3</v>
      </c>
      <c r="Q425" s="37" t="str">
        <f t="shared" si="39"/>
        <v>F317</v>
      </c>
      <c r="R425" s="37" t="str">
        <f t="shared" si="40"/>
        <v>MayF3</v>
      </c>
    </row>
    <row r="426" spans="1:18">
      <c r="A426" s="616">
        <f t="shared" si="41"/>
        <v>422</v>
      </c>
      <c r="B426" s="617">
        <v>17</v>
      </c>
      <c r="C426" s="618">
        <v>30090</v>
      </c>
      <c r="D426" s="618" t="s">
        <v>177</v>
      </c>
      <c r="E426" s="633">
        <v>19</v>
      </c>
      <c r="F426" s="603">
        <v>1982</v>
      </c>
      <c r="G426" s="617" t="s">
        <v>142</v>
      </c>
      <c r="H426" s="620" t="s">
        <v>149</v>
      </c>
      <c r="I426" s="621">
        <v>20</v>
      </c>
      <c r="J426" s="621">
        <v>0.5</v>
      </c>
      <c r="K426" s="603">
        <f t="shared" si="42"/>
        <v>18</v>
      </c>
      <c r="L426" s="604">
        <v>0.75624999999999998</v>
      </c>
      <c r="M426" s="605">
        <f t="shared" si="37"/>
        <v>0.75624999999999998</v>
      </c>
      <c r="N426" s="663"/>
      <c r="P426" s="37" t="str">
        <f t="shared" si="38"/>
        <v>1982F0</v>
      </c>
      <c r="Q426" s="37" t="str">
        <f t="shared" si="39"/>
        <v>F018</v>
      </c>
      <c r="R426" s="37" t="str">
        <f t="shared" si="40"/>
        <v>MayF0</v>
      </c>
    </row>
    <row r="427" spans="1:18">
      <c r="A427" s="616">
        <f t="shared" si="41"/>
        <v>423</v>
      </c>
      <c r="B427" s="617">
        <v>18</v>
      </c>
      <c r="C427" s="618">
        <v>30090</v>
      </c>
      <c r="D427" s="618" t="s">
        <v>177</v>
      </c>
      <c r="E427" s="633">
        <v>19</v>
      </c>
      <c r="F427" s="603">
        <v>1982</v>
      </c>
      <c r="G427" s="617" t="s">
        <v>142</v>
      </c>
      <c r="H427" s="620" t="s">
        <v>151</v>
      </c>
      <c r="I427" s="621">
        <v>1760</v>
      </c>
      <c r="J427" s="621">
        <v>6</v>
      </c>
      <c r="K427" s="603">
        <f t="shared" si="42"/>
        <v>18</v>
      </c>
      <c r="L427" s="604">
        <v>0.7583333333333333</v>
      </c>
      <c r="M427" s="605">
        <f t="shared" si="37"/>
        <v>0.7583333333333333</v>
      </c>
      <c r="N427" s="663"/>
      <c r="P427" s="37" t="str">
        <f t="shared" si="38"/>
        <v>1982F2</v>
      </c>
      <c r="Q427" s="37" t="str">
        <f t="shared" si="39"/>
        <v>F218</v>
      </c>
      <c r="R427" s="37" t="str">
        <f t="shared" si="40"/>
        <v>MayF2</v>
      </c>
    </row>
    <row r="428" spans="1:18">
      <c r="A428" s="616">
        <f t="shared" si="41"/>
        <v>424</v>
      </c>
      <c r="B428" s="617">
        <v>19</v>
      </c>
      <c r="C428" s="618">
        <v>30090</v>
      </c>
      <c r="D428" s="618" t="s">
        <v>177</v>
      </c>
      <c r="E428" s="633">
        <v>19</v>
      </c>
      <c r="F428" s="603">
        <v>1982</v>
      </c>
      <c r="G428" s="617" t="s">
        <v>142</v>
      </c>
      <c r="H428" s="620" t="s">
        <v>152</v>
      </c>
      <c r="I428" s="621">
        <v>100</v>
      </c>
      <c r="J428" s="621">
        <v>2</v>
      </c>
      <c r="K428" s="603">
        <f t="shared" si="42"/>
        <v>18</v>
      </c>
      <c r="L428" s="604">
        <v>0.76736111111111116</v>
      </c>
      <c r="M428" s="605">
        <f t="shared" si="37"/>
        <v>0.76736111111111116</v>
      </c>
      <c r="N428" s="663"/>
      <c r="P428" s="37" t="str">
        <f t="shared" si="38"/>
        <v>1982F3</v>
      </c>
      <c r="Q428" s="37" t="str">
        <f t="shared" si="39"/>
        <v>F318</v>
      </c>
      <c r="R428" s="37" t="str">
        <f t="shared" si="40"/>
        <v>MayF3</v>
      </c>
    </row>
    <row r="429" spans="1:18">
      <c r="A429" s="616">
        <f t="shared" si="41"/>
        <v>425</v>
      </c>
      <c r="B429" s="617">
        <v>20</v>
      </c>
      <c r="C429" s="618">
        <v>30090</v>
      </c>
      <c r="D429" s="618" t="s">
        <v>177</v>
      </c>
      <c r="E429" s="633">
        <v>19</v>
      </c>
      <c r="F429" s="603">
        <v>1982</v>
      </c>
      <c r="G429" s="617" t="s">
        <v>142</v>
      </c>
      <c r="H429" s="620" t="s">
        <v>151</v>
      </c>
      <c r="I429" s="621">
        <v>200</v>
      </c>
      <c r="J429" s="621">
        <v>2</v>
      </c>
      <c r="K429" s="603">
        <f t="shared" si="42"/>
        <v>18</v>
      </c>
      <c r="L429" s="604">
        <v>0.78472222222222221</v>
      </c>
      <c r="M429" s="605">
        <f t="shared" si="37"/>
        <v>0.78472222222222221</v>
      </c>
      <c r="N429" s="663"/>
      <c r="P429" s="37" t="str">
        <f t="shared" si="38"/>
        <v>1982F2</v>
      </c>
      <c r="Q429" s="37" t="str">
        <f t="shared" si="39"/>
        <v>F218</v>
      </c>
      <c r="R429" s="37" t="str">
        <f t="shared" si="40"/>
        <v>MayF2</v>
      </c>
    </row>
    <row r="430" spans="1:18">
      <c r="A430" s="616">
        <f t="shared" si="41"/>
        <v>426</v>
      </c>
      <c r="B430" s="617">
        <v>21</v>
      </c>
      <c r="C430" s="618">
        <v>30090</v>
      </c>
      <c r="D430" s="618" t="s">
        <v>177</v>
      </c>
      <c r="E430" s="633">
        <v>19</v>
      </c>
      <c r="F430" s="603">
        <v>1982</v>
      </c>
      <c r="G430" s="617" t="s">
        <v>137</v>
      </c>
      <c r="H430" s="620" t="s">
        <v>149</v>
      </c>
      <c r="I430" s="621">
        <v>20</v>
      </c>
      <c r="J430" s="621">
        <v>0.3</v>
      </c>
      <c r="K430" s="603">
        <f t="shared" si="42"/>
        <v>19</v>
      </c>
      <c r="L430" s="604">
        <v>0.7944444444444444</v>
      </c>
      <c r="M430" s="605">
        <f t="shared" si="37"/>
        <v>0.7944444444444444</v>
      </c>
      <c r="N430" s="663"/>
      <c r="P430" s="37" t="str">
        <f t="shared" si="38"/>
        <v>1982F0</v>
      </c>
      <c r="Q430" s="37" t="str">
        <f t="shared" si="39"/>
        <v>F019</v>
      </c>
      <c r="R430" s="37" t="str">
        <f t="shared" si="40"/>
        <v>MayF0</v>
      </c>
    </row>
    <row r="431" spans="1:18">
      <c r="A431" s="616">
        <f t="shared" si="41"/>
        <v>427</v>
      </c>
      <c r="B431" s="617">
        <v>22</v>
      </c>
      <c r="C431" s="618">
        <v>30090</v>
      </c>
      <c r="D431" s="618" t="s">
        <v>177</v>
      </c>
      <c r="E431" s="633">
        <v>19</v>
      </c>
      <c r="F431" s="603">
        <v>1982</v>
      </c>
      <c r="G431" s="617" t="s">
        <v>138</v>
      </c>
      <c r="H431" s="620" t="s">
        <v>150</v>
      </c>
      <c r="I431" s="621">
        <v>10</v>
      </c>
      <c r="J431" s="621">
        <v>0.4</v>
      </c>
      <c r="K431" s="603">
        <f t="shared" si="42"/>
        <v>19</v>
      </c>
      <c r="L431" s="604">
        <v>0.81597222222222221</v>
      </c>
      <c r="M431" s="605">
        <f t="shared" si="37"/>
        <v>0.81597222222222221</v>
      </c>
      <c r="N431" s="663"/>
      <c r="P431" s="37" t="str">
        <f t="shared" si="38"/>
        <v>1982F1</v>
      </c>
      <c r="Q431" s="37" t="str">
        <f t="shared" si="39"/>
        <v>F119</v>
      </c>
      <c r="R431" s="37" t="str">
        <f t="shared" si="40"/>
        <v>MayF1</v>
      </c>
    </row>
    <row r="432" spans="1:18">
      <c r="A432" s="616">
        <f t="shared" si="41"/>
        <v>428</v>
      </c>
      <c r="B432" s="617">
        <v>23</v>
      </c>
      <c r="C432" s="618">
        <v>30090</v>
      </c>
      <c r="D432" s="618" t="s">
        <v>177</v>
      </c>
      <c r="E432" s="633">
        <v>19</v>
      </c>
      <c r="F432" s="603">
        <v>1982</v>
      </c>
      <c r="G432" s="617" t="s">
        <v>137</v>
      </c>
      <c r="H432" s="620" t="s">
        <v>150</v>
      </c>
      <c r="I432" s="621">
        <v>10</v>
      </c>
      <c r="J432" s="621">
        <v>0.2</v>
      </c>
      <c r="K432" s="603">
        <f t="shared" si="42"/>
        <v>19</v>
      </c>
      <c r="L432" s="604">
        <v>0.81597222222222221</v>
      </c>
      <c r="M432" s="605">
        <f t="shared" si="37"/>
        <v>0.81597222222222221</v>
      </c>
      <c r="N432" s="663"/>
      <c r="P432" s="37" t="str">
        <f t="shared" si="38"/>
        <v>1982F1</v>
      </c>
      <c r="Q432" s="37" t="str">
        <f t="shared" si="39"/>
        <v>F119</v>
      </c>
      <c r="R432" s="37" t="str">
        <f t="shared" si="40"/>
        <v>MayF1</v>
      </c>
    </row>
    <row r="433" spans="1:18">
      <c r="A433" s="616">
        <f t="shared" si="41"/>
        <v>429</v>
      </c>
      <c r="B433" s="617">
        <v>24</v>
      </c>
      <c r="C433" s="618">
        <v>30095</v>
      </c>
      <c r="D433" s="618" t="s">
        <v>177</v>
      </c>
      <c r="E433" s="633">
        <v>24</v>
      </c>
      <c r="F433" s="603">
        <v>1982</v>
      </c>
      <c r="G433" s="617" t="s">
        <v>128</v>
      </c>
      <c r="H433" s="620" t="s">
        <v>149</v>
      </c>
      <c r="I433" s="621">
        <v>10</v>
      </c>
      <c r="J433" s="621">
        <v>4</v>
      </c>
      <c r="K433" s="603">
        <f t="shared" si="42"/>
        <v>16</v>
      </c>
      <c r="L433" s="604">
        <v>0.69791666666666663</v>
      </c>
      <c r="M433" s="605">
        <f t="shared" si="37"/>
        <v>0.69791666666666663</v>
      </c>
      <c r="N433" s="663"/>
      <c r="P433" s="37" t="str">
        <f t="shared" si="38"/>
        <v>1982F0</v>
      </c>
      <c r="Q433" s="37" t="str">
        <f t="shared" si="39"/>
        <v>F016</v>
      </c>
      <c r="R433" s="37" t="str">
        <f t="shared" si="40"/>
        <v>MayF0</v>
      </c>
    </row>
    <row r="434" spans="1:18">
      <c r="A434" s="616">
        <f t="shared" si="41"/>
        <v>430</v>
      </c>
      <c r="B434" s="617">
        <v>25</v>
      </c>
      <c r="C434" s="618">
        <v>30101</v>
      </c>
      <c r="D434" s="618" t="s">
        <v>177</v>
      </c>
      <c r="E434" s="633">
        <v>30</v>
      </c>
      <c r="F434" s="603">
        <v>1982</v>
      </c>
      <c r="G434" s="617" t="s">
        <v>127</v>
      </c>
      <c r="H434" s="620" t="s">
        <v>149</v>
      </c>
      <c r="I434" s="621">
        <v>10</v>
      </c>
      <c r="J434" s="621">
        <v>0.1</v>
      </c>
      <c r="K434" s="603">
        <f t="shared" si="42"/>
        <v>17</v>
      </c>
      <c r="L434" s="604">
        <v>0.73958333333333337</v>
      </c>
      <c r="M434" s="605">
        <f t="shared" si="37"/>
        <v>0.73958333333333337</v>
      </c>
      <c r="N434" s="663"/>
      <c r="P434" s="37" t="str">
        <f t="shared" si="38"/>
        <v>1982F0</v>
      </c>
      <c r="Q434" s="37" t="str">
        <f t="shared" si="39"/>
        <v>F017</v>
      </c>
      <c r="R434" s="37" t="str">
        <f t="shared" si="40"/>
        <v>MayF0</v>
      </c>
    </row>
    <row r="435" spans="1:18">
      <c r="A435" s="616">
        <f t="shared" si="41"/>
        <v>431</v>
      </c>
      <c r="B435" s="617">
        <v>26</v>
      </c>
      <c r="C435" s="618">
        <v>30101</v>
      </c>
      <c r="D435" s="618" t="s">
        <v>177</v>
      </c>
      <c r="E435" s="633">
        <v>30</v>
      </c>
      <c r="F435" s="603">
        <v>1982</v>
      </c>
      <c r="G435" s="617" t="s">
        <v>132</v>
      </c>
      <c r="H435" s="620" t="s">
        <v>150</v>
      </c>
      <c r="I435" s="621">
        <v>50</v>
      </c>
      <c r="J435" s="621">
        <v>0.4</v>
      </c>
      <c r="K435" s="603">
        <f t="shared" si="42"/>
        <v>18</v>
      </c>
      <c r="L435" s="604">
        <v>0.77083333333333337</v>
      </c>
      <c r="M435" s="605">
        <f t="shared" si="37"/>
        <v>0.77083333333333337</v>
      </c>
      <c r="N435" s="663"/>
      <c r="P435" s="37" t="str">
        <f t="shared" si="38"/>
        <v>1982F1</v>
      </c>
      <c r="Q435" s="37" t="str">
        <f t="shared" si="39"/>
        <v>F118</v>
      </c>
      <c r="R435" s="37" t="str">
        <f t="shared" si="40"/>
        <v>MayF1</v>
      </c>
    </row>
    <row r="436" spans="1:18">
      <c r="A436" s="616">
        <f t="shared" si="41"/>
        <v>432</v>
      </c>
      <c r="B436" s="617">
        <v>27</v>
      </c>
      <c r="C436" s="618">
        <v>30107</v>
      </c>
      <c r="D436" s="618" t="s">
        <v>178</v>
      </c>
      <c r="E436" s="633">
        <v>5</v>
      </c>
      <c r="F436" s="603">
        <v>1982</v>
      </c>
      <c r="G436" s="617" t="s">
        <v>136</v>
      </c>
      <c r="H436" s="620" t="s">
        <v>151</v>
      </c>
      <c r="I436" s="621">
        <v>67</v>
      </c>
      <c r="J436" s="621">
        <v>3</v>
      </c>
      <c r="K436" s="603">
        <f t="shared" si="42"/>
        <v>18</v>
      </c>
      <c r="L436" s="604">
        <v>0.77222222222222225</v>
      </c>
      <c r="M436" s="605">
        <f t="shared" si="37"/>
        <v>0.77222222222222225</v>
      </c>
      <c r="N436" s="663"/>
      <c r="P436" s="37" t="str">
        <f t="shared" si="38"/>
        <v>1982F2</v>
      </c>
      <c r="Q436" s="37" t="str">
        <f t="shared" si="39"/>
        <v>F218</v>
      </c>
      <c r="R436" s="37" t="str">
        <f t="shared" si="40"/>
        <v>JuneF2</v>
      </c>
    </row>
    <row r="437" spans="1:18">
      <c r="A437" s="616">
        <f t="shared" si="41"/>
        <v>433</v>
      </c>
      <c r="B437" s="617">
        <v>28</v>
      </c>
      <c r="C437" s="618">
        <v>30116</v>
      </c>
      <c r="D437" s="618" t="s">
        <v>178</v>
      </c>
      <c r="E437" s="633">
        <v>14</v>
      </c>
      <c r="F437" s="603">
        <v>1982</v>
      </c>
      <c r="G437" s="617" t="s">
        <v>131</v>
      </c>
      <c r="H437" s="620" t="s">
        <v>151</v>
      </c>
      <c r="I437" s="621">
        <v>100</v>
      </c>
      <c r="J437" s="621">
        <v>12.2</v>
      </c>
      <c r="K437" s="603">
        <f t="shared" si="42"/>
        <v>19</v>
      </c>
      <c r="L437" s="604">
        <v>0.79791666666666661</v>
      </c>
      <c r="M437" s="605">
        <f t="shared" si="37"/>
        <v>0.79791666666666661</v>
      </c>
      <c r="N437" s="663"/>
      <c r="P437" s="37" t="str">
        <f t="shared" si="38"/>
        <v>1982F2</v>
      </c>
      <c r="Q437" s="37" t="str">
        <f t="shared" si="39"/>
        <v>F219</v>
      </c>
      <c r="R437" s="37" t="str">
        <f t="shared" si="40"/>
        <v>JuneF2</v>
      </c>
    </row>
    <row r="438" spans="1:18">
      <c r="A438" s="616">
        <f t="shared" si="41"/>
        <v>434</v>
      </c>
      <c r="B438" s="617">
        <v>29</v>
      </c>
      <c r="C438" s="618">
        <v>30116</v>
      </c>
      <c r="D438" s="618" t="s">
        <v>178</v>
      </c>
      <c r="E438" s="633">
        <v>14</v>
      </c>
      <c r="F438" s="603">
        <v>1982</v>
      </c>
      <c r="G438" s="617" t="s">
        <v>141</v>
      </c>
      <c r="H438" s="620" t="s">
        <v>149</v>
      </c>
      <c r="I438" s="621">
        <v>3</v>
      </c>
      <c r="J438" s="621">
        <v>0.1</v>
      </c>
      <c r="K438" s="603">
        <f t="shared" si="42"/>
        <v>19</v>
      </c>
      <c r="L438" s="604">
        <v>0.80208333333333337</v>
      </c>
      <c r="M438" s="605">
        <f t="shared" si="37"/>
        <v>0.80208333333333337</v>
      </c>
      <c r="N438" s="663"/>
      <c r="P438" s="37" t="str">
        <f t="shared" si="38"/>
        <v>1982F0</v>
      </c>
      <c r="Q438" s="37" t="str">
        <f t="shared" si="39"/>
        <v>F019</v>
      </c>
      <c r="R438" s="37" t="str">
        <f t="shared" si="40"/>
        <v>JuneF0</v>
      </c>
    </row>
    <row r="439" spans="1:18">
      <c r="A439" s="616">
        <f t="shared" si="41"/>
        <v>435</v>
      </c>
      <c r="B439" s="617">
        <v>30</v>
      </c>
      <c r="C439" s="618">
        <v>30116</v>
      </c>
      <c r="D439" s="618" t="s">
        <v>178</v>
      </c>
      <c r="E439" s="633">
        <v>14</v>
      </c>
      <c r="F439" s="603">
        <v>1982</v>
      </c>
      <c r="G439" s="617" t="s">
        <v>132</v>
      </c>
      <c r="H439" s="620" t="s">
        <v>151</v>
      </c>
      <c r="I439" s="621">
        <v>100</v>
      </c>
      <c r="J439" s="621">
        <v>5</v>
      </c>
      <c r="K439" s="603">
        <f t="shared" si="42"/>
        <v>19</v>
      </c>
      <c r="L439" s="604">
        <v>0.80902777777777779</v>
      </c>
      <c r="M439" s="605">
        <f t="shared" si="37"/>
        <v>0.80902777777777779</v>
      </c>
      <c r="N439" s="663"/>
      <c r="P439" s="37" t="str">
        <f t="shared" si="38"/>
        <v>1982F2</v>
      </c>
      <c r="Q439" s="37" t="str">
        <f t="shared" si="39"/>
        <v>F219</v>
      </c>
      <c r="R439" s="37" t="str">
        <f t="shared" si="40"/>
        <v>JuneF2</v>
      </c>
    </row>
    <row r="440" spans="1:18">
      <c r="A440" s="616">
        <f t="shared" si="41"/>
        <v>436</v>
      </c>
      <c r="B440" s="617">
        <v>31</v>
      </c>
      <c r="C440" s="618">
        <v>30116</v>
      </c>
      <c r="D440" s="618" t="s">
        <v>178</v>
      </c>
      <c r="E440" s="633">
        <v>14</v>
      </c>
      <c r="F440" s="603">
        <v>1982</v>
      </c>
      <c r="G440" s="617" t="s">
        <v>133</v>
      </c>
      <c r="H440" s="620" t="s">
        <v>149</v>
      </c>
      <c r="I440" s="621">
        <v>3</v>
      </c>
      <c r="J440" s="621">
        <v>0.1</v>
      </c>
      <c r="K440" s="603">
        <f t="shared" si="42"/>
        <v>21</v>
      </c>
      <c r="L440" s="604">
        <v>0.87847222222222221</v>
      </c>
      <c r="M440" s="605">
        <f t="shared" si="37"/>
        <v>0.87847222222222221</v>
      </c>
      <c r="N440" s="663"/>
      <c r="P440" s="37" t="str">
        <f t="shared" si="38"/>
        <v>1982F0</v>
      </c>
      <c r="Q440" s="37" t="str">
        <f t="shared" si="39"/>
        <v>F021</v>
      </c>
      <c r="R440" s="37" t="str">
        <f t="shared" si="40"/>
        <v>JuneF0</v>
      </c>
    </row>
    <row r="441" spans="1:18">
      <c r="A441" s="616">
        <f t="shared" si="41"/>
        <v>437</v>
      </c>
      <c r="B441" s="617">
        <v>32</v>
      </c>
      <c r="C441" s="618">
        <v>30125</v>
      </c>
      <c r="D441" s="618" t="s">
        <v>178</v>
      </c>
      <c r="E441" s="633">
        <v>23</v>
      </c>
      <c r="F441" s="603">
        <v>1982</v>
      </c>
      <c r="G441" s="617" t="s">
        <v>126</v>
      </c>
      <c r="H441" s="620" t="s">
        <v>149</v>
      </c>
      <c r="I441" s="621">
        <v>3</v>
      </c>
      <c r="J441" s="621">
        <v>0.1</v>
      </c>
      <c r="K441" s="603">
        <f t="shared" si="42"/>
        <v>17</v>
      </c>
      <c r="L441" s="604">
        <v>0.73611111111111116</v>
      </c>
      <c r="M441" s="605">
        <f t="shared" si="37"/>
        <v>0.73611111111111116</v>
      </c>
      <c r="N441" s="663"/>
      <c r="P441" s="37" t="str">
        <f t="shared" si="38"/>
        <v>1982F0</v>
      </c>
      <c r="Q441" s="37" t="str">
        <f t="shared" si="39"/>
        <v>F017</v>
      </c>
      <c r="R441" s="37" t="str">
        <f t="shared" si="40"/>
        <v>JuneF0</v>
      </c>
    </row>
    <row r="442" spans="1:18">
      <c r="A442" s="616">
        <f t="shared" si="41"/>
        <v>438</v>
      </c>
      <c r="B442" s="617">
        <v>33</v>
      </c>
      <c r="C442" s="618">
        <v>30125</v>
      </c>
      <c r="D442" s="618" t="s">
        <v>178</v>
      </c>
      <c r="E442" s="633">
        <v>23</v>
      </c>
      <c r="F442" s="603">
        <v>1982</v>
      </c>
      <c r="G442" s="617" t="s">
        <v>141</v>
      </c>
      <c r="H442" s="620" t="s">
        <v>149</v>
      </c>
      <c r="I442" s="621">
        <v>3</v>
      </c>
      <c r="J442" s="621">
        <v>0.1</v>
      </c>
      <c r="K442" s="603">
        <f t="shared" si="42"/>
        <v>19</v>
      </c>
      <c r="L442" s="604">
        <v>0.8125</v>
      </c>
      <c r="M442" s="605">
        <f t="shared" si="37"/>
        <v>0.8125</v>
      </c>
      <c r="N442" s="663"/>
      <c r="P442" s="37" t="str">
        <f t="shared" si="38"/>
        <v>1982F0</v>
      </c>
      <c r="Q442" s="37" t="str">
        <f t="shared" si="39"/>
        <v>F019</v>
      </c>
      <c r="R442" s="37" t="str">
        <f t="shared" si="40"/>
        <v>JuneF0</v>
      </c>
    </row>
    <row r="443" spans="1:18">
      <c r="A443" s="616">
        <f t="shared" si="41"/>
        <v>439</v>
      </c>
      <c r="B443" s="617">
        <v>34</v>
      </c>
      <c r="C443" s="618">
        <v>30126</v>
      </c>
      <c r="D443" s="618" t="s">
        <v>178</v>
      </c>
      <c r="E443" s="633">
        <v>24</v>
      </c>
      <c r="F443" s="603">
        <v>1982</v>
      </c>
      <c r="G443" s="617" t="s">
        <v>142</v>
      </c>
      <c r="H443" s="620" t="s">
        <v>150</v>
      </c>
      <c r="I443" s="621">
        <v>3</v>
      </c>
      <c r="J443" s="621">
        <v>0.1</v>
      </c>
      <c r="K443" s="603">
        <f t="shared" si="42"/>
        <v>19</v>
      </c>
      <c r="L443" s="604">
        <v>0.79513888888888884</v>
      </c>
      <c r="M443" s="605">
        <f t="shared" ref="M443:M505" si="43">+L443</f>
        <v>0.79513888888888884</v>
      </c>
      <c r="N443" s="663"/>
      <c r="P443" s="37" t="str">
        <f t="shared" si="38"/>
        <v>1982F1</v>
      </c>
      <c r="Q443" s="37" t="str">
        <f t="shared" si="39"/>
        <v>F119</v>
      </c>
      <c r="R443" s="37" t="str">
        <f t="shared" si="40"/>
        <v>JuneF1</v>
      </c>
    </row>
    <row r="444" spans="1:18">
      <c r="A444" s="616">
        <f t="shared" si="41"/>
        <v>440</v>
      </c>
      <c r="B444" s="617">
        <v>35</v>
      </c>
      <c r="C444" s="618">
        <v>30141</v>
      </c>
      <c r="D444" s="618" t="s">
        <v>179</v>
      </c>
      <c r="E444" s="633">
        <v>9</v>
      </c>
      <c r="F444" s="603">
        <v>1982</v>
      </c>
      <c r="G444" s="617" t="s">
        <v>126</v>
      </c>
      <c r="H444" s="620" t="s">
        <v>149</v>
      </c>
      <c r="I444" s="621">
        <v>3</v>
      </c>
      <c r="J444" s="621">
        <v>0.1</v>
      </c>
      <c r="K444" s="603">
        <f t="shared" si="42"/>
        <v>13</v>
      </c>
      <c r="L444" s="604">
        <v>0.57291666666666663</v>
      </c>
      <c r="M444" s="605">
        <f t="shared" si="43"/>
        <v>0.57291666666666663</v>
      </c>
      <c r="N444" s="663"/>
      <c r="P444" s="37" t="str">
        <f t="shared" si="38"/>
        <v>1982F0</v>
      </c>
      <c r="Q444" s="37" t="str">
        <f t="shared" si="39"/>
        <v>F013</v>
      </c>
      <c r="R444" s="37" t="str">
        <f t="shared" si="40"/>
        <v>JulyF0</v>
      </c>
    </row>
    <row r="445" spans="1:18">
      <c r="A445" s="616">
        <f t="shared" si="41"/>
        <v>441</v>
      </c>
      <c r="B445" s="617">
        <v>36</v>
      </c>
      <c r="C445" s="618">
        <v>30178</v>
      </c>
      <c r="D445" s="618" t="s">
        <v>180</v>
      </c>
      <c r="E445" s="633">
        <v>15</v>
      </c>
      <c r="F445" s="603">
        <v>1982</v>
      </c>
      <c r="G445" s="617" t="s">
        <v>127</v>
      </c>
      <c r="H445" s="620" t="s">
        <v>150</v>
      </c>
      <c r="I445" s="621">
        <v>10</v>
      </c>
      <c r="J445" s="621">
        <v>0.1</v>
      </c>
      <c r="K445" s="603">
        <f t="shared" si="42"/>
        <v>17</v>
      </c>
      <c r="L445" s="604">
        <v>0.70833333333333337</v>
      </c>
      <c r="M445" s="605">
        <f t="shared" si="43"/>
        <v>0.70833333333333337</v>
      </c>
      <c r="N445" s="663"/>
      <c r="P445" s="37" t="str">
        <f t="shared" si="38"/>
        <v>1982F1</v>
      </c>
      <c r="Q445" s="37" t="str">
        <f t="shared" si="39"/>
        <v>F117</v>
      </c>
      <c r="R445" s="37" t="str">
        <f t="shared" si="40"/>
        <v>AugustF1</v>
      </c>
    </row>
    <row r="446" spans="1:18">
      <c r="A446" s="616">
        <f t="shared" si="41"/>
        <v>442</v>
      </c>
      <c r="B446" s="617">
        <v>1</v>
      </c>
      <c r="C446" s="618">
        <v>30378</v>
      </c>
      <c r="D446" s="632" t="s">
        <v>175</v>
      </c>
      <c r="E446" s="633">
        <v>3</v>
      </c>
      <c r="F446" s="603">
        <v>1983</v>
      </c>
      <c r="G446" s="617" t="s">
        <v>147</v>
      </c>
      <c r="H446" s="620" t="s">
        <v>151</v>
      </c>
      <c r="I446" s="621">
        <v>880</v>
      </c>
      <c r="J446" s="621">
        <v>5</v>
      </c>
      <c r="K446" s="603">
        <f t="shared" si="42"/>
        <v>16</v>
      </c>
      <c r="L446" s="604">
        <v>0.70138888888888884</v>
      </c>
      <c r="M446" s="605">
        <f t="shared" si="43"/>
        <v>0.70138888888888884</v>
      </c>
      <c r="N446" s="663"/>
      <c r="P446" s="37" t="str">
        <f t="shared" si="38"/>
        <v>1983F2</v>
      </c>
      <c r="Q446" s="37" t="str">
        <f t="shared" si="39"/>
        <v>F216</v>
      </c>
      <c r="R446" s="37" t="str">
        <f t="shared" si="40"/>
        <v>MarchF2</v>
      </c>
    </row>
    <row r="447" spans="1:18">
      <c r="A447" s="616">
        <f t="shared" si="41"/>
        <v>443</v>
      </c>
      <c r="B447" s="617">
        <v>2</v>
      </c>
      <c r="C447" s="618">
        <v>30378</v>
      </c>
      <c r="D447" s="632" t="s">
        <v>175</v>
      </c>
      <c r="E447" s="633">
        <v>3</v>
      </c>
      <c r="F447" s="603">
        <v>1983</v>
      </c>
      <c r="G447" s="617" t="s">
        <v>147</v>
      </c>
      <c r="H447" s="620" t="s">
        <v>151</v>
      </c>
      <c r="I447" s="621">
        <v>880</v>
      </c>
      <c r="J447" s="621">
        <v>5</v>
      </c>
      <c r="K447" s="603">
        <f t="shared" si="42"/>
        <v>17</v>
      </c>
      <c r="L447" s="604">
        <v>0.74930555555555556</v>
      </c>
      <c r="M447" s="605">
        <f t="shared" si="43"/>
        <v>0.74930555555555556</v>
      </c>
      <c r="N447" s="663"/>
      <c r="P447" s="37" t="str">
        <f t="shared" si="38"/>
        <v>1983F2</v>
      </c>
      <c r="Q447" s="37" t="str">
        <f t="shared" si="39"/>
        <v>F217</v>
      </c>
      <c r="R447" s="37" t="str">
        <f t="shared" si="40"/>
        <v>MarchF2</v>
      </c>
    </row>
    <row r="448" spans="1:18">
      <c r="A448" s="616">
        <f t="shared" si="41"/>
        <v>444</v>
      </c>
      <c r="B448" s="617">
        <v>3</v>
      </c>
      <c r="C448" s="618">
        <v>30378</v>
      </c>
      <c r="D448" s="632" t="s">
        <v>175</v>
      </c>
      <c r="E448" s="633">
        <v>3</v>
      </c>
      <c r="F448" s="603">
        <v>1983</v>
      </c>
      <c r="G448" s="617" t="s">
        <v>142</v>
      </c>
      <c r="H448" s="620" t="s">
        <v>149</v>
      </c>
      <c r="I448" s="621">
        <v>33</v>
      </c>
      <c r="J448" s="621">
        <v>0.5</v>
      </c>
      <c r="K448" s="603">
        <f t="shared" si="42"/>
        <v>19</v>
      </c>
      <c r="L448" s="604">
        <v>0.79513888888888884</v>
      </c>
      <c r="M448" s="605">
        <f t="shared" si="43"/>
        <v>0.79513888888888884</v>
      </c>
      <c r="N448" s="663"/>
      <c r="P448" s="37" t="str">
        <f t="shared" si="38"/>
        <v>1983F0</v>
      </c>
      <c r="Q448" s="37" t="str">
        <f t="shared" si="39"/>
        <v>F019</v>
      </c>
      <c r="R448" s="37" t="str">
        <f t="shared" si="40"/>
        <v>MarchF0</v>
      </c>
    </row>
    <row r="449" spans="1:18">
      <c r="A449" s="616">
        <f t="shared" si="41"/>
        <v>445</v>
      </c>
      <c r="B449" s="617">
        <v>4</v>
      </c>
      <c r="C449" s="618">
        <v>30449</v>
      </c>
      <c r="D449" s="618" t="s">
        <v>177</v>
      </c>
      <c r="E449" s="633">
        <v>13</v>
      </c>
      <c r="F449" s="603">
        <v>1983</v>
      </c>
      <c r="G449" s="617" t="s">
        <v>135</v>
      </c>
      <c r="H449" s="620" t="s">
        <v>149</v>
      </c>
      <c r="I449" s="621">
        <v>50</v>
      </c>
      <c r="J449" s="621">
        <v>0.5</v>
      </c>
      <c r="K449" s="603">
        <f t="shared" si="42"/>
        <v>13</v>
      </c>
      <c r="L449" s="604">
        <v>0.5625</v>
      </c>
      <c r="M449" s="605">
        <f t="shared" si="43"/>
        <v>0.5625</v>
      </c>
      <c r="N449" s="663"/>
      <c r="P449" s="37" t="str">
        <f t="shared" si="38"/>
        <v>1983F0</v>
      </c>
      <c r="Q449" s="37" t="str">
        <f t="shared" si="39"/>
        <v>F013</v>
      </c>
      <c r="R449" s="37" t="str">
        <f t="shared" si="40"/>
        <v>MayF0</v>
      </c>
    </row>
    <row r="450" spans="1:18">
      <c r="A450" s="616">
        <f t="shared" si="41"/>
        <v>446</v>
      </c>
      <c r="B450" s="617">
        <v>5</v>
      </c>
      <c r="C450" s="618">
        <v>30460</v>
      </c>
      <c r="D450" s="618" t="s">
        <v>177</v>
      </c>
      <c r="E450" s="633">
        <v>24</v>
      </c>
      <c r="F450" s="603">
        <v>1983</v>
      </c>
      <c r="G450" s="617" t="s">
        <v>138</v>
      </c>
      <c r="H450" s="620" t="s">
        <v>150</v>
      </c>
      <c r="I450" s="621">
        <v>60</v>
      </c>
      <c r="J450" s="621">
        <v>0.3</v>
      </c>
      <c r="K450" s="603">
        <f t="shared" si="42"/>
        <v>20</v>
      </c>
      <c r="L450" s="604">
        <v>0.83333333333333337</v>
      </c>
      <c r="M450" s="605">
        <f t="shared" si="43"/>
        <v>0.83333333333333337</v>
      </c>
      <c r="N450" s="663"/>
      <c r="P450" s="37" t="str">
        <f t="shared" si="38"/>
        <v>1983F1</v>
      </c>
      <c r="Q450" s="37" t="str">
        <f t="shared" si="39"/>
        <v>F120</v>
      </c>
      <c r="R450" s="37" t="str">
        <f t="shared" si="40"/>
        <v>MayF1</v>
      </c>
    </row>
    <row r="451" spans="1:18">
      <c r="A451" s="616">
        <f t="shared" si="41"/>
        <v>447</v>
      </c>
      <c r="B451" s="617">
        <v>6</v>
      </c>
      <c r="C451" s="618">
        <v>30476</v>
      </c>
      <c r="D451" s="618" t="s">
        <v>178</v>
      </c>
      <c r="E451" s="633">
        <v>9</v>
      </c>
      <c r="F451" s="603">
        <v>1983</v>
      </c>
      <c r="G451" s="617" t="s">
        <v>136</v>
      </c>
      <c r="H451" s="620" t="s">
        <v>150</v>
      </c>
      <c r="I451" s="621">
        <v>17</v>
      </c>
      <c r="J451" s="621">
        <v>0.1</v>
      </c>
      <c r="K451" s="603">
        <f t="shared" si="42"/>
        <v>22</v>
      </c>
      <c r="L451" s="604">
        <v>0.94791666666666663</v>
      </c>
      <c r="M451" s="605">
        <f t="shared" si="43"/>
        <v>0.94791666666666663</v>
      </c>
      <c r="N451" s="663"/>
      <c r="P451" s="37" t="str">
        <f t="shared" si="38"/>
        <v>1983F1</v>
      </c>
      <c r="Q451" s="37" t="str">
        <f t="shared" si="39"/>
        <v>F122</v>
      </c>
      <c r="R451" s="37" t="str">
        <f t="shared" si="40"/>
        <v>JuneF1</v>
      </c>
    </row>
    <row r="452" spans="1:18">
      <c r="A452" s="616">
        <f t="shared" si="41"/>
        <v>448</v>
      </c>
      <c r="B452" s="617">
        <v>7</v>
      </c>
      <c r="C452" s="618">
        <v>30476</v>
      </c>
      <c r="D452" s="618" t="s">
        <v>178</v>
      </c>
      <c r="E452" s="633">
        <v>9</v>
      </c>
      <c r="F452" s="603">
        <v>1983</v>
      </c>
      <c r="G452" s="617" t="s">
        <v>136</v>
      </c>
      <c r="H452" s="620" t="s">
        <v>150</v>
      </c>
      <c r="I452" s="621">
        <v>17</v>
      </c>
      <c r="J452" s="621">
        <v>0.1</v>
      </c>
      <c r="K452" s="603">
        <f t="shared" si="42"/>
        <v>23</v>
      </c>
      <c r="L452" s="604">
        <v>0.95833333333333337</v>
      </c>
      <c r="M452" s="605">
        <f t="shared" si="43"/>
        <v>0.95833333333333337</v>
      </c>
      <c r="N452" s="663"/>
      <c r="P452" s="37" t="str">
        <f t="shared" si="38"/>
        <v>1983F1</v>
      </c>
      <c r="Q452" s="37" t="str">
        <f t="shared" si="39"/>
        <v>F123</v>
      </c>
      <c r="R452" s="37" t="str">
        <f t="shared" si="40"/>
        <v>JuneF1</v>
      </c>
    </row>
    <row r="453" spans="1:18">
      <c r="A453" s="616">
        <f t="shared" si="41"/>
        <v>449</v>
      </c>
      <c r="B453" s="617">
        <v>8</v>
      </c>
      <c r="C453" s="618">
        <v>30477</v>
      </c>
      <c r="D453" s="618" t="s">
        <v>178</v>
      </c>
      <c r="E453" s="633">
        <v>10</v>
      </c>
      <c r="F453" s="603">
        <v>1983</v>
      </c>
      <c r="G453" s="617" t="s">
        <v>130</v>
      </c>
      <c r="H453" s="620" t="s">
        <v>149</v>
      </c>
      <c r="I453" s="621">
        <v>70</v>
      </c>
      <c r="J453" s="621">
        <v>0.3</v>
      </c>
      <c r="K453" s="603">
        <f t="shared" si="42"/>
        <v>22</v>
      </c>
      <c r="L453" s="604">
        <v>0.94791666666666663</v>
      </c>
      <c r="M453" s="605">
        <f t="shared" si="43"/>
        <v>0.94791666666666663</v>
      </c>
      <c r="N453" s="663"/>
      <c r="P453" s="37" t="str">
        <f t="shared" si="38"/>
        <v>1983F0</v>
      </c>
      <c r="Q453" s="37" t="str">
        <f t="shared" si="39"/>
        <v>F022</v>
      </c>
      <c r="R453" s="37" t="str">
        <f t="shared" si="40"/>
        <v>JuneF0</v>
      </c>
    </row>
    <row r="454" spans="1:18">
      <c r="A454" s="616">
        <f t="shared" si="41"/>
        <v>450</v>
      </c>
      <c r="B454" s="617">
        <v>9</v>
      </c>
      <c r="C454" s="618">
        <v>30478</v>
      </c>
      <c r="D454" s="618" t="s">
        <v>178</v>
      </c>
      <c r="E454" s="633">
        <v>11</v>
      </c>
      <c r="F454" s="603">
        <v>1983</v>
      </c>
      <c r="G454" s="617" t="s">
        <v>137</v>
      </c>
      <c r="H454" s="620" t="s">
        <v>150</v>
      </c>
      <c r="I454" s="621">
        <v>17</v>
      </c>
      <c r="J454" s="621">
        <v>0.1</v>
      </c>
      <c r="K454" s="603">
        <f t="shared" si="42"/>
        <v>0</v>
      </c>
      <c r="L454" s="604">
        <v>6.9444444444444441E-3</v>
      </c>
      <c r="M454" s="605">
        <f t="shared" si="43"/>
        <v>6.9444444444444441E-3</v>
      </c>
      <c r="N454" s="663"/>
      <c r="P454" s="37" t="str">
        <f t="shared" ref="P454:P517" si="44">CONCATENATE(F454,H454)</f>
        <v>1983F1</v>
      </c>
      <c r="Q454" s="37" t="str">
        <f t="shared" ref="Q454:Q517" si="45">CONCATENATE(H454,K454)</f>
        <v>F10</v>
      </c>
      <c r="R454" s="37" t="str">
        <f t="shared" ref="R454:R517" si="46">CONCATENATE(D454,H454)</f>
        <v>JuneF1</v>
      </c>
    </row>
    <row r="455" spans="1:18">
      <c r="A455" s="616">
        <f t="shared" ref="A455:A518" si="47">+A454+1</f>
        <v>451</v>
      </c>
      <c r="B455" s="617">
        <v>10</v>
      </c>
      <c r="C455" s="618">
        <v>30478</v>
      </c>
      <c r="D455" s="618" t="s">
        <v>178</v>
      </c>
      <c r="E455" s="633">
        <v>11</v>
      </c>
      <c r="F455" s="603">
        <v>1983</v>
      </c>
      <c r="G455" s="617" t="s">
        <v>142</v>
      </c>
      <c r="H455" s="620" t="s">
        <v>149</v>
      </c>
      <c r="I455" s="621">
        <v>70</v>
      </c>
      <c r="J455" s="621">
        <v>0.3</v>
      </c>
      <c r="K455" s="603">
        <f t="shared" si="42"/>
        <v>0</v>
      </c>
      <c r="L455" s="604">
        <v>1.0416666666666666E-2</v>
      </c>
      <c r="M455" s="605">
        <f t="shared" si="43"/>
        <v>1.0416666666666666E-2</v>
      </c>
      <c r="N455" s="663"/>
      <c r="P455" s="37" t="str">
        <f t="shared" si="44"/>
        <v>1983F0</v>
      </c>
      <c r="Q455" s="37" t="str">
        <f t="shared" si="45"/>
        <v>F00</v>
      </c>
      <c r="R455" s="37" t="str">
        <f t="shared" si="46"/>
        <v>JuneF0</v>
      </c>
    </row>
    <row r="456" spans="1:18">
      <c r="A456" s="616">
        <f t="shared" si="47"/>
        <v>452</v>
      </c>
      <c r="B456" s="617">
        <v>11</v>
      </c>
      <c r="C456" s="618">
        <v>30480</v>
      </c>
      <c r="D456" s="618" t="s">
        <v>178</v>
      </c>
      <c r="E456" s="633">
        <v>13</v>
      </c>
      <c r="F456" s="603">
        <v>1983</v>
      </c>
      <c r="G456" s="617" t="s">
        <v>132</v>
      </c>
      <c r="H456" s="620" t="s">
        <v>149</v>
      </c>
      <c r="I456" s="621">
        <v>80</v>
      </c>
      <c r="J456" s="621">
        <v>0.3</v>
      </c>
      <c r="K456" s="603">
        <f t="shared" si="42"/>
        <v>14</v>
      </c>
      <c r="L456" s="604">
        <v>0.61805555555555558</v>
      </c>
      <c r="M456" s="605">
        <f t="shared" si="43"/>
        <v>0.61805555555555558</v>
      </c>
      <c r="N456" s="663"/>
      <c r="P456" s="37" t="str">
        <f t="shared" si="44"/>
        <v>1983F0</v>
      </c>
      <c r="Q456" s="37" t="str">
        <f t="shared" si="45"/>
        <v>F014</v>
      </c>
      <c r="R456" s="37" t="str">
        <f t="shared" si="46"/>
        <v>JuneF0</v>
      </c>
    </row>
    <row r="457" spans="1:18">
      <c r="A457" s="616">
        <f t="shared" si="47"/>
        <v>453</v>
      </c>
      <c r="B457" s="617">
        <v>12</v>
      </c>
      <c r="C457" s="618">
        <v>30480</v>
      </c>
      <c r="D457" s="618" t="s">
        <v>178</v>
      </c>
      <c r="E457" s="633">
        <v>13</v>
      </c>
      <c r="F457" s="603">
        <v>1983</v>
      </c>
      <c r="G457" s="617" t="s">
        <v>127</v>
      </c>
      <c r="H457" s="620" t="s">
        <v>149</v>
      </c>
      <c r="I457" s="621">
        <v>10</v>
      </c>
      <c r="J457" s="621">
        <v>0.1</v>
      </c>
      <c r="K457" s="603">
        <f t="shared" si="42"/>
        <v>15</v>
      </c>
      <c r="L457" s="604">
        <v>0.64583333333333337</v>
      </c>
      <c r="M457" s="605">
        <f t="shared" si="43"/>
        <v>0.64583333333333337</v>
      </c>
      <c r="N457" s="663"/>
      <c r="P457" s="37" t="str">
        <f t="shared" si="44"/>
        <v>1983F0</v>
      </c>
      <c r="Q457" s="37" t="str">
        <f t="shared" si="45"/>
        <v>F015</v>
      </c>
      <c r="R457" s="37" t="str">
        <f t="shared" si="46"/>
        <v>JuneF0</v>
      </c>
    </row>
    <row r="458" spans="1:18">
      <c r="A458" s="616">
        <f t="shared" si="47"/>
        <v>454</v>
      </c>
      <c r="B458" s="617">
        <v>13</v>
      </c>
      <c r="C458" s="618">
        <v>30480</v>
      </c>
      <c r="D458" s="618" t="s">
        <v>178</v>
      </c>
      <c r="E458" s="633">
        <v>13</v>
      </c>
      <c r="F458" s="603">
        <v>1983</v>
      </c>
      <c r="G458" s="617" t="s">
        <v>128</v>
      </c>
      <c r="H458" s="620" t="s">
        <v>149</v>
      </c>
      <c r="I458" s="621">
        <v>10</v>
      </c>
      <c r="J458" s="621">
        <v>0.1</v>
      </c>
      <c r="K458" s="603">
        <f t="shared" si="42"/>
        <v>17</v>
      </c>
      <c r="L458" s="604">
        <v>0.7104166666666667</v>
      </c>
      <c r="M458" s="605">
        <f t="shared" si="43"/>
        <v>0.7104166666666667</v>
      </c>
      <c r="N458" s="663"/>
      <c r="P458" s="37" t="str">
        <f t="shared" si="44"/>
        <v>1983F0</v>
      </c>
      <c r="Q458" s="37" t="str">
        <f t="shared" si="45"/>
        <v>F017</v>
      </c>
      <c r="R458" s="37" t="str">
        <f t="shared" si="46"/>
        <v>JuneF0</v>
      </c>
    </row>
    <row r="459" spans="1:18">
      <c r="A459" s="616">
        <f t="shared" si="47"/>
        <v>455</v>
      </c>
      <c r="B459" s="617">
        <v>14</v>
      </c>
      <c r="C459" s="618">
        <v>30549</v>
      </c>
      <c r="D459" s="618" t="s">
        <v>180</v>
      </c>
      <c r="E459" s="633">
        <v>21</v>
      </c>
      <c r="F459" s="603">
        <v>1983</v>
      </c>
      <c r="G459" s="617" t="s">
        <v>126</v>
      </c>
      <c r="H459" s="620" t="s">
        <v>149</v>
      </c>
      <c r="I459" s="621">
        <v>10</v>
      </c>
      <c r="J459" s="621">
        <v>0.2</v>
      </c>
      <c r="K459" s="603">
        <f t="shared" si="42"/>
        <v>14</v>
      </c>
      <c r="L459" s="604">
        <v>0.60416666666666663</v>
      </c>
      <c r="M459" s="605">
        <f t="shared" si="43"/>
        <v>0.60416666666666663</v>
      </c>
      <c r="N459" s="663"/>
      <c r="P459" s="37" t="str">
        <f t="shared" si="44"/>
        <v>1983F0</v>
      </c>
      <c r="Q459" s="37" t="str">
        <f t="shared" si="45"/>
        <v>F014</v>
      </c>
      <c r="R459" s="37" t="str">
        <f t="shared" si="46"/>
        <v>AugustF0</v>
      </c>
    </row>
    <row r="460" spans="1:18">
      <c r="A460" s="616">
        <f t="shared" si="47"/>
        <v>456</v>
      </c>
      <c r="B460" s="617">
        <v>1</v>
      </c>
      <c r="C460" s="618">
        <v>30843</v>
      </c>
      <c r="D460" s="618" t="s">
        <v>178</v>
      </c>
      <c r="E460" s="633">
        <v>10</v>
      </c>
      <c r="F460" s="603">
        <v>1984</v>
      </c>
      <c r="G460" s="617" t="s">
        <v>135</v>
      </c>
      <c r="H460" s="620" t="s">
        <v>149</v>
      </c>
      <c r="I460" s="621">
        <v>33</v>
      </c>
      <c r="J460" s="621">
        <v>9</v>
      </c>
      <c r="K460" s="603">
        <f t="shared" si="42"/>
        <v>13</v>
      </c>
      <c r="L460" s="604">
        <v>0.55069444444444449</v>
      </c>
      <c r="M460" s="605">
        <f t="shared" si="43"/>
        <v>0.55069444444444449</v>
      </c>
      <c r="N460" s="663"/>
      <c r="P460" s="37" t="str">
        <f t="shared" si="44"/>
        <v>1984F0</v>
      </c>
      <c r="Q460" s="37" t="str">
        <f t="shared" si="45"/>
        <v>F013</v>
      </c>
      <c r="R460" s="37" t="str">
        <f t="shared" si="46"/>
        <v>JuneF0</v>
      </c>
    </row>
    <row r="461" spans="1:18">
      <c r="A461" s="616">
        <f t="shared" si="47"/>
        <v>457</v>
      </c>
      <c r="B461" s="617">
        <v>2</v>
      </c>
      <c r="C461" s="618">
        <v>30843</v>
      </c>
      <c r="D461" s="618" t="s">
        <v>178</v>
      </c>
      <c r="E461" s="633">
        <v>10</v>
      </c>
      <c r="F461" s="603">
        <v>1984</v>
      </c>
      <c r="G461" s="617" t="s">
        <v>143</v>
      </c>
      <c r="H461" s="620" t="s">
        <v>149</v>
      </c>
      <c r="I461" s="621">
        <v>10</v>
      </c>
      <c r="J461" s="621">
        <v>0.1</v>
      </c>
      <c r="K461" s="603">
        <f t="shared" si="42"/>
        <v>14</v>
      </c>
      <c r="L461" s="604">
        <v>0.61597222222222225</v>
      </c>
      <c r="M461" s="605">
        <f t="shared" si="43"/>
        <v>0.61597222222222225</v>
      </c>
      <c r="N461" s="663"/>
      <c r="P461" s="37" t="str">
        <f t="shared" si="44"/>
        <v>1984F0</v>
      </c>
      <c r="Q461" s="37" t="str">
        <f t="shared" si="45"/>
        <v>F014</v>
      </c>
      <c r="R461" s="37" t="str">
        <f t="shared" si="46"/>
        <v>JuneF0</v>
      </c>
    </row>
    <row r="462" spans="1:18">
      <c r="A462" s="616">
        <f t="shared" si="47"/>
        <v>458</v>
      </c>
      <c r="B462" s="617">
        <v>3</v>
      </c>
      <c r="C462" s="618">
        <v>30843</v>
      </c>
      <c r="D462" s="618" t="s">
        <v>178</v>
      </c>
      <c r="E462" s="633">
        <v>10</v>
      </c>
      <c r="F462" s="603">
        <v>1984</v>
      </c>
      <c r="G462" s="617" t="s">
        <v>146</v>
      </c>
      <c r="H462" s="620" t="s">
        <v>150</v>
      </c>
      <c r="I462" s="621">
        <v>20</v>
      </c>
      <c r="J462" s="621">
        <v>0.1</v>
      </c>
      <c r="K462" s="603">
        <f t="shared" si="42"/>
        <v>16</v>
      </c>
      <c r="L462" s="604">
        <v>0.68055555555555547</v>
      </c>
      <c r="M462" s="605">
        <f t="shared" si="43"/>
        <v>0.68055555555555547</v>
      </c>
      <c r="N462" s="663"/>
      <c r="P462" s="37" t="str">
        <f t="shared" si="44"/>
        <v>1984F1</v>
      </c>
      <c r="Q462" s="37" t="str">
        <f t="shared" si="45"/>
        <v>F116</v>
      </c>
      <c r="R462" s="37" t="str">
        <f t="shared" si="46"/>
        <v>JuneF1</v>
      </c>
    </row>
    <row r="463" spans="1:18">
      <c r="A463" s="616">
        <f t="shared" si="47"/>
        <v>459</v>
      </c>
      <c r="B463" s="617">
        <v>4</v>
      </c>
      <c r="C463" s="618">
        <v>30843</v>
      </c>
      <c r="D463" s="618" t="s">
        <v>178</v>
      </c>
      <c r="E463" s="633">
        <v>10</v>
      </c>
      <c r="F463" s="603">
        <v>1984</v>
      </c>
      <c r="G463" s="617" t="s">
        <v>146</v>
      </c>
      <c r="H463" s="620" t="s">
        <v>150</v>
      </c>
      <c r="I463" s="621">
        <v>20</v>
      </c>
      <c r="J463" s="621">
        <v>0.1</v>
      </c>
      <c r="K463" s="603">
        <f t="shared" si="42"/>
        <v>16</v>
      </c>
      <c r="L463" s="604">
        <v>0.70138888888888884</v>
      </c>
      <c r="M463" s="605">
        <f t="shared" si="43"/>
        <v>0.70138888888888884</v>
      </c>
      <c r="N463" s="663"/>
      <c r="P463" s="37" t="str">
        <f t="shared" si="44"/>
        <v>1984F1</v>
      </c>
      <c r="Q463" s="37" t="str">
        <f t="shared" si="45"/>
        <v>F116</v>
      </c>
      <c r="R463" s="37" t="str">
        <f t="shared" si="46"/>
        <v>JuneF1</v>
      </c>
    </row>
    <row r="464" spans="1:18">
      <c r="A464" s="616">
        <f t="shared" si="47"/>
        <v>460</v>
      </c>
      <c r="B464" s="617">
        <v>5</v>
      </c>
      <c r="C464" s="618">
        <v>30860</v>
      </c>
      <c r="D464" s="618" t="s">
        <v>178</v>
      </c>
      <c r="E464" s="633">
        <v>27</v>
      </c>
      <c r="F464" s="603">
        <v>1984</v>
      </c>
      <c r="G464" s="617" t="s">
        <v>143</v>
      </c>
      <c r="H464" s="620" t="s">
        <v>149</v>
      </c>
      <c r="I464" s="621">
        <v>10</v>
      </c>
      <c r="J464" s="621">
        <v>0.1</v>
      </c>
      <c r="K464" s="603">
        <f t="shared" ref="K464:K525" si="48">HOUR(M464)</f>
        <v>16</v>
      </c>
      <c r="L464" s="604">
        <v>0.66805555555555562</v>
      </c>
      <c r="M464" s="605">
        <f t="shared" si="43"/>
        <v>0.66805555555555562</v>
      </c>
      <c r="N464" s="663"/>
      <c r="P464" s="37" t="str">
        <f t="shared" si="44"/>
        <v>1984F0</v>
      </c>
      <c r="Q464" s="37" t="str">
        <f t="shared" si="45"/>
        <v>F016</v>
      </c>
      <c r="R464" s="37" t="str">
        <f t="shared" si="46"/>
        <v>JuneF0</v>
      </c>
    </row>
    <row r="465" spans="1:18">
      <c r="A465" s="616">
        <f t="shared" si="47"/>
        <v>461</v>
      </c>
      <c r="B465" s="617">
        <v>6</v>
      </c>
      <c r="C465" s="618">
        <v>30860</v>
      </c>
      <c r="D465" s="618" t="s">
        <v>178</v>
      </c>
      <c r="E465" s="633">
        <v>27</v>
      </c>
      <c r="F465" s="603">
        <v>1984</v>
      </c>
      <c r="G465" s="617" t="s">
        <v>148</v>
      </c>
      <c r="H465" s="620" t="s">
        <v>149</v>
      </c>
      <c r="I465" s="621">
        <v>10</v>
      </c>
      <c r="J465" s="621">
        <v>0.1</v>
      </c>
      <c r="K465" s="603">
        <f t="shared" si="48"/>
        <v>16</v>
      </c>
      <c r="L465" s="604">
        <v>0.6875</v>
      </c>
      <c r="M465" s="605">
        <f t="shared" si="43"/>
        <v>0.6875</v>
      </c>
      <c r="N465" s="663"/>
      <c r="P465" s="37" t="str">
        <f t="shared" si="44"/>
        <v>1984F0</v>
      </c>
      <c r="Q465" s="37" t="str">
        <f t="shared" si="45"/>
        <v>F016</v>
      </c>
      <c r="R465" s="37" t="str">
        <f t="shared" si="46"/>
        <v>JuneF0</v>
      </c>
    </row>
    <row r="466" spans="1:18">
      <c r="A466" s="616">
        <f t="shared" si="47"/>
        <v>462</v>
      </c>
      <c r="B466" s="617">
        <v>7</v>
      </c>
      <c r="C466" s="618">
        <v>30860</v>
      </c>
      <c r="D466" s="618" t="s">
        <v>178</v>
      </c>
      <c r="E466" s="633">
        <v>27</v>
      </c>
      <c r="F466" s="603">
        <v>1984</v>
      </c>
      <c r="G466" s="617" t="s">
        <v>148</v>
      </c>
      <c r="H466" s="620" t="s">
        <v>149</v>
      </c>
      <c r="I466" s="621">
        <v>10</v>
      </c>
      <c r="J466" s="621">
        <v>0.1</v>
      </c>
      <c r="K466" s="603">
        <f t="shared" si="48"/>
        <v>16</v>
      </c>
      <c r="L466" s="604">
        <v>0.6875</v>
      </c>
      <c r="M466" s="605">
        <f t="shared" si="43"/>
        <v>0.6875</v>
      </c>
      <c r="N466" s="663"/>
      <c r="P466" s="37" t="str">
        <f t="shared" si="44"/>
        <v>1984F0</v>
      </c>
      <c r="Q466" s="37" t="str">
        <f t="shared" si="45"/>
        <v>F016</v>
      </c>
      <c r="R466" s="37" t="str">
        <f t="shared" si="46"/>
        <v>JuneF0</v>
      </c>
    </row>
    <row r="467" spans="1:18">
      <c r="A467" s="616">
        <f t="shared" si="47"/>
        <v>463</v>
      </c>
      <c r="B467" s="617">
        <v>8</v>
      </c>
      <c r="C467" s="618">
        <v>30902</v>
      </c>
      <c r="D467" s="618" t="s">
        <v>180</v>
      </c>
      <c r="E467" s="633">
        <v>8</v>
      </c>
      <c r="F467" s="603">
        <v>1984</v>
      </c>
      <c r="G467" s="617" t="s">
        <v>145</v>
      </c>
      <c r="H467" s="620" t="s">
        <v>149</v>
      </c>
      <c r="I467" s="621">
        <v>10</v>
      </c>
      <c r="J467" s="621">
        <v>0.1</v>
      </c>
      <c r="K467" s="603">
        <f t="shared" si="48"/>
        <v>23</v>
      </c>
      <c r="L467" s="604">
        <v>0.97013888888888899</v>
      </c>
      <c r="M467" s="605">
        <f t="shared" si="43"/>
        <v>0.97013888888888899</v>
      </c>
      <c r="N467" s="663"/>
      <c r="P467" s="37" t="str">
        <f t="shared" si="44"/>
        <v>1984F0</v>
      </c>
      <c r="Q467" s="37" t="str">
        <f t="shared" si="45"/>
        <v>F023</v>
      </c>
      <c r="R467" s="37" t="str">
        <f t="shared" si="46"/>
        <v>AugustF0</v>
      </c>
    </row>
    <row r="468" spans="1:18">
      <c r="A468" s="616">
        <f t="shared" si="47"/>
        <v>464</v>
      </c>
      <c r="B468" s="617">
        <v>1</v>
      </c>
      <c r="C468" s="618">
        <v>31163</v>
      </c>
      <c r="D468" s="618" t="s">
        <v>176</v>
      </c>
      <c r="E468" s="633">
        <v>26</v>
      </c>
      <c r="F468" s="603">
        <v>1985</v>
      </c>
      <c r="G468" s="617" t="s">
        <v>142</v>
      </c>
      <c r="H468" s="620" t="s">
        <v>149</v>
      </c>
      <c r="I468" s="621">
        <v>30</v>
      </c>
      <c r="J468" s="621">
        <v>0.1</v>
      </c>
      <c r="K468" s="603">
        <f t="shared" si="48"/>
        <v>15</v>
      </c>
      <c r="L468" s="604">
        <v>0.63194444444444442</v>
      </c>
      <c r="M468" s="605">
        <f t="shared" si="43"/>
        <v>0.63194444444444442</v>
      </c>
      <c r="N468" s="663"/>
      <c r="P468" s="37" t="str">
        <f t="shared" si="44"/>
        <v>1985F0</v>
      </c>
      <c r="Q468" s="37" t="str">
        <f t="shared" si="45"/>
        <v>F015</v>
      </c>
      <c r="R468" s="37" t="str">
        <f t="shared" si="46"/>
        <v>AprilF0</v>
      </c>
    </row>
    <row r="469" spans="1:18">
      <c r="A469" s="616">
        <f t="shared" si="47"/>
        <v>465</v>
      </c>
      <c r="B469" s="617">
        <v>2</v>
      </c>
      <c r="C469" s="618">
        <v>31192</v>
      </c>
      <c r="D469" s="618" t="s">
        <v>177</v>
      </c>
      <c r="E469" s="633">
        <v>25</v>
      </c>
      <c r="F469" s="603">
        <v>1985</v>
      </c>
      <c r="G469" s="617" t="s">
        <v>136</v>
      </c>
      <c r="H469" s="620" t="s">
        <v>149</v>
      </c>
      <c r="I469" s="621">
        <v>50</v>
      </c>
      <c r="J469" s="621">
        <v>0.1</v>
      </c>
      <c r="K469" s="603">
        <f t="shared" si="48"/>
        <v>23</v>
      </c>
      <c r="L469" s="604">
        <v>0.99652777777777779</v>
      </c>
      <c r="M469" s="605">
        <f t="shared" si="43"/>
        <v>0.99652777777777779</v>
      </c>
      <c r="N469" s="663"/>
      <c r="P469" s="37" t="str">
        <f t="shared" si="44"/>
        <v>1985F0</v>
      </c>
      <c r="Q469" s="37" t="str">
        <f t="shared" si="45"/>
        <v>F023</v>
      </c>
      <c r="R469" s="37" t="str">
        <f t="shared" si="46"/>
        <v>MayF0</v>
      </c>
    </row>
    <row r="470" spans="1:18">
      <c r="A470" s="616">
        <f t="shared" si="47"/>
        <v>466</v>
      </c>
      <c r="B470" s="617">
        <v>3</v>
      </c>
      <c r="C470" s="618">
        <v>31308</v>
      </c>
      <c r="D470" s="618" t="s">
        <v>181</v>
      </c>
      <c r="E470" s="633">
        <v>18</v>
      </c>
      <c r="F470" s="603">
        <v>1985</v>
      </c>
      <c r="G470" s="617" t="s">
        <v>132</v>
      </c>
      <c r="H470" s="620" t="s">
        <v>149</v>
      </c>
      <c r="I470" s="621">
        <v>10</v>
      </c>
      <c r="J470" s="621">
        <v>0.1</v>
      </c>
      <c r="K470" s="603">
        <f t="shared" si="48"/>
        <v>19</v>
      </c>
      <c r="L470" s="604">
        <v>0.8125</v>
      </c>
      <c r="M470" s="605">
        <f t="shared" si="43"/>
        <v>0.8125</v>
      </c>
      <c r="N470" s="663"/>
      <c r="P470" s="37" t="str">
        <f t="shared" si="44"/>
        <v>1985F0</v>
      </c>
      <c r="Q470" s="37" t="str">
        <f t="shared" si="45"/>
        <v>F019</v>
      </c>
      <c r="R470" s="37" t="str">
        <f t="shared" si="46"/>
        <v>SeptemberF0</v>
      </c>
    </row>
    <row r="471" spans="1:18">
      <c r="A471" s="616">
        <f t="shared" si="47"/>
        <v>467</v>
      </c>
      <c r="B471" s="617">
        <v>1</v>
      </c>
      <c r="C471" s="618">
        <v>31539</v>
      </c>
      <c r="D471" s="618" t="s">
        <v>177</v>
      </c>
      <c r="E471" s="633">
        <v>7</v>
      </c>
      <c r="F471" s="603">
        <v>1986</v>
      </c>
      <c r="G471" s="617" t="s">
        <v>138</v>
      </c>
      <c r="H471" s="620" t="s">
        <v>149</v>
      </c>
      <c r="I471" s="621">
        <v>100</v>
      </c>
      <c r="J471" s="621">
        <v>1</v>
      </c>
      <c r="K471" s="603">
        <f t="shared" si="48"/>
        <v>16</v>
      </c>
      <c r="L471" s="604">
        <v>0.67500000000000004</v>
      </c>
      <c r="M471" s="605">
        <f t="shared" si="43"/>
        <v>0.67500000000000004</v>
      </c>
      <c r="N471" s="663"/>
      <c r="P471" s="37" t="str">
        <f t="shared" si="44"/>
        <v>1986F0</v>
      </c>
      <c r="Q471" s="37" t="str">
        <f t="shared" si="45"/>
        <v>F016</v>
      </c>
      <c r="R471" s="37" t="str">
        <f t="shared" si="46"/>
        <v>MayF0</v>
      </c>
    </row>
    <row r="472" spans="1:18">
      <c r="A472" s="616">
        <f t="shared" si="47"/>
        <v>468</v>
      </c>
      <c r="B472" s="617">
        <v>2</v>
      </c>
      <c r="C472" s="618">
        <v>31539</v>
      </c>
      <c r="D472" s="618" t="s">
        <v>177</v>
      </c>
      <c r="E472" s="633">
        <v>7</v>
      </c>
      <c r="F472" s="603">
        <v>1986</v>
      </c>
      <c r="G472" s="617" t="s">
        <v>138</v>
      </c>
      <c r="H472" s="620" t="s">
        <v>151</v>
      </c>
      <c r="I472" s="621">
        <v>100</v>
      </c>
      <c r="J472" s="621">
        <v>8</v>
      </c>
      <c r="K472" s="603">
        <f t="shared" si="48"/>
        <v>16</v>
      </c>
      <c r="L472" s="604">
        <v>0.6791666666666667</v>
      </c>
      <c r="M472" s="605">
        <f t="shared" si="43"/>
        <v>0.6791666666666667</v>
      </c>
      <c r="N472" s="663"/>
      <c r="P472" s="37" t="str">
        <f t="shared" si="44"/>
        <v>1986F2</v>
      </c>
      <c r="Q472" s="37" t="str">
        <f t="shared" si="45"/>
        <v>F216</v>
      </c>
      <c r="R472" s="37" t="str">
        <f t="shared" si="46"/>
        <v>MayF2</v>
      </c>
    </row>
    <row r="473" spans="1:18">
      <c r="A473" s="616">
        <f t="shared" si="47"/>
        <v>469</v>
      </c>
      <c r="B473" s="617">
        <v>3</v>
      </c>
      <c r="C473" s="618">
        <v>31539</v>
      </c>
      <c r="D473" s="618" t="s">
        <v>177</v>
      </c>
      <c r="E473" s="633">
        <v>7</v>
      </c>
      <c r="F473" s="603">
        <v>1986</v>
      </c>
      <c r="G473" s="617" t="s">
        <v>138</v>
      </c>
      <c r="H473" s="620" t="s">
        <v>152</v>
      </c>
      <c r="I473" s="621">
        <v>300</v>
      </c>
      <c r="J473" s="621">
        <v>7</v>
      </c>
      <c r="K473" s="603">
        <f t="shared" si="48"/>
        <v>16</v>
      </c>
      <c r="L473" s="604">
        <v>0.69097222222222221</v>
      </c>
      <c r="M473" s="605">
        <f t="shared" si="43"/>
        <v>0.69097222222222221</v>
      </c>
      <c r="N473" s="663"/>
      <c r="P473" s="37" t="str">
        <f t="shared" si="44"/>
        <v>1986F3</v>
      </c>
      <c r="Q473" s="37" t="str">
        <f t="shared" si="45"/>
        <v>F316</v>
      </c>
      <c r="R473" s="37" t="str">
        <f t="shared" si="46"/>
        <v>MayF3</v>
      </c>
    </row>
    <row r="474" spans="1:18">
      <c r="A474" s="616">
        <f t="shared" si="47"/>
        <v>470</v>
      </c>
      <c r="B474" s="617">
        <v>4</v>
      </c>
      <c r="C474" s="618">
        <v>31539</v>
      </c>
      <c r="D474" s="618" t="s">
        <v>177</v>
      </c>
      <c r="E474" s="633">
        <v>7</v>
      </c>
      <c r="F474" s="603">
        <v>1986</v>
      </c>
      <c r="G474" s="617" t="s">
        <v>138</v>
      </c>
      <c r="H474" s="620" t="s">
        <v>149</v>
      </c>
      <c r="I474" s="621">
        <v>50</v>
      </c>
      <c r="J474" s="621">
        <v>0.2</v>
      </c>
      <c r="K474" s="603">
        <f t="shared" si="48"/>
        <v>16</v>
      </c>
      <c r="L474" s="604">
        <v>0.70625000000000004</v>
      </c>
      <c r="M474" s="605">
        <f t="shared" si="43"/>
        <v>0.70625000000000004</v>
      </c>
      <c r="N474" s="663"/>
      <c r="P474" s="37" t="str">
        <f t="shared" si="44"/>
        <v>1986F0</v>
      </c>
      <c r="Q474" s="37" t="str">
        <f t="shared" si="45"/>
        <v>F016</v>
      </c>
      <c r="R474" s="37" t="str">
        <f t="shared" si="46"/>
        <v>MayF0</v>
      </c>
    </row>
    <row r="475" spans="1:18">
      <c r="A475" s="616">
        <f t="shared" si="47"/>
        <v>471</v>
      </c>
      <c r="B475" s="617">
        <v>5</v>
      </c>
      <c r="C475" s="618">
        <v>31539</v>
      </c>
      <c r="D475" s="618" t="s">
        <v>177</v>
      </c>
      <c r="E475" s="633">
        <v>7</v>
      </c>
      <c r="F475" s="603">
        <v>1986</v>
      </c>
      <c r="G475" s="617" t="s">
        <v>138</v>
      </c>
      <c r="H475" s="620" t="s">
        <v>149</v>
      </c>
      <c r="I475" s="621">
        <v>50</v>
      </c>
      <c r="J475" s="621">
        <v>0.2</v>
      </c>
      <c r="K475" s="603">
        <f t="shared" si="48"/>
        <v>18</v>
      </c>
      <c r="L475" s="604">
        <v>0.75555555555555554</v>
      </c>
      <c r="M475" s="605">
        <f t="shared" si="43"/>
        <v>0.75555555555555554</v>
      </c>
      <c r="N475" s="663"/>
      <c r="P475" s="37" t="str">
        <f t="shared" si="44"/>
        <v>1986F0</v>
      </c>
      <c r="Q475" s="37" t="str">
        <f t="shared" si="45"/>
        <v>F018</v>
      </c>
      <c r="R475" s="37" t="str">
        <f t="shared" si="46"/>
        <v>MayF0</v>
      </c>
    </row>
    <row r="476" spans="1:18">
      <c r="A476" s="616">
        <f t="shared" si="47"/>
        <v>472</v>
      </c>
      <c r="B476" s="617">
        <v>6</v>
      </c>
      <c r="C476" s="618">
        <v>31539</v>
      </c>
      <c r="D476" s="618" t="s">
        <v>177</v>
      </c>
      <c r="E476" s="633">
        <v>7</v>
      </c>
      <c r="F476" s="603">
        <v>1986</v>
      </c>
      <c r="G476" s="617" t="s">
        <v>133</v>
      </c>
      <c r="H476" s="620" t="s">
        <v>149</v>
      </c>
      <c r="I476" s="621">
        <v>10</v>
      </c>
      <c r="J476" s="621">
        <v>0.2</v>
      </c>
      <c r="K476" s="603">
        <f t="shared" si="48"/>
        <v>18</v>
      </c>
      <c r="L476" s="604">
        <v>0.78472222222222221</v>
      </c>
      <c r="M476" s="605">
        <f t="shared" si="43"/>
        <v>0.78472222222222221</v>
      </c>
      <c r="N476" s="663"/>
      <c r="P476" s="37" t="str">
        <f t="shared" si="44"/>
        <v>1986F0</v>
      </c>
      <c r="Q476" s="37" t="str">
        <f t="shared" si="45"/>
        <v>F018</v>
      </c>
      <c r="R476" s="37" t="str">
        <f t="shared" si="46"/>
        <v>MayF0</v>
      </c>
    </row>
    <row r="477" spans="1:18">
      <c r="A477" s="616">
        <f t="shared" si="47"/>
        <v>473</v>
      </c>
      <c r="B477" s="617">
        <v>7</v>
      </c>
      <c r="C477" s="618">
        <v>31546</v>
      </c>
      <c r="D477" s="618" t="s">
        <v>177</v>
      </c>
      <c r="E477" s="633">
        <v>14</v>
      </c>
      <c r="F477" s="603">
        <v>1986</v>
      </c>
      <c r="G477" s="617" t="s">
        <v>129</v>
      </c>
      <c r="H477" s="620" t="s">
        <v>149</v>
      </c>
      <c r="I477" s="621">
        <v>10</v>
      </c>
      <c r="J477" s="621">
        <v>0.2</v>
      </c>
      <c r="K477" s="603">
        <f t="shared" si="48"/>
        <v>13</v>
      </c>
      <c r="L477" s="604">
        <v>0.5625</v>
      </c>
      <c r="M477" s="605">
        <f t="shared" si="43"/>
        <v>0.5625</v>
      </c>
      <c r="N477" s="663"/>
      <c r="P477" s="37" t="str">
        <f t="shared" si="44"/>
        <v>1986F0</v>
      </c>
      <c r="Q477" s="37" t="str">
        <f t="shared" si="45"/>
        <v>F013</v>
      </c>
      <c r="R477" s="37" t="str">
        <f t="shared" si="46"/>
        <v>MayF0</v>
      </c>
    </row>
    <row r="478" spans="1:18">
      <c r="A478" s="616">
        <f t="shared" si="47"/>
        <v>474</v>
      </c>
      <c r="B478" s="617">
        <v>8</v>
      </c>
      <c r="C478" s="618">
        <v>31546</v>
      </c>
      <c r="D478" s="618" t="s">
        <v>177</v>
      </c>
      <c r="E478" s="633">
        <v>14</v>
      </c>
      <c r="F478" s="603">
        <v>1986</v>
      </c>
      <c r="G478" s="617" t="s">
        <v>145</v>
      </c>
      <c r="H478" s="620" t="s">
        <v>149</v>
      </c>
      <c r="I478" s="621">
        <v>50</v>
      </c>
      <c r="J478" s="621">
        <v>3</v>
      </c>
      <c r="K478" s="603">
        <f t="shared" si="48"/>
        <v>13</v>
      </c>
      <c r="L478" s="604">
        <v>0.5625</v>
      </c>
      <c r="M478" s="605">
        <f t="shared" si="43"/>
        <v>0.5625</v>
      </c>
      <c r="N478" s="663"/>
      <c r="P478" s="37" t="str">
        <f t="shared" si="44"/>
        <v>1986F0</v>
      </c>
      <c r="Q478" s="37" t="str">
        <f t="shared" si="45"/>
        <v>F013</v>
      </c>
      <c r="R478" s="37" t="str">
        <f t="shared" si="46"/>
        <v>MayF0</v>
      </c>
    </row>
    <row r="479" spans="1:18">
      <c r="A479" s="616">
        <f t="shared" si="47"/>
        <v>475</v>
      </c>
      <c r="B479" s="617">
        <v>9</v>
      </c>
      <c r="C479" s="618">
        <v>31546</v>
      </c>
      <c r="D479" s="618" t="s">
        <v>177</v>
      </c>
      <c r="E479" s="633">
        <v>14</v>
      </c>
      <c r="F479" s="603">
        <v>1986</v>
      </c>
      <c r="G479" s="617" t="s">
        <v>146</v>
      </c>
      <c r="H479" s="620" t="s">
        <v>149</v>
      </c>
      <c r="I479" s="621">
        <v>30</v>
      </c>
      <c r="J479" s="621">
        <v>0.2</v>
      </c>
      <c r="K479" s="603">
        <f t="shared" si="48"/>
        <v>14</v>
      </c>
      <c r="L479" s="604">
        <v>0.58888888888888891</v>
      </c>
      <c r="M479" s="605">
        <f t="shared" si="43"/>
        <v>0.58888888888888891</v>
      </c>
      <c r="N479" s="663"/>
      <c r="P479" s="37" t="str">
        <f t="shared" si="44"/>
        <v>1986F0</v>
      </c>
      <c r="Q479" s="37" t="str">
        <f t="shared" si="45"/>
        <v>F014</v>
      </c>
      <c r="R479" s="37" t="str">
        <f t="shared" si="46"/>
        <v>MayF0</v>
      </c>
    </row>
    <row r="480" spans="1:18">
      <c r="A480" s="616">
        <f t="shared" si="47"/>
        <v>476</v>
      </c>
      <c r="B480" s="617">
        <v>10</v>
      </c>
      <c r="C480" s="618">
        <v>31548</v>
      </c>
      <c r="D480" s="618" t="s">
        <v>177</v>
      </c>
      <c r="E480" s="633">
        <v>16</v>
      </c>
      <c r="F480" s="603">
        <v>1986</v>
      </c>
      <c r="G480" s="617" t="s">
        <v>147</v>
      </c>
      <c r="H480" s="620" t="s">
        <v>149</v>
      </c>
      <c r="I480" s="621">
        <v>30</v>
      </c>
      <c r="J480" s="621">
        <v>0.2</v>
      </c>
      <c r="K480" s="603">
        <f t="shared" si="48"/>
        <v>17</v>
      </c>
      <c r="L480" s="604">
        <v>0.73124999999999996</v>
      </c>
      <c r="M480" s="605">
        <f t="shared" si="43"/>
        <v>0.73124999999999996</v>
      </c>
      <c r="N480" s="663"/>
      <c r="P480" s="37" t="str">
        <f t="shared" si="44"/>
        <v>1986F0</v>
      </c>
      <c r="Q480" s="37" t="str">
        <f t="shared" si="45"/>
        <v>F017</v>
      </c>
      <c r="R480" s="37" t="str">
        <f t="shared" si="46"/>
        <v>MayF0</v>
      </c>
    </row>
    <row r="481" spans="1:18">
      <c r="A481" s="616">
        <f t="shared" si="47"/>
        <v>477</v>
      </c>
      <c r="B481" s="617">
        <v>11</v>
      </c>
      <c r="C481" s="618">
        <v>31571</v>
      </c>
      <c r="D481" s="618" t="s">
        <v>178</v>
      </c>
      <c r="E481" s="633">
        <v>8</v>
      </c>
      <c r="F481" s="603">
        <v>1986</v>
      </c>
      <c r="G481" s="617" t="s">
        <v>147</v>
      </c>
      <c r="H481" s="620" t="s">
        <v>149</v>
      </c>
      <c r="I481" s="621">
        <v>40</v>
      </c>
      <c r="J481" s="621">
        <v>0.2</v>
      </c>
      <c r="K481" s="603">
        <f t="shared" si="48"/>
        <v>13</v>
      </c>
      <c r="L481" s="604">
        <v>0.55138888888888882</v>
      </c>
      <c r="M481" s="605">
        <f t="shared" si="43"/>
        <v>0.55138888888888882</v>
      </c>
      <c r="N481" s="663"/>
      <c r="P481" s="37" t="str">
        <f t="shared" si="44"/>
        <v>1986F0</v>
      </c>
      <c r="Q481" s="37" t="str">
        <f t="shared" si="45"/>
        <v>F013</v>
      </c>
      <c r="R481" s="37" t="str">
        <f t="shared" si="46"/>
        <v>JuneF0</v>
      </c>
    </row>
    <row r="482" spans="1:18">
      <c r="A482" s="616">
        <f t="shared" si="47"/>
        <v>478</v>
      </c>
      <c r="B482" s="617">
        <v>12</v>
      </c>
      <c r="C482" s="618">
        <v>31571</v>
      </c>
      <c r="D482" s="618" t="s">
        <v>178</v>
      </c>
      <c r="E482" s="633">
        <v>8</v>
      </c>
      <c r="F482" s="603">
        <v>1986</v>
      </c>
      <c r="G482" s="617" t="s">
        <v>147</v>
      </c>
      <c r="H482" s="620" t="s">
        <v>149</v>
      </c>
      <c r="I482" s="621">
        <v>30</v>
      </c>
      <c r="J482" s="621">
        <v>0.2</v>
      </c>
      <c r="K482" s="603">
        <f t="shared" si="48"/>
        <v>15</v>
      </c>
      <c r="L482" s="604">
        <v>0.63194444444444442</v>
      </c>
      <c r="M482" s="605">
        <f t="shared" si="43"/>
        <v>0.63194444444444442</v>
      </c>
      <c r="N482" s="663"/>
      <c r="P482" s="37" t="str">
        <f t="shared" si="44"/>
        <v>1986F0</v>
      </c>
      <c r="Q482" s="37" t="str">
        <f t="shared" si="45"/>
        <v>F015</v>
      </c>
      <c r="R482" s="37" t="str">
        <f t="shared" si="46"/>
        <v>JuneF0</v>
      </c>
    </row>
    <row r="483" spans="1:18">
      <c r="A483" s="616">
        <f t="shared" si="47"/>
        <v>479</v>
      </c>
      <c r="B483" s="617">
        <v>13</v>
      </c>
      <c r="C483" s="618">
        <v>31593</v>
      </c>
      <c r="D483" s="618" t="s">
        <v>178</v>
      </c>
      <c r="E483" s="633">
        <v>30</v>
      </c>
      <c r="F483" s="603">
        <v>1986</v>
      </c>
      <c r="G483" s="617" t="s">
        <v>135</v>
      </c>
      <c r="H483" s="620" t="s">
        <v>149</v>
      </c>
      <c r="I483" s="621">
        <v>30</v>
      </c>
      <c r="J483" s="621">
        <v>0.2</v>
      </c>
      <c r="K483" s="603">
        <f t="shared" si="48"/>
        <v>20</v>
      </c>
      <c r="L483" s="604">
        <v>0.83680555555555547</v>
      </c>
      <c r="M483" s="605">
        <f t="shared" si="43"/>
        <v>0.83680555555555547</v>
      </c>
      <c r="N483" s="663"/>
      <c r="P483" s="37" t="str">
        <f t="shared" si="44"/>
        <v>1986F0</v>
      </c>
      <c r="Q483" s="37" t="str">
        <f t="shared" si="45"/>
        <v>F020</v>
      </c>
      <c r="R483" s="37" t="str">
        <f t="shared" si="46"/>
        <v>JuneF0</v>
      </c>
    </row>
    <row r="484" spans="1:18">
      <c r="A484" s="616">
        <f t="shared" si="47"/>
        <v>480</v>
      </c>
      <c r="B484" s="617">
        <v>14</v>
      </c>
      <c r="C484" s="618">
        <v>31605</v>
      </c>
      <c r="D484" s="618" t="s">
        <v>179</v>
      </c>
      <c r="E484" s="633">
        <v>12</v>
      </c>
      <c r="F484" s="603">
        <v>1986</v>
      </c>
      <c r="G484" s="617" t="s">
        <v>146</v>
      </c>
      <c r="H484" s="620" t="s">
        <v>149</v>
      </c>
      <c r="I484" s="621">
        <v>30</v>
      </c>
      <c r="J484" s="621">
        <v>0.2</v>
      </c>
      <c r="K484" s="603">
        <f t="shared" si="48"/>
        <v>18</v>
      </c>
      <c r="L484" s="604">
        <v>0.78819444444444453</v>
      </c>
      <c r="M484" s="605">
        <f t="shared" si="43"/>
        <v>0.78819444444444453</v>
      </c>
      <c r="N484" s="663"/>
      <c r="P484" s="37" t="str">
        <f t="shared" si="44"/>
        <v>1986F0</v>
      </c>
      <c r="Q484" s="37" t="str">
        <f t="shared" si="45"/>
        <v>F018</v>
      </c>
      <c r="R484" s="37" t="str">
        <f t="shared" si="46"/>
        <v>JulyF0</v>
      </c>
    </row>
    <row r="485" spans="1:18">
      <c r="A485" s="616">
        <f t="shared" si="47"/>
        <v>481</v>
      </c>
      <c r="B485" s="617">
        <v>15</v>
      </c>
      <c r="C485" s="618">
        <v>31626</v>
      </c>
      <c r="D485" s="618" t="s">
        <v>180</v>
      </c>
      <c r="E485" s="633">
        <v>2</v>
      </c>
      <c r="F485" s="603">
        <v>1986</v>
      </c>
      <c r="G485" s="617" t="s">
        <v>126</v>
      </c>
      <c r="H485" s="620" t="s">
        <v>149</v>
      </c>
      <c r="I485" s="621">
        <v>50</v>
      </c>
      <c r="J485" s="621">
        <v>0.5</v>
      </c>
      <c r="K485" s="603">
        <f t="shared" si="48"/>
        <v>15</v>
      </c>
      <c r="L485" s="604">
        <v>0.64583333333333337</v>
      </c>
      <c r="M485" s="605">
        <f t="shared" si="43"/>
        <v>0.64583333333333337</v>
      </c>
      <c r="N485" s="663"/>
      <c r="P485" s="37" t="str">
        <f t="shared" si="44"/>
        <v>1986F0</v>
      </c>
      <c r="Q485" s="37" t="str">
        <f t="shared" si="45"/>
        <v>F015</v>
      </c>
      <c r="R485" s="37" t="str">
        <f t="shared" si="46"/>
        <v>AugustF0</v>
      </c>
    </row>
    <row r="486" spans="1:18">
      <c r="A486" s="616">
        <f t="shared" si="47"/>
        <v>482</v>
      </c>
      <c r="B486" s="617">
        <v>16</v>
      </c>
      <c r="C486" s="618">
        <v>31686</v>
      </c>
      <c r="D486" s="618" t="s">
        <v>182</v>
      </c>
      <c r="E486" s="633">
        <v>1</v>
      </c>
      <c r="F486" s="603">
        <v>1986</v>
      </c>
      <c r="G486" s="617" t="s">
        <v>148</v>
      </c>
      <c r="H486" s="620" t="s">
        <v>149</v>
      </c>
      <c r="I486" s="621">
        <v>30</v>
      </c>
      <c r="J486" s="621">
        <v>0.2</v>
      </c>
      <c r="K486" s="603">
        <f t="shared" si="48"/>
        <v>18</v>
      </c>
      <c r="L486" s="604">
        <v>0.77777777777777779</v>
      </c>
      <c r="M486" s="605">
        <f t="shared" si="43"/>
        <v>0.77777777777777779</v>
      </c>
      <c r="N486" s="663"/>
      <c r="P486" s="37" t="str">
        <f t="shared" si="44"/>
        <v>1986F0</v>
      </c>
      <c r="Q486" s="37" t="str">
        <f t="shared" si="45"/>
        <v>F018</v>
      </c>
      <c r="R486" s="37" t="str">
        <f t="shared" si="46"/>
        <v>OctoberF0</v>
      </c>
    </row>
    <row r="487" spans="1:18">
      <c r="A487" s="616">
        <f t="shared" si="47"/>
        <v>483</v>
      </c>
      <c r="B487" s="617">
        <v>1</v>
      </c>
      <c r="C487" s="618">
        <v>31858</v>
      </c>
      <c r="D487" s="632" t="s">
        <v>175</v>
      </c>
      <c r="E487" s="633">
        <v>22</v>
      </c>
      <c r="F487" s="603">
        <v>1987</v>
      </c>
      <c r="G487" s="617" t="s">
        <v>133</v>
      </c>
      <c r="H487" s="620" t="s">
        <v>152</v>
      </c>
      <c r="I487" s="621">
        <v>440</v>
      </c>
      <c r="J487" s="621">
        <v>30</v>
      </c>
      <c r="K487" s="603">
        <f t="shared" si="48"/>
        <v>17</v>
      </c>
      <c r="L487" s="604">
        <v>0.73958333333333337</v>
      </c>
      <c r="M487" s="605">
        <f t="shared" si="43"/>
        <v>0.73958333333333337</v>
      </c>
      <c r="N487" s="663"/>
      <c r="P487" s="37" t="str">
        <f t="shared" si="44"/>
        <v>1987F3</v>
      </c>
      <c r="Q487" s="37" t="str">
        <f t="shared" si="45"/>
        <v>F317</v>
      </c>
      <c r="R487" s="37" t="str">
        <f t="shared" si="46"/>
        <v>MarchF3</v>
      </c>
    </row>
    <row r="488" spans="1:18">
      <c r="A488" s="616">
        <f t="shared" si="47"/>
        <v>484</v>
      </c>
      <c r="B488" s="617">
        <v>2</v>
      </c>
      <c r="C488" s="618">
        <v>31858</v>
      </c>
      <c r="D488" s="632" t="s">
        <v>175</v>
      </c>
      <c r="E488" s="633">
        <v>22</v>
      </c>
      <c r="F488" s="603">
        <v>1987</v>
      </c>
      <c r="G488" s="617" t="s">
        <v>128</v>
      </c>
      <c r="H488" s="620" t="s">
        <v>151</v>
      </c>
      <c r="I488" s="621">
        <v>83</v>
      </c>
      <c r="J488" s="621">
        <v>10</v>
      </c>
      <c r="K488" s="603">
        <f t="shared" si="48"/>
        <v>19</v>
      </c>
      <c r="L488" s="604">
        <v>0.81388888888888899</v>
      </c>
      <c r="M488" s="605">
        <f t="shared" si="43"/>
        <v>0.81388888888888899</v>
      </c>
      <c r="N488" s="663"/>
      <c r="P488" s="37" t="str">
        <f t="shared" si="44"/>
        <v>1987F2</v>
      </c>
      <c r="Q488" s="37" t="str">
        <f t="shared" si="45"/>
        <v>F219</v>
      </c>
      <c r="R488" s="37" t="str">
        <f t="shared" si="46"/>
        <v>MarchF2</v>
      </c>
    </row>
    <row r="489" spans="1:18">
      <c r="A489" s="616">
        <f t="shared" si="47"/>
        <v>485</v>
      </c>
      <c r="B489" s="617">
        <v>3</v>
      </c>
      <c r="C489" s="618">
        <v>31900</v>
      </c>
      <c r="D489" s="618" t="s">
        <v>177</v>
      </c>
      <c r="E489" s="633">
        <v>3</v>
      </c>
      <c r="F489" s="603">
        <v>1987</v>
      </c>
      <c r="G489" s="617" t="s">
        <v>126</v>
      </c>
      <c r="H489" s="620" t="s">
        <v>149</v>
      </c>
      <c r="I489" s="621">
        <v>30</v>
      </c>
      <c r="J489" s="621">
        <v>0.1</v>
      </c>
      <c r="K489" s="603">
        <f t="shared" si="48"/>
        <v>13</v>
      </c>
      <c r="L489" s="604">
        <v>0.56944444444444442</v>
      </c>
      <c r="M489" s="605">
        <f t="shared" si="43"/>
        <v>0.56944444444444442</v>
      </c>
      <c r="N489" s="663"/>
      <c r="P489" s="37" t="str">
        <f t="shared" si="44"/>
        <v>1987F0</v>
      </c>
      <c r="Q489" s="37" t="str">
        <f t="shared" si="45"/>
        <v>F013</v>
      </c>
      <c r="R489" s="37" t="str">
        <f t="shared" si="46"/>
        <v>MayF0</v>
      </c>
    </row>
    <row r="490" spans="1:18">
      <c r="A490" s="616">
        <f t="shared" si="47"/>
        <v>486</v>
      </c>
      <c r="B490" s="617">
        <v>4</v>
      </c>
      <c r="C490" s="618">
        <v>31918</v>
      </c>
      <c r="D490" s="618" t="s">
        <v>177</v>
      </c>
      <c r="E490" s="633">
        <v>21</v>
      </c>
      <c r="F490" s="603">
        <v>1987</v>
      </c>
      <c r="G490" s="617" t="s">
        <v>142</v>
      </c>
      <c r="H490" s="620" t="s">
        <v>149</v>
      </c>
      <c r="I490" s="621">
        <v>40</v>
      </c>
      <c r="J490" s="621">
        <v>1.5</v>
      </c>
      <c r="K490" s="603">
        <f t="shared" si="48"/>
        <v>16</v>
      </c>
      <c r="L490" s="604">
        <v>0.70138888888888884</v>
      </c>
      <c r="M490" s="605">
        <f t="shared" si="43"/>
        <v>0.70138888888888884</v>
      </c>
      <c r="N490" s="663"/>
      <c r="P490" s="37" t="str">
        <f t="shared" si="44"/>
        <v>1987F0</v>
      </c>
      <c r="Q490" s="37" t="str">
        <f t="shared" si="45"/>
        <v>F016</v>
      </c>
      <c r="R490" s="37" t="str">
        <f t="shared" si="46"/>
        <v>MayF0</v>
      </c>
    </row>
    <row r="491" spans="1:18">
      <c r="A491" s="616">
        <f t="shared" si="47"/>
        <v>487</v>
      </c>
      <c r="B491" s="617">
        <v>5</v>
      </c>
      <c r="C491" s="618">
        <v>31921</v>
      </c>
      <c r="D491" s="618" t="s">
        <v>177</v>
      </c>
      <c r="E491" s="633">
        <v>24</v>
      </c>
      <c r="F491" s="603">
        <v>1987</v>
      </c>
      <c r="G491" s="617" t="s">
        <v>147</v>
      </c>
      <c r="H491" s="620" t="s">
        <v>149</v>
      </c>
      <c r="I491" s="621">
        <v>50</v>
      </c>
      <c r="J491" s="621">
        <v>0.5</v>
      </c>
      <c r="K491" s="603">
        <f t="shared" si="48"/>
        <v>21</v>
      </c>
      <c r="L491" s="604">
        <v>0.89583333333333337</v>
      </c>
      <c r="M491" s="605">
        <f t="shared" si="43"/>
        <v>0.89583333333333337</v>
      </c>
      <c r="N491" s="663"/>
      <c r="P491" s="37" t="str">
        <f t="shared" si="44"/>
        <v>1987F0</v>
      </c>
      <c r="Q491" s="37" t="str">
        <f t="shared" si="45"/>
        <v>F021</v>
      </c>
      <c r="R491" s="37" t="str">
        <f t="shared" si="46"/>
        <v>MayF0</v>
      </c>
    </row>
    <row r="492" spans="1:18">
      <c r="A492" s="616">
        <f t="shared" si="47"/>
        <v>488</v>
      </c>
      <c r="B492" s="617">
        <v>6</v>
      </c>
      <c r="C492" s="618">
        <v>31922</v>
      </c>
      <c r="D492" s="618" t="s">
        <v>177</v>
      </c>
      <c r="E492" s="633">
        <v>25</v>
      </c>
      <c r="F492" s="603">
        <v>1987</v>
      </c>
      <c r="G492" s="617" t="s">
        <v>131</v>
      </c>
      <c r="H492" s="620" t="s">
        <v>150</v>
      </c>
      <c r="I492" s="621">
        <v>100</v>
      </c>
      <c r="J492" s="621">
        <v>2</v>
      </c>
      <c r="K492" s="603">
        <f t="shared" si="48"/>
        <v>16</v>
      </c>
      <c r="L492" s="604">
        <v>0.68055555555555547</v>
      </c>
      <c r="M492" s="605">
        <f t="shared" si="43"/>
        <v>0.68055555555555547</v>
      </c>
      <c r="N492" s="663"/>
      <c r="P492" s="37" t="str">
        <f t="shared" si="44"/>
        <v>1987F1</v>
      </c>
      <c r="Q492" s="37" t="str">
        <f t="shared" si="45"/>
        <v>F116</v>
      </c>
      <c r="R492" s="37" t="str">
        <f t="shared" si="46"/>
        <v>MayF1</v>
      </c>
    </row>
    <row r="493" spans="1:18">
      <c r="A493" s="616">
        <f t="shared" si="47"/>
        <v>489</v>
      </c>
      <c r="B493" s="617">
        <v>7</v>
      </c>
      <c r="C493" s="618">
        <v>31922</v>
      </c>
      <c r="D493" s="618" t="s">
        <v>177</v>
      </c>
      <c r="E493" s="633">
        <v>25</v>
      </c>
      <c r="F493" s="603">
        <v>1987</v>
      </c>
      <c r="G493" s="617" t="s">
        <v>131</v>
      </c>
      <c r="H493" s="620" t="s">
        <v>152</v>
      </c>
      <c r="I493" s="621">
        <v>530</v>
      </c>
      <c r="J493" s="621">
        <v>3</v>
      </c>
      <c r="K493" s="603">
        <f t="shared" si="48"/>
        <v>17</v>
      </c>
      <c r="L493" s="604">
        <v>0.72222222222222221</v>
      </c>
      <c r="M493" s="605">
        <f t="shared" si="43"/>
        <v>0.72222222222222221</v>
      </c>
      <c r="N493" s="663"/>
      <c r="P493" s="37" t="str">
        <f t="shared" si="44"/>
        <v>1987F3</v>
      </c>
      <c r="Q493" s="37" t="str">
        <f t="shared" si="45"/>
        <v>F317</v>
      </c>
      <c r="R493" s="37" t="str">
        <f t="shared" si="46"/>
        <v>MayF3</v>
      </c>
    </row>
    <row r="494" spans="1:18">
      <c r="A494" s="616">
        <f t="shared" si="47"/>
        <v>490</v>
      </c>
      <c r="B494" s="617">
        <v>8</v>
      </c>
      <c r="C494" s="618">
        <v>31922</v>
      </c>
      <c r="D494" s="618" t="s">
        <v>177</v>
      </c>
      <c r="E494" s="633">
        <v>25</v>
      </c>
      <c r="F494" s="603">
        <v>1987</v>
      </c>
      <c r="G494" s="617" t="s">
        <v>131</v>
      </c>
      <c r="H494" s="620" t="s">
        <v>149</v>
      </c>
      <c r="I494" s="621">
        <v>40</v>
      </c>
      <c r="J494" s="621">
        <v>0.1</v>
      </c>
      <c r="K494" s="603">
        <f t="shared" si="48"/>
        <v>18</v>
      </c>
      <c r="L494" s="604">
        <v>0.76041666666666663</v>
      </c>
      <c r="M494" s="605">
        <f t="shared" si="43"/>
        <v>0.76041666666666663</v>
      </c>
      <c r="N494" s="663"/>
      <c r="P494" s="37" t="str">
        <f t="shared" si="44"/>
        <v>1987F0</v>
      </c>
      <c r="Q494" s="37" t="str">
        <f t="shared" si="45"/>
        <v>F018</v>
      </c>
      <c r="R494" s="37" t="str">
        <f t="shared" si="46"/>
        <v>MayF0</v>
      </c>
    </row>
    <row r="495" spans="1:18">
      <c r="A495" s="616">
        <f t="shared" si="47"/>
        <v>491</v>
      </c>
      <c r="B495" s="617">
        <v>9</v>
      </c>
      <c r="C495" s="618">
        <v>31922</v>
      </c>
      <c r="D495" s="618" t="s">
        <v>177</v>
      </c>
      <c r="E495" s="633">
        <v>25</v>
      </c>
      <c r="F495" s="603">
        <v>1987</v>
      </c>
      <c r="G495" s="617" t="s">
        <v>145</v>
      </c>
      <c r="H495" s="620" t="s">
        <v>151</v>
      </c>
      <c r="I495" s="621">
        <v>150</v>
      </c>
      <c r="J495" s="621">
        <v>10</v>
      </c>
      <c r="K495" s="603">
        <f t="shared" si="48"/>
        <v>18</v>
      </c>
      <c r="L495" s="604">
        <v>0.77083333333333337</v>
      </c>
      <c r="M495" s="605">
        <f t="shared" si="43"/>
        <v>0.77083333333333337</v>
      </c>
      <c r="N495" s="663"/>
      <c r="P495" s="37" t="str">
        <f t="shared" si="44"/>
        <v>1987F2</v>
      </c>
      <c r="Q495" s="37" t="str">
        <f t="shared" si="45"/>
        <v>F218</v>
      </c>
      <c r="R495" s="37" t="str">
        <f t="shared" si="46"/>
        <v>MayF2</v>
      </c>
    </row>
    <row r="496" spans="1:18">
      <c r="A496" s="616">
        <f t="shared" si="47"/>
        <v>492</v>
      </c>
      <c r="B496" s="617">
        <v>10</v>
      </c>
      <c r="C496" s="618">
        <v>31922</v>
      </c>
      <c r="D496" s="618" t="s">
        <v>177</v>
      </c>
      <c r="E496" s="633">
        <v>25</v>
      </c>
      <c r="F496" s="603">
        <v>1987</v>
      </c>
      <c r="G496" s="617" t="s">
        <v>145</v>
      </c>
      <c r="H496" s="620" t="s">
        <v>149</v>
      </c>
      <c r="I496" s="621">
        <v>50</v>
      </c>
      <c r="J496" s="621">
        <v>1</v>
      </c>
      <c r="K496" s="603">
        <f t="shared" si="48"/>
        <v>18</v>
      </c>
      <c r="L496" s="604">
        <v>0.78680555555555554</v>
      </c>
      <c r="M496" s="605">
        <f t="shared" si="43"/>
        <v>0.78680555555555554</v>
      </c>
      <c r="N496" s="663"/>
      <c r="P496" s="37" t="str">
        <f t="shared" si="44"/>
        <v>1987F0</v>
      </c>
      <c r="Q496" s="37" t="str">
        <f t="shared" si="45"/>
        <v>F018</v>
      </c>
      <c r="R496" s="37" t="str">
        <f t="shared" si="46"/>
        <v>MayF0</v>
      </c>
    </row>
    <row r="497" spans="1:18">
      <c r="A497" s="616">
        <f t="shared" si="47"/>
        <v>493</v>
      </c>
      <c r="B497" s="617">
        <v>11</v>
      </c>
      <c r="C497" s="618">
        <v>31922</v>
      </c>
      <c r="D497" s="618" t="s">
        <v>177</v>
      </c>
      <c r="E497" s="633">
        <v>25</v>
      </c>
      <c r="F497" s="603">
        <v>1987</v>
      </c>
      <c r="G497" s="617" t="s">
        <v>132</v>
      </c>
      <c r="H497" s="620" t="s">
        <v>152</v>
      </c>
      <c r="I497" s="621">
        <v>700</v>
      </c>
      <c r="J497" s="621">
        <v>3</v>
      </c>
      <c r="K497" s="603">
        <f t="shared" si="48"/>
        <v>19</v>
      </c>
      <c r="L497" s="604">
        <v>0.8</v>
      </c>
      <c r="M497" s="605">
        <f t="shared" si="43"/>
        <v>0.8</v>
      </c>
      <c r="N497" s="663"/>
      <c r="P497" s="37" t="str">
        <f t="shared" si="44"/>
        <v>1987F3</v>
      </c>
      <c r="Q497" s="37" t="str">
        <f t="shared" si="45"/>
        <v>F319</v>
      </c>
      <c r="R497" s="37" t="str">
        <f t="shared" si="46"/>
        <v>MayF3</v>
      </c>
    </row>
    <row r="498" spans="1:18">
      <c r="A498" s="616">
        <f t="shared" si="47"/>
        <v>494</v>
      </c>
      <c r="B498" s="617">
        <v>12</v>
      </c>
      <c r="C498" s="618">
        <v>31922</v>
      </c>
      <c r="D498" s="618" t="s">
        <v>177</v>
      </c>
      <c r="E498" s="633">
        <v>25</v>
      </c>
      <c r="F498" s="603">
        <v>1987</v>
      </c>
      <c r="G498" s="617" t="s">
        <v>132</v>
      </c>
      <c r="H498" s="620" t="s">
        <v>150</v>
      </c>
      <c r="I498" s="621">
        <v>80</v>
      </c>
      <c r="J498" s="621">
        <v>10</v>
      </c>
      <c r="K498" s="603">
        <f t="shared" si="48"/>
        <v>19</v>
      </c>
      <c r="L498" s="604">
        <v>0.81597222222222221</v>
      </c>
      <c r="M498" s="605">
        <f t="shared" si="43"/>
        <v>0.81597222222222221</v>
      </c>
      <c r="N498" s="663"/>
      <c r="P498" s="37" t="str">
        <f t="shared" si="44"/>
        <v>1987F1</v>
      </c>
      <c r="Q498" s="37" t="str">
        <f t="shared" si="45"/>
        <v>F119</v>
      </c>
      <c r="R498" s="37" t="str">
        <f t="shared" si="46"/>
        <v>MayF1</v>
      </c>
    </row>
    <row r="499" spans="1:18">
      <c r="A499" s="616">
        <f t="shared" si="47"/>
        <v>495</v>
      </c>
      <c r="B499" s="617">
        <v>13</v>
      </c>
      <c r="C499" s="618">
        <v>31922</v>
      </c>
      <c r="D499" s="618" t="s">
        <v>177</v>
      </c>
      <c r="E499" s="633">
        <v>25</v>
      </c>
      <c r="F499" s="603">
        <v>1987</v>
      </c>
      <c r="G499" s="617" t="s">
        <v>145</v>
      </c>
      <c r="H499" s="620" t="s">
        <v>149</v>
      </c>
      <c r="I499" s="621">
        <v>50</v>
      </c>
      <c r="J499" s="621">
        <v>0.1</v>
      </c>
      <c r="K499" s="603">
        <f t="shared" si="48"/>
        <v>20</v>
      </c>
      <c r="L499" s="604">
        <v>0.83888888888888891</v>
      </c>
      <c r="M499" s="605">
        <f t="shared" si="43"/>
        <v>0.83888888888888891</v>
      </c>
      <c r="N499" s="663"/>
      <c r="P499" s="37" t="str">
        <f t="shared" si="44"/>
        <v>1987F0</v>
      </c>
      <c r="Q499" s="37" t="str">
        <f t="shared" si="45"/>
        <v>F020</v>
      </c>
      <c r="R499" s="37" t="str">
        <f t="shared" si="46"/>
        <v>MayF0</v>
      </c>
    </row>
    <row r="500" spans="1:18">
      <c r="A500" s="616">
        <f t="shared" si="47"/>
        <v>496</v>
      </c>
      <c r="B500" s="617">
        <v>14</v>
      </c>
      <c r="C500" s="618">
        <v>31922</v>
      </c>
      <c r="D500" s="618" t="s">
        <v>177</v>
      </c>
      <c r="E500" s="633">
        <v>25</v>
      </c>
      <c r="F500" s="603">
        <v>1987</v>
      </c>
      <c r="G500" s="617" t="s">
        <v>145</v>
      </c>
      <c r="H500" s="620" t="s">
        <v>149</v>
      </c>
      <c r="I500" s="621">
        <v>60</v>
      </c>
      <c r="J500" s="621">
        <v>3</v>
      </c>
      <c r="K500" s="603">
        <f t="shared" si="48"/>
        <v>20</v>
      </c>
      <c r="L500" s="604">
        <v>0.84722222222222221</v>
      </c>
      <c r="M500" s="605">
        <f t="shared" si="43"/>
        <v>0.84722222222222221</v>
      </c>
      <c r="N500" s="663"/>
      <c r="P500" s="37" t="str">
        <f t="shared" si="44"/>
        <v>1987F0</v>
      </c>
      <c r="Q500" s="37" t="str">
        <f t="shared" si="45"/>
        <v>F020</v>
      </c>
      <c r="R500" s="37" t="str">
        <f t="shared" si="46"/>
        <v>MayF0</v>
      </c>
    </row>
    <row r="501" spans="1:18">
      <c r="A501" s="616">
        <f t="shared" si="47"/>
        <v>497</v>
      </c>
      <c r="B501" s="617">
        <v>15</v>
      </c>
      <c r="C501" s="618">
        <v>31922</v>
      </c>
      <c r="D501" s="618" t="s">
        <v>177</v>
      </c>
      <c r="E501" s="633">
        <v>25</v>
      </c>
      <c r="F501" s="603">
        <v>1987</v>
      </c>
      <c r="G501" s="617" t="s">
        <v>145</v>
      </c>
      <c r="H501" s="620" t="s">
        <v>151</v>
      </c>
      <c r="I501" s="621">
        <v>150</v>
      </c>
      <c r="J501" s="621">
        <v>2</v>
      </c>
      <c r="K501" s="603">
        <f t="shared" si="48"/>
        <v>21</v>
      </c>
      <c r="L501" s="604">
        <v>0.875</v>
      </c>
      <c r="M501" s="605">
        <f t="shared" si="43"/>
        <v>0.875</v>
      </c>
      <c r="N501" s="663"/>
      <c r="P501" s="37" t="str">
        <f t="shared" si="44"/>
        <v>1987F2</v>
      </c>
      <c r="Q501" s="37" t="str">
        <f t="shared" si="45"/>
        <v>F221</v>
      </c>
      <c r="R501" s="37" t="str">
        <f t="shared" si="46"/>
        <v>MayF2</v>
      </c>
    </row>
    <row r="502" spans="1:18">
      <c r="A502" s="616">
        <f t="shared" si="47"/>
        <v>498</v>
      </c>
      <c r="B502" s="617">
        <v>16</v>
      </c>
      <c r="C502" s="618">
        <v>31922</v>
      </c>
      <c r="D502" s="618" t="s">
        <v>177</v>
      </c>
      <c r="E502" s="633">
        <v>25</v>
      </c>
      <c r="F502" s="603">
        <v>1987</v>
      </c>
      <c r="G502" s="617" t="s">
        <v>140</v>
      </c>
      <c r="H502" s="620" t="s">
        <v>149</v>
      </c>
      <c r="I502" s="621">
        <v>40</v>
      </c>
      <c r="J502" s="621">
        <v>0.1</v>
      </c>
      <c r="K502" s="603">
        <f t="shared" si="48"/>
        <v>21</v>
      </c>
      <c r="L502" s="604">
        <v>0.89583333333333337</v>
      </c>
      <c r="M502" s="605">
        <f t="shared" si="43"/>
        <v>0.89583333333333337</v>
      </c>
      <c r="N502" s="663"/>
      <c r="P502" s="37" t="str">
        <f t="shared" si="44"/>
        <v>1987F0</v>
      </c>
      <c r="Q502" s="37" t="str">
        <f t="shared" si="45"/>
        <v>F021</v>
      </c>
      <c r="R502" s="37" t="str">
        <f t="shared" si="46"/>
        <v>MayF0</v>
      </c>
    </row>
    <row r="503" spans="1:18">
      <c r="A503" s="616">
        <f t="shared" si="47"/>
        <v>499</v>
      </c>
      <c r="B503" s="617">
        <v>17</v>
      </c>
      <c r="C503" s="618">
        <v>31923</v>
      </c>
      <c r="D503" s="618" t="s">
        <v>177</v>
      </c>
      <c r="E503" s="633">
        <v>26</v>
      </c>
      <c r="F503" s="603">
        <v>1987</v>
      </c>
      <c r="G503" s="617" t="s">
        <v>127</v>
      </c>
      <c r="H503" s="620" t="s">
        <v>149</v>
      </c>
      <c r="I503" s="621">
        <v>30</v>
      </c>
      <c r="J503" s="621">
        <v>0.1</v>
      </c>
      <c r="K503" s="603">
        <f t="shared" si="48"/>
        <v>22</v>
      </c>
      <c r="L503" s="604">
        <v>0.92013888888888884</v>
      </c>
      <c r="M503" s="605">
        <f t="shared" si="43"/>
        <v>0.92013888888888884</v>
      </c>
      <c r="N503" s="663"/>
      <c r="P503" s="37" t="str">
        <f t="shared" si="44"/>
        <v>1987F0</v>
      </c>
      <c r="Q503" s="37" t="str">
        <f t="shared" si="45"/>
        <v>F022</v>
      </c>
      <c r="R503" s="37" t="str">
        <f t="shared" si="46"/>
        <v>MayF0</v>
      </c>
    </row>
    <row r="504" spans="1:18">
      <c r="A504" s="616">
        <f t="shared" si="47"/>
        <v>500</v>
      </c>
      <c r="B504" s="617">
        <v>18</v>
      </c>
      <c r="C504" s="618">
        <v>31927</v>
      </c>
      <c r="D504" s="618" t="s">
        <v>177</v>
      </c>
      <c r="E504" s="633">
        <v>30</v>
      </c>
      <c r="F504" s="603">
        <v>1987</v>
      </c>
      <c r="G504" s="617" t="s">
        <v>131</v>
      </c>
      <c r="H504" s="620" t="s">
        <v>150</v>
      </c>
      <c r="I504" s="621">
        <v>70</v>
      </c>
      <c r="J504" s="621">
        <v>4</v>
      </c>
      <c r="K504" s="603">
        <f t="shared" si="48"/>
        <v>20</v>
      </c>
      <c r="L504" s="604">
        <v>0.84513888888888899</v>
      </c>
      <c r="M504" s="605">
        <f t="shared" si="43"/>
        <v>0.84513888888888899</v>
      </c>
      <c r="N504" s="663"/>
      <c r="P504" s="37" t="str">
        <f t="shared" si="44"/>
        <v>1987F1</v>
      </c>
      <c r="Q504" s="37" t="str">
        <f t="shared" si="45"/>
        <v>F120</v>
      </c>
      <c r="R504" s="37" t="str">
        <f t="shared" si="46"/>
        <v>MayF1</v>
      </c>
    </row>
    <row r="505" spans="1:18">
      <c r="A505" s="616">
        <f t="shared" si="47"/>
        <v>501</v>
      </c>
      <c r="B505" s="617">
        <v>19</v>
      </c>
      <c r="C505" s="618">
        <v>31930</v>
      </c>
      <c r="D505" s="618" t="s">
        <v>178</v>
      </c>
      <c r="E505" s="633">
        <v>2</v>
      </c>
      <c r="F505" s="603">
        <v>1987</v>
      </c>
      <c r="G505" s="617" t="s">
        <v>133</v>
      </c>
      <c r="H505" s="620" t="s">
        <v>151</v>
      </c>
      <c r="I505" s="621">
        <v>1600</v>
      </c>
      <c r="J505" s="621">
        <v>6</v>
      </c>
      <c r="K505" s="603">
        <f t="shared" si="48"/>
        <v>14</v>
      </c>
      <c r="L505" s="604">
        <v>0.59722222222222221</v>
      </c>
      <c r="M505" s="605">
        <f t="shared" si="43"/>
        <v>0.59722222222222221</v>
      </c>
      <c r="N505" s="663"/>
      <c r="P505" s="37" t="str">
        <f t="shared" si="44"/>
        <v>1987F2</v>
      </c>
      <c r="Q505" s="37" t="str">
        <f t="shared" si="45"/>
        <v>F214</v>
      </c>
      <c r="R505" s="37" t="str">
        <f t="shared" si="46"/>
        <v>JuneF2</v>
      </c>
    </row>
    <row r="506" spans="1:18">
      <c r="A506" s="616">
        <f t="shared" si="47"/>
        <v>502</v>
      </c>
      <c r="B506" s="617">
        <v>20</v>
      </c>
      <c r="C506" s="618">
        <v>31930</v>
      </c>
      <c r="D506" s="618" t="s">
        <v>178</v>
      </c>
      <c r="E506" s="633">
        <v>2</v>
      </c>
      <c r="F506" s="603">
        <v>1987</v>
      </c>
      <c r="G506" s="617" t="s">
        <v>133</v>
      </c>
      <c r="H506" s="620" t="s">
        <v>151</v>
      </c>
      <c r="I506" s="621">
        <v>1600</v>
      </c>
      <c r="J506" s="621">
        <v>7.5</v>
      </c>
      <c r="K506" s="603">
        <f t="shared" si="48"/>
        <v>15</v>
      </c>
      <c r="L506" s="604">
        <v>0.63541666666666663</v>
      </c>
      <c r="M506" s="605">
        <f t="shared" ref="M506:M568" si="49">+L506</f>
        <v>0.63541666666666663</v>
      </c>
      <c r="N506" s="663"/>
      <c r="P506" s="37" t="str">
        <f t="shared" si="44"/>
        <v>1987F2</v>
      </c>
      <c r="Q506" s="37" t="str">
        <f t="shared" si="45"/>
        <v>F215</v>
      </c>
      <c r="R506" s="37" t="str">
        <f t="shared" si="46"/>
        <v>JuneF2</v>
      </c>
    </row>
    <row r="507" spans="1:18">
      <c r="A507" s="616">
        <f t="shared" si="47"/>
        <v>503</v>
      </c>
      <c r="B507" s="617">
        <v>21</v>
      </c>
      <c r="C507" s="618">
        <v>31930</v>
      </c>
      <c r="D507" s="618" t="s">
        <v>178</v>
      </c>
      <c r="E507" s="633">
        <v>2</v>
      </c>
      <c r="F507" s="603">
        <v>1987</v>
      </c>
      <c r="G507" s="617" t="s">
        <v>140</v>
      </c>
      <c r="H507" s="620" t="s">
        <v>150</v>
      </c>
      <c r="I507" s="621">
        <v>100</v>
      </c>
      <c r="J507" s="621">
        <v>3</v>
      </c>
      <c r="K507" s="603">
        <f t="shared" si="48"/>
        <v>18</v>
      </c>
      <c r="L507" s="604">
        <v>0.77777777777777779</v>
      </c>
      <c r="M507" s="605">
        <f t="shared" si="49"/>
        <v>0.77777777777777779</v>
      </c>
      <c r="N507" s="663"/>
      <c r="P507" s="37" t="str">
        <f t="shared" si="44"/>
        <v>1987F1</v>
      </c>
      <c r="Q507" s="37" t="str">
        <f t="shared" si="45"/>
        <v>F118</v>
      </c>
      <c r="R507" s="37" t="str">
        <f t="shared" si="46"/>
        <v>JuneF1</v>
      </c>
    </row>
    <row r="508" spans="1:18">
      <c r="A508" s="616">
        <f t="shared" si="47"/>
        <v>504</v>
      </c>
      <c r="B508" s="617">
        <v>22</v>
      </c>
      <c r="C508" s="618">
        <v>31930</v>
      </c>
      <c r="D508" s="618" t="s">
        <v>178</v>
      </c>
      <c r="E508" s="633">
        <v>2</v>
      </c>
      <c r="F508" s="603">
        <v>1987</v>
      </c>
      <c r="G508" s="617" t="s">
        <v>140</v>
      </c>
      <c r="H508" s="620" t="s">
        <v>149</v>
      </c>
      <c r="I508" s="621">
        <v>40</v>
      </c>
      <c r="J508" s="621">
        <v>0.1</v>
      </c>
      <c r="K508" s="603">
        <f t="shared" si="48"/>
        <v>19</v>
      </c>
      <c r="L508" s="604">
        <v>0.80555555555555547</v>
      </c>
      <c r="M508" s="605">
        <f t="shared" si="49"/>
        <v>0.80555555555555547</v>
      </c>
      <c r="N508" s="663"/>
      <c r="P508" s="37" t="str">
        <f t="shared" si="44"/>
        <v>1987F0</v>
      </c>
      <c r="Q508" s="37" t="str">
        <f t="shared" si="45"/>
        <v>F019</v>
      </c>
      <c r="R508" s="37" t="str">
        <f t="shared" si="46"/>
        <v>JuneF0</v>
      </c>
    </row>
    <row r="509" spans="1:18">
      <c r="A509" s="616">
        <f t="shared" si="47"/>
        <v>505</v>
      </c>
      <c r="B509" s="617">
        <v>23</v>
      </c>
      <c r="C509" s="618">
        <v>31939</v>
      </c>
      <c r="D509" s="618" t="s">
        <v>178</v>
      </c>
      <c r="E509" s="633">
        <v>11</v>
      </c>
      <c r="F509" s="603">
        <v>1987</v>
      </c>
      <c r="G509" s="617" t="s">
        <v>132</v>
      </c>
      <c r="H509" s="620" t="s">
        <v>150</v>
      </c>
      <c r="I509" s="621">
        <v>60</v>
      </c>
      <c r="J509" s="621">
        <v>1.5</v>
      </c>
      <c r="K509" s="603">
        <f t="shared" si="48"/>
        <v>17</v>
      </c>
      <c r="L509" s="604">
        <v>0.72222222222222221</v>
      </c>
      <c r="M509" s="605">
        <f t="shared" si="49"/>
        <v>0.72222222222222221</v>
      </c>
      <c r="N509" s="663"/>
      <c r="P509" s="37" t="str">
        <f t="shared" si="44"/>
        <v>1987F1</v>
      </c>
      <c r="Q509" s="37" t="str">
        <f t="shared" si="45"/>
        <v>F117</v>
      </c>
      <c r="R509" s="37" t="str">
        <f t="shared" si="46"/>
        <v>JuneF1</v>
      </c>
    </row>
    <row r="510" spans="1:18">
      <c r="A510" s="616">
        <f t="shared" si="47"/>
        <v>506</v>
      </c>
      <c r="B510" s="617">
        <v>24</v>
      </c>
      <c r="C510" s="618">
        <v>31957</v>
      </c>
      <c r="D510" s="618" t="s">
        <v>178</v>
      </c>
      <c r="E510" s="633">
        <v>29</v>
      </c>
      <c r="F510" s="603">
        <v>1987</v>
      </c>
      <c r="G510" s="617" t="s">
        <v>132</v>
      </c>
      <c r="H510" s="620" t="s">
        <v>149</v>
      </c>
      <c r="I510" s="621">
        <v>40</v>
      </c>
      <c r="J510" s="621">
        <v>0.1</v>
      </c>
      <c r="K510" s="603">
        <f t="shared" si="48"/>
        <v>14</v>
      </c>
      <c r="L510" s="604">
        <v>0.60763888888888895</v>
      </c>
      <c r="M510" s="605">
        <f t="shared" si="49"/>
        <v>0.60763888888888895</v>
      </c>
      <c r="N510" s="663"/>
      <c r="P510" s="37" t="str">
        <f t="shared" si="44"/>
        <v>1987F0</v>
      </c>
      <c r="Q510" s="37" t="str">
        <f t="shared" si="45"/>
        <v>F014</v>
      </c>
      <c r="R510" s="37" t="str">
        <f t="shared" si="46"/>
        <v>JuneF0</v>
      </c>
    </row>
    <row r="511" spans="1:18">
      <c r="A511" s="616">
        <f t="shared" si="47"/>
        <v>507</v>
      </c>
      <c r="B511" s="617">
        <v>25</v>
      </c>
      <c r="C511" s="618">
        <v>31959</v>
      </c>
      <c r="D511" s="618" t="s">
        <v>179</v>
      </c>
      <c r="E511" s="633">
        <v>1</v>
      </c>
      <c r="F511" s="603">
        <v>1987</v>
      </c>
      <c r="G511" s="617" t="s">
        <v>136</v>
      </c>
      <c r="H511" s="620" t="s">
        <v>150</v>
      </c>
      <c r="I511" s="621">
        <v>80</v>
      </c>
      <c r="J511" s="621">
        <v>3</v>
      </c>
      <c r="K511" s="603">
        <f t="shared" si="48"/>
        <v>19</v>
      </c>
      <c r="L511" s="604">
        <v>0.79513888888888884</v>
      </c>
      <c r="M511" s="605">
        <f t="shared" si="49"/>
        <v>0.79513888888888884</v>
      </c>
      <c r="N511" s="663"/>
      <c r="P511" s="37" t="str">
        <f t="shared" si="44"/>
        <v>1987F1</v>
      </c>
      <c r="Q511" s="37" t="str">
        <f t="shared" si="45"/>
        <v>F119</v>
      </c>
      <c r="R511" s="37" t="str">
        <f t="shared" si="46"/>
        <v>JulyF1</v>
      </c>
    </row>
    <row r="512" spans="1:18">
      <c r="A512" s="616">
        <f t="shared" si="47"/>
        <v>508</v>
      </c>
      <c r="B512" s="617">
        <v>26</v>
      </c>
      <c r="C512" s="618">
        <v>31959</v>
      </c>
      <c r="D512" s="618" t="s">
        <v>179</v>
      </c>
      <c r="E512" s="633">
        <v>1</v>
      </c>
      <c r="F512" s="603">
        <v>1987</v>
      </c>
      <c r="G512" s="617" t="s">
        <v>141</v>
      </c>
      <c r="H512" s="620" t="s">
        <v>151</v>
      </c>
      <c r="I512" s="621">
        <v>200</v>
      </c>
      <c r="J512" s="621">
        <v>4.5</v>
      </c>
      <c r="K512" s="603">
        <f t="shared" si="48"/>
        <v>19</v>
      </c>
      <c r="L512" s="604">
        <v>0.8125</v>
      </c>
      <c r="M512" s="605">
        <f t="shared" si="49"/>
        <v>0.8125</v>
      </c>
      <c r="N512" s="663"/>
      <c r="P512" s="37" t="str">
        <f t="shared" si="44"/>
        <v>1987F2</v>
      </c>
      <c r="Q512" s="37" t="str">
        <f t="shared" si="45"/>
        <v>F219</v>
      </c>
      <c r="R512" s="37" t="str">
        <f t="shared" si="46"/>
        <v>JulyF2</v>
      </c>
    </row>
    <row r="513" spans="1:18">
      <c r="A513" s="616">
        <f t="shared" si="47"/>
        <v>509</v>
      </c>
      <c r="B513" s="617">
        <v>27</v>
      </c>
      <c r="C513" s="618">
        <v>31959</v>
      </c>
      <c r="D513" s="618" t="s">
        <v>179</v>
      </c>
      <c r="E513" s="633">
        <v>1</v>
      </c>
      <c r="F513" s="603">
        <v>1987</v>
      </c>
      <c r="G513" s="617" t="s">
        <v>141</v>
      </c>
      <c r="H513" s="620" t="s">
        <v>151</v>
      </c>
      <c r="I513" s="621">
        <v>150</v>
      </c>
      <c r="J513" s="621">
        <v>9</v>
      </c>
      <c r="K513" s="603">
        <f t="shared" si="48"/>
        <v>20</v>
      </c>
      <c r="L513" s="604">
        <v>0.87291666666666667</v>
      </c>
      <c r="M513" s="605">
        <f t="shared" si="49"/>
        <v>0.87291666666666667</v>
      </c>
      <c r="N513" s="663">
        <v>0.9</v>
      </c>
      <c r="P513" s="37" t="str">
        <f t="shared" si="44"/>
        <v>1987F2</v>
      </c>
      <c r="Q513" s="37" t="str">
        <f t="shared" si="45"/>
        <v>F220</v>
      </c>
      <c r="R513" s="37" t="str">
        <f t="shared" si="46"/>
        <v>JulyF2</v>
      </c>
    </row>
    <row r="514" spans="1:18">
      <c r="A514" s="616">
        <f t="shared" si="47"/>
        <v>510</v>
      </c>
      <c r="B514" s="617">
        <v>28</v>
      </c>
      <c r="C514" s="618">
        <v>31965</v>
      </c>
      <c r="D514" s="618" t="s">
        <v>179</v>
      </c>
      <c r="E514" s="633">
        <v>7</v>
      </c>
      <c r="F514" s="603">
        <v>1987</v>
      </c>
      <c r="G514" s="617" t="s">
        <v>130</v>
      </c>
      <c r="H514" s="620" t="s">
        <v>150</v>
      </c>
      <c r="I514" s="621">
        <v>40</v>
      </c>
      <c r="J514" s="621">
        <v>0.5</v>
      </c>
      <c r="K514" s="603">
        <f t="shared" si="48"/>
        <v>18</v>
      </c>
      <c r="L514" s="604">
        <v>0.77777777777777779</v>
      </c>
      <c r="M514" s="605">
        <f t="shared" si="49"/>
        <v>0.77777777777777779</v>
      </c>
      <c r="N514" s="663"/>
      <c r="P514" s="37" t="str">
        <f t="shared" si="44"/>
        <v>1987F1</v>
      </c>
      <c r="Q514" s="37" t="str">
        <f t="shared" si="45"/>
        <v>F118</v>
      </c>
      <c r="R514" s="37" t="str">
        <f t="shared" si="46"/>
        <v>JulyF1</v>
      </c>
    </row>
    <row r="515" spans="1:18">
      <c r="A515" s="616">
        <f t="shared" si="47"/>
        <v>511</v>
      </c>
      <c r="B515" s="617">
        <v>29</v>
      </c>
      <c r="C515" s="618">
        <v>31972</v>
      </c>
      <c r="D515" s="618" t="s">
        <v>179</v>
      </c>
      <c r="E515" s="633">
        <v>14</v>
      </c>
      <c r="F515" s="603">
        <v>1987</v>
      </c>
      <c r="G515" s="617" t="s">
        <v>131</v>
      </c>
      <c r="H515" s="620" t="s">
        <v>149</v>
      </c>
      <c r="I515" s="621">
        <v>60</v>
      </c>
      <c r="J515" s="621">
        <v>1</v>
      </c>
      <c r="K515" s="603">
        <f t="shared" si="48"/>
        <v>15</v>
      </c>
      <c r="L515" s="604">
        <v>0.66111111111111109</v>
      </c>
      <c r="M515" s="605">
        <f t="shared" si="49"/>
        <v>0.66111111111111109</v>
      </c>
      <c r="N515" s="663"/>
      <c r="P515" s="37" t="str">
        <f t="shared" si="44"/>
        <v>1987F0</v>
      </c>
      <c r="Q515" s="37" t="str">
        <f t="shared" si="45"/>
        <v>F015</v>
      </c>
      <c r="R515" s="37" t="str">
        <f t="shared" si="46"/>
        <v>JulyF0</v>
      </c>
    </row>
    <row r="516" spans="1:18">
      <c r="A516" s="616">
        <f t="shared" si="47"/>
        <v>512</v>
      </c>
      <c r="B516" s="617">
        <v>30</v>
      </c>
      <c r="C516" s="618">
        <v>31972</v>
      </c>
      <c r="D516" s="618" t="s">
        <v>179</v>
      </c>
      <c r="E516" s="633">
        <v>14</v>
      </c>
      <c r="F516" s="603">
        <v>1987</v>
      </c>
      <c r="G516" s="617" t="s">
        <v>132</v>
      </c>
      <c r="H516" s="620" t="s">
        <v>150</v>
      </c>
      <c r="I516" s="621">
        <v>90</v>
      </c>
      <c r="J516" s="621">
        <v>2</v>
      </c>
      <c r="K516" s="603">
        <f t="shared" si="48"/>
        <v>15</v>
      </c>
      <c r="L516" s="604">
        <v>0.66319444444444442</v>
      </c>
      <c r="M516" s="605">
        <f t="shared" si="49"/>
        <v>0.66319444444444442</v>
      </c>
      <c r="N516" s="663"/>
      <c r="P516" s="37" t="str">
        <f t="shared" si="44"/>
        <v>1987F1</v>
      </c>
      <c r="Q516" s="37" t="str">
        <f t="shared" si="45"/>
        <v>F115</v>
      </c>
      <c r="R516" s="37" t="str">
        <f t="shared" si="46"/>
        <v>JulyF1</v>
      </c>
    </row>
    <row r="517" spans="1:18">
      <c r="A517" s="616">
        <f t="shared" si="47"/>
        <v>513</v>
      </c>
      <c r="B517" s="617">
        <v>31</v>
      </c>
      <c r="C517" s="618">
        <v>31972</v>
      </c>
      <c r="D517" s="618" t="s">
        <v>179</v>
      </c>
      <c r="E517" s="633">
        <v>14</v>
      </c>
      <c r="F517" s="603">
        <v>1987</v>
      </c>
      <c r="G517" s="617" t="s">
        <v>142</v>
      </c>
      <c r="H517" s="620" t="s">
        <v>151</v>
      </c>
      <c r="I517" s="621">
        <v>150</v>
      </c>
      <c r="J517" s="621">
        <v>4.5</v>
      </c>
      <c r="K517" s="603">
        <f t="shared" si="48"/>
        <v>18</v>
      </c>
      <c r="L517" s="604">
        <v>0.75</v>
      </c>
      <c r="M517" s="605">
        <f t="shared" si="49"/>
        <v>0.75</v>
      </c>
      <c r="N517" s="663"/>
      <c r="P517" s="37" t="str">
        <f t="shared" si="44"/>
        <v>1987F2</v>
      </c>
      <c r="Q517" s="37" t="str">
        <f t="shared" si="45"/>
        <v>F218</v>
      </c>
      <c r="R517" s="37" t="str">
        <f t="shared" si="46"/>
        <v>JulyF2</v>
      </c>
    </row>
    <row r="518" spans="1:18">
      <c r="A518" s="616">
        <f t="shared" si="47"/>
        <v>514</v>
      </c>
      <c r="B518" s="617">
        <v>32</v>
      </c>
      <c r="C518" s="618">
        <v>32031</v>
      </c>
      <c r="D518" s="618" t="s">
        <v>181</v>
      </c>
      <c r="E518" s="633">
        <v>11</v>
      </c>
      <c r="F518" s="603">
        <v>1987</v>
      </c>
      <c r="G518" s="617" t="s">
        <v>131</v>
      </c>
      <c r="H518" s="620" t="s">
        <v>149</v>
      </c>
      <c r="I518" s="621">
        <v>40</v>
      </c>
      <c r="J518" s="621">
        <v>0.1</v>
      </c>
      <c r="K518" s="603">
        <f t="shared" si="48"/>
        <v>21</v>
      </c>
      <c r="L518" s="604">
        <v>0.90277777777777779</v>
      </c>
      <c r="M518" s="605">
        <f t="shared" si="49"/>
        <v>0.90277777777777779</v>
      </c>
      <c r="N518" s="663"/>
      <c r="P518" s="37" t="str">
        <f t="shared" ref="P518:P581" si="50">CONCATENATE(F518,H518)</f>
        <v>1987F0</v>
      </c>
      <c r="Q518" s="37" t="str">
        <f t="shared" ref="Q518:Q581" si="51">CONCATENATE(H518,K518)</f>
        <v>F021</v>
      </c>
      <c r="R518" s="37" t="str">
        <f t="shared" ref="R518:R581" si="52">CONCATENATE(D518,H518)</f>
        <v>SeptemberF0</v>
      </c>
    </row>
    <row r="519" spans="1:18">
      <c r="A519" s="616">
        <f t="shared" ref="A519:A582" si="53">+A518+1</f>
        <v>515</v>
      </c>
      <c r="B519" s="617">
        <v>1</v>
      </c>
      <c r="C519" s="618">
        <v>32293</v>
      </c>
      <c r="D519" s="618" t="s">
        <v>177</v>
      </c>
      <c r="E519" s="633">
        <v>30</v>
      </c>
      <c r="F519" s="603">
        <v>1988</v>
      </c>
      <c r="G519" s="617" t="s">
        <v>126</v>
      </c>
      <c r="H519" s="620" t="s">
        <v>150</v>
      </c>
      <c r="I519" s="621">
        <v>73</v>
      </c>
      <c r="J519" s="621">
        <v>10</v>
      </c>
      <c r="K519" s="603">
        <f t="shared" si="48"/>
        <v>18</v>
      </c>
      <c r="L519" s="604">
        <v>0.76041666666666663</v>
      </c>
      <c r="M519" s="605">
        <f t="shared" si="49"/>
        <v>0.76041666666666663</v>
      </c>
      <c r="N519" s="663"/>
      <c r="P519" s="37" t="str">
        <f t="shared" si="50"/>
        <v>1988F1</v>
      </c>
      <c r="Q519" s="37" t="str">
        <f t="shared" si="51"/>
        <v>F118</v>
      </c>
      <c r="R519" s="37" t="str">
        <f t="shared" si="52"/>
        <v>MayF1</v>
      </c>
    </row>
    <row r="520" spans="1:18">
      <c r="A520" s="616">
        <f t="shared" si="53"/>
        <v>516</v>
      </c>
      <c r="B520" s="617">
        <v>2</v>
      </c>
      <c r="C520" s="618">
        <v>32293</v>
      </c>
      <c r="D520" s="618" t="s">
        <v>177</v>
      </c>
      <c r="E520" s="633">
        <v>30</v>
      </c>
      <c r="F520" s="603">
        <v>1988</v>
      </c>
      <c r="G520" s="617" t="s">
        <v>129</v>
      </c>
      <c r="H520" s="620" t="s">
        <v>149</v>
      </c>
      <c r="I520" s="621">
        <v>100</v>
      </c>
      <c r="J520" s="621">
        <v>3</v>
      </c>
      <c r="K520" s="603">
        <f t="shared" si="48"/>
        <v>18</v>
      </c>
      <c r="L520" s="604">
        <v>0.77430555555555547</v>
      </c>
      <c r="M520" s="605">
        <f t="shared" si="49"/>
        <v>0.77430555555555547</v>
      </c>
      <c r="N520" s="663"/>
      <c r="P520" s="37" t="str">
        <f t="shared" si="50"/>
        <v>1988F0</v>
      </c>
      <c r="Q520" s="37" t="str">
        <f t="shared" si="51"/>
        <v>F018</v>
      </c>
      <c r="R520" s="37" t="str">
        <f t="shared" si="52"/>
        <v>MayF0</v>
      </c>
    </row>
    <row r="521" spans="1:18">
      <c r="A521" s="616">
        <f t="shared" si="53"/>
        <v>517</v>
      </c>
      <c r="B521" s="617">
        <v>3</v>
      </c>
      <c r="C521" s="618">
        <v>32372</v>
      </c>
      <c r="D521" s="618" t="s">
        <v>180</v>
      </c>
      <c r="E521" s="633">
        <v>17</v>
      </c>
      <c r="F521" s="603">
        <v>1988</v>
      </c>
      <c r="G521" s="617" t="s">
        <v>141</v>
      </c>
      <c r="H521" s="620" t="s">
        <v>149</v>
      </c>
      <c r="I521" s="621">
        <v>30</v>
      </c>
      <c r="J521" s="621">
        <v>0.1</v>
      </c>
      <c r="K521" s="603">
        <f t="shared" si="48"/>
        <v>15</v>
      </c>
      <c r="L521" s="604">
        <v>0.66180555555555554</v>
      </c>
      <c r="M521" s="605">
        <f t="shared" si="49"/>
        <v>0.66180555555555554</v>
      </c>
      <c r="N521" s="663"/>
      <c r="P521" s="37" t="str">
        <f t="shared" si="50"/>
        <v>1988F0</v>
      </c>
      <c r="Q521" s="37" t="str">
        <f t="shared" si="51"/>
        <v>F015</v>
      </c>
      <c r="R521" s="37" t="str">
        <f t="shared" si="52"/>
        <v>AugustF0</v>
      </c>
    </row>
    <row r="522" spans="1:18">
      <c r="A522" s="616">
        <f t="shared" si="53"/>
        <v>518</v>
      </c>
      <c r="B522" s="617">
        <v>4</v>
      </c>
      <c r="C522" s="618">
        <v>32400</v>
      </c>
      <c r="D522" s="618" t="s">
        <v>181</v>
      </c>
      <c r="E522" s="633">
        <v>14</v>
      </c>
      <c r="F522" s="603">
        <v>1988</v>
      </c>
      <c r="G522" s="617" t="s">
        <v>145</v>
      </c>
      <c r="H522" s="620" t="s">
        <v>151</v>
      </c>
      <c r="I522" s="621">
        <v>173</v>
      </c>
      <c r="J522" s="621">
        <v>0.7</v>
      </c>
      <c r="K522" s="603">
        <f t="shared" si="48"/>
        <v>21</v>
      </c>
      <c r="L522" s="604">
        <v>0.875</v>
      </c>
      <c r="M522" s="605">
        <f t="shared" si="49"/>
        <v>0.875</v>
      </c>
      <c r="N522" s="663"/>
      <c r="P522" s="37" t="str">
        <f t="shared" si="50"/>
        <v>1988F2</v>
      </c>
      <c r="Q522" s="37" t="str">
        <f t="shared" si="51"/>
        <v>F221</v>
      </c>
      <c r="R522" s="37" t="str">
        <f t="shared" si="52"/>
        <v>SeptemberF2</v>
      </c>
    </row>
    <row r="523" spans="1:18">
      <c r="A523" s="616">
        <f t="shared" si="53"/>
        <v>519</v>
      </c>
      <c r="B523" s="617">
        <v>1</v>
      </c>
      <c r="C523" s="618">
        <v>32628</v>
      </c>
      <c r="D523" s="618" t="s">
        <v>176</v>
      </c>
      <c r="E523" s="633">
        <v>30</v>
      </c>
      <c r="F523" s="603">
        <v>1989</v>
      </c>
      <c r="G523" s="617" t="s">
        <v>135</v>
      </c>
      <c r="H523" s="620" t="s">
        <v>149</v>
      </c>
      <c r="I523" s="621">
        <v>40</v>
      </c>
      <c r="J523" s="621">
        <v>0.3</v>
      </c>
      <c r="K523" s="603">
        <f t="shared" si="48"/>
        <v>17</v>
      </c>
      <c r="L523" s="604">
        <v>0.71875</v>
      </c>
      <c r="M523" s="605">
        <f t="shared" si="49"/>
        <v>0.71875</v>
      </c>
      <c r="N523" s="663"/>
      <c r="P523" s="37" t="str">
        <f t="shared" si="50"/>
        <v>1989F0</v>
      </c>
      <c r="Q523" s="37" t="str">
        <f t="shared" si="51"/>
        <v>F017</v>
      </c>
      <c r="R523" s="37" t="str">
        <f t="shared" si="52"/>
        <v>AprilF0</v>
      </c>
    </row>
    <row r="524" spans="1:18">
      <c r="A524" s="616">
        <f t="shared" si="53"/>
        <v>520</v>
      </c>
      <c r="B524" s="617">
        <v>2</v>
      </c>
      <c r="C524" s="618">
        <v>32628</v>
      </c>
      <c r="D524" s="618" t="s">
        <v>176</v>
      </c>
      <c r="E524" s="633">
        <v>30</v>
      </c>
      <c r="F524" s="603">
        <v>1989</v>
      </c>
      <c r="G524" s="617" t="s">
        <v>140</v>
      </c>
      <c r="H524" s="620" t="s">
        <v>149</v>
      </c>
      <c r="I524" s="621">
        <v>20</v>
      </c>
      <c r="J524" s="621">
        <v>0.1</v>
      </c>
      <c r="K524" s="603">
        <f t="shared" si="48"/>
        <v>18</v>
      </c>
      <c r="L524" s="604">
        <v>0.76944444444444438</v>
      </c>
      <c r="M524" s="605">
        <f t="shared" si="49"/>
        <v>0.76944444444444438</v>
      </c>
      <c r="N524" s="663"/>
      <c r="P524" s="37" t="str">
        <f t="shared" si="50"/>
        <v>1989F0</v>
      </c>
      <c r="Q524" s="37" t="str">
        <f t="shared" si="51"/>
        <v>F018</v>
      </c>
      <c r="R524" s="37" t="str">
        <f t="shared" si="52"/>
        <v>AprilF0</v>
      </c>
    </row>
    <row r="525" spans="1:18">
      <c r="A525" s="616">
        <f t="shared" si="53"/>
        <v>521</v>
      </c>
      <c r="B525" s="617">
        <v>3</v>
      </c>
      <c r="C525" s="618">
        <v>32628</v>
      </c>
      <c r="D525" s="618" t="s">
        <v>176</v>
      </c>
      <c r="E525" s="633">
        <v>30</v>
      </c>
      <c r="F525" s="603">
        <v>1989</v>
      </c>
      <c r="G525" s="617" t="s">
        <v>145</v>
      </c>
      <c r="H525" s="620" t="s">
        <v>149</v>
      </c>
      <c r="I525" s="621">
        <v>20</v>
      </c>
      <c r="J525" s="621">
        <v>0.2</v>
      </c>
      <c r="K525" s="603">
        <f t="shared" si="48"/>
        <v>18</v>
      </c>
      <c r="L525" s="604">
        <v>0.76944444444444438</v>
      </c>
      <c r="M525" s="605">
        <f t="shared" si="49"/>
        <v>0.76944444444444438</v>
      </c>
      <c r="N525" s="663"/>
      <c r="P525" s="37" t="str">
        <f t="shared" si="50"/>
        <v>1989F0</v>
      </c>
      <c r="Q525" s="37" t="str">
        <f t="shared" si="51"/>
        <v>F018</v>
      </c>
      <c r="R525" s="37" t="str">
        <f t="shared" si="52"/>
        <v>AprilF0</v>
      </c>
    </row>
    <row r="526" spans="1:18">
      <c r="A526" s="616">
        <f t="shared" si="53"/>
        <v>522</v>
      </c>
      <c r="B526" s="617">
        <v>4</v>
      </c>
      <c r="C526" s="618">
        <v>32632</v>
      </c>
      <c r="D526" s="618" t="s">
        <v>177</v>
      </c>
      <c r="E526" s="633">
        <v>4</v>
      </c>
      <c r="F526" s="603">
        <v>1989</v>
      </c>
      <c r="G526" s="617" t="s">
        <v>135</v>
      </c>
      <c r="H526" s="620" t="s">
        <v>149</v>
      </c>
      <c r="I526" s="621">
        <v>40</v>
      </c>
      <c r="J526" s="621">
        <v>1</v>
      </c>
      <c r="K526" s="603">
        <f t="shared" ref="K526:K589" si="54">HOUR(M526)</f>
        <v>15</v>
      </c>
      <c r="L526" s="604">
        <v>0.64583333333333337</v>
      </c>
      <c r="M526" s="605">
        <f t="shared" si="49"/>
        <v>0.64583333333333337</v>
      </c>
      <c r="N526" s="663"/>
      <c r="P526" s="37" t="str">
        <f t="shared" si="50"/>
        <v>1989F0</v>
      </c>
      <c r="Q526" s="37" t="str">
        <f t="shared" si="51"/>
        <v>F015</v>
      </c>
      <c r="R526" s="37" t="str">
        <f t="shared" si="52"/>
        <v>MayF0</v>
      </c>
    </row>
    <row r="527" spans="1:18">
      <c r="A527" s="616">
        <f t="shared" si="53"/>
        <v>523</v>
      </c>
      <c r="B527" s="617">
        <v>5</v>
      </c>
      <c r="C527" s="618">
        <v>32632</v>
      </c>
      <c r="D527" s="618" t="s">
        <v>177</v>
      </c>
      <c r="E527" s="633">
        <v>4</v>
      </c>
      <c r="F527" s="603">
        <v>1989</v>
      </c>
      <c r="G527" s="617" t="s">
        <v>135</v>
      </c>
      <c r="H527" s="620" t="s">
        <v>149</v>
      </c>
      <c r="I527" s="621">
        <v>40</v>
      </c>
      <c r="J527" s="621">
        <v>1</v>
      </c>
      <c r="K527" s="603">
        <f t="shared" si="54"/>
        <v>15</v>
      </c>
      <c r="L527" s="604">
        <v>0.65625</v>
      </c>
      <c r="M527" s="605">
        <f t="shared" si="49"/>
        <v>0.65625</v>
      </c>
      <c r="N527" s="663"/>
      <c r="P527" s="37" t="str">
        <f t="shared" si="50"/>
        <v>1989F0</v>
      </c>
      <c r="Q527" s="37" t="str">
        <f t="shared" si="51"/>
        <v>F015</v>
      </c>
      <c r="R527" s="37" t="str">
        <f t="shared" si="52"/>
        <v>MayF0</v>
      </c>
    </row>
    <row r="528" spans="1:18">
      <c r="A528" s="616">
        <f t="shared" si="53"/>
        <v>524</v>
      </c>
      <c r="B528" s="617">
        <v>6</v>
      </c>
      <c r="C528" s="618">
        <v>32632</v>
      </c>
      <c r="D528" s="618" t="s">
        <v>177</v>
      </c>
      <c r="E528" s="633">
        <v>4</v>
      </c>
      <c r="F528" s="603">
        <v>1989</v>
      </c>
      <c r="G528" s="617" t="s">
        <v>145</v>
      </c>
      <c r="H528" s="620" t="s">
        <v>149</v>
      </c>
      <c r="I528" s="621">
        <v>50</v>
      </c>
      <c r="J528" s="621">
        <v>2</v>
      </c>
      <c r="K528" s="603">
        <f t="shared" si="54"/>
        <v>17</v>
      </c>
      <c r="L528" s="604">
        <v>0.71180555555555547</v>
      </c>
      <c r="M528" s="605">
        <f t="shared" si="49"/>
        <v>0.71180555555555547</v>
      </c>
      <c r="N528" s="663"/>
      <c r="P528" s="37" t="str">
        <f t="shared" si="50"/>
        <v>1989F0</v>
      </c>
      <c r="Q528" s="37" t="str">
        <f t="shared" si="51"/>
        <v>F017</v>
      </c>
      <c r="R528" s="37" t="str">
        <f t="shared" si="52"/>
        <v>MayF0</v>
      </c>
    </row>
    <row r="529" spans="1:18">
      <c r="A529" s="616">
        <f t="shared" si="53"/>
        <v>525</v>
      </c>
      <c r="B529" s="617">
        <v>7</v>
      </c>
      <c r="C529" s="618">
        <v>32640</v>
      </c>
      <c r="D529" s="618" t="s">
        <v>177</v>
      </c>
      <c r="E529" s="633">
        <v>12</v>
      </c>
      <c r="F529" s="603">
        <v>1989</v>
      </c>
      <c r="G529" s="617" t="s">
        <v>134</v>
      </c>
      <c r="H529" s="620" t="s">
        <v>151</v>
      </c>
      <c r="I529" s="621">
        <v>200</v>
      </c>
      <c r="J529" s="621">
        <v>7</v>
      </c>
      <c r="K529" s="603">
        <f t="shared" si="54"/>
        <v>17</v>
      </c>
      <c r="L529" s="604">
        <v>0.72638888888888886</v>
      </c>
      <c r="M529" s="605">
        <f t="shared" si="49"/>
        <v>0.72638888888888886</v>
      </c>
      <c r="N529" s="663"/>
      <c r="P529" s="37" t="str">
        <f t="shared" si="50"/>
        <v>1989F2</v>
      </c>
      <c r="Q529" s="37" t="str">
        <f t="shared" si="51"/>
        <v>F217</v>
      </c>
      <c r="R529" s="37" t="str">
        <f t="shared" si="52"/>
        <v>MayF2</v>
      </c>
    </row>
    <row r="530" spans="1:18">
      <c r="A530" s="616">
        <f t="shared" si="53"/>
        <v>526</v>
      </c>
      <c r="B530" s="617">
        <v>8</v>
      </c>
      <c r="C530" s="618">
        <v>32640</v>
      </c>
      <c r="D530" s="618" t="s">
        <v>177</v>
      </c>
      <c r="E530" s="633">
        <v>12</v>
      </c>
      <c r="F530" s="603">
        <v>1989</v>
      </c>
      <c r="G530" s="617" t="s">
        <v>139</v>
      </c>
      <c r="H530" s="620" t="s">
        <v>149</v>
      </c>
      <c r="I530" s="621">
        <v>60</v>
      </c>
      <c r="J530" s="621">
        <v>2</v>
      </c>
      <c r="K530" s="603">
        <f t="shared" si="54"/>
        <v>18</v>
      </c>
      <c r="L530" s="604">
        <v>0.76875000000000004</v>
      </c>
      <c r="M530" s="605">
        <f t="shared" si="49"/>
        <v>0.76875000000000004</v>
      </c>
      <c r="N530" s="663"/>
      <c r="P530" s="37" t="str">
        <f t="shared" si="50"/>
        <v>1989F0</v>
      </c>
      <c r="Q530" s="37" t="str">
        <f t="shared" si="51"/>
        <v>F018</v>
      </c>
      <c r="R530" s="37" t="str">
        <f t="shared" si="52"/>
        <v>MayF0</v>
      </c>
    </row>
    <row r="531" spans="1:18">
      <c r="A531" s="616">
        <f t="shared" si="53"/>
        <v>527</v>
      </c>
      <c r="B531" s="617">
        <v>9</v>
      </c>
      <c r="C531" s="618">
        <v>32643</v>
      </c>
      <c r="D531" s="618" t="s">
        <v>177</v>
      </c>
      <c r="E531" s="633">
        <v>15</v>
      </c>
      <c r="F531" s="603">
        <v>1989</v>
      </c>
      <c r="G531" s="617" t="s">
        <v>144</v>
      </c>
      <c r="H531" s="620" t="s">
        <v>149</v>
      </c>
      <c r="I531" s="621">
        <v>50</v>
      </c>
      <c r="J531" s="621">
        <v>1</v>
      </c>
      <c r="K531" s="603">
        <f t="shared" si="54"/>
        <v>18</v>
      </c>
      <c r="L531" s="604">
        <v>0.76944444444444438</v>
      </c>
      <c r="M531" s="605">
        <f t="shared" si="49"/>
        <v>0.76944444444444438</v>
      </c>
      <c r="N531" s="663">
        <v>0.78125</v>
      </c>
      <c r="P531" s="37" t="str">
        <f t="shared" si="50"/>
        <v>1989F0</v>
      </c>
      <c r="Q531" s="37" t="str">
        <f t="shared" si="51"/>
        <v>F018</v>
      </c>
      <c r="R531" s="37" t="str">
        <f t="shared" si="52"/>
        <v>MayF0</v>
      </c>
    </row>
    <row r="532" spans="1:18">
      <c r="A532" s="616">
        <f t="shared" si="53"/>
        <v>528</v>
      </c>
      <c r="B532" s="617">
        <v>10</v>
      </c>
      <c r="C532" s="618">
        <v>32643</v>
      </c>
      <c r="D532" s="618" t="s">
        <v>177</v>
      </c>
      <c r="E532" s="633">
        <v>15</v>
      </c>
      <c r="F532" s="603">
        <v>1989</v>
      </c>
      <c r="G532" s="617" t="s">
        <v>139</v>
      </c>
      <c r="H532" s="620" t="s">
        <v>150</v>
      </c>
      <c r="I532" s="621">
        <v>210</v>
      </c>
      <c r="J532" s="621">
        <v>4</v>
      </c>
      <c r="K532" s="603">
        <f t="shared" si="54"/>
        <v>18</v>
      </c>
      <c r="L532" s="604">
        <v>0.78125</v>
      </c>
      <c r="M532" s="605">
        <f t="shared" si="49"/>
        <v>0.78125</v>
      </c>
      <c r="N532" s="663"/>
      <c r="P532" s="37" t="str">
        <f t="shared" si="50"/>
        <v>1989F1</v>
      </c>
      <c r="Q532" s="37" t="str">
        <f t="shared" si="51"/>
        <v>F118</v>
      </c>
      <c r="R532" s="37" t="str">
        <f t="shared" si="52"/>
        <v>MayF1</v>
      </c>
    </row>
    <row r="533" spans="1:18">
      <c r="A533" s="616">
        <f t="shared" si="53"/>
        <v>529</v>
      </c>
      <c r="B533" s="617">
        <v>11</v>
      </c>
      <c r="C533" s="618">
        <v>32643</v>
      </c>
      <c r="D533" s="618" t="s">
        <v>177</v>
      </c>
      <c r="E533" s="633">
        <v>15</v>
      </c>
      <c r="F533" s="603">
        <v>1989</v>
      </c>
      <c r="G533" s="617" t="s">
        <v>139</v>
      </c>
      <c r="H533" s="620" t="s">
        <v>149</v>
      </c>
      <c r="I533" s="621">
        <v>90</v>
      </c>
      <c r="J533" s="621">
        <v>1.5</v>
      </c>
      <c r="K533" s="603">
        <f t="shared" si="54"/>
        <v>20</v>
      </c>
      <c r="L533" s="604">
        <v>0.83680555555555547</v>
      </c>
      <c r="M533" s="605">
        <f t="shared" si="49"/>
        <v>0.83680555555555547</v>
      </c>
      <c r="N533" s="663"/>
      <c r="P533" s="37" t="str">
        <f t="shared" si="50"/>
        <v>1989F0</v>
      </c>
      <c r="Q533" s="37" t="str">
        <f t="shared" si="51"/>
        <v>F020</v>
      </c>
      <c r="R533" s="37" t="str">
        <f t="shared" si="52"/>
        <v>MayF0</v>
      </c>
    </row>
    <row r="534" spans="1:18">
      <c r="A534" s="616">
        <f t="shared" si="53"/>
        <v>530</v>
      </c>
      <c r="B534" s="617">
        <v>12</v>
      </c>
      <c r="C534" s="618">
        <v>32644</v>
      </c>
      <c r="D534" s="618" t="s">
        <v>177</v>
      </c>
      <c r="E534" s="633">
        <v>16</v>
      </c>
      <c r="F534" s="603">
        <v>1989</v>
      </c>
      <c r="G534" s="617" t="s">
        <v>139</v>
      </c>
      <c r="H534" s="620" t="s">
        <v>150</v>
      </c>
      <c r="I534" s="621">
        <v>80</v>
      </c>
      <c r="J534" s="621">
        <v>3</v>
      </c>
      <c r="K534" s="603">
        <f t="shared" si="54"/>
        <v>13</v>
      </c>
      <c r="L534" s="604">
        <v>0.57986111111111105</v>
      </c>
      <c r="M534" s="605">
        <f t="shared" si="49"/>
        <v>0.57986111111111105</v>
      </c>
      <c r="N534" s="663"/>
      <c r="P534" s="37" t="str">
        <f t="shared" si="50"/>
        <v>1989F1</v>
      </c>
      <c r="Q534" s="37" t="str">
        <f t="shared" si="51"/>
        <v>F113</v>
      </c>
      <c r="R534" s="37" t="str">
        <f t="shared" si="52"/>
        <v>MayF1</v>
      </c>
    </row>
    <row r="535" spans="1:18">
      <c r="A535" s="616">
        <f t="shared" si="53"/>
        <v>531</v>
      </c>
      <c r="B535" s="617">
        <v>13</v>
      </c>
      <c r="C535" s="618">
        <v>32644</v>
      </c>
      <c r="D535" s="618" t="s">
        <v>177</v>
      </c>
      <c r="E535" s="633">
        <v>16</v>
      </c>
      <c r="F535" s="603">
        <v>1989</v>
      </c>
      <c r="G535" s="617" t="s">
        <v>145</v>
      </c>
      <c r="H535" s="620" t="s">
        <v>149</v>
      </c>
      <c r="I535" s="621">
        <v>60</v>
      </c>
      <c r="J535" s="621">
        <v>1.5</v>
      </c>
      <c r="K535" s="603">
        <f t="shared" si="54"/>
        <v>16</v>
      </c>
      <c r="L535" s="604">
        <v>0.68055555555555547</v>
      </c>
      <c r="M535" s="605">
        <f t="shared" si="49"/>
        <v>0.68055555555555547</v>
      </c>
      <c r="N535" s="663"/>
      <c r="P535" s="37" t="str">
        <f t="shared" si="50"/>
        <v>1989F0</v>
      </c>
      <c r="Q535" s="37" t="str">
        <f t="shared" si="51"/>
        <v>F016</v>
      </c>
      <c r="R535" s="37" t="str">
        <f t="shared" si="52"/>
        <v>MayF0</v>
      </c>
    </row>
    <row r="536" spans="1:18">
      <c r="A536" s="616">
        <f t="shared" si="53"/>
        <v>532</v>
      </c>
      <c r="B536" s="617">
        <v>14</v>
      </c>
      <c r="C536" s="618">
        <v>32644</v>
      </c>
      <c r="D536" s="618" t="s">
        <v>177</v>
      </c>
      <c r="E536" s="633">
        <v>16</v>
      </c>
      <c r="F536" s="603">
        <v>1989</v>
      </c>
      <c r="G536" s="617" t="s">
        <v>145</v>
      </c>
      <c r="H536" s="620" t="s">
        <v>151</v>
      </c>
      <c r="I536" s="621">
        <v>300</v>
      </c>
      <c r="J536" s="621">
        <v>10</v>
      </c>
      <c r="K536" s="603">
        <f t="shared" si="54"/>
        <v>16</v>
      </c>
      <c r="L536" s="604">
        <v>0.69097222222222221</v>
      </c>
      <c r="M536" s="605">
        <f t="shared" si="49"/>
        <v>0.69097222222222221</v>
      </c>
      <c r="N536" s="663"/>
      <c r="P536" s="37" t="str">
        <f t="shared" si="50"/>
        <v>1989F2</v>
      </c>
      <c r="Q536" s="37" t="str">
        <f t="shared" si="51"/>
        <v>F216</v>
      </c>
      <c r="R536" s="37" t="str">
        <f t="shared" si="52"/>
        <v>MayF2</v>
      </c>
    </row>
    <row r="537" spans="1:18">
      <c r="A537" s="616">
        <f t="shared" si="53"/>
        <v>533</v>
      </c>
      <c r="B537" s="617">
        <v>15</v>
      </c>
      <c r="C537" s="618">
        <v>32644</v>
      </c>
      <c r="D537" s="618" t="s">
        <v>177</v>
      </c>
      <c r="E537" s="633">
        <v>16</v>
      </c>
      <c r="F537" s="603">
        <v>1989</v>
      </c>
      <c r="G537" s="617" t="s">
        <v>140</v>
      </c>
      <c r="H537" s="620" t="s">
        <v>149</v>
      </c>
      <c r="I537" s="621">
        <v>50</v>
      </c>
      <c r="J537" s="621">
        <v>3</v>
      </c>
      <c r="K537" s="603">
        <f t="shared" si="54"/>
        <v>16</v>
      </c>
      <c r="L537" s="604">
        <v>0.70486111111111116</v>
      </c>
      <c r="M537" s="605">
        <f t="shared" si="49"/>
        <v>0.70486111111111116</v>
      </c>
      <c r="N537" s="663"/>
      <c r="P537" s="37" t="str">
        <f t="shared" si="50"/>
        <v>1989F0</v>
      </c>
      <c r="Q537" s="37" t="str">
        <f t="shared" si="51"/>
        <v>F016</v>
      </c>
      <c r="R537" s="37" t="str">
        <f t="shared" si="52"/>
        <v>MayF0</v>
      </c>
    </row>
    <row r="538" spans="1:18">
      <c r="A538" s="616">
        <f t="shared" si="53"/>
        <v>534</v>
      </c>
      <c r="B538" s="617">
        <v>16</v>
      </c>
      <c r="C538" s="618">
        <v>32644</v>
      </c>
      <c r="D538" s="618" t="s">
        <v>177</v>
      </c>
      <c r="E538" s="633">
        <v>16</v>
      </c>
      <c r="F538" s="603">
        <v>1989</v>
      </c>
      <c r="G538" s="617" t="s">
        <v>145</v>
      </c>
      <c r="H538" s="620" t="s">
        <v>149</v>
      </c>
      <c r="I538" s="621">
        <v>40</v>
      </c>
      <c r="J538" s="621">
        <v>1</v>
      </c>
      <c r="K538" s="603">
        <f t="shared" si="54"/>
        <v>16</v>
      </c>
      <c r="L538" s="604">
        <v>0.70486111111111116</v>
      </c>
      <c r="M538" s="605">
        <f t="shared" si="49"/>
        <v>0.70486111111111116</v>
      </c>
      <c r="N538" s="663"/>
      <c r="P538" s="37" t="str">
        <f t="shared" si="50"/>
        <v>1989F0</v>
      </c>
      <c r="Q538" s="37" t="str">
        <f t="shared" si="51"/>
        <v>F016</v>
      </c>
      <c r="R538" s="37" t="str">
        <f t="shared" si="52"/>
        <v>MayF0</v>
      </c>
    </row>
    <row r="539" spans="1:18">
      <c r="A539" s="616">
        <f t="shared" si="53"/>
        <v>535</v>
      </c>
      <c r="B539" s="617">
        <v>17</v>
      </c>
      <c r="C539" s="618">
        <v>32644</v>
      </c>
      <c r="D539" s="618" t="s">
        <v>177</v>
      </c>
      <c r="E539" s="633">
        <v>16</v>
      </c>
      <c r="F539" s="603">
        <v>1989</v>
      </c>
      <c r="G539" s="617" t="s">
        <v>140</v>
      </c>
      <c r="H539" s="620" t="s">
        <v>149</v>
      </c>
      <c r="I539" s="621">
        <v>40</v>
      </c>
      <c r="J539" s="621">
        <v>0.1</v>
      </c>
      <c r="K539" s="603">
        <f t="shared" si="54"/>
        <v>17</v>
      </c>
      <c r="L539" s="604">
        <v>0.70972222222222225</v>
      </c>
      <c r="M539" s="605">
        <f t="shared" si="49"/>
        <v>0.70972222222222225</v>
      </c>
      <c r="N539" s="663"/>
      <c r="P539" s="37" t="str">
        <f t="shared" si="50"/>
        <v>1989F0</v>
      </c>
      <c r="Q539" s="37" t="str">
        <f t="shared" si="51"/>
        <v>F017</v>
      </c>
      <c r="R539" s="37" t="str">
        <f t="shared" si="52"/>
        <v>MayF0</v>
      </c>
    </row>
    <row r="540" spans="1:18">
      <c r="A540" s="616">
        <f t="shared" si="53"/>
        <v>536</v>
      </c>
      <c r="B540" s="617">
        <v>18</v>
      </c>
      <c r="C540" s="618">
        <v>32644</v>
      </c>
      <c r="D540" s="618" t="s">
        <v>177</v>
      </c>
      <c r="E540" s="633">
        <v>16</v>
      </c>
      <c r="F540" s="603">
        <v>1989</v>
      </c>
      <c r="G540" s="617" t="s">
        <v>140</v>
      </c>
      <c r="H540" s="620" t="s">
        <v>150</v>
      </c>
      <c r="I540" s="621">
        <v>110</v>
      </c>
      <c r="J540" s="621">
        <v>0.2</v>
      </c>
      <c r="K540" s="603">
        <f t="shared" si="54"/>
        <v>17</v>
      </c>
      <c r="L540" s="604">
        <v>0.72430555555555554</v>
      </c>
      <c r="M540" s="605">
        <f t="shared" si="49"/>
        <v>0.72430555555555554</v>
      </c>
      <c r="N540" s="663"/>
      <c r="P540" s="37" t="str">
        <f t="shared" si="50"/>
        <v>1989F1</v>
      </c>
      <c r="Q540" s="37" t="str">
        <f t="shared" si="51"/>
        <v>F117</v>
      </c>
      <c r="R540" s="37" t="str">
        <f t="shared" si="52"/>
        <v>MayF1</v>
      </c>
    </row>
    <row r="541" spans="1:18">
      <c r="A541" s="616">
        <f t="shared" si="53"/>
        <v>537</v>
      </c>
      <c r="B541" s="617">
        <v>19</v>
      </c>
      <c r="C541" s="618">
        <v>32665</v>
      </c>
      <c r="D541" s="618" t="s">
        <v>178</v>
      </c>
      <c r="E541" s="633">
        <v>6</v>
      </c>
      <c r="F541" s="603">
        <v>1989</v>
      </c>
      <c r="G541" s="617" t="s">
        <v>133</v>
      </c>
      <c r="H541" s="620" t="s">
        <v>150</v>
      </c>
      <c r="I541" s="621">
        <v>60</v>
      </c>
      <c r="J541" s="621">
        <v>1</v>
      </c>
      <c r="K541" s="603">
        <f t="shared" si="54"/>
        <v>20</v>
      </c>
      <c r="L541" s="604">
        <v>0.84236111111111101</v>
      </c>
      <c r="M541" s="605">
        <f t="shared" si="49"/>
        <v>0.84236111111111101</v>
      </c>
      <c r="N541" s="663"/>
      <c r="P541" s="37" t="str">
        <f t="shared" si="50"/>
        <v>1989F1</v>
      </c>
      <c r="Q541" s="37" t="str">
        <f t="shared" si="51"/>
        <v>F120</v>
      </c>
      <c r="R541" s="37" t="str">
        <f t="shared" si="52"/>
        <v>JuneF1</v>
      </c>
    </row>
    <row r="542" spans="1:18">
      <c r="A542" s="616">
        <f t="shared" si="53"/>
        <v>538</v>
      </c>
      <c r="B542" s="617">
        <v>20</v>
      </c>
      <c r="C542" s="618">
        <v>32665</v>
      </c>
      <c r="D542" s="618" t="s">
        <v>178</v>
      </c>
      <c r="E542" s="633">
        <v>6</v>
      </c>
      <c r="F542" s="603">
        <v>1989</v>
      </c>
      <c r="G542" s="617" t="s">
        <v>133</v>
      </c>
      <c r="H542" s="620" t="s">
        <v>150</v>
      </c>
      <c r="I542" s="621">
        <v>40</v>
      </c>
      <c r="J542" s="621">
        <v>1</v>
      </c>
      <c r="K542" s="603">
        <f t="shared" si="54"/>
        <v>20</v>
      </c>
      <c r="L542" s="604">
        <v>0.85624999999999996</v>
      </c>
      <c r="M542" s="605">
        <f t="shared" si="49"/>
        <v>0.85624999999999996</v>
      </c>
      <c r="N542" s="663"/>
      <c r="P542" s="37" t="str">
        <f t="shared" si="50"/>
        <v>1989F1</v>
      </c>
      <c r="Q542" s="37" t="str">
        <f t="shared" si="51"/>
        <v>F120</v>
      </c>
      <c r="R542" s="37" t="str">
        <f t="shared" si="52"/>
        <v>JuneF1</v>
      </c>
    </row>
    <row r="543" spans="1:18">
      <c r="A543" s="616">
        <f t="shared" si="53"/>
        <v>539</v>
      </c>
      <c r="B543" s="617">
        <v>21</v>
      </c>
      <c r="C543" s="618">
        <v>32669</v>
      </c>
      <c r="D543" s="618" t="s">
        <v>178</v>
      </c>
      <c r="E543" s="633">
        <v>10</v>
      </c>
      <c r="F543" s="603">
        <v>1989</v>
      </c>
      <c r="G543" s="617" t="s">
        <v>135</v>
      </c>
      <c r="H543" s="620" t="s">
        <v>149</v>
      </c>
      <c r="I543" s="621">
        <v>110</v>
      </c>
      <c r="J543" s="621">
        <v>2.5</v>
      </c>
      <c r="K543" s="603">
        <f t="shared" si="54"/>
        <v>20</v>
      </c>
      <c r="L543" s="604">
        <v>0.83819444444444446</v>
      </c>
      <c r="M543" s="605">
        <f t="shared" si="49"/>
        <v>0.83819444444444446</v>
      </c>
      <c r="N543" s="663"/>
      <c r="P543" s="37" t="str">
        <f t="shared" si="50"/>
        <v>1989F0</v>
      </c>
      <c r="Q543" s="37" t="str">
        <f t="shared" si="51"/>
        <v>F020</v>
      </c>
      <c r="R543" s="37" t="str">
        <f t="shared" si="52"/>
        <v>JuneF0</v>
      </c>
    </row>
    <row r="544" spans="1:18">
      <c r="A544" s="616">
        <f t="shared" si="53"/>
        <v>540</v>
      </c>
      <c r="B544" s="617">
        <v>22</v>
      </c>
      <c r="C544" s="618">
        <v>32669</v>
      </c>
      <c r="D544" s="618" t="s">
        <v>178</v>
      </c>
      <c r="E544" s="633">
        <v>10</v>
      </c>
      <c r="F544" s="603">
        <v>1989</v>
      </c>
      <c r="G544" s="617" t="s">
        <v>135</v>
      </c>
      <c r="H544" s="620" t="s">
        <v>149</v>
      </c>
      <c r="I544" s="621">
        <v>100</v>
      </c>
      <c r="J544" s="621">
        <v>3</v>
      </c>
      <c r="K544" s="603">
        <f t="shared" si="54"/>
        <v>20</v>
      </c>
      <c r="L544" s="604">
        <v>0.84375</v>
      </c>
      <c r="M544" s="605">
        <f t="shared" si="49"/>
        <v>0.84375</v>
      </c>
      <c r="N544" s="663"/>
      <c r="P544" s="37" t="str">
        <f t="shared" si="50"/>
        <v>1989F0</v>
      </c>
      <c r="Q544" s="37" t="str">
        <f t="shared" si="51"/>
        <v>F020</v>
      </c>
      <c r="R544" s="37" t="str">
        <f t="shared" si="52"/>
        <v>JuneF0</v>
      </c>
    </row>
    <row r="545" spans="1:18">
      <c r="A545" s="616">
        <f t="shared" si="53"/>
        <v>541</v>
      </c>
      <c r="B545" s="617">
        <v>23</v>
      </c>
      <c r="C545" s="618">
        <v>32669</v>
      </c>
      <c r="D545" s="618" t="s">
        <v>178</v>
      </c>
      <c r="E545" s="633">
        <v>10</v>
      </c>
      <c r="F545" s="603">
        <v>1989</v>
      </c>
      <c r="G545" s="617" t="s">
        <v>136</v>
      </c>
      <c r="H545" s="620" t="s">
        <v>149</v>
      </c>
      <c r="I545" s="621">
        <v>100</v>
      </c>
      <c r="J545" s="621">
        <v>1</v>
      </c>
      <c r="K545" s="603">
        <f t="shared" si="54"/>
        <v>20</v>
      </c>
      <c r="L545" s="604">
        <v>0.84513888888888899</v>
      </c>
      <c r="M545" s="605">
        <f t="shared" si="49"/>
        <v>0.84513888888888899</v>
      </c>
      <c r="N545" s="663"/>
      <c r="P545" s="37" t="str">
        <f t="shared" si="50"/>
        <v>1989F0</v>
      </c>
      <c r="Q545" s="37" t="str">
        <f t="shared" si="51"/>
        <v>F020</v>
      </c>
      <c r="R545" s="37" t="str">
        <f t="shared" si="52"/>
        <v>JuneF0</v>
      </c>
    </row>
    <row r="546" spans="1:18">
      <c r="A546" s="616">
        <f t="shared" si="53"/>
        <v>542</v>
      </c>
      <c r="B546" s="617">
        <v>24</v>
      </c>
      <c r="C546" s="618">
        <v>32669</v>
      </c>
      <c r="D546" s="618" t="s">
        <v>178</v>
      </c>
      <c r="E546" s="633">
        <v>10</v>
      </c>
      <c r="F546" s="603">
        <v>1989</v>
      </c>
      <c r="G546" s="617" t="s">
        <v>136</v>
      </c>
      <c r="H546" s="620" t="s">
        <v>149</v>
      </c>
      <c r="I546" s="621">
        <v>120</v>
      </c>
      <c r="J546" s="621">
        <v>4.5</v>
      </c>
      <c r="K546" s="603">
        <f t="shared" si="54"/>
        <v>20</v>
      </c>
      <c r="L546" s="604">
        <v>0.86111111111111116</v>
      </c>
      <c r="M546" s="605">
        <f t="shared" si="49"/>
        <v>0.86111111111111116</v>
      </c>
      <c r="N546" s="663"/>
      <c r="P546" s="37" t="str">
        <f t="shared" si="50"/>
        <v>1989F0</v>
      </c>
      <c r="Q546" s="37" t="str">
        <f t="shared" si="51"/>
        <v>F020</v>
      </c>
      <c r="R546" s="37" t="str">
        <f t="shared" si="52"/>
        <v>JuneF0</v>
      </c>
    </row>
    <row r="547" spans="1:18">
      <c r="A547" s="616">
        <f t="shared" si="53"/>
        <v>543</v>
      </c>
      <c r="B547" s="617">
        <v>25</v>
      </c>
      <c r="C547" s="618">
        <v>32670</v>
      </c>
      <c r="D547" s="618" t="s">
        <v>178</v>
      </c>
      <c r="E547" s="633">
        <v>11</v>
      </c>
      <c r="F547" s="603">
        <v>1989</v>
      </c>
      <c r="G547" s="617" t="s">
        <v>141</v>
      </c>
      <c r="H547" s="620" t="s">
        <v>150</v>
      </c>
      <c r="I547" s="621">
        <v>150</v>
      </c>
      <c r="J547" s="621">
        <v>4</v>
      </c>
      <c r="K547" s="603">
        <f t="shared" si="54"/>
        <v>21</v>
      </c>
      <c r="L547" s="604">
        <v>0.91319444444444453</v>
      </c>
      <c r="M547" s="605">
        <f t="shared" si="49"/>
        <v>0.91319444444444453</v>
      </c>
      <c r="N547" s="663"/>
      <c r="P547" s="37" t="str">
        <f t="shared" si="50"/>
        <v>1989F1</v>
      </c>
      <c r="Q547" s="37" t="str">
        <f t="shared" si="51"/>
        <v>F121</v>
      </c>
      <c r="R547" s="37" t="str">
        <f t="shared" si="52"/>
        <v>JuneF1</v>
      </c>
    </row>
    <row r="548" spans="1:18">
      <c r="A548" s="616">
        <f t="shared" si="53"/>
        <v>544</v>
      </c>
      <c r="B548" s="617">
        <v>26</v>
      </c>
      <c r="C548" s="618">
        <v>32670</v>
      </c>
      <c r="D548" s="618" t="s">
        <v>178</v>
      </c>
      <c r="E548" s="633">
        <v>11</v>
      </c>
      <c r="F548" s="603">
        <v>1989</v>
      </c>
      <c r="G548" s="617" t="s">
        <v>147</v>
      </c>
      <c r="H548" s="620" t="s">
        <v>149</v>
      </c>
      <c r="I548" s="621">
        <v>90</v>
      </c>
      <c r="J548" s="621">
        <v>1.5</v>
      </c>
      <c r="K548" s="603">
        <f t="shared" si="54"/>
        <v>23</v>
      </c>
      <c r="L548" s="604">
        <v>0.95972222222222225</v>
      </c>
      <c r="M548" s="605">
        <f t="shared" si="49"/>
        <v>0.95972222222222225</v>
      </c>
      <c r="N548" s="663"/>
      <c r="P548" s="37" t="str">
        <f t="shared" si="50"/>
        <v>1989F0</v>
      </c>
      <c r="Q548" s="37" t="str">
        <f t="shared" si="51"/>
        <v>F023</v>
      </c>
      <c r="R548" s="37" t="str">
        <f t="shared" si="52"/>
        <v>JuneF0</v>
      </c>
    </row>
    <row r="549" spans="1:18">
      <c r="A549" s="616">
        <f t="shared" si="53"/>
        <v>545</v>
      </c>
      <c r="B549" s="617">
        <v>27</v>
      </c>
      <c r="C549" s="618">
        <v>32670</v>
      </c>
      <c r="D549" s="618" t="s">
        <v>178</v>
      </c>
      <c r="E549" s="633">
        <v>11</v>
      </c>
      <c r="F549" s="603">
        <v>1989</v>
      </c>
      <c r="G549" s="617" t="s">
        <v>147</v>
      </c>
      <c r="H549" s="620" t="s">
        <v>149</v>
      </c>
      <c r="I549" s="621">
        <v>80</v>
      </c>
      <c r="J549" s="621">
        <v>0.3</v>
      </c>
      <c r="K549" s="603">
        <f t="shared" si="54"/>
        <v>23</v>
      </c>
      <c r="L549" s="604">
        <v>0.96319444444444446</v>
      </c>
      <c r="M549" s="605">
        <f t="shared" si="49"/>
        <v>0.96319444444444446</v>
      </c>
      <c r="N549" s="663"/>
      <c r="P549" s="37" t="str">
        <f t="shared" si="50"/>
        <v>1989F0</v>
      </c>
      <c r="Q549" s="37" t="str">
        <f t="shared" si="51"/>
        <v>F023</v>
      </c>
      <c r="R549" s="37" t="str">
        <f t="shared" si="52"/>
        <v>JuneF0</v>
      </c>
    </row>
    <row r="550" spans="1:18">
      <c r="A550" s="616">
        <f t="shared" si="53"/>
        <v>546</v>
      </c>
      <c r="B550" s="617">
        <v>28</v>
      </c>
      <c r="C550" s="618">
        <v>32670</v>
      </c>
      <c r="D550" s="618" t="s">
        <v>178</v>
      </c>
      <c r="E550" s="633">
        <v>11</v>
      </c>
      <c r="F550" s="603">
        <v>1989</v>
      </c>
      <c r="G550" s="617" t="s">
        <v>147</v>
      </c>
      <c r="H550" s="620" t="s">
        <v>149</v>
      </c>
      <c r="I550" s="621">
        <v>80</v>
      </c>
      <c r="J550" s="621">
        <v>0.3</v>
      </c>
      <c r="K550" s="603">
        <f t="shared" si="54"/>
        <v>23</v>
      </c>
      <c r="L550" s="604">
        <v>0.96388888888888891</v>
      </c>
      <c r="M550" s="605">
        <f t="shared" si="49"/>
        <v>0.96388888888888891</v>
      </c>
      <c r="N550" s="663"/>
      <c r="P550" s="37" t="str">
        <f t="shared" si="50"/>
        <v>1989F0</v>
      </c>
      <c r="Q550" s="37" t="str">
        <f t="shared" si="51"/>
        <v>F023</v>
      </c>
      <c r="R550" s="37" t="str">
        <f t="shared" si="52"/>
        <v>JuneF0</v>
      </c>
    </row>
    <row r="551" spans="1:18">
      <c r="A551" s="616">
        <f t="shared" si="53"/>
        <v>547</v>
      </c>
      <c r="B551" s="617">
        <v>29</v>
      </c>
      <c r="C551" s="618">
        <v>32671</v>
      </c>
      <c r="D551" s="618" t="s">
        <v>178</v>
      </c>
      <c r="E551" s="633">
        <v>12</v>
      </c>
      <c r="F551" s="603">
        <v>1989</v>
      </c>
      <c r="G551" s="617" t="s">
        <v>136</v>
      </c>
      <c r="H551" s="620" t="s">
        <v>150</v>
      </c>
      <c r="I551" s="621">
        <v>100</v>
      </c>
      <c r="J551" s="621">
        <v>1</v>
      </c>
      <c r="K551" s="603">
        <f t="shared" si="54"/>
        <v>18</v>
      </c>
      <c r="L551" s="604">
        <v>0.78472222222222221</v>
      </c>
      <c r="M551" s="605">
        <f t="shared" si="49"/>
        <v>0.78472222222222221</v>
      </c>
      <c r="N551" s="663"/>
      <c r="P551" s="37" t="str">
        <f t="shared" si="50"/>
        <v>1989F1</v>
      </c>
      <c r="Q551" s="37" t="str">
        <f t="shared" si="51"/>
        <v>F118</v>
      </c>
      <c r="R551" s="37" t="str">
        <f t="shared" si="52"/>
        <v>JuneF1</v>
      </c>
    </row>
    <row r="552" spans="1:18">
      <c r="A552" s="616">
        <f t="shared" si="53"/>
        <v>548</v>
      </c>
      <c r="B552" s="617">
        <v>30</v>
      </c>
      <c r="C552" s="618">
        <v>32671</v>
      </c>
      <c r="D552" s="618" t="s">
        <v>178</v>
      </c>
      <c r="E552" s="633">
        <v>12</v>
      </c>
      <c r="F552" s="603">
        <v>1989</v>
      </c>
      <c r="G552" s="617" t="s">
        <v>147</v>
      </c>
      <c r="H552" s="620" t="s">
        <v>149</v>
      </c>
      <c r="I552" s="621">
        <v>100</v>
      </c>
      <c r="J552" s="621">
        <v>2</v>
      </c>
      <c r="K552" s="603">
        <f t="shared" si="54"/>
        <v>22</v>
      </c>
      <c r="L552" s="604">
        <v>0.93402777777777779</v>
      </c>
      <c r="M552" s="605">
        <f t="shared" si="49"/>
        <v>0.93402777777777779</v>
      </c>
      <c r="N552" s="663"/>
      <c r="P552" s="37" t="str">
        <f t="shared" si="50"/>
        <v>1989F0</v>
      </c>
      <c r="Q552" s="37" t="str">
        <f t="shared" si="51"/>
        <v>F022</v>
      </c>
      <c r="R552" s="37" t="str">
        <f t="shared" si="52"/>
        <v>JuneF0</v>
      </c>
    </row>
    <row r="553" spans="1:18">
      <c r="A553" s="616">
        <f t="shared" si="53"/>
        <v>549</v>
      </c>
      <c r="B553" s="617">
        <v>31</v>
      </c>
      <c r="C553" s="618">
        <v>32735</v>
      </c>
      <c r="D553" s="618" t="s">
        <v>180</v>
      </c>
      <c r="E553" s="633">
        <v>15</v>
      </c>
      <c r="F553" s="603">
        <v>1989</v>
      </c>
      <c r="G553" s="617" t="s">
        <v>139</v>
      </c>
      <c r="H553" s="620" t="s">
        <v>149</v>
      </c>
      <c r="I553" s="621">
        <v>60</v>
      </c>
      <c r="J553" s="621">
        <v>2.5</v>
      </c>
      <c r="K553" s="603">
        <f t="shared" si="54"/>
        <v>16</v>
      </c>
      <c r="L553" s="604">
        <v>0.69097222222222221</v>
      </c>
      <c r="M553" s="605">
        <f t="shared" si="49"/>
        <v>0.69097222222222221</v>
      </c>
      <c r="N553" s="663"/>
      <c r="P553" s="37" t="str">
        <f t="shared" si="50"/>
        <v>1989F0</v>
      </c>
      <c r="Q553" s="37" t="str">
        <f t="shared" si="51"/>
        <v>F016</v>
      </c>
      <c r="R553" s="37" t="str">
        <f t="shared" si="52"/>
        <v>AugustF0</v>
      </c>
    </row>
    <row r="554" spans="1:18">
      <c r="A554" s="616">
        <f t="shared" si="53"/>
        <v>550</v>
      </c>
      <c r="B554" s="617">
        <v>32</v>
      </c>
      <c r="C554" s="618">
        <v>32735</v>
      </c>
      <c r="D554" s="618" t="s">
        <v>180</v>
      </c>
      <c r="E554" s="633">
        <v>15</v>
      </c>
      <c r="F554" s="603">
        <v>1989</v>
      </c>
      <c r="G554" s="617" t="s">
        <v>134</v>
      </c>
      <c r="H554" s="620" t="s">
        <v>149</v>
      </c>
      <c r="I554" s="621">
        <v>90</v>
      </c>
      <c r="J554" s="621">
        <v>3</v>
      </c>
      <c r="K554" s="603">
        <f t="shared" si="54"/>
        <v>19</v>
      </c>
      <c r="L554" s="604">
        <v>0.82916666666666661</v>
      </c>
      <c r="M554" s="605">
        <f t="shared" si="49"/>
        <v>0.82916666666666661</v>
      </c>
      <c r="N554" s="663"/>
      <c r="P554" s="37" t="str">
        <f t="shared" si="50"/>
        <v>1989F0</v>
      </c>
      <c r="Q554" s="37" t="str">
        <f t="shared" si="51"/>
        <v>F019</v>
      </c>
      <c r="R554" s="37" t="str">
        <f t="shared" si="52"/>
        <v>AugustF0</v>
      </c>
    </row>
    <row r="555" spans="1:18">
      <c r="A555" s="616">
        <f t="shared" si="53"/>
        <v>551</v>
      </c>
      <c r="B555" s="617">
        <v>1</v>
      </c>
      <c r="C555" s="618">
        <v>32987</v>
      </c>
      <c r="D555" s="618" t="s">
        <v>176</v>
      </c>
      <c r="E555" s="633">
        <v>24</v>
      </c>
      <c r="F555" s="603">
        <v>1990</v>
      </c>
      <c r="G555" s="617" t="s">
        <v>142</v>
      </c>
      <c r="H555" s="620" t="s">
        <v>149</v>
      </c>
      <c r="I555" s="621">
        <v>80</v>
      </c>
      <c r="J555" s="621">
        <v>1.4</v>
      </c>
      <c r="K555" s="603">
        <f t="shared" si="54"/>
        <v>17</v>
      </c>
      <c r="L555" s="604">
        <v>0.71597222222222223</v>
      </c>
      <c r="M555" s="605">
        <f t="shared" si="49"/>
        <v>0.71597222222222223</v>
      </c>
      <c r="N555" s="663"/>
      <c r="P555" s="37" t="str">
        <f t="shared" si="50"/>
        <v>1990F0</v>
      </c>
      <c r="Q555" s="37" t="str">
        <f t="shared" si="51"/>
        <v>F017</v>
      </c>
      <c r="R555" s="37" t="str">
        <f t="shared" si="52"/>
        <v>AprilF0</v>
      </c>
    </row>
    <row r="556" spans="1:18">
      <c r="A556" s="616">
        <f t="shared" si="53"/>
        <v>552</v>
      </c>
      <c r="B556" s="617">
        <v>2</v>
      </c>
      <c r="C556" s="618">
        <v>32987</v>
      </c>
      <c r="D556" s="618" t="s">
        <v>176</v>
      </c>
      <c r="E556" s="633">
        <v>24</v>
      </c>
      <c r="F556" s="603">
        <v>1990</v>
      </c>
      <c r="G556" s="617" t="s">
        <v>138</v>
      </c>
      <c r="H556" s="620" t="s">
        <v>149</v>
      </c>
      <c r="I556" s="621">
        <v>70</v>
      </c>
      <c r="J556" s="621">
        <v>1.3</v>
      </c>
      <c r="K556" s="603">
        <f t="shared" si="54"/>
        <v>19</v>
      </c>
      <c r="L556" s="604">
        <v>0.8125</v>
      </c>
      <c r="M556" s="605">
        <f t="shared" si="49"/>
        <v>0.8125</v>
      </c>
      <c r="N556" s="663"/>
      <c r="P556" s="37" t="str">
        <f t="shared" si="50"/>
        <v>1990F0</v>
      </c>
      <c r="Q556" s="37" t="str">
        <f t="shared" si="51"/>
        <v>F019</v>
      </c>
      <c r="R556" s="37" t="str">
        <f t="shared" si="52"/>
        <v>AprilF0</v>
      </c>
    </row>
    <row r="557" spans="1:18">
      <c r="A557" s="616">
        <f t="shared" si="53"/>
        <v>553</v>
      </c>
      <c r="B557" s="617">
        <v>3</v>
      </c>
      <c r="C557" s="618">
        <v>32987</v>
      </c>
      <c r="D557" s="618" t="s">
        <v>176</v>
      </c>
      <c r="E557" s="633">
        <v>24</v>
      </c>
      <c r="F557" s="603">
        <v>1990</v>
      </c>
      <c r="G557" s="617" t="s">
        <v>138</v>
      </c>
      <c r="H557" s="620" t="s">
        <v>150</v>
      </c>
      <c r="I557" s="621">
        <v>130</v>
      </c>
      <c r="J557" s="621">
        <v>3</v>
      </c>
      <c r="K557" s="603">
        <f t="shared" si="54"/>
        <v>20</v>
      </c>
      <c r="L557" s="604">
        <v>0.84375</v>
      </c>
      <c r="M557" s="605">
        <f t="shared" si="49"/>
        <v>0.84375</v>
      </c>
      <c r="N557" s="663"/>
      <c r="P557" s="37" t="str">
        <f t="shared" si="50"/>
        <v>1990F1</v>
      </c>
      <c r="Q557" s="37" t="str">
        <f t="shared" si="51"/>
        <v>F120</v>
      </c>
      <c r="R557" s="37" t="str">
        <f t="shared" si="52"/>
        <v>AprilF1</v>
      </c>
    </row>
    <row r="558" spans="1:18">
      <c r="A558" s="616">
        <f t="shared" si="53"/>
        <v>554</v>
      </c>
      <c r="B558" s="617">
        <v>4</v>
      </c>
      <c r="C558" s="618">
        <v>32987</v>
      </c>
      <c r="D558" s="618" t="s">
        <v>176</v>
      </c>
      <c r="E558" s="633">
        <v>24</v>
      </c>
      <c r="F558" s="603">
        <v>1990</v>
      </c>
      <c r="G558" s="617" t="s">
        <v>133</v>
      </c>
      <c r="H558" s="620" t="s">
        <v>150</v>
      </c>
      <c r="I558" s="621">
        <v>110</v>
      </c>
      <c r="J558" s="621">
        <v>2.5</v>
      </c>
      <c r="K558" s="603">
        <f t="shared" si="54"/>
        <v>20</v>
      </c>
      <c r="L558" s="604">
        <v>0.87291666666666667</v>
      </c>
      <c r="M558" s="605">
        <f t="shared" si="49"/>
        <v>0.87291666666666667</v>
      </c>
      <c r="N558" s="663"/>
      <c r="P558" s="37" t="str">
        <f t="shared" si="50"/>
        <v>1990F1</v>
      </c>
      <c r="Q558" s="37" t="str">
        <f t="shared" si="51"/>
        <v>F120</v>
      </c>
      <c r="R558" s="37" t="str">
        <f t="shared" si="52"/>
        <v>AprilF1</v>
      </c>
    </row>
    <row r="559" spans="1:18">
      <c r="A559" s="616">
        <f t="shared" si="53"/>
        <v>555</v>
      </c>
      <c r="B559" s="617">
        <v>5</v>
      </c>
      <c r="C559" s="618">
        <v>32987</v>
      </c>
      <c r="D559" s="618" t="s">
        <v>176</v>
      </c>
      <c r="E559" s="633">
        <v>24</v>
      </c>
      <c r="F559" s="603">
        <v>1990</v>
      </c>
      <c r="G559" s="617" t="s">
        <v>147</v>
      </c>
      <c r="H559" s="620" t="s">
        <v>149</v>
      </c>
      <c r="I559" s="621">
        <v>90</v>
      </c>
      <c r="J559" s="621">
        <v>1.5</v>
      </c>
      <c r="K559" s="603">
        <f t="shared" si="54"/>
        <v>21</v>
      </c>
      <c r="L559" s="604">
        <v>0.90277777777777779</v>
      </c>
      <c r="M559" s="605">
        <f t="shared" si="49"/>
        <v>0.90277777777777779</v>
      </c>
      <c r="N559" s="663"/>
      <c r="P559" s="37" t="str">
        <f t="shared" si="50"/>
        <v>1990F0</v>
      </c>
      <c r="Q559" s="37" t="str">
        <f t="shared" si="51"/>
        <v>F021</v>
      </c>
      <c r="R559" s="37" t="str">
        <f t="shared" si="52"/>
        <v>AprilF0</v>
      </c>
    </row>
    <row r="560" spans="1:18">
      <c r="A560" s="616">
        <f t="shared" si="53"/>
        <v>556</v>
      </c>
      <c r="B560" s="617">
        <v>6</v>
      </c>
      <c r="C560" s="618">
        <v>32987</v>
      </c>
      <c r="D560" s="618" t="s">
        <v>176</v>
      </c>
      <c r="E560" s="633">
        <v>24</v>
      </c>
      <c r="F560" s="603">
        <v>1990</v>
      </c>
      <c r="G560" s="617" t="s">
        <v>143</v>
      </c>
      <c r="H560" s="620" t="s">
        <v>150</v>
      </c>
      <c r="I560" s="621">
        <v>140</v>
      </c>
      <c r="J560" s="621">
        <v>3.5</v>
      </c>
      <c r="K560" s="603">
        <f t="shared" si="54"/>
        <v>22</v>
      </c>
      <c r="L560" s="604">
        <v>0.9375</v>
      </c>
      <c r="M560" s="605">
        <f t="shared" si="49"/>
        <v>0.9375</v>
      </c>
      <c r="N560" s="663"/>
      <c r="P560" s="37" t="str">
        <f t="shared" si="50"/>
        <v>1990F1</v>
      </c>
      <c r="Q560" s="37" t="str">
        <f t="shared" si="51"/>
        <v>F122</v>
      </c>
      <c r="R560" s="37" t="str">
        <f t="shared" si="52"/>
        <v>AprilF1</v>
      </c>
    </row>
    <row r="561" spans="1:18">
      <c r="A561" s="616">
        <f t="shared" si="53"/>
        <v>557</v>
      </c>
      <c r="B561" s="617">
        <v>7</v>
      </c>
      <c r="C561" s="618">
        <v>32987</v>
      </c>
      <c r="D561" s="618" t="s">
        <v>176</v>
      </c>
      <c r="E561" s="633">
        <v>24</v>
      </c>
      <c r="F561" s="603">
        <v>1990</v>
      </c>
      <c r="G561" s="617" t="s">
        <v>143</v>
      </c>
      <c r="H561" s="620" t="s">
        <v>150</v>
      </c>
      <c r="I561" s="621">
        <v>250</v>
      </c>
      <c r="J561" s="621">
        <v>4</v>
      </c>
      <c r="K561" s="603">
        <f t="shared" si="54"/>
        <v>23</v>
      </c>
      <c r="L561" s="604">
        <v>0.97013888888888899</v>
      </c>
      <c r="M561" s="605">
        <f t="shared" si="49"/>
        <v>0.97013888888888899</v>
      </c>
      <c r="N561" s="663"/>
      <c r="P561" s="37" t="str">
        <f t="shared" si="50"/>
        <v>1990F1</v>
      </c>
      <c r="Q561" s="37" t="str">
        <f t="shared" si="51"/>
        <v>F123</v>
      </c>
      <c r="R561" s="37" t="str">
        <f t="shared" si="52"/>
        <v>AprilF1</v>
      </c>
    </row>
    <row r="562" spans="1:18">
      <c r="A562" s="616">
        <f t="shared" si="53"/>
        <v>558</v>
      </c>
      <c r="B562" s="617">
        <v>8</v>
      </c>
      <c r="C562" s="618">
        <v>32988</v>
      </c>
      <c r="D562" s="618" t="s">
        <v>176</v>
      </c>
      <c r="E562" s="633">
        <v>25</v>
      </c>
      <c r="F562" s="603">
        <v>1990</v>
      </c>
      <c r="G562" s="617" t="s">
        <v>127</v>
      </c>
      <c r="H562" s="620" t="s">
        <v>150</v>
      </c>
      <c r="I562" s="621">
        <v>50</v>
      </c>
      <c r="J562" s="621">
        <v>2</v>
      </c>
      <c r="K562" s="603">
        <f t="shared" si="54"/>
        <v>0</v>
      </c>
      <c r="L562" s="604">
        <v>3.4722222222222224E-2</v>
      </c>
      <c r="M562" s="605">
        <f t="shared" si="49"/>
        <v>3.4722222222222224E-2</v>
      </c>
      <c r="N562" s="663"/>
      <c r="P562" s="37" t="str">
        <f t="shared" si="50"/>
        <v>1990F1</v>
      </c>
      <c r="Q562" s="37" t="str">
        <f t="shared" si="51"/>
        <v>F10</v>
      </c>
      <c r="R562" s="37" t="str">
        <f t="shared" si="52"/>
        <v>AprilF1</v>
      </c>
    </row>
    <row r="563" spans="1:18">
      <c r="A563" s="616">
        <f t="shared" si="53"/>
        <v>559</v>
      </c>
      <c r="B563" s="617">
        <v>9</v>
      </c>
      <c r="C563" s="618">
        <v>33024</v>
      </c>
      <c r="D563" s="618" t="s">
        <v>177</v>
      </c>
      <c r="E563" s="633">
        <v>31</v>
      </c>
      <c r="F563" s="603">
        <v>1990</v>
      </c>
      <c r="G563" s="617" t="s">
        <v>132</v>
      </c>
      <c r="H563" s="620" t="s">
        <v>150</v>
      </c>
      <c r="I563" s="621">
        <v>177</v>
      </c>
      <c r="J563" s="621">
        <v>7</v>
      </c>
      <c r="K563" s="603">
        <f t="shared" si="54"/>
        <v>15</v>
      </c>
      <c r="L563" s="604">
        <v>0.64583333333333337</v>
      </c>
      <c r="M563" s="605">
        <f t="shared" si="49"/>
        <v>0.64583333333333337</v>
      </c>
      <c r="N563" s="663"/>
      <c r="P563" s="37" t="str">
        <f t="shared" si="50"/>
        <v>1990F1</v>
      </c>
      <c r="Q563" s="37" t="str">
        <f t="shared" si="51"/>
        <v>F115</v>
      </c>
      <c r="R563" s="37" t="str">
        <f t="shared" si="52"/>
        <v>MayF1</v>
      </c>
    </row>
    <row r="564" spans="1:18">
      <c r="A564" s="616">
        <f t="shared" si="53"/>
        <v>560</v>
      </c>
      <c r="B564" s="617">
        <v>10</v>
      </c>
      <c r="C564" s="618">
        <v>33024</v>
      </c>
      <c r="D564" s="618" t="s">
        <v>177</v>
      </c>
      <c r="E564" s="633">
        <v>31</v>
      </c>
      <c r="F564" s="603">
        <v>1990</v>
      </c>
      <c r="G564" s="617" t="s">
        <v>132</v>
      </c>
      <c r="H564" s="620" t="s">
        <v>149</v>
      </c>
      <c r="I564" s="621">
        <v>50</v>
      </c>
      <c r="J564" s="621">
        <v>1.2</v>
      </c>
      <c r="K564" s="603">
        <f t="shared" si="54"/>
        <v>16</v>
      </c>
      <c r="L564" s="604">
        <v>0.67291666666666661</v>
      </c>
      <c r="M564" s="605">
        <f t="shared" si="49"/>
        <v>0.67291666666666661</v>
      </c>
      <c r="N564" s="663"/>
      <c r="P564" s="37" t="str">
        <f t="shared" si="50"/>
        <v>1990F0</v>
      </c>
      <c r="Q564" s="37" t="str">
        <f t="shared" si="51"/>
        <v>F016</v>
      </c>
      <c r="R564" s="37" t="str">
        <f t="shared" si="52"/>
        <v>MayF0</v>
      </c>
    </row>
    <row r="565" spans="1:18">
      <c r="A565" s="616">
        <f t="shared" si="53"/>
        <v>561</v>
      </c>
      <c r="B565" s="617">
        <v>11</v>
      </c>
      <c r="C565" s="618">
        <v>33024</v>
      </c>
      <c r="D565" s="618" t="s">
        <v>177</v>
      </c>
      <c r="E565" s="633">
        <v>31</v>
      </c>
      <c r="F565" s="603">
        <v>1990</v>
      </c>
      <c r="G565" s="617" t="s">
        <v>132</v>
      </c>
      <c r="H565" s="620" t="s">
        <v>152</v>
      </c>
      <c r="I565" s="621">
        <v>1407</v>
      </c>
      <c r="J565" s="621">
        <v>14</v>
      </c>
      <c r="K565" s="603">
        <f t="shared" si="54"/>
        <v>17</v>
      </c>
      <c r="L565" s="604">
        <v>0.7368055555555556</v>
      </c>
      <c r="M565" s="605">
        <f t="shared" si="49"/>
        <v>0.7368055555555556</v>
      </c>
      <c r="N565" s="663"/>
      <c r="P565" s="37" t="str">
        <f t="shared" si="50"/>
        <v>1990F3</v>
      </c>
      <c r="Q565" s="37" t="str">
        <f t="shared" si="51"/>
        <v>F317</v>
      </c>
      <c r="R565" s="37" t="str">
        <f t="shared" si="52"/>
        <v>MayF3</v>
      </c>
    </row>
    <row r="566" spans="1:18">
      <c r="A566" s="616">
        <f t="shared" si="53"/>
        <v>562</v>
      </c>
      <c r="B566" s="617">
        <v>12</v>
      </c>
      <c r="C566" s="618">
        <v>33024</v>
      </c>
      <c r="D566" s="618" t="s">
        <v>177</v>
      </c>
      <c r="E566" s="633">
        <v>31</v>
      </c>
      <c r="F566" s="603">
        <v>1990</v>
      </c>
      <c r="G566" s="617" t="s">
        <v>131</v>
      </c>
      <c r="H566" s="620" t="s">
        <v>149</v>
      </c>
      <c r="I566" s="621">
        <v>60</v>
      </c>
      <c r="J566" s="621">
        <v>1.3</v>
      </c>
      <c r="K566" s="603">
        <f t="shared" si="54"/>
        <v>17</v>
      </c>
      <c r="L566" s="604">
        <v>0.73958333333333337</v>
      </c>
      <c r="M566" s="605">
        <f t="shared" si="49"/>
        <v>0.73958333333333337</v>
      </c>
      <c r="N566" s="663"/>
      <c r="P566" s="37" t="str">
        <f t="shared" si="50"/>
        <v>1990F0</v>
      </c>
      <c r="Q566" s="37" t="str">
        <f t="shared" si="51"/>
        <v>F017</v>
      </c>
      <c r="R566" s="37" t="str">
        <f t="shared" si="52"/>
        <v>MayF0</v>
      </c>
    </row>
    <row r="567" spans="1:18">
      <c r="A567" s="616">
        <f t="shared" si="53"/>
        <v>563</v>
      </c>
      <c r="B567" s="617">
        <v>13</v>
      </c>
      <c r="C567" s="618">
        <v>33024</v>
      </c>
      <c r="D567" s="618" t="s">
        <v>177</v>
      </c>
      <c r="E567" s="633">
        <v>31</v>
      </c>
      <c r="F567" s="603">
        <v>1990</v>
      </c>
      <c r="G567" s="617" t="s">
        <v>131</v>
      </c>
      <c r="H567" s="620" t="s">
        <v>151</v>
      </c>
      <c r="I567" s="621">
        <v>600</v>
      </c>
      <c r="J567" s="621">
        <v>5.5</v>
      </c>
      <c r="K567" s="603">
        <f t="shared" si="54"/>
        <v>19</v>
      </c>
      <c r="L567" s="604">
        <v>0.80208333333333337</v>
      </c>
      <c r="M567" s="605">
        <f t="shared" si="49"/>
        <v>0.80208333333333337</v>
      </c>
      <c r="N567" s="663"/>
      <c r="P567" s="37" t="str">
        <f t="shared" si="50"/>
        <v>1990F2</v>
      </c>
      <c r="Q567" s="37" t="str">
        <f t="shared" si="51"/>
        <v>F219</v>
      </c>
      <c r="R567" s="37" t="str">
        <f t="shared" si="52"/>
        <v>MayF2</v>
      </c>
    </row>
    <row r="568" spans="1:18">
      <c r="A568" s="616">
        <f t="shared" si="53"/>
        <v>564</v>
      </c>
      <c r="B568" s="617">
        <v>14</v>
      </c>
      <c r="C568" s="618">
        <v>33024</v>
      </c>
      <c r="D568" s="618" t="s">
        <v>177</v>
      </c>
      <c r="E568" s="633">
        <v>31</v>
      </c>
      <c r="F568" s="603">
        <v>1990</v>
      </c>
      <c r="G568" s="617" t="s">
        <v>132</v>
      </c>
      <c r="H568" s="620" t="s">
        <v>149</v>
      </c>
      <c r="I568" s="621">
        <v>70</v>
      </c>
      <c r="J568" s="621">
        <v>0.7</v>
      </c>
      <c r="K568" s="603">
        <f t="shared" si="54"/>
        <v>20</v>
      </c>
      <c r="L568" s="604">
        <v>0.83888888888888891</v>
      </c>
      <c r="M568" s="605">
        <f t="shared" si="49"/>
        <v>0.83888888888888891</v>
      </c>
      <c r="N568" s="663"/>
      <c r="P568" s="37" t="str">
        <f t="shared" si="50"/>
        <v>1990F0</v>
      </c>
      <c r="Q568" s="37" t="str">
        <f t="shared" si="51"/>
        <v>F020</v>
      </c>
      <c r="R568" s="37" t="str">
        <f t="shared" si="52"/>
        <v>MayF0</v>
      </c>
    </row>
    <row r="569" spans="1:18">
      <c r="A569" s="616">
        <f t="shared" si="53"/>
        <v>565</v>
      </c>
      <c r="B569" s="617">
        <v>15</v>
      </c>
      <c r="C569" s="618">
        <v>33024</v>
      </c>
      <c r="D569" s="618" t="s">
        <v>177</v>
      </c>
      <c r="E569" s="633">
        <v>31</v>
      </c>
      <c r="F569" s="603">
        <v>1990</v>
      </c>
      <c r="G569" s="617" t="s">
        <v>131</v>
      </c>
      <c r="H569" s="620" t="s">
        <v>149</v>
      </c>
      <c r="I569" s="621">
        <v>50</v>
      </c>
      <c r="J569" s="621">
        <v>0.6</v>
      </c>
      <c r="K569" s="603">
        <f t="shared" si="54"/>
        <v>20</v>
      </c>
      <c r="L569" s="604">
        <v>0.84305555555555556</v>
      </c>
      <c r="M569" s="605">
        <f t="shared" ref="M569:M630" si="55">+L569</f>
        <v>0.84305555555555556</v>
      </c>
      <c r="N569" s="663"/>
      <c r="P569" s="37" t="str">
        <f t="shared" si="50"/>
        <v>1990F0</v>
      </c>
      <c r="Q569" s="37" t="str">
        <f t="shared" si="51"/>
        <v>F020</v>
      </c>
      <c r="R569" s="37" t="str">
        <f t="shared" si="52"/>
        <v>MayF0</v>
      </c>
    </row>
    <row r="570" spans="1:18">
      <c r="A570" s="616">
        <f t="shared" si="53"/>
        <v>566</v>
      </c>
      <c r="B570" s="617">
        <v>16</v>
      </c>
      <c r="C570" s="618">
        <v>33024</v>
      </c>
      <c r="D570" s="618" t="s">
        <v>177</v>
      </c>
      <c r="E570" s="633">
        <v>31</v>
      </c>
      <c r="F570" s="603">
        <v>1990</v>
      </c>
      <c r="G570" s="617" t="s">
        <v>132</v>
      </c>
      <c r="H570" s="620" t="s">
        <v>151</v>
      </c>
      <c r="I570" s="621">
        <v>450</v>
      </c>
      <c r="J570" s="621">
        <v>3</v>
      </c>
      <c r="K570" s="603">
        <f t="shared" si="54"/>
        <v>21</v>
      </c>
      <c r="L570" s="604">
        <v>0.90625</v>
      </c>
      <c r="M570" s="605">
        <f t="shared" si="55"/>
        <v>0.90625</v>
      </c>
      <c r="N570" s="663"/>
      <c r="P570" s="37" t="str">
        <f t="shared" si="50"/>
        <v>1990F2</v>
      </c>
      <c r="Q570" s="37" t="str">
        <f t="shared" si="51"/>
        <v>F221</v>
      </c>
      <c r="R570" s="37" t="str">
        <f t="shared" si="52"/>
        <v>MayF2</v>
      </c>
    </row>
    <row r="571" spans="1:18">
      <c r="A571" s="616">
        <f t="shared" si="53"/>
        <v>567</v>
      </c>
      <c r="B571" s="617">
        <v>17</v>
      </c>
      <c r="C571" s="618">
        <v>33024</v>
      </c>
      <c r="D571" s="618" t="s">
        <v>177</v>
      </c>
      <c r="E571" s="633">
        <v>31</v>
      </c>
      <c r="F571" s="603">
        <v>1990</v>
      </c>
      <c r="G571" s="617" t="s">
        <v>138</v>
      </c>
      <c r="H571" s="620" t="s">
        <v>149</v>
      </c>
      <c r="I571" s="621">
        <v>77</v>
      </c>
      <c r="J571" s="621">
        <v>0.6</v>
      </c>
      <c r="K571" s="603">
        <f t="shared" si="54"/>
        <v>22</v>
      </c>
      <c r="L571" s="604">
        <v>0.92708333333333337</v>
      </c>
      <c r="M571" s="605">
        <f t="shared" si="55"/>
        <v>0.92708333333333337</v>
      </c>
      <c r="N571" s="663"/>
      <c r="P571" s="37" t="str">
        <f t="shared" si="50"/>
        <v>1990F0</v>
      </c>
      <c r="Q571" s="37" t="str">
        <f t="shared" si="51"/>
        <v>F022</v>
      </c>
      <c r="R571" s="37" t="str">
        <f t="shared" si="52"/>
        <v>MayF0</v>
      </c>
    </row>
    <row r="572" spans="1:18">
      <c r="A572" s="616">
        <f t="shared" si="53"/>
        <v>568</v>
      </c>
      <c r="B572" s="617">
        <v>18</v>
      </c>
      <c r="C572" s="618">
        <v>33024</v>
      </c>
      <c r="D572" s="618" t="s">
        <v>177</v>
      </c>
      <c r="E572" s="633">
        <v>31</v>
      </c>
      <c r="F572" s="603">
        <v>1990</v>
      </c>
      <c r="G572" s="617" t="s">
        <v>138</v>
      </c>
      <c r="H572" s="620" t="s">
        <v>149</v>
      </c>
      <c r="I572" s="621">
        <v>70</v>
      </c>
      <c r="J572" s="621">
        <v>0.5</v>
      </c>
      <c r="K572" s="603">
        <f t="shared" si="54"/>
        <v>22</v>
      </c>
      <c r="L572" s="604">
        <v>0.94513888888888886</v>
      </c>
      <c r="M572" s="605">
        <f t="shared" si="55"/>
        <v>0.94513888888888886</v>
      </c>
      <c r="N572" s="663"/>
      <c r="P572" s="37" t="str">
        <f t="shared" si="50"/>
        <v>1990F0</v>
      </c>
      <c r="Q572" s="37" t="str">
        <f t="shared" si="51"/>
        <v>F022</v>
      </c>
      <c r="R572" s="37" t="str">
        <f t="shared" si="52"/>
        <v>MayF0</v>
      </c>
    </row>
    <row r="573" spans="1:18">
      <c r="A573" s="616">
        <f t="shared" si="53"/>
        <v>569</v>
      </c>
      <c r="B573" s="617">
        <v>19</v>
      </c>
      <c r="C573" s="618">
        <v>33024</v>
      </c>
      <c r="D573" s="618" t="s">
        <v>177</v>
      </c>
      <c r="E573" s="633">
        <v>31</v>
      </c>
      <c r="F573" s="603">
        <v>1990</v>
      </c>
      <c r="G573" s="617" t="s">
        <v>138</v>
      </c>
      <c r="H573" s="620" t="s">
        <v>150</v>
      </c>
      <c r="I573" s="621">
        <v>90</v>
      </c>
      <c r="J573" s="621">
        <v>1.1000000000000001</v>
      </c>
      <c r="K573" s="603">
        <f t="shared" si="54"/>
        <v>22</v>
      </c>
      <c r="L573" s="604">
        <v>0.95694444444444438</v>
      </c>
      <c r="M573" s="605">
        <f t="shared" si="55"/>
        <v>0.95694444444444438</v>
      </c>
      <c r="N573" s="663"/>
      <c r="P573" s="37" t="str">
        <f t="shared" si="50"/>
        <v>1990F1</v>
      </c>
      <c r="Q573" s="37" t="str">
        <f t="shared" si="51"/>
        <v>F122</v>
      </c>
      <c r="R573" s="37" t="str">
        <f t="shared" si="52"/>
        <v>MayF1</v>
      </c>
    </row>
    <row r="574" spans="1:18">
      <c r="A574" s="616">
        <f t="shared" si="53"/>
        <v>570</v>
      </c>
      <c r="B574" s="617">
        <v>20</v>
      </c>
      <c r="C574" s="618">
        <v>33024</v>
      </c>
      <c r="D574" s="618" t="s">
        <v>177</v>
      </c>
      <c r="E574" s="633">
        <v>31</v>
      </c>
      <c r="F574" s="603">
        <v>1990</v>
      </c>
      <c r="G574" s="617" t="s">
        <v>143</v>
      </c>
      <c r="H574" s="620" t="s">
        <v>149</v>
      </c>
      <c r="I574" s="621">
        <v>80</v>
      </c>
      <c r="J574" s="621">
        <v>0.8</v>
      </c>
      <c r="K574" s="603">
        <f t="shared" si="54"/>
        <v>23</v>
      </c>
      <c r="L574" s="604">
        <v>0.97430555555555554</v>
      </c>
      <c r="M574" s="605">
        <f t="shared" si="55"/>
        <v>0.97430555555555554</v>
      </c>
      <c r="N574" s="663"/>
      <c r="P574" s="37" t="str">
        <f t="shared" si="50"/>
        <v>1990F0</v>
      </c>
      <c r="Q574" s="37" t="str">
        <f t="shared" si="51"/>
        <v>F023</v>
      </c>
      <c r="R574" s="37" t="str">
        <f t="shared" si="52"/>
        <v>MayF0</v>
      </c>
    </row>
    <row r="575" spans="1:18">
      <c r="A575" s="616">
        <f t="shared" si="53"/>
        <v>571</v>
      </c>
      <c r="B575" s="617">
        <v>21</v>
      </c>
      <c r="C575" s="618">
        <v>33024</v>
      </c>
      <c r="D575" s="618" t="s">
        <v>177</v>
      </c>
      <c r="E575" s="633">
        <v>31</v>
      </c>
      <c r="F575" s="603">
        <v>1990</v>
      </c>
      <c r="G575" s="617" t="s">
        <v>143</v>
      </c>
      <c r="H575" s="620" t="s">
        <v>149</v>
      </c>
      <c r="I575" s="621">
        <v>67</v>
      </c>
      <c r="J575" s="621">
        <v>0.6</v>
      </c>
      <c r="K575" s="603">
        <f t="shared" si="54"/>
        <v>23</v>
      </c>
      <c r="L575" s="604">
        <v>0.99236111111111114</v>
      </c>
      <c r="M575" s="605">
        <f t="shared" si="55"/>
        <v>0.99236111111111114</v>
      </c>
      <c r="N575" s="663"/>
      <c r="P575" s="37" t="str">
        <f t="shared" si="50"/>
        <v>1990F0</v>
      </c>
      <c r="Q575" s="37" t="str">
        <f t="shared" si="51"/>
        <v>F023</v>
      </c>
      <c r="R575" s="37" t="str">
        <f t="shared" si="52"/>
        <v>MayF0</v>
      </c>
    </row>
    <row r="576" spans="1:18">
      <c r="A576" s="616">
        <f t="shared" si="53"/>
        <v>572</v>
      </c>
      <c r="B576" s="617">
        <v>22</v>
      </c>
      <c r="C576" s="618">
        <v>33032</v>
      </c>
      <c r="D576" s="618" t="s">
        <v>178</v>
      </c>
      <c r="E576" s="633">
        <v>8</v>
      </c>
      <c r="F576" s="603">
        <v>1990</v>
      </c>
      <c r="G576" s="617" t="s">
        <v>142</v>
      </c>
      <c r="H576" s="620" t="s">
        <v>150</v>
      </c>
      <c r="I576" s="621">
        <v>90</v>
      </c>
      <c r="J576" s="621">
        <v>1.4</v>
      </c>
      <c r="K576" s="603">
        <f t="shared" si="54"/>
        <v>17</v>
      </c>
      <c r="L576" s="604">
        <v>0.73263888888888884</v>
      </c>
      <c r="M576" s="605">
        <f t="shared" si="55"/>
        <v>0.73263888888888884</v>
      </c>
      <c r="N576" s="663"/>
      <c r="P576" s="37" t="str">
        <f t="shared" si="50"/>
        <v>1990F1</v>
      </c>
      <c r="Q576" s="37" t="str">
        <f t="shared" si="51"/>
        <v>F117</v>
      </c>
      <c r="R576" s="37" t="str">
        <f t="shared" si="52"/>
        <v>JuneF1</v>
      </c>
    </row>
    <row r="577" spans="1:18">
      <c r="A577" s="616">
        <f t="shared" si="53"/>
        <v>573</v>
      </c>
      <c r="B577" s="617">
        <v>23</v>
      </c>
      <c r="C577" s="618">
        <v>33032</v>
      </c>
      <c r="D577" s="618" t="s">
        <v>178</v>
      </c>
      <c r="E577" s="633">
        <v>8</v>
      </c>
      <c r="F577" s="603">
        <v>1990</v>
      </c>
      <c r="G577" s="617" t="s">
        <v>142</v>
      </c>
      <c r="H577" s="620" t="s">
        <v>149</v>
      </c>
      <c r="I577" s="621">
        <v>80</v>
      </c>
      <c r="J577" s="621">
        <v>1.2</v>
      </c>
      <c r="K577" s="603">
        <f t="shared" si="54"/>
        <v>18</v>
      </c>
      <c r="L577" s="604">
        <v>0.76875000000000004</v>
      </c>
      <c r="M577" s="605">
        <f t="shared" si="55"/>
        <v>0.76875000000000004</v>
      </c>
      <c r="N577" s="663"/>
      <c r="P577" s="37" t="str">
        <f t="shared" si="50"/>
        <v>1990F0</v>
      </c>
      <c r="Q577" s="37" t="str">
        <f t="shared" si="51"/>
        <v>F018</v>
      </c>
      <c r="R577" s="37" t="str">
        <f t="shared" si="52"/>
        <v>JuneF0</v>
      </c>
    </row>
    <row r="578" spans="1:18">
      <c r="A578" s="616">
        <f t="shared" si="53"/>
        <v>574</v>
      </c>
      <c r="B578" s="617">
        <v>24</v>
      </c>
      <c r="C578" s="618">
        <v>33032</v>
      </c>
      <c r="D578" s="618" t="s">
        <v>178</v>
      </c>
      <c r="E578" s="633">
        <v>8</v>
      </c>
      <c r="F578" s="603">
        <v>1990</v>
      </c>
      <c r="G578" s="617" t="s">
        <v>141</v>
      </c>
      <c r="H578" s="620" t="s">
        <v>149</v>
      </c>
      <c r="I578" s="621">
        <v>70</v>
      </c>
      <c r="J578" s="621">
        <v>0.8</v>
      </c>
      <c r="K578" s="603">
        <f t="shared" si="54"/>
        <v>18</v>
      </c>
      <c r="L578" s="604">
        <v>0.77083333333333337</v>
      </c>
      <c r="M578" s="605">
        <f t="shared" si="55"/>
        <v>0.77083333333333337</v>
      </c>
      <c r="N578" s="663"/>
      <c r="P578" s="37" t="str">
        <f t="shared" si="50"/>
        <v>1990F0</v>
      </c>
      <c r="Q578" s="37" t="str">
        <f t="shared" si="51"/>
        <v>F018</v>
      </c>
      <c r="R578" s="37" t="str">
        <f t="shared" si="52"/>
        <v>JuneF0</v>
      </c>
    </row>
    <row r="579" spans="1:18">
      <c r="A579" s="616">
        <f t="shared" si="53"/>
        <v>575</v>
      </c>
      <c r="B579" s="617">
        <v>25</v>
      </c>
      <c r="C579" s="618">
        <v>33032</v>
      </c>
      <c r="D579" s="618" t="s">
        <v>178</v>
      </c>
      <c r="E579" s="633">
        <v>8</v>
      </c>
      <c r="F579" s="603">
        <v>1990</v>
      </c>
      <c r="G579" s="617" t="s">
        <v>141</v>
      </c>
      <c r="H579" s="620" t="s">
        <v>149</v>
      </c>
      <c r="I579" s="621">
        <v>70</v>
      </c>
      <c r="J579" s="621">
        <v>1.1000000000000001</v>
      </c>
      <c r="K579" s="603">
        <f t="shared" si="54"/>
        <v>18</v>
      </c>
      <c r="L579" s="604">
        <v>0.78263888888888899</v>
      </c>
      <c r="M579" s="605">
        <f t="shared" si="55"/>
        <v>0.78263888888888899</v>
      </c>
      <c r="N579" s="663"/>
      <c r="P579" s="37" t="str">
        <f t="shared" si="50"/>
        <v>1990F0</v>
      </c>
      <c r="Q579" s="37" t="str">
        <f t="shared" si="51"/>
        <v>F018</v>
      </c>
      <c r="R579" s="37" t="str">
        <f t="shared" si="52"/>
        <v>JuneF0</v>
      </c>
    </row>
    <row r="580" spans="1:18">
      <c r="A580" s="616">
        <f t="shared" si="53"/>
        <v>576</v>
      </c>
      <c r="B580" s="617">
        <v>26</v>
      </c>
      <c r="C580" s="618">
        <v>33032</v>
      </c>
      <c r="D580" s="618" t="s">
        <v>178</v>
      </c>
      <c r="E580" s="633">
        <v>8</v>
      </c>
      <c r="F580" s="603">
        <v>1990</v>
      </c>
      <c r="G580" s="617" t="s">
        <v>141</v>
      </c>
      <c r="H580" s="620" t="s">
        <v>149</v>
      </c>
      <c r="I580" s="621">
        <v>60</v>
      </c>
      <c r="J580" s="621">
        <v>0.9</v>
      </c>
      <c r="K580" s="603">
        <f t="shared" si="54"/>
        <v>18</v>
      </c>
      <c r="L580" s="604">
        <v>0.78402777777777777</v>
      </c>
      <c r="M580" s="605">
        <f t="shared" si="55"/>
        <v>0.78402777777777777</v>
      </c>
      <c r="N580" s="663"/>
      <c r="P580" s="37" t="str">
        <f t="shared" si="50"/>
        <v>1990F0</v>
      </c>
      <c r="Q580" s="37" t="str">
        <f t="shared" si="51"/>
        <v>F018</v>
      </c>
      <c r="R580" s="37" t="str">
        <f t="shared" si="52"/>
        <v>JuneF0</v>
      </c>
    </row>
    <row r="581" spans="1:18">
      <c r="A581" s="616">
        <f t="shared" si="53"/>
        <v>577</v>
      </c>
      <c r="B581" s="617">
        <v>27</v>
      </c>
      <c r="C581" s="618">
        <v>33032</v>
      </c>
      <c r="D581" s="618" t="s">
        <v>178</v>
      </c>
      <c r="E581" s="633">
        <v>8</v>
      </c>
      <c r="F581" s="603">
        <v>1990</v>
      </c>
      <c r="G581" s="617" t="s">
        <v>141</v>
      </c>
      <c r="H581" s="620" t="s">
        <v>151</v>
      </c>
      <c r="I581" s="621">
        <v>300</v>
      </c>
      <c r="J581" s="621">
        <v>2.6</v>
      </c>
      <c r="K581" s="603">
        <f t="shared" si="54"/>
        <v>19</v>
      </c>
      <c r="L581" s="604">
        <v>0.7944444444444444</v>
      </c>
      <c r="M581" s="605">
        <f t="shared" si="55"/>
        <v>0.7944444444444444</v>
      </c>
      <c r="N581" s="663"/>
      <c r="P581" s="37" t="str">
        <f t="shared" si="50"/>
        <v>1990F2</v>
      </c>
      <c r="Q581" s="37" t="str">
        <f t="shared" si="51"/>
        <v>F219</v>
      </c>
      <c r="R581" s="37" t="str">
        <f t="shared" si="52"/>
        <v>JuneF2</v>
      </c>
    </row>
    <row r="582" spans="1:18">
      <c r="A582" s="616">
        <f t="shared" si="53"/>
        <v>578</v>
      </c>
      <c r="B582" s="617">
        <v>28</v>
      </c>
      <c r="C582" s="618">
        <v>33032</v>
      </c>
      <c r="D582" s="618" t="s">
        <v>178</v>
      </c>
      <c r="E582" s="633">
        <v>8</v>
      </c>
      <c r="F582" s="603">
        <v>1990</v>
      </c>
      <c r="G582" s="617" t="s">
        <v>141</v>
      </c>
      <c r="H582" s="620" t="s">
        <v>149</v>
      </c>
      <c r="I582" s="621">
        <v>60</v>
      </c>
      <c r="J582" s="621">
        <v>1</v>
      </c>
      <c r="K582" s="603">
        <f t="shared" si="54"/>
        <v>19</v>
      </c>
      <c r="L582" s="604">
        <v>0.80763888888888891</v>
      </c>
      <c r="M582" s="605">
        <f t="shared" si="55"/>
        <v>0.80763888888888891</v>
      </c>
      <c r="N582" s="663"/>
      <c r="P582" s="37" t="str">
        <f t="shared" ref="P582:P645" si="56">CONCATENATE(F582,H582)</f>
        <v>1990F0</v>
      </c>
      <c r="Q582" s="37" t="str">
        <f t="shared" ref="Q582:Q645" si="57">CONCATENATE(H582,K582)</f>
        <v>F019</v>
      </c>
      <c r="R582" s="37" t="str">
        <f t="shared" ref="R582:R645" si="58">CONCATENATE(D582,H582)</f>
        <v>JuneF0</v>
      </c>
    </row>
    <row r="583" spans="1:18">
      <c r="A583" s="616">
        <f t="shared" ref="A583:A646" si="59">+A582+1</f>
        <v>579</v>
      </c>
      <c r="B583" s="617">
        <v>29</v>
      </c>
      <c r="C583" s="618">
        <v>33032</v>
      </c>
      <c r="D583" s="618" t="s">
        <v>178</v>
      </c>
      <c r="E583" s="633">
        <v>8</v>
      </c>
      <c r="F583" s="603">
        <v>1990</v>
      </c>
      <c r="G583" s="617" t="s">
        <v>141</v>
      </c>
      <c r="H583" s="620" t="s">
        <v>149</v>
      </c>
      <c r="I583" s="621">
        <v>80</v>
      </c>
      <c r="J583" s="621">
        <v>1.2</v>
      </c>
      <c r="K583" s="603">
        <f t="shared" si="54"/>
        <v>19</v>
      </c>
      <c r="L583" s="604">
        <v>0.82361111111111107</v>
      </c>
      <c r="M583" s="605">
        <f t="shared" si="55"/>
        <v>0.82361111111111107</v>
      </c>
      <c r="N583" s="663"/>
      <c r="P583" s="37" t="str">
        <f t="shared" si="56"/>
        <v>1990F0</v>
      </c>
      <c r="Q583" s="37" t="str">
        <f t="shared" si="57"/>
        <v>F019</v>
      </c>
      <c r="R583" s="37" t="str">
        <f t="shared" si="58"/>
        <v>JuneF0</v>
      </c>
    </row>
    <row r="584" spans="1:18">
      <c r="A584" s="616">
        <f t="shared" si="59"/>
        <v>580</v>
      </c>
      <c r="B584" s="617">
        <v>30</v>
      </c>
      <c r="C584" s="618">
        <v>33032</v>
      </c>
      <c r="D584" s="618" t="s">
        <v>178</v>
      </c>
      <c r="E584" s="633">
        <v>8</v>
      </c>
      <c r="F584" s="603">
        <v>1990</v>
      </c>
      <c r="G584" s="617" t="s">
        <v>143</v>
      </c>
      <c r="H584" s="620" t="s">
        <v>150</v>
      </c>
      <c r="I584" s="621">
        <v>110</v>
      </c>
      <c r="J584" s="621">
        <v>2.2000000000000002</v>
      </c>
      <c r="K584" s="603">
        <f t="shared" si="54"/>
        <v>19</v>
      </c>
      <c r="L584" s="604">
        <v>0.82986111111111116</v>
      </c>
      <c r="M584" s="605">
        <f t="shared" si="55"/>
        <v>0.82986111111111116</v>
      </c>
      <c r="N584" s="663"/>
      <c r="P584" s="37" t="str">
        <f t="shared" si="56"/>
        <v>1990F1</v>
      </c>
      <c r="Q584" s="37" t="str">
        <f t="shared" si="57"/>
        <v>F119</v>
      </c>
      <c r="R584" s="37" t="str">
        <f t="shared" si="58"/>
        <v>JuneF1</v>
      </c>
    </row>
    <row r="585" spans="1:18">
      <c r="A585" s="616">
        <f t="shared" si="59"/>
        <v>581</v>
      </c>
      <c r="B585" s="617">
        <v>31</v>
      </c>
      <c r="C585" s="618">
        <v>33032</v>
      </c>
      <c r="D585" s="618" t="s">
        <v>178</v>
      </c>
      <c r="E585" s="633">
        <v>8</v>
      </c>
      <c r="F585" s="603">
        <v>1990</v>
      </c>
      <c r="G585" s="617" t="s">
        <v>141</v>
      </c>
      <c r="H585" s="620" t="s">
        <v>149</v>
      </c>
      <c r="I585" s="621">
        <v>60</v>
      </c>
      <c r="J585" s="621">
        <v>1.2</v>
      </c>
      <c r="K585" s="603">
        <f t="shared" si="54"/>
        <v>20</v>
      </c>
      <c r="L585" s="604">
        <v>0.83680555555555547</v>
      </c>
      <c r="M585" s="605">
        <f t="shared" si="55"/>
        <v>0.83680555555555547</v>
      </c>
      <c r="N585" s="663"/>
      <c r="P585" s="37" t="str">
        <f t="shared" si="56"/>
        <v>1990F0</v>
      </c>
      <c r="Q585" s="37" t="str">
        <f t="shared" si="57"/>
        <v>F020</v>
      </c>
      <c r="R585" s="37" t="str">
        <f t="shared" si="58"/>
        <v>JuneF0</v>
      </c>
    </row>
    <row r="586" spans="1:18">
      <c r="A586" s="616">
        <f t="shared" si="59"/>
        <v>582</v>
      </c>
      <c r="B586" s="617">
        <v>32</v>
      </c>
      <c r="C586" s="618">
        <v>33032</v>
      </c>
      <c r="D586" s="618" t="s">
        <v>178</v>
      </c>
      <c r="E586" s="633">
        <v>8</v>
      </c>
      <c r="F586" s="603">
        <v>1990</v>
      </c>
      <c r="G586" s="617" t="s">
        <v>142</v>
      </c>
      <c r="H586" s="620" t="s">
        <v>149</v>
      </c>
      <c r="I586" s="621">
        <v>70</v>
      </c>
      <c r="J586" s="621">
        <v>1.8</v>
      </c>
      <c r="K586" s="603">
        <f t="shared" si="54"/>
        <v>20</v>
      </c>
      <c r="L586" s="604">
        <v>0.84722222222222221</v>
      </c>
      <c r="M586" s="605">
        <f t="shared" si="55"/>
        <v>0.84722222222222221</v>
      </c>
      <c r="N586" s="663"/>
      <c r="P586" s="37" t="str">
        <f t="shared" si="56"/>
        <v>1990F0</v>
      </c>
      <c r="Q586" s="37" t="str">
        <f t="shared" si="57"/>
        <v>F020</v>
      </c>
      <c r="R586" s="37" t="str">
        <f t="shared" si="58"/>
        <v>JuneF0</v>
      </c>
    </row>
    <row r="587" spans="1:18">
      <c r="A587" s="616">
        <f t="shared" si="59"/>
        <v>583</v>
      </c>
      <c r="B587" s="617">
        <v>33</v>
      </c>
      <c r="C587" s="618">
        <v>33032</v>
      </c>
      <c r="D587" s="618" t="s">
        <v>178</v>
      </c>
      <c r="E587" s="633">
        <v>8</v>
      </c>
      <c r="F587" s="603">
        <v>1990</v>
      </c>
      <c r="G587" s="617" t="s">
        <v>143</v>
      </c>
      <c r="H587" s="620" t="s">
        <v>151</v>
      </c>
      <c r="I587" s="621">
        <v>200</v>
      </c>
      <c r="J587" s="621">
        <v>1.6</v>
      </c>
      <c r="K587" s="603">
        <f t="shared" si="54"/>
        <v>20</v>
      </c>
      <c r="L587" s="604">
        <v>0.86805555555555547</v>
      </c>
      <c r="M587" s="605">
        <f t="shared" si="55"/>
        <v>0.86805555555555547</v>
      </c>
      <c r="N587" s="663"/>
      <c r="P587" s="37" t="str">
        <f t="shared" si="56"/>
        <v>1990F2</v>
      </c>
      <c r="Q587" s="37" t="str">
        <f t="shared" si="57"/>
        <v>F220</v>
      </c>
      <c r="R587" s="37" t="str">
        <f t="shared" si="58"/>
        <v>JuneF2</v>
      </c>
    </row>
    <row r="588" spans="1:18">
      <c r="A588" s="616">
        <f t="shared" si="59"/>
        <v>584</v>
      </c>
      <c r="B588" s="617">
        <v>34</v>
      </c>
      <c r="C588" s="618">
        <v>33038</v>
      </c>
      <c r="D588" s="618" t="s">
        <v>178</v>
      </c>
      <c r="E588" s="633">
        <v>14</v>
      </c>
      <c r="F588" s="603">
        <v>1990</v>
      </c>
      <c r="G588" s="617" t="s">
        <v>137</v>
      </c>
      <c r="H588" s="620" t="s">
        <v>149</v>
      </c>
      <c r="I588" s="621">
        <v>73</v>
      </c>
      <c r="J588" s="621">
        <v>0.7</v>
      </c>
      <c r="K588" s="603">
        <f t="shared" si="54"/>
        <v>15</v>
      </c>
      <c r="L588" s="604">
        <v>0.65555555555555556</v>
      </c>
      <c r="M588" s="605">
        <f t="shared" si="55"/>
        <v>0.65555555555555556</v>
      </c>
      <c r="N588" s="663"/>
      <c r="P588" s="37" t="str">
        <f t="shared" si="56"/>
        <v>1990F0</v>
      </c>
      <c r="Q588" s="37" t="str">
        <f t="shared" si="57"/>
        <v>F015</v>
      </c>
      <c r="R588" s="37" t="str">
        <f t="shared" si="58"/>
        <v>JuneF0</v>
      </c>
    </row>
    <row r="589" spans="1:18">
      <c r="A589" s="616">
        <f t="shared" si="59"/>
        <v>585</v>
      </c>
      <c r="B589" s="617">
        <v>35</v>
      </c>
      <c r="C589" s="618">
        <v>33069</v>
      </c>
      <c r="D589" s="618" t="s">
        <v>179</v>
      </c>
      <c r="E589" s="633">
        <v>15</v>
      </c>
      <c r="F589" s="603">
        <v>1990</v>
      </c>
      <c r="G589" s="617" t="s">
        <v>141</v>
      </c>
      <c r="H589" s="620" t="s">
        <v>149</v>
      </c>
      <c r="I589" s="621">
        <v>60</v>
      </c>
      <c r="J589" s="621">
        <v>1.2</v>
      </c>
      <c r="K589" s="603">
        <f t="shared" si="54"/>
        <v>15</v>
      </c>
      <c r="L589" s="604">
        <v>0.6333333333333333</v>
      </c>
      <c r="M589" s="605">
        <f t="shared" si="55"/>
        <v>0.6333333333333333</v>
      </c>
      <c r="N589" s="663"/>
      <c r="P589" s="37" t="str">
        <f t="shared" si="56"/>
        <v>1990F0</v>
      </c>
      <c r="Q589" s="37" t="str">
        <f t="shared" si="57"/>
        <v>F015</v>
      </c>
      <c r="R589" s="37" t="str">
        <f t="shared" si="58"/>
        <v>JulyF0</v>
      </c>
    </row>
    <row r="590" spans="1:18">
      <c r="A590" s="616">
        <f t="shared" si="59"/>
        <v>586</v>
      </c>
      <c r="B590" s="617">
        <v>36</v>
      </c>
      <c r="C590" s="618">
        <v>33069</v>
      </c>
      <c r="D590" s="618" t="s">
        <v>179</v>
      </c>
      <c r="E590" s="633">
        <v>15</v>
      </c>
      <c r="F590" s="603">
        <v>1990</v>
      </c>
      <c r="G590" s="617" t="s">
        <v>141</v>
      </c>
      <c r="H590" s="620" t="s">
        <v>149</v>
      </c>
      <c r="I590" s="621">
        <v>73</v>
      </c>
      <c r="J590" s="621">
        <v>1.5</v>
      </c>
      <c r="K590" s="603">
        <f t="shared" ref="K590:K649" si="60">HOUR(M590)</f>
        <v>15</v>
      </c>
      <c r="L590" s="604">
        <v>0.64583333333333337</v>
      </c>
      <c r="M590" s="605">
        <f t="shared" si="55"/>
        <v>0.64583333333333337</v>
      </c>
      <c r="N590" s="663"/>
      <c r="P590" s="37" t="str">
        <f t="shared" si="56"/>
        <v>1990F0</v>
      </c>
      <c r="Q590" s="37" t="str">
        <f t="shared" si="57"/>
        <v>F015</v>
      </c>
      <c r="R590" s="37" t="str">
        <f t="shared" si="58"/>
        <v>JulyF0</v>
      </c>
    </row>
    <row r="591" spans="1:18">
      <c r="A591" s="616">
        <f t="shared" si="59"/>
        <v>587</v>
      </c>
      <c r="B591" s="617">
        <v>37</v>
      </c>
      <c r="C591" s="618">
        <v>33069</v>
      </c>
      <c r="D591" s="618" t="s">
        <v>179</v>
      </c>
      <c r="E591" s="633">
        <v>15</v>
      </c>
      <c r="F591" s="603">
        <v>1990</v>
      </c>
      <c r="G591" s="617" t="s">
        <v>141</v>
      </c>
      <c r="H591" s="620" t="s">
        <v>149</v>
      </c>
      <c r="I591" s="621">
        <v>100</v>
      </c>
      <c r="J591" s="621">
        <v>1.9</v>
      </c>
      <c r="K591" s="603">
        <f t="shared" si="60"/>
        <v>16</v>
      </c>
      <c r="L591" s="604">
        <v>0.69027777777777777</v>
      </c>
      <c r="M591" s="605">
        <f t="shared" si="55"/>
        <v>0.69027777777777777</v>
      </c>
      <c r="N591" s="663"/>
      <c r="P591" s="37" t="str">
        <f t="shared" si="56"/>
        <v>1990F0</v>
      </c>
      <c r="Q591" s="37" t="str">
        <f t="shared" si="57"/>
        <v>F016</v>
      </c>
      <c r="R591" s="37" t="str">
        <f t="shared" si="58"/>
        <v>JulyF0</v>
      </c>
    </row>
    <row r="592" spans="1:18">
      <c r="A592" s="616">
        <f t="shared" si="59"/>
        <v>588</v>
      </c>
      <c r="B592" s="617">
        <v>38</v>
      </c>
      <c r="C592" s="618">
        <v>33069</v>
      </c>
      <c r="D592" s="618" t="s">
        <v>179</v>
      </c>
      <c r="E592" s="633">
        <v>15</v>
      </c>
      <c r="F592" s="603">
        <v>1990</v>
      </c>
      <c r="G592" s="617" t="s">
        <v>128</v>
      </c>
      <c r="H592" s="620" t="s">
        <v>149</v>
      </c>
      <c r="I592" s="621">
        <v>20</v>
      </c>
      <c r="J592" s="621">
        <v>0.1</v>
      </c>
      <c r="K592" s="603">
        <f t="shared" si="60"/>
        <v>16</v>
      </c>
      <c r="L592" s="604">
        <v>0.69791666666666663</v>
      </c>
      <c r="M592" s="605">
        <f t="shared" si="55"/>
        <v>0.69791666666666663</v>
      </c>
      <c r="N592" s="663"/>
      <c r="P592" s="37" t="str">
        <f t="shared" si="56"/>
        <v>1990F0</v>
      </c>
      <c r="Q592" s="37" t="str">
        <f t="shared" si="57"/>
        <v>F016</v>
      </c>
      <c r="R592" s="37" t="str">
        <f t="shared" si="58"/>
        <v>JulyF0</v>
      </c>
    </row>
    <row r="593" spans="1:18">
      <c r="A593" s="616">
        <f t="shared" si="59"/>
        <v>589</v>
      </c>
      <c r="B593" s="617">
        <v>1</v>
      </c>
      <c r="C593" s="618">
        <v>33368</v>
      </c>
      <c r="D593" s="618" t="s">
        <v>177</v>
      </c>
      <c r="E593" s="633">
        <v>10</v>
      </c>
      <c r="F593" s="603">
        <v>1991</v>
      </c>
      <c r="G593" s="617" t="s">
        <v>129</v>
      </c>
      <c r="H593" s="620" t="s">
        <v>150</v>
      </c>
      <c r="I593" s="621">
        <v>160</v>
      </c>
      <c r="J593" s="621">
        <v>7</v>
      </c>
      <c r="K593" s="603">
        <f t="shared" si="60"/>
        <v>19</v>
      </c>
      <c r="L593" s="604">
        <v>0.80555555555555547</v>
      </c>
      <c r="M593" s="605">
        <f t="shared" si="55"/>
        <v>0.80555555555555547</v>
      </c>
      <c r="N593" s="663"/>
      <c r="P593" s="37" t="str">
        <f t="shared" si="56"/>
        <v>1991F1</v>
      </c>
      <c r="Q593" s="37" t="str">
        <f t="shared" si="57"/>
        <v>F119</v>
      </c>
      <c r="R593" s="37" t="str">
        <f t="shared" si="58"/>
        <v>MayF1</v>
      </c>
    </row>
    <row r="594" spans="1:18">
      <c r="A594" s="616">
        <f t="shared" si="59"/>
        <v>590</v>
      </c>
      <c r="B594" s="617">
        <v>2</v>
      </c>
      <c r="C594" s="618">
        <v>33368</v>
      </c>
      <c r="D594" s="618" t="s">
        <v>177</v>
      </c>
      <c r="E594" s="633">
        <v>10</v>
      </c>
      <c r="F594" s="603">
        <v>1991</v>
      </c>
      <c r="G594" s="617" t="s">
        <v>129</v>
      </c>
      <c r="H594" s="620" t="s">
        <v>149</v>
      </c>
      <c r="I594" s="621">
        <v>40</v>
      </c>
      <c r="J594" s="621">
        <v>0.2</v>
      </c>
      <c r="K594" s="603">
        <f t="shared" si="60"/>
        <v>19</v>
      </c>
      <c r="L594" s="604">
        <v>0.80902777777777779</v>
      </c>
      <c r="M594" s="605">
        <f t="shared" si="55"/>
        <v>0.80902777777777779</v>
      </c>
      <c r="N594" s="663"/>
      <c r="P594" s="37" t="str">
        <f t="shared" si="56"/>
        <v>1991F0</v>
      </c>
      <c r="Q594" s="37" t="str">
        <f t="shared" si="57"/>
        <v>F019</v>
      </c>
      <c r="R594" s="37" t="str">
        <f t="shared" si="58"/>
        <v>MayF0</v>
      </c>
    </row>
    <row r="595" spans="1:18">
      <c r="A595" s="616">
        <f t="shared" si="59"/>
        <v>591</v>
      </c>
      <c r="B595" s="617">
        <v>3</v>
      </c>
      <c r="C595" s="618">
        <v>33369</v>
      </c>
      <c r="D595" s="618" t="s">
        <v>177</v>
      </c>
      <c r="E595" s="633">
        <v>11</v>
      </c>
      <c r="F595" s="603">
        <v>1991</v>
      </c>
      <c r="G595" s="617" t="s">
        <v>126</v>
      </c>
      <c r="H595" s="620" t="s">
        <v>149</v>
      </c>
      <c r="I595" s="621">
        <v>70</v>
      </c>
      <c r="J595" s="621">
        <v>0.5</v>
      </c>
      <c r="K595" s="603">
        <f t="shared" si="60"/>
        <v>19</v>
      </c>
      <c r="L595" s="604">
        <v>0.79305555555555562</v>
      </c>
      <c r="M595" s="605">
        <f t="shared" si="55"/>
        <v>0.79305555555555562</v>
      </c>
      <c r="N595" s="663"/>
      <c r="P595" s="37" t="str">
        <f t="shared" si="56"/>
        <v>1991F0</v>
      </c>
      <c r="Q595" s="37" t="str">
        <f t="shared" si="57"/>
        <v>F019</v>
      </c>
      <c r="R595" s="37" t="str">
        <f t="shared" si="58"/>
        <v>MayF0</v>
      </c>
    </row>
    <row r="596" spans="1:18">
      <c r="A596" s="616">
        <f t="shared" si="59"/>
        <v>592</v>
      </c>
      <c r="B596" s="617">
        <v>4</v>
      </c>
      <c r="C596" s="618">
        <v>33369</v>
      </c>
      <c r="D596" s="618" t="s">
        <v>177</v>
      </c>
      <c r="E596" s="633">
        <v>11</v>
      </c>
      <c r="F596" s="603">
        <v>1991</v>
      </c>
      <c r="G596" s="617" t="s">
        <v>145</v>
      </c>
      <c r="H596" s="620" t="s">
        <v>149</v>
      </c>
      <c r="I596" s="621">
        <v>30</v>
      </c>
      <c r="J596" s="621">
        <v>0.1</v>
      </c>
      <c r="K596" s="603">
        <f t="shared" si="60"/>
        <v>19</v>
      </c>
      <c r="L596" s="604">
        <v>0.8125</v>
      </c>
      <c r="M596" s="605">
        <f t="shared" si="55"/>
        <v>0.8125</v>
      </c>
      <c r="N596" s="663"/>
      <c r="P596" s="37" t="str">
        <f t="shared" si="56"/>
        <v>1991F0</v>
      </c>
      <c r="Q596" s="37" t="str">
        <f t="shared" si="57"/>
        <v>F019</v>
      </c>
      <c r="R596" s="37" t="str">
        <f t="shared" si="58"/>
        <v>MayF0</v>
      </c>
    </row>
    <row r="597" spans="1:18">
      <c r="A597" s="616">
        <f t="shared" si="59"/>
        <v>593</v>
      </c>
      <c r="B597" s="617">
        <v>5</v>
      </c>
      <c r="C597" s="618">
        <v>33369</v>
      </c>
      <c r="D597" s="618" t="s">
        <v>177</v>
      </c>
      <c r="E597" s="633">
        <v>11</v>
      </c>
      <c r="F597" s="603">
        <v>1991</v>
      </c>
      <c r="G597" s="617" t="s">
        <v>145</v>
      </c>
      <c r="H597" s="620" t="s">
        <v>149</v>
      </c>
      <c r="I597" s="621">
        <v>30</v>
      </c>
      <c r="J597" s="621">
        <v>0.2</v>
      </c>
      <c r="K597" s="603">
        <f t="shared" si="60"/>
        <v>19</v>
      </c>
      <c r="L597" s="604">
        <v>0.82291666666666663</v>
      </c>
      <c r="M597" s="605">
        <f t="shared" si="55"/>
        <v>0.82291666666666663</v>
      </c>
      <c r="N597" s="663"/>
      <c r="P597" s="37" t="str">
        <f t="shared" si="56"/>
        <v>1991F0</v>
      </c>
      <c r="Q597" s="37" t="str">
        <f t="shared" si="57"/>
        <v>F019</v>
      </c>
      <c r="R597" s="37" t="str">
        <f t="shared" si="58"/>
        <v>MayF0</v>
      </c>
    </row>
    <row r="598" spans="1:18">
      <c r="A598" s="616">
        <f t="shared" si="59"/>
        <v>594</v>
      </c>
      <c r="B598" s="617">
        <v>6</v>
      </c>
      <c r="C598" s="618">
        <v>33371</v>
      </c>
      <c r="D598" s="618" t="s">
        <v>177</v>
      </c>
      <c r="E598" s="633">
        <v>13</v>
      </c>
      <c r="F598" s="603">
        <v>1991</v>
      </c>
      <c r="G598" s="617" t="s">
        <v>136</v>
      </c>
      <c r="H598" s="620" t="s">
        <v>149</v>
      </c>
      <c r="I598" s="621">
        <v>30</v>
      </c>
      <c r="J598" s="621">
        <v>0.2</v>
      </c>
      <c r="K598" s="603">
        <f t="shared" si="60"/>
        <v>16</v>
      </c>
      <c r="L598" s="604">
        <v>0.7</v>
      </c>
      <c r="M598" s="605">
        <f t="shared" si="55"/>
        <v>0.7</v>
      </c>
      <c r="N598" s="663"/>
      <c r="P598" s="37" t="str">
        <f t="shared" si="56"/>
        <v>1991F0</v>
      </c>
      <c r="Q598" s="37" t="str">
        <f t="shared" si="57"/>
        <v>F016</v>
      </c>
      <c r="R598" s="37" t="str">
        <f t="shared" si="58"/>
        <v>MayF0</v>
      </c>
    </row>
    <row r="599" spans="1:18">
      <c r="A599" s="616">
        <f t="shared" si="59"/>
        <v>595</v>
      </c>
      <c r="B599" s="617">
        <v>7</v>
      </c>
      <c r="C599" s="618">
        <v>33371</v>
      </c>
      <c r="D599" s="618" t="s">
        <v>177</v>
      </c>
      <c r="E599" s="633">
        <v>13</v>
      </c>
      <c r="F599" s="603">
        <v>1991</v>
      </c>
      <c r="G599" s="617" t="s">
        <v>136</v>
      </c>
      <c r="H599" s="620" t="s">
        <v>149</v>
      </c>
      <c r="I599" s="621">
        <v>20</v>
      </c>
      <c r="J599" s="621">
        <v>0.1</v>
      </c>
      <c r="K599" s="603">
        <f t="shared" si="60"/>
        <v>17</v>
      </c>
      <c r="L599" s="604">
        <v>0.74305555555555547</v>
      </c>
      <c r="M599" s="605">
        <f t="shared" si="55"/>
        <v>0.74305555555555547</v>
      </c>
      <c r="N599" s="663"/>
      <c r="P599" s="37" t="str">
        <f t="shared" si="56"/>
        <v>1991F0</v>
      </c>
      <c r="Q599" s="37" t="str">
        <f t="shared" si="57"/>
        <v>F017</v>
      </c>
      <c r="R599" s="37" t="str">
        <f t="shared" si="58"/>
        <v>MayF0</v>
      </c>
    </row>
    <row r="600" spans="1:18">
      <c r="A600" s="616">
        <f t="shared" si="59"/>
        <v>596</v>
      </c>
      <c r="B600" s="617">
        <v>8</v>
      </c>
      <c r="C600" s="618">
        <v>33373</v>
      </c>
      <c r="D600" s="618" t="s">
        <v>177</v>
      </c>
      <c r="E600" s="633">
        <v>15</v>
      </c>
      <c r="F600" s="603">
        <v>1991</v>
      </c>
      <c r="G600" s="617" t="s">
        <v>148</v>
      </c>
      <c r="H600" s="620" t="s">
        <v>152</v>
      </c>
      <c r="I600" s="621">
        <v>450</v>
      </c>
      <c r="J600" s="621">
        <v>16</v>
      </c>
      <c r="K600" s="603">
        <f t="shared" si="60"/>
        <v>20</v>
      </c>
      <c r="L600" s="604">
        <v>0.84513888888888899</v>
      </c>
      <c r="M600" s="605">
        <f t="shared" si="55"/>
        <v>0.84513888888888899</v>
      </c>
      <c r="N600" s="663">
        <v>0.87361111111111101</v>
      </c>
      <c r="P600" s="37" t="str">
        <f t="shared" si="56"/>
        <v>1991F3</v>
      </c>
      <c r="Q600" s="37" t="str">
        <f t="shared" si="57"/>
        <v>F320</v>
      </c>
      <c r="R600" s="37" t="str">
        <f t="shared" si="58"/>
        <v>MayF3</v>
      </c>
    </row>
    <row r="601" spans="1:18">
      <c r="A601" s="616">
        <f t="shared" si="59"/>
        <v>597</v>
      </c>
      <c r="B601" s="617">
        <v>9</v>
      </c>
      <c r="C601" s="618">
        <v>33381</v>
      </c>
      <c r="D601" s="618" t="s">
        <v>177</v>
      </c>
      <c r="E601" s="633">
        <v>23</v>
      </c>
      <c r="F601" s="603">
        <v>1991</v>
      </c>
      <c r="G601" s="617" t="s">
        <v>127</v>
      </c>
      <c r="H601" s="620" t="s">
        <v>149</v>
      </c>
      <c r="I601" s="621">
        <v>70</v>
      </c>
      <c r="J601" s="621">
        <v>0.1</v>
      </c>
      <c r="K601" s="603">
        <f t="shared" si="60"/>
        <v>17</v>
      </c>
      <c r="L601" s="604">
        <v>0.72222222222222221</v>
      </c>
      <c r="M601" s="605">
        <f t="shared" si="55"/>
        <v>0.72222222222222221</v>
      </c>
      <c r="N601" s="663"/>
      <c r="P601" s="37" t="str">
        <f t="shared" si="56"/>
        <v>1991F0</v>
      </c>
      <c r="Q601" s="37" t="str">
        <f t="shared" si="57"/>
        <v>F017</v>
      </c>
      <c r="R601" s="37" t="str">
        <f t="shared" si="58"/>
        <v>MayF0</v>
      </c>
    </row>
    <row r="602" spans="1:18">
      <c r="A602" s="616">
        <f t="shared" si="59"/>
        <v>598</v>
      </c>
      <c r="B602" s="617">
        <v>10</v>
      </c>
      <c r="C602" s="618">
        <v>33381</v>
      </c>
      <c r="D602" s="618" t="s">
        <v>177</v>
      </c>
      <c r="E602" s="633">
        <v>23</v>
      </c>
      <c r="F602" s="603">
        <v>1991</v>
      </c>
      <c r="G602" s="617" t="s">
        <v>142</v>
      </c>
      <c r="H602" s="620" t="s">
        <v>149</v>
      </c>
      <c r="I602" s="621">
        <v>20</v>
      </c>
      <c r="J602" s="621">
        <v>0.1</v>
      </c>
      <c r="K602" s="603">
        <f t="shared" si="60"/>
        <v>19</v>
      </c>
      <c r="L602" s="604">
        <v>0.79513888888888884</v>
      </c>
      <c r="M602" s="605">
        <f t="shared" si="55"/>
        <v>0.79513888888888884</v>
      </c>
      <c r="N602" s="663"/>
      <c r="P602" s="37" t="str">
        <f t="shared" si="56"/>
        <v>1991F0</v>
      </c>
      <c r="Q602" s="37" t="str">
        <f t="shared" si="57"/>
        <v>F019</v>
      </c>
      <c r="R602" s="37" t="str">
        <f t="shared" si="58"/>
        <v>MayF0</v>
      </c>
    </row>
    <row r="603" spans="1:18">
      <c r="A603" s="616">
        <f t="shared" si="59"/>
        <v>599</v>
      </c>
      <c r="B603" s="617">
        <v>11</v>
      </c>
      <c r="C603" s="618">
        <v>33386</v>
      </c>
      <c r="D603" s="618" t="s">
        <v>177</v>
      </c>
      <c r="E603" s="633">
        <v>28</v>
      </c>
      <c r="F603" s="603">
        <v>1991</v>
      </c>
      <c r="G603" s="617" t="s">
        <v>134</v>
      </c>
      <c r="H603" s="620" t="s">
        <v>149</v>
      </c>
      <c r="I603" s="621">
        <v>40</v>
      </c>
      <c r="J603" s="621">
        <v>0.5</v>
      </c>
      <c r="K603" s="603">
        <f t="shared" si="60"/>
        <v>21</v>
      </c>
      <c r="L603" s="604">
        <v>0.87569444444444444</v>
      </c>
      <c r="M603" s="605">
        <f t="shared" si="55"/>
        <v>0.87569444444444444</v>
      </c>
      <c r="N603" s="663"/>
      <c r="P603" s="37" t="str">
        <f t="shared" si="56"/>
        <v>1991F0</v>
      </c>
      <c r="Q603" s="37" t="str">
        <f t="shared" si="57"/>
        <v>F021</v>
      </c>
      <c r="R603" s="37" t="str">
        <f t="shared" si="58"/>
        <v>MayF0</v>
      </c>
    </row>
    <row r="604" spans="1:18">
      <c r="A604" s="616">
        <f t="shared" si="59"/>
        <v>600</v>
      </c>
      <c r="B604" s="617">
        <v>12</v>
      </c>
      <c r="C604" s="618">
        <v>33386</v>
      </c>
      <c r="D604" s="618" t="s">
        <v>177</v>
      </c>
      <c r="E604" s="633">
        <v>28</v>
      </c>
      <c r="F604" s="603">
        <v>1991</v>
      </c>
      <c r="G604" s="617" t="s">
        <v>134</v>
      </c>
      <c r="H604" s="620" t="s">
        <v>149</v>
      </c>
      <c r="I604" s="621">
        <v>30</v>
      </c>
      <c r="J604" s="621">
        <v>0.1</v>
      </c>
      <c r="K604" s="603">
        <f t="shared" si="60"/>
        <v>21</v>
      </c>
      <c r="L604" s="604">
        <v>0.88194444444444453</v>
      </c>
      <c r="M604" s="605">
        <f t="shared" si="55"/>
        <v>0.88194444444444453</v>
      </c>
      <c r="N604" s="663"/>
      <c r="P604" s="37" t="str">
        <f t="shared" si="56"/>
        <v>1991F0</v>
      </c>
      <c r="Q604" s="37" t="str">
        <f t="shared" si="57"/>
        <v>F021</v>
      </c>
      <c r="R604" s="37" t="str">
        <f t="shared" si="58"/>
        <v>MayF0</v>
      </c>
    </row>
    <row r="605" spans="1:18">
      <c r="A605" s="616">
        <f t="shared" si="59"/>
        <v>601</v>
      </c>
      <c r="B605" s="617">
        <v>13</v>
      </c>
      <c r="C605" s="618">
        <v>33387</v>
      </c>
      <c r="D605" s="618" t="s">
        <v>177</v>
      </c>
      <c r="E605" s="633">
        <v>29</v>
      </c>
      <c r="F605" s="603">
        <v>1991</v>
      </c>
      <c r="G605" s="617" t="s">
        <v>132</v>
      </c>
      <c r="H605" s="620" t="s">
        <v>149</v>
      </c>
      <c r="I605" s="621">
        <v>60</v>
      </c>
      <c r="J605" s="621">
        <v>0.5</v>
      </c>
      <c r="K605" s="603">
        <f t="shared" si="60"/>
        <v>17</v>
      </c>
      <c r="L605" s="604">
        <v>0.71666666666666667</v>
      </c>
      <c r="M605" s="605">
        <f t="shared" si="55"/>
        <v>0.71666666666666667</v>
      </c>
      <c r="N605" s="663"/>
      <c r="P605" s="37" t="str">
        <f t="shared" si="56"/>
        <v>1991F0</v>
      </c>
      <c r="Q605" s="37" t="str">
        <f t="shared" si="57"/>
        <v>F017</v>
      </c>
      <c r="R605" s="37" t="str">
        <f t="shared" si="58"/>
        <v>MayF0</v>
      </c>
    </row>
    <row r="606" spans="1:18">
      <c r="A606" s="616">
        <f t="shared" si="59"/>
        <v>602</v>
      </c>
      <c r="B606" s="617">
        <v>14</v>
      </c>
      <c r="C606" s="618">
        <v>33387</v>
      </c>
      <c r="D606" s="618" t="s">
        <v>177</v>
      </c>
      <c r="E606" s="633">
        <v>29</v>
      </c>
      <c r="F606" s="603">
        <v>1991</v>
      </c>
      <c r="G606" s="617" t="s">
        <v>145</v>
      </c>
      <c r="H606" s="620" t="s">
        <v>149</v>
      </c>
      <c r="I606" s="621">
        <v>50</v>
      </c>
      <c r="J606" s="621">
        <v>0.5</v>
      </c>
      <c r="K606" s="603">
        <f t="shared" si="60"/>
        <v>17</v>
      </c>
      <c r="L606" s="604">
        <v>0.74097222222222225</v>
      </c>
      <c r="M606" s="605">
        <f t="shared" si="55"/>
        <v>0.74097222222222225</v>
      </c>
      <c r="N606" s="663"/>
      <c r="P606" s="37" t="str">
        <f t="shared" si="56"/>
        <v>1991F0</v>
      </c>
      <c r="Q606" s="37" t="str">
        <f t="shared" si="57"/>
        <v>F017</v>
      </c>
      <c r="R606" s="37" t="str">
        <f t="shared" si="58"/>
        <v>MayF0</v>
      </c>
    </row>
    <row r="607" spans="1:18">
      <c r="A607" s="616">
        <f t="shared" si="59"/>
        <v>603</v>
      </c>
      <c r="B607" s="617">
        <v>15</v>
      </c>
      <c r="C607" s="618">
        <v>33387</v>
      </c>
      <c r="D607" s="618" t="s">
        <v>177</v>
      </c>
      <c r="E607" s="633">
        <v>29</v>
      </c>
      <c r="F607" s="603">
        <v>1991</v>
      </c>
      <c r="G607" s="617" t="s">
        <v>140</v>
      </c>
      <c r="H607" s="620" t="s">
        <v>149</v>
      </c>
      <c r="I607" s="621">
        <v>60</v>
      </c>
      <c r="J607" s="621">
        <v>2.8</v>
      </c>
      <c r="K607" s="603">
        <f t="shared" si="60"/>
        <v>17</v>
      </c>
      <c r="L607" s="604">
        <v>0.74375000000000002</v>
      </c>
      <c r="M607" s="605">
        <f t="shared" si="55"/>
        <v>0.74375000000000002</v>
      </c>
      <c r="N607" s="663"/>
      <c r="P607" s="37" t="str">
        <f t="shared" si="56"/>
        <v>1991F0</v>
      </c>
      <c r="Q607" s="37" t="str">
        <f t="shared" si="57"/>
        <v>F017</v>
      </c>
      <c r="R607" s="37" t="str">
        <f t="shared" si="58"/>
        <v>MayF0</v>
      </c>
    </row>
    <row r="608" spans="1:18">
      <c r="A608" s="616">
        <f t="shared" si="59"/>
        <v>604</v>
      </c>
      <c r="B608" s="617">
        <v>16</v>
      </c>
      <c r="C608" s="618">
        <v>33387</v>
      </c>
      <c r="D608" s="618" t="s">
        <v>177</v>
      </c>
      <c r="E608" s="633">
        <v>29</v>
      </c>
      <c r="F608" s="603">
        <v>1991</v>
      </c>
      <c r="G608" s="617" t="s">
        <v>136</v>
      </c>
      <c r="H608" s="620" t="s">
        <v>149</v>
      </c>
      <c r="I608" s="621">
        <v>20</v>
      </c>
      <c r="J608" s="621">
        <v>0.1</v>
      </c>
      <c r="K608" s="603">
        <f t="shared" si="60"/>
        <v>18</v>
      </c>
      <c r="L608" s="604">
        <v>0.75555555555555554</v>
      </c>
      <c r="M608" s="605">
        <f t="shared" si="55"/>
        <v>0.75555555555555554</v>
      </c>
      <c r="N608" s="663"/>
      <c r="P608" s="37" t="str">
        <f t="shared" si="56"/>
        <v>1991F0</v>
      </c>
      <c r="Q608" s="37" t="str">
        <f t="shared" si="57"/>
        <v>F018</v>
      </c>
      <c r="R608" s="37" t="str">
        <f t="shared" si="58"/>
        <v>MayF0</v>
      </c>
    </row>
    <row r="609" spans="1:18">
      <c r="A609" s="616">
        <f t="shared" si="59"/>
        <v>605</v>
      </c>
      <c r="B609" s="617">
        <v>17</v>
      </c>
      <c r="C609" s="618">
        <v>33387</v>
      </c>
      <c r="D609" s="618" t="s">
        <v>177</v>
      </c>
      <c r="E609" s="633">
        <v>29</v>
      </c>
      <c r="F609" s="603">
        <v>1991</v>
      </c>
      <c r="G609" s="617" t="s">
        <v>135</v>
      </c>
      <c r="H609" s="620" t="s">
        <v>149</v>
      </c>
      <c r="I609" s="621">
        <v>40</v>
      </c>
      <c r="J609" s="621">
        <v>2</v>
      </c>
      <c r="K609" s="603">
        <f t="shared" si="60"/>
        <v>18</v>
      </c>
      <c r="L609" s="604">
        <v>0.75694444444444453</v>
      </c>
      <c r="M609" s="605">
        <f t="shared" si="55"/>
        <v>0.75694444444444453</v>
      </c>
      <c r="N609" s="663"/>
      <c r="P609" s="37" t="str">
        <f t="shared" si="56"/>
        <v>1991F0</v>
      </c>
      <c r="Q609" s="37" t="str">
        <f t="shared" si="57"/>
        <v>F018</v>
      </c>
      <c r="R609" s="37" t="str">
        <f t="shared" si="58"/>
        <v>MayF0</v>
      </c>
    </row>
    <row r="610" spans="1:18">
      <c r="A610" s="616">
        <f t="shared" si="59"/>
        <v>606</v>
      </c>
      <c r="B610" s="617">
        <v>18</v>
      </c>
      <c r="C610" s="618">
        <v>33387</v>
      </c>
      <c r="D610" s="618" t="s">
        <v>177</v>
      </c>
      <c r="E610" s="633">
        <v>29</v>
      </c>
      <c r="F610" s="603">
        <v>1991</v>
      </c>
      <c r="G610" s="617" t="s">
        <v>145</v>
      </c>
      <c r="H610" s="620" t="s">
        <v>149</v>
      </c>
      <c r="I610" s="621">
        <v>30</v>
      </c>
      <c r="J610" s="621">
        <v>0.2</v>
      </c>
      <c r="K610" s="603">
        <f t="shared" si="60"/>
        <v>18</v>
      </c>
      <c r="L610" s="604">
        <v>0.78333333333333333</v>
      </c>
      <c r="M610" s="605">
        <f t="shared" si="55"/>
        <v>0.78333333333333333</v>
      </c>
      <c r="N610" s="663"/>
      <c r="P610" s="37" t="str">
        <f t="shared" si="56"/>
        <v>1991F0</v>
      </c>
      <c r="Q610" s="37" t="str">
        <f t="shared" si="57"/>
        <v>F018</v>
      </c>
      <c r="R610" s="37" t="str">
        <f t="shared" si="58"/>
        <v>MayF0</v>
      </c>
    </row>
    <row r="611" spans="1:18">
      <c r="A611" s="616">
        <f t="shared" si="59"/>
        <v>607</v>
      </c>
      <c r="B611" s="617">
        <v>19</v>
      </c>
      <c r="C611" s="618">
        <v>33387</v>
      </c>
      <c r="D611" s="618" t="s">
        <v>177</v>
      </c>
      <c r="E611" s="633">
        <v>29</v>
      </c>
      <c r="F611" s="603">
        <v>1991</v>
      </c>
      <c r="G611" s="617" t="s">
        <v>141</v>
      </c>
      <c r="H611" s="620" t="s">
        <v>149</v>
      </c>
      <c r="I611" s="621">
        <v>20</v>
      </c>
      <c r="J611" s="621">
        <v>0.1</v>
      </c>
      <c r="K611" s="603">
        <f t="shared" si="60"/>
        <v>19</v>
      </c>
      <c r="L611" s="604">
        <v>0.8125</v>
      </c>
      <c r="M611" s="605">
        <f t="shared" si="55"/>
        <v>0.8125</v>
      </c>
      <c r="N611" s="663"/>
      <c r="P611" s="37" t="str">
        <f t="shared" si="56"/>
        <v>1991F0</v>
      </c>
      <c r="Q611" s="37" t="str">
        <f t="shared" si="57"/>
        <v>F019</v>
      </c>
      <c r="R611" s="37" t="str">
        <f t="shared" si="58"/>
        <v>MayF0</v>
      </c>
    </row>
    <row r="612" spans="1:18">
      <c r="A612" s="616">
        <f t="shared" si="59"/>
        <v>608</v>
      </c>
      <c r="B612" s="617">
        <v>20</v>
      </c>
      <c r="C612" s="618">
        <v>33387</v>
      </c>
      <c r="D612" s="618" t="s">
        <v>177</v>
      </c>
      <c r="E612" s="633">
        <v>29</v>
      </c>
      <c r="F612" s="603">
        <v>1991</v>
      </c>
      <c r="G612" s="617" t="s">
        <v>141</v>
      </c>
      <c r="H612" s="620" t="s">
        <v>149</v>
      </c>
      <c r="I612" s="621">
        <v>30</v>
      </c>
      <c r="J612" s="621">
        <v>0.2</v>
      </c>
      <c r="K612" s="603">
        <f t="shared" si="60"/>
        <v>20</v>
      </c>
      <c r="L612" s="604">
        <v>0.83680555555555547</v>
      </c>
      <c r="M612" s="605">
        <f t="shared" si="55"/>
        <v>0.83680555555555547</v>
      </c>
      <c r="N612" s="663"/>
      <c r="P612" s="37" t="str">
        <f t="shared" si="56"/>
        <v>1991F0</v>
      </c>
      <c r="Q612" s="37" t="str">
        <f t="shared" si="57"/>
        <v>F020</v>
      </c>
      <c r="R612" s="37" t="str">
        <f t="shared" si="58"/>
        <v>MayF0</v>
      </c>
    </row>
    <row r="613" spans="1:18">
      <c r="A613" s="616">
        <f t="shared" si="59"/>
        <v>609</v>
      </c>
      <c r="B613" s="617">
        <v>21</v>
      </c>
      <c r="C613" s="618">
        <v>33407</v>
      </c>
      <c r="D613" s="618" t="s">
        <v>178</v>
      </c>
      <c r="E613" s="633">
        <v>18</v>
      </c>
      <c r="F613" s="603">
        <v>1991</v>
      </c>
      <c r="G613" s="617" t="s">
        <v>128</v>
      </c>
      <c r="H613" s="620" t="s">
        <v>149</v>
      </c>
      <c r="I613" s="621">
        <v>30</v>
      </c>
      <c r="J613" s="621">
        <v>0.5</v>
      </c>
      <c r="K613" s="603">
        <f t="shared" si="60"/>
        <v>17</v>
      </c>
      <c r="L613" s="604">
        <v>0.73611111111111116</v>
      </c>
      <c r="M613" s="605">
        <f t="shared" si="55"/>
        <v>0.73611111111111116</v>
      </c>
      <c r="N613" s="663"/>
      <c r="P613" s="37" t="str">
        <f t="shared" si="56"/>
        <v>1991F0</v>
      </c>
      <c r="Q613" s="37" t="str">
        <f t="shared" si="57"/>
        <v>F017</v>
      </c>
      <c r="R613" s="37" t="str">
        <f t="shared" si="58"/>
        <v>JuneF0</v>
      </c>
    </row>
    <row r="614" spans="1:18">
      <c r="A614" s="616">
        <f t="shared" si="59"/>
        <v>610</v>
      </c>
      <c r="B614" s="617">
        <v>1</v>
      </c>
      <c r="C614" s="618">
        <v>33710</v>
      </c>
      <c r="D614" s="618" t="s">
        <v>176</v>
      </c>
      <c r="E614" s="633">
        <v>16</v>
      </c>
      <c r="F614" s="603">
        <v>1992</v>
      </c>
      <c r="G614" s="617" t="s">
        <v>136</v>
      </c>
      <c r="H614" s="620" t="s">
        <v>149</v>
      </c>
      <c r="I614" s="621">
        <v>13</v>
      </c>
      <c r="J614" s="621">
        <v>0.5</v>
      </c>
      <c r="K614" s="603">
        <f t="shared" si="60"/>
        <v>16</v>
      </c>
      <c r="L614" s="604">
        <v>0.70138888888888884</v>
      </c>
      <c r="M614" s="605">
        <f t="shared" si="55"/>
        <v>0.70138888888888884</v>
      </c>
      <c r="N614" s="663"/>
      <c r="P614" s="37" t="str">
        <f t="shared" si="56"/>
        <v>1992F0</v>
      </c>
      <c r="Q614" s="37" t="str">
        <f t="shared" si="57"/>
        <v>F016</v>
      </c>
      <c r="R614" s="37" t="str">
        <f t="shared" si="58"/>
        <v>AprilF0</v>
      </c>
    </row>
    <row r="615" spans="1:18">
      <c r="A615" s="616">
        <f t="shared" si="59"/>
        <v>611</v>
      </c>
      <c r="B615" s="617">
        <v>2</v>
      </c>
      <c r="C615" s="618">
        <v>33710</v>
      </c>
      <c r="D615" s="618" t="s">
        <v>176</v>
      </c>
      <c r="E615" s="633">
        <v>16</v>
      </c>
      <c r="F615" s="603">
        <v>1992</v>
      </c>
      <c r="G615" s="617" t="s">
        <v>136</v>
      </c>
      <c r="H615" s="620" t="s">
        <v>149</v>
      </c>
      <c r="I615" s="621">
        <v>13</v>
      </c>
      <c r="J615" s="621">
        <v>0.5</v>
      </c>
      <c r="K615" s="603">
        <f t="shared" si="60"/>
        <v>16</v>
      </c>
      <c r="L615" s="604">
        <v>0.70763888888888893</v>
      </c>
      <c r="M615" s="605">
        <f t="shared" si="55"/>
        <v>0.70763888888888893</v>
      </c>
      <c r="N615" s="663"/>
      <c r="P615" s="37" t="str">
        <f t="shared" si="56"/>
        <v>1992F0</v>
      </c>
      <c r="Q615" s="37" t="str">
        <f t="shared" si="57"/>
        <v>F016</v>
      </c>
      <c r="R615" s="37" t="str">
        <f t="shared" si="58"/>
        <v>AprilF0</v>
      </c>
    </row>
    <row r="616" spans="1:18">
      <c r="A616" s="616">
        <f t="shared" si="59"/>
        <v>612</v>
      </c>
      <c r="B616" s="617">
        <v>3</v>
      </c>
      <c r="C616" s="618">
        <v>33710</v>
      </c>
      <c r="D616" s="618" t="s">
        <v>176</v>
      </c>
      <c r="E616" s="633">
        <v>16</v>
      </c>
      <c r="F616" s="603">
        <v>1992</v>
      </c>
      <c r="G616" s="617" t="s">
        <v>136</v>
      </c>
      <c r="H616" s="620" t="s">
        <v>150</v>
      </c>
      <c r="I616" s="621">
        <v>50</v>
      </c>
      <c r="J616" s="621">
        <v>3</v>
      </c>
      <c r="K616" s="603">
        <f t="shared" si="60"/>
        <v>17</v>
      </c>
      <c r="L616" s="604">
        <v>0.7090277777777777</v>
      </c>
      <c r="M616" s="605">
        <f t="shared" si="55"/>
        <v>0.7090277777777777</v>
      </c>
      <c r="N616" s="663"/>
      <c r="P616" s="37" t="str">
        <f t="shared" si="56"/>
        <v>1992F1</v>
      </c>
      <c r="Q616" s="37" t="str">
        <f t="shared" si="57"/>
        <v>F117</v>
      </c>
      <c r="R616" s="37" t="str">
        <f t="shared" si="58"/>
        <v>AprilF1</v>
      </c>
    </row>
    <row r="617" spans="1:18">
      <c r="A617" s="616">
        <f t="shared" si="59"/>
        <v>613</v>
      </c>
      <c r="B617" s="617">
        <v>4</v>
      </c>
      <c r="C617" s="618">
        <v>33710</v>
      </c>
      <c r="D617" s="618" t="s">
        <v>176</v>
      </c>
      <c r="E617" s="633">
        <v>16</v>
      </c>
      <c r="F617" s="603">
        <v>1992</v>
      </c>
      <c r="G617" s="617" t="s">
        <v>141</v>
      </c>
      <c r="H617" s="620" t="s">
        <v>149</v>
      </c>
      <c r="I617" s="621">
        <v>10</v>
      </c>
      <c r="J617" s="621">
        <v>0.5</v>
      </c>
      <c r="K617" s="603">
        <f t="shared" si="60"/>
        <v>17</v>
      </c>
      <c r="L617" s="604">
        <v>0.71527777777777779</v>
      </c>
      <c r="M617" s="605">
        <f t="shared" si="55"/>
        <v>0.71527777777777779</v>
      </c>
      <c r="N617" s="663"/>
      <c r="P617" s="37" t="str">
        <f t="shared" si="56"/>
        <v>1992F0</v>
      </c>
      <c r="Q617" s="37" t="str">
        <f t="shared" si="57"/>
        <v>F017</v>
      </c>
      <c r="R617" s="37" t="str">
        <f t="shared" si="58"/>
        <v>AprilF0</v>
      </c>
    </row>
    <row r="618" spans="1:18">
      <c r="A618" s="616">
        <f t="shared" si="59"/>
        <v>614</v>
      </c>
      <c r="B618" s="617">
        <v>5</v>
      </c>
      <c r="C618" s="618">
        <v>33751</v>
      </c>
      <c r="D618" s="618" t="s">
        <v>177</v>
      </c>
      <c r="E618" s="633">
        <v>27</v>
      </c>
      <c r="F618" s="603">
        <v>1992</v>
      </c>
      <c r="G618" s="617" t="s">
        <v>139</v>
      </c>
      <c r="H618" s="620" t="s">
        <v>149</v>
      </c>
      <c r="I618" s="621">
        <v>50</v>
      </c>
      <c r="J618" s="621">
        <v>0.1</v>
      </c>
      <c r="K618" s="603">
        <f t="shared" si="60"/>
        <v>16</v>
      </c>
      <c r="L618" s="604">
        <v>0.67708333333333337</v>
      </c>
      <c r="M618" s="605">
        <f t="shared" si="55"/>
        <v>0.67708333333333337</v>
      </c>
      <c r="N618" s="663"/>
      <c r="P618" s="37" t="str">
        <f t="shared" si="56"/>
        <v>1992F0</v>
      </c>
      <c r="Q618" s="37" t="str">
        <f t="shared" si="57"/>
        <v>F016</v>
      </c>
      <c r="R618" s="37" t="str">
        <f t="shared" si="58"/>
        <v>MayF0</v>
      </c>
    </row>
    <row r="619" spans="1:18">
      <c r="A619" s="616">
        <f t="shared" si="59"/>
        <v>615</v>
      </c>
      <c r="B619" s="617">
        <v>6</v>
      </c>
      <c r="C619" s="618">
        <v>33759</v>
      </c>
      <c r="D619" s="618" t="s">
        <v>178</v>
      </c>
      <c r="E619" s="633">
        <v>4</v>
      </c>
      <c r="F619" s="603">
        <v>1992</v>
      </c>
      <c r="G619" s="617" t="s">
        <v>135</v>
      </c>
      <c r="H619" s="620" t="s">
        <v>149</v>
      </c>
      <c r="I619" s="621">
        <v>13</v>
      </c>
      <c r="J619" s="621">
        <v>0.5</v>
      </c>
      <c r="K619" s="603">
        <f t="shared" si="60"/>
        <v>20</v>
      </c>
      <c r="L619" s="604">
        <v>0.86458333333333337</v>
      </c>
      <c r="M619" s="605">
        <f t="shared" si="55"/>
        <v>0.86458333333333337</v>
      </c>
      <c r="N619" s="663"/>
      <c r="P619" s="37" t="str">
        <f t="shared" si="56"/>
        <v>1992F0</v>
      </c>
      <c r="Q619" s="37" t="str">
        <f t="shared" si="57"/>
        <v>F020</v>
      </c>
      <c r="R619" s="37" t="str">
        <f t="shared" si="58"/>
        <v>JuneF0</v>
      </c>
    </row>
    <row r="620" spans="1:18">
      <c r="A620" s="616">
        <f t="shared" si="59"/>
        <v>616</v>
      </c>
      <c r="B620" s="617">
        <v>7</v>
      </c>
      <c r="C620" s="618">
        <v>33759</v>
      </c>
      <c r="D620" s="618" t="s">
        <v>178</v>
      </c>
      <c r="E620" s="633">
        <v>4</v>
      </c>
      <c r="F620" s="603">
        <v>1992</v>
      </c>
      <c r="G620" s="617" t="s">
        <v>135</v>
      </c>
      <c r="H620" s="620" t="s">
        <v>149</v>
      </c>
      <c r="I620" s="621">
        <v>13</v>
      </c>
      <c r="J620" s="621">
        <v>0.5</v>
      </c>
      <c r="K620" s="603">
        <f t="shared" si="60"/>
        <v>21</v>
      </c>
      <c r="L620" s="604">
        <v>0.90486111111111101</v>
      </c>
      <c r="M620" s="605">
        <f t="shared" si="55"/>
        <v>0.90486111111111101</v>
      </c>
      <c r="N620" s="663"/>
      <c r="P620" s="37" t="str">
        <f t="shared" si="56"/>
        <v>1992F0</v>
      </c>
      <c r="Q620" s="37" t="str">
        <f t="shared" si="57"/>
        <v>F021</v>
      </c>
      <c r="R620" s="37" t="str">
        <f t="shared" si="58"/>
        <v>JuneF0</v>
      </c>
    </row>
    <row r="621" spans="1:18">
      <c r="A621" s="616">
        <f t="shared" si="59"/>
        <v>617</v>
      </c>
      <c r="B621" s="617">
        <v>8</v>
      </c>
      <c r="C621" s="618">
        <v>33759</v>
      </c>
      <c r="D621" s="618" t="s">
        <v>178</v>
      </c>
      <c r="E621" s="633">
        <v>4</v>
      </c>
      <c r="F621" s="603">
        <v>1992</v>
      </c>
      <c r="G621" s="617" t="s">
        <v>135</v>
      </c>
      <c r="H621" s="620" t="s">
        <v>149</v>
      </c>
      <c r="I621" s="621">
        <v>13</v>
      </c>
      <c r="J621" s="621">
        <v>0.5</v>
      </c>
      <c r="K621" s="603">
        <f t="shared" si="60"/>
        <v>22</v>
      </c>
      <c r="L621" s="604">
        <v>0.92152777777777783</v>
      </c>
      <c r="M621" s="605">
        <f t="shared" si="55"/>
        <v>0.92152777777777783</v>
      </c>
      <c r="N621" s="663"/>
      <c r="P621" s="37" t="str">
        <f t="shared" si="56"/>
        <v>1992F0</v>
      </c>
      <c r="Q621" s="37" t="str">
        <f t="shared" si="57"/>
        <v>F022</v>
      </c>
      <c r="R621" s="37" t="str">
        <f t="shared" si="58"/>
        <v>JuneF0</v>
      </c>
    </row>
    <row r="622" spans="1:18">
      <c r="A622" s="616">
        <f t="shared" si="59"/>
        <v>618</v>
      </c>
      <c r="B622" s="617">
        <v>9</v>
      </c>
      <c r="C622" s="618">
        <v>33766</v>
      </c>
      <c r="D622" s="618" t="s">
        <v>178</v>
      </c>
      <c r="E622" s="633">
        <v>11</v>
      </c>
      <c r="F622" s="603">
        <v>1992</v>
      </c>
      <c r="G622" s="617" t="s">
        <v>145</v>
      </c>
      <c r="H622" s="620" t="s">
        <v>149</v>
      </c>
      <c r="I622" s="621">
        <v>13</v>
      </c>
      <c r="J622" s="621">
        <v>0.5</v>
      </c>
      <c r="K622" s="603">
        <f t="shared" si="60"/>
        <v>15</v>
      </c>
      <c r="L622" s="604">
        <v>0.66041666666666665</v>
      </c>
      <c r="M622" s="605">
        <f t="shared" si="55"/>
        <v>0.66041666666666665</v>
      </c>
      <c r="N622" s="663"/>
      <c r="P622" s="37" t="str">
        <f t="shared" si="56"/>
        <v>1992F0</v>
      </c>
      <c r="Q622" s="37" t="str">
        <f t="shared" si="57"/>
        <v>F015</v>
      </c>
      <c r="R622" s="37" t="str">
        <f t="shared" si="58"/>
        <v>JuneF0</v>
      </c>
    </row>
    <row r="623" spans="1:18">
      <c r="A623" s="616">
        <f t="shared" si="59"/>
        <v>619</v>
      </c>
      <c r="B623" s="617">
        <v>10</v>
      </c>
      <c r="C623" s="618">
        <v>33766</v>
      </c>
      <c r="D623" s="618" t="s">
        <v>178</v>
      </c>
      <c r="E623" s="633">
        <v>11</v>
      </c>
      <c r="F623" s="603">
        <v>1992</v>
      </c>
      <c r="G623" s="617" t="s">
        <v>145</v>
      </c>
      <c r="H623" s="620" t="s">
        <v>149</v>
      </c>
      <c r="I623" s="621">
        <v>13</v>
      </c>
      <c r="J623" s="621">
        <v>0.5</v>
      </c>
      <c r="K623" s="603">
        <f t="shared" si="60"/>
        <v>15</v>
      </c>
      <c r="L623" s="604">
        <v>0.66111111111111109</v>
      </c>
      <c r="M623" s="605">
        <f t="shared" si="55"/>
        <v>0.66111111111111109</v>
      </c>
      <c r="N623" s="663"/>
      <c r="P623" s="37" t="str">
        <f t="shared" si="56"/>
        <v>1992F0</v>
      </c>
      <c r="Q623" s="37" t="str">
        <f t="shared" si="57"/>
        <v>F015</v>
      </c>
      <c r="R623" s="37" t="str">
        <f t="shared" si="58"/>
        <v>JuneF0</v>
      </c>
    </row>
    <row r="624" spans="1:18">
      <c r="A624" s="616">
        <f t="shared" si="59"/>
        <v>620</v>
      </c>
      <c r="B624" s="617">
        <v>11</v>
      </c>
      <c r="C624" s="618">
        <v>33773</v>
      </c>
      <c r="D624" s="618" t="s">
        <v>178</v>
      </c>
      <c r="E624" s="633">
        <v>18</v>
      </c>
      <c r="F624" s="603">
        <v>1992</v>
      </c>
      <c r="G624" s="617" t="s">
        <v>132</v>
      </c>
      <c r="H624" s="620" t="s">
        <v>149</v>
      </c>
      <c r="I624" s="621">
        <v>7</v>
      </c>
      <c r="J624" s="621">
        <v>0.3</v>
      </c>
      <c r="K624" s="603">
        <f t="shared" si="60"/>
        <v>16</v>
      </c>
      <c r="L624" s="604">
        <v>0.70138888888888884</v>
      </c>
      <c r="M624" s="605">
        <f t="shared" si="55"/>
        <v>0.70138888888888884</v>
      </c>
      <c r="N624" s="663"/>
      <c r="P624" s="37" t="str">
        <f t="shared" si="56"/>
        <v>1992F0</v>
      </c>
      <c r="Q624" s="37" t="str">
        <f t="shared" si="57"/>
        <v>F016</v>
      </c>
      <c r="R624" s="37" t="str">
        <f t="shared" si="58"/>
        <v>JuneF0</v>
      </c>
    </row>
    <row r="625" spans="1:18">
      <c r="A625" s="616">
        <f t="shared" si="59"/>
        <v>621</v>
      </c>
      <c r="B625" s="617">
        <v>12</v>
      </c>
      <c r="C625" s="618">
        <v>33774</v>
      </c>
      <c r="D625" s="618" t="s">
        <v>178</v>
      </c>
      <c r="E625" s="633">
        <v>19</v>
      </c>
      <c r="F625" s="603">
        <v>1992</v>
      </c>
      <c r="G625" s="617" t="s">
        <v>148</v>
      </c>
      <c r="H625" s="620" t="s">
        <v>149</v>
      </c>
      <c r="I625" s="621">
        <v>5</v>
      </c>
      <c r="J625" s="621">
        <v>0.1</v>
      </c>
      <c r="K625" s="603">
        <f t="shared" si="60"/>
        <v>19</v>
      </c>
      <c r="L625" s="604">
        <v>0.80625000000000002</v>
      </c>
      <c r="M625" s="605">
        <f t="shared" si="55"/>
        <v>0.80625000000000002</v>
      </c>
      <c r="N625" s="663"/>
      <c r="P625" s="37" t="str">
        <f t="shared" si="56"/>
        <v>1992F0</v>
      </c>
      <c r="Q625" s="37" t="str">
        <f t="shared" si="57"/>
        <v>F019</v>
      </c>
      <c r="R625" s="37" t="str">
        <f t="shared" si="58"/>
        <v>JuneF0</v>
      </c>
    </row>
    <row r="626" spans="1:18">
      <c r="A626" s="616">
        <f t="shared" si="59"/>
        <v>622</v>
      </c>
      <c r="B626" s="617">
        <v>13</v>
      </c>
      <c r="C626" s="618">
        <v>33774</v>
      </c>
      <c r="D626" s="618" t="s">
        <v>178</v>
      </c>
      <c r="E626" s="633">
        <v>19</v>
      </c>
      <c r="F626" s="603">
        <v>1992</v>
      </c>
      <c r="G626" s="617" t="s">
        <v>126</v>
      </c>
      <c r="H626" s="620" t="s">
        <v>150</v>
      </c>
      <c r="I626" s="621">
        <v>23</v>
      </c>
      <c r="J626" s="621">
        <v>2</v>
      </c>
      <c r="K626" s="603">
        <f t="shared" si="60"/>
        <v>20</v>
      </c>
      <c r="L626" s="604">
        <v>0.84027777777777779</v>
      </c>
      <c r="M626" s="605">
        <f t="shared" si="55"/>
        <v>0.84027777777777779</v>
      </c>
      <c r="N626" s="663"/>
      <c r="P626" s="37" t="str">
        <f t="shared" si="56"/>
        <v>1992F1</v>
      </c>
      <c r="Q626" s="37" t="str">
        <f t="shared" si="57"/>
        <v>F120</v>
      </c>
      <c r="R626" s="37" t="str">
        <f t="shared" si="58"/>
        <v>JuneF1</v>
      </c>
    </row>
    <row r="627" spans="1:18">
      <c r="A627" s="616">
        <f t="shared" si="59"/>
        <v>623</v>
      </c>
      <c r="B627" s="617">
        <v>14</v>
      </c>
      <c r="C627" s="618">
        <v>33781</v>
      </c>
      <c r="D627" s="618" t="s">
        <v>178</v>
      </c>
      <c r="E627" s="633">
        <v>26</v>
      </c>
      <c r="F627" s="603">
        <v>1992</v>
      </c>
      <c r="G627" s="617" t="s">
        <v>127</v>
      </c>
      <c r="H627" s="620" t="s">
        <v>149</v>
      </c>
      <c r="I627" s="621">
        <v>10</v>
      </c>
      <c r="J627" s="621">
        <v>0.2</v>
      </c>
      <c r="K627" s="603">
        <f t="shared" si="60"/>
        <v>19</v>
      </c>
      <c r="L627" s="604">
        <v>0.82291666666666663</v>
      </c>
      <c r="M627" s="605">
        <f t="shared" si="55"/>
        <v>0.82291666666666663</v>
      </c>
      <c r="N627" s="663"/>
      <c r="P627" s="37" t="str">
        <f t="shared" si="56"/>
        <v>1992F0</v>
      </c>
      <c r="Q627" s="37" t="str">
        <f t="shared" si="57"/>
        <v>F019</v>
      </c>
      <c r="R627" s="37" t="str">
        <f t="shared" si="58"/>
        <v>JuneF0</v>
      </c>
    </row>
    <row r="628" spans="1:18">
      <c r="A628" s="616">
        <f t="shared" si="59"/>
        <v>624</v>
      </c>
      <c r="B628" s="617">
        <v>15</v>
      </c>
      <c r="C628" s="618">
        <v>33782</v>
      </c>
      <c r="D628" s="618" t="s">
        <v>178</v>
      </c>
      <c r="E628" s="633">
        <v>27</v>
      </c>
      <c r="F628" s="603">
        <v>1992</v>
      </c>
      <c r="G628" s="617" t="s">
        <v>135</v>
      </c>
      <c r="H628" s="620" t="s">
        <v>149</v>
      </c>
      <c r="I628" s="621">
        <v>10</v>
      </c>
      <c r="J628" s="621">
        <v>0.1</v>
      </c>
      <c r="K628" s="603">
        <f t="shared" si="60"/>
        <v>17</v>
      </c>
      <c r="L628" s="604">
        <v>0.72083333333333333</v>
      </c>
      <c r="M628" s="605">
        <f t="shared" si="55"/>
        <v>0.72083333333333333</v>
      </c>
      <c r="N628" s="663"/>
      <c r="P628" s="37" t="str">
        <f t="shared" si="56"/>
        <v>1992F0</v>
      </c>
      <c r="Q628" s="37" t="str">
        <f t="shared" si="57"/>
        <v>F017</v>
      </c>
      <c r="R628" s="37" t="str">
        <f t="shared" si="58"/>
        <v>JuneF0</v>
      </c>
    </row>
    <row r="629" spans="1:18">
      <c r="A629" s="616">
        <f t="shared" si="59"/>
        <v>625</v>
      </c>
      <c r="B629" s="617">
        <v>16</v>
      </c>
      <c r="C629" s="618">
        <v>33782</v>
      </c>
      <c r="D629" s="618" t="s">
        <v>178</v>
      </c>
      <c r="E629" s="633">
        <v>27</v>
      </c>
      <c r="F629" s="603">
        <v>1992</v>
      </c>
      <c r="G629" s="617" t="s">
        <v>135</v>
      </c>
      <c r="H629" s="620" t="s">
        <v>152</v>
      </c>
      <c r="I629" s="621">
        <v>300</v>
      </c>
      <c r="J629" s="621">
        <v>5</v>
      </c>
      <c r="K629" s="603">
        <f t="shared" si="60"/>
        <v>17</v>
      </c>
      <c r="L629" s="604">
        <v>0.73402777777777783</v>
      </c>
      <c r="M629" s="605">
        <f t="shared" si="55"/>
        <v>0.73402777777777783</v>
      </c>
      <c r="N629" s="663"/>
      <c r="P629" s="37" t="str">
        <f t="shared" si="56"/>
        <v>1992F3</v>
      </c>
      <c r="Q629" s="37" t="str">
        <f t="shared" si="57"/>
        <v>F317</v>
      </c>
      <c r="R629" s="37" t="str">
        <f t="shared" si="58"/>
        <v>JuneF3</v>
      </c>
    </row>
    <row r="630" spans="1:18" ht="65.25" customHeight="1">
      <c r="A630" s="616">
        <f t="shared" si="59"/>
        <v>626</v>
      </c>
      <c r="B630" s="617">
        <v>17</v>
      </c>
      <c r="C630" s="618">
        <v>33782</v>
      </c>
      <c r="D630" s="618" t="s">
        <v>178</v>
      </c>
      <c r="E630" s="633">
        <v>27</v>
      </c>
      <c r="F630" s="603">
        <v>1992</v>
      </c>
      <c r="G630" s="617" t="s">
        <v>135</v>
      </c>
      <c r="H630" s="620" t="s">
        <v>153</v>
      </c>
      <c r="I630" s="621">
        <v>1583</v>
      </c>
      <c r="J630" s="621">
        <v>18</v>
      </c>
      <c r="K630" s="603">
        <f t="shared" si="60"/>
        <v>18</v>
      </c>
      <c r="L630" s="604">
        <v>0.7715277777777777</v>
      </c>
      <c r="M630" s="605">
        <f t="shared" si="55"/>
        <v>0.7715277777777777</v>
      </c>
      <c r="N630" s="663">
        <v>0.8125</v>
      </c>
      <c r="P630" s="37" t="str">
        <f t="shared" si="56"/>
        <v>1992F4</v>
      </c>
      <c r="Q630" s="37" t="str">
        <f t="shared" si="57"/>
        <v>F418</v>
      </c>
      <c r="R630" s="37" t="str">
        <f t="shared" si="58"/>
        <v>JuneF4</v>
      </c>
    </row>
    <row r="631" spans="1:18" ht="28.5" customHeight="1">
      <c r="A631" s="616">
        <f t="shared" si="59"/>
        <v>627</v>
      </c>
      <c r="B631" s="617">
        <v>18</v>
      </c>
      <c r="C631" s="618">
        <v>33782</v>
      </c>
      <c r="D631" s="618" t="s">
        <v>178</v>
      </c>
      <c r="E631" s="633">
        <v>27</v>
      </c>
      <c r="F631" s="603">
        <v>1992</v>
      </c>
      <c r="G631" s="617" t="s">
        <v>135</v>
      </c>
      <c r="H631" s="620" t="s">
        <v>150</v>
      </c>
      <c r="I631" s="621">
        <v>55</v>
      </c>
      <c r="J631" s="621">
        <v>2</v>
      </c>
      <c r="K631" s="603">
        <f t="shared" si="60"/>
        <v>19</v>
      </c>
      <c r="L631" s="604">
        <v>0.79236111111111107</v>
      </c>
      <c r="M631" s="605">
        <f t="shared" ref="M631:M690" si="61">+L631</f>
        <v>0.79236111111111107</v>
      </c>
      <c r="N631" s="663"/>
      <c r="P631" s="37" t="str">
        <f t="shared" si="56"/>
        <v>1992F1</v>
      </c>
      <c r="Q631" s="37" t="str">
        <f t="shared" si="57"/>
        <v>F119</v>
      </c>
      <c r="R631" s="37" t="str">
        <f t="shared" si="58"/>
        <v>JuneF1</v>
      </c>
    </row>
    <row r="632" spans="1:18" ht="32.25" customHeight="1">
      <c r="A632" s="616">
        <f t="shared" si="59"/>
        <v>628</v>
      </c>
      <c r="B632" s="617">
        <v>19</v>
      </c>
      <c r="C632" s="618">
        <v>33782</v>
      </c>
      <c r="D632" s="618" t="s">
        <v>178</v>
      </c>
      <c r="E632" s="633">
        <v>27</v>
      </c>
      <c r="F632" s="603">
        <v>1992</v>
      </c>
      <c r="G632" s="617" t="s">
        <v>136</v>
      </c>
      <c r="H632" s="620" t="s">
        <v>151</v>
      </c>
      <c r="I632" s="621">
        <v>150</v>
      </c>
      <c r="J632" s="621">
        <v>4</v>
      </c>
      <c r="K632" s="603">
        <f t="shared" si="60"/>
        <v>19</v>
      </c>
      <c r="L632" s="604">
        <v>0.79583333333333339</v>
      </c>
      <c r="M632" s="605">
        <f t="shared" si="61"/>
        <v>0.79583333333333339</v>
      </c>
      <c r="N632" s="663"/>
      <c r="P632" s="37" t="str">
        <f t="shared" si="56"/>
        <v>1992F2</v>
      </c>
      <c r="Q632" s="37" t="str">
        <f t="shared" si="57"/>
        <v>F219</v>
      </c>
      <c r="R632" s="37" t="str">
        <f t="shared" si="58"/>
        <v>JuneF2</v>
      </c>
    </row>
    <row r="633" spans="1:18">
      <c r="A633" s="616">
        <f t="shared" si="59"/>
        <v>629</v>
      </c>
      <c r="B633" s="617">
        <v>1</v>
      </c>
      <c r="C633" s="618">
        <v>34087</v>
      </c>
      <c r="D633" s="618" t="s">
        <v>176</v>
      </c>
      <c r="E633" s="633">
        <v>28</v>
      </c>
      <c r="F633" s="603">
        <v>1993</v>
      </c>
      <c r="G633" s="617" t="s">
        <v>139</v>
      </c>
      <c r="H633" s="620" t="s">
        <v>149</v>
      </c>
      <c r="I633" s="621">
        <v>50</v>
      </c>
      <c r="J633" s="621">
        <v>0.2</v>
      </c>
      <c r="K633" s="603">
        <f t="shared" si="60"/>
        <v>17</v>
      </c>
      <c r="L633" s="604">
        <v>0.7368055555555556</v>
      </c>
      <c r="M633" s="605">
        <f t="shared" si="61"/>
        <v>0.7368055555555556</v>
      </c>
      <c r="N633" s="663"/>
      <c r="P633" s="37" t="str">
        <f t="shared" si="56"/>
        <v>1993F0</v>
      </c>
      <c r="Q633" s="37" t="str">
        <f t="shared" si="57"/>
        <v>F017</v>
      </c>
      <c r="R633" s="37" t="str">
        <f t="shared" si="58"/>
        <v>AprilF0</v>
      </c>
    </row>
    <row r="634" spans="1:18">
      <c r="A634" s="616">
        <f t="shared" si="59"/>
        <v>630</v>
      </c>
      <c r="B634" s="617">
        <v>2</v>
      </c>
      <c r="C634" s="618">
        <v>34087</v>
      </c>
      <c r="D634" s="618" t="s">
        <v>176</v>
      </c>
      <c r="E634" s="633">
        <v>28</v>
      </c>
      <c r="F634" s="603">
        <v>1993</v>
      </c>
      <c r="G634" s="617" t="s">
        <v>140</v>
      </c>
      <c r="H634" s="620" t="s">
        <v>149</v>
      </c>
      <c r="I634" s="621">
        <v>75</v>
      </c>
      <c r="J634" s="621">
        <v>1.5</v>
      </c>
      <c r="K634" s="603">
        <f t="shared" si="60"/>
        <v>17</v>
      </c>
      <c r="L634" s="604">
        <v>0.74375000000000002</v>
      </c>
      <c r="M634" s="605">
        <f t="shared" si="61"/>
        <v>0.74375000000000002</v>
      </c>
      <c r="N634" s="663"/>
      <c r="P634" s="37" t="str">
        <f t="shared" si="56"/>
        <v>1993F0</v>
      </c>
      <c r="Q634" s="37" t="str">
        <f t="shared" si="57"/>
        <v>F017</v>
      </c>
      <c r="R634" s="37" t="str">
        <f t="shared" si="58"/>
        <v>AprilF0</v>
      </c>
    </row>
    <row r="635" spans="1:18">
      <c r="A635" s="616">
        <f t="shared" si="59"/>
        <v>631</v>
      </c>
      <c r="B635" s="617">
        <v>3</v>
      </c>
      <c r="C635" s="618">
        <v>34087</v>
      </c>
      <c r="D635" s="618" t="s">
        <v>176</v>
      </c>
      <c r="E635" s="633">
        <v>28</v>
      </c>
      <c r="F635" s="603">
        <v>1993</v>
      </c>
      <c r="G635" s="617" t="s">
        <v>141</v>
      </c>
      <c r="H635" s="620" t="s">
        <v>150</v>
      </c>
      <c r="I635" s="621">
        <v>100</v>
      </c>
      <c r="J635" s="621">
        <v>2.5</v>
      </c>
      <c r="K635" s="603">
        <f t="shared" si="60"/>
        <v>18</v>
      </c>
      <c r="L635" s="604">
        <v>0.78263888888888899</v>
      </c>
      <c r="M635" s="605">
        <f t="shared" si="61"/>
        <v>0.78263888888888899</v>
      </c>
      <c r="N635" s="663"/>
      <c r="P635" s="37" t="str">
        <f t="shared" si="56"/>
        <v>1993F1</v>
      </c>
      <c r="Q635" s="37" t="str">
        <f t="shared" si="57"/>
        <v>F118</v>
      </c>
      <c r="R635" s="37" t="str">
        <f t="shared" si="58"/>
        <v>AprilF1</v>
      </c>
    </row>
    <row r="636" spans="1:18">
      <c r="A636" s="616">
        <f t="shared" si="59"/>
        <v>632</v>
      </c>
      <c r="B636" s="617">
        <v>4</v>
      </c>
      <c r="C636" s="618">
        <v>34094</v>
      </c>
      <c r="D636" s="618" t="s">
        <v>177</v>
      </c>
      <c r="E636" s="633">
        <v>5</v>
      </c>
      <c r="F636" s="603">
        <v>1993</v>
      </c>
      <c r="G636" s="617" t="s">
        <v>131</v>
      </c>
      <c r="H636" s="620" t="s">
        <v>149</v>
      </c>
      <c r="I636" s="621">
        <v>100</v>
      </c>
      <c r="J636" s="621">
        <v>0.5</v>
      </c>
      <c r="K636" s="603">
        <f t="shared" si="60"/>
        <v>17</v>
      </c>
      <c r="L636" s="604">
        <v>0.71875</v>
      </c>
      <c r="M636" s="605">
        <f t="shared" si="61"/>
        <v>0.71875</v>
      </c>
      <c r="N636" s="663"/>
      <c r="P636" s="37" t="str">
        <f t="shared" si="56"/>
        <v>1993F0</v>
      </c>
      <c r="Q636" s="37" t="str">
        <f t="shared" si="57"/>
        <v>F017</v>
      </c>
      <c r="R636" s="37" t="str">
        <f t="shared" si="58"/>
        <v>MayF0</v>
      </c>
    </row>
    <row r="637" spans="1:18" ht="29.25" customHeight="1">
      <c r="A637" s="616">
        <f t="shared" si="59"/>
        <v>633</v>
      </c>
      <c r="B637" s="617">
        <v>5</v>
      </c>
      <c r="C637" s="618">
        <v>34094</v>
      </c>
      <c r="D637" s="618" t="s">
        <v>177</v>
      </c>
      <c r="E637" s="633">
        <v>5</v>
      </c>
      <c r="F637" s="603">
        <v>1993</v>
      </c>
      <c r="G637" s="617" t="s">
        <v>127</v>
      </c>
      <c r="H637" s="620" t="s">
        <v>152</v>
      </c>
      <c r="I637" s="621">
        <v>500</v>
      </c>
      <c r="J637" s="621">
        <v>4</v>
      </c>
      <c r="K637" s="603">
        <f t="shared" si="60"/>
        <v>17</v>
      </c>
      <c r="L637" s="604">
        <v>0.73472222222222217</v>
      </c>
      <c r="M637" s="605">
        <f t="shared" si="61"/>
        <v>0.73472222222222217</v>
      </c>
      <c r="N637" s="663"/>
      <c r="P637" s="37" t="str">
        <f t="shared" si="56"/>
        <v>1993F3</v>
      </c>
      <c r="Q637" s="37" t="str">
        <f t="shared" si="57"/>
        <v>F317</v>
      </c>
      <c r="R637" s="37" t="str">
        <f t="shared" si="58"/>
        <v>MayF3</v>
      </c>
    </row>
    <row r="638" spans="1:18" ht="16.5" customHeight="1">
      <c r="A638" s="616">
        <f t="shared" si="59"/>
        <v>634</v>
      </c>
      <c r="B638" s="617">
        <v>6</v>
      </c>
      <c r="C638" s="618">
        <v>34094</v>
      </c>
      <c r="D638" s="618" t="s">
        <v>177</v>
      </c>
      <c r="E638" s="633">
        <v>5</v>
      </c>
      <c r="F638" s="603">
        <v>1993</v>
      </c>
      <c r="G638" s="617" t="s">
        <v>127</v>
      </c>
      <c r="H638" s="620" t="s">
        <v>149</v>
      </c>
      <c r="I638" s="621">
        <v>150</v>
      </c>
      <c r="J638" s="621">
        <v>1</v>
      </c>
      <c r="K638" s="603">
        <f t="shared" si="60"/>
        <v>17</v>
      </c>
      <c r="L638" s="604">
        <v>0.74652777777777779</v>
      </c>
      <c r="M638" s="605">
        <f t="shared" si="61"/>
        <v>0.74652777777777779</v>
      </c>
      <c r="N638" s="663"/>
      <c r="P638" s="37" t="str">
        <f t="shared" si="56"/>
        <v>1993F0</v>
      </c>
      <c r="Q638" s="37" t="str">
        <f t="shared" si="57"/>
        <v>F017</v>
      </c>
      <c r="R638" s="37" t="str">
        <f t="shared" si="58"/>
        <v>MayF0</v>
      </c>
    </row>
    <row r="639" spans="1:18" ht="15" customHeight="1">
      <c r="A639" s="616">
        <f t="shared" si="59"/>
        <v>635</v>
      </c>
      <c r="B639" s="617">
        <v>7</v>
      </c>
      <c r="C639" s="618">
        <v>34094</v>
      </c>
      <c r="D639" s="618" t="s">
        <v>177</v>
      </c>
      <c r="E639" s="633">
        <v>5</v>
      </c>
      <c r="F639" s="603">
        <v>1993</v>
      </c>
      <c r="G639" s="617" t="s">
        <v>127</v>
      </c>
      <c r="H639" s="620" t="s">
        <v>150</v>
      </c>
      <c r="I639" s="621">
        <v>275</v>
      </c>
      <c r="J639" s="621">
        <v>2</v>
      </c>
      <c r="K639" s="603">
        <f t="shared" si="60"/>
        <v>18</v>
      </c>
      <c r="L639" s="604">
        <v>0.75694444444444453</v>
      </c>
      <c r="M639" s="605">
        <f t="shared" si="61"/>
        <v>0.75694444444444453</v>
      </c>
      <c r="N639" s="663"/>
      <c r="P639" s="37" t="str">
        <f t="shared" si="56"/>
        <v>1993F1</v>
      </c>
      <c r="Q639" s="37" t="str">
        <f t="shared" si="57"/>
        <v>F118</v>
      </c>
      <c r="R639" s="37" t="str">
        <f t="shared" si="58"/>
        <v>MayF1</v>
      </c>
    </row>
    <row r="640" spans="1:18">
      <c r="A640" s="616">
        <f t="shared" si="59"/>
        <v>636</v>
      </c>
      <c r="B640" s="617">
        <v>8</v>
      </c>
      <c r="C640" s="618">
        <v>34094</v>
      </c>
      <c r="D640" s="618" t="s">
        <v>177</v>
      </c>
      <c r="E640" s="633">
        <v>5</v>
      </c>
      <c r="F640" s="603">
        <v>1993</v>
      </c>
      <c r="G640" s="617" t="s">
        <v>127</v>
      </c>
      <c r="H640" s="620" t="s">
        <v>149</v>
      </c>
      <c r="I640" s="621">
        <v>100</v>
      </c>
      <c r="J640" s="621">
        <v>0.5</v>
      </c>
      <c r="K640" s="603">
        <f t="shared" si="60"/>
        <v>18</v>
      </c>
      <c r="L640" s="604">
        <v>0.78263888888888899</v>
      </c>
      <c r="M640" s="605">
        <f t="shared" si="61"/>
        <v>0.78263888888888899</v>
      </c>
      <c r="N640" s="663"/>
      <c r="P640" s="37" t="str">
        <f t="shared" si="56"/>
        <v>1993F0</v>
      </c>
      <c r="Q640" s="37" t="str">
        <f t="shared" si="57"/>
        <v>F018</v>
      </c>
      <c r="R640" s="37" t="str">
        <f t="shared" si="58"/>
        <v>MayF0</v>
      </c>
    </row>
    <row r="641" spans="1:18">
      <c r="A641" s="616">
        <f t="shared" si="59"/>
        <v>637</v>
      </c>
      <c r="B641" s="617">
        <v>9</v>
      </c>
      <c r="C641" s="618">
        <v>34094</v>
      </c>
      <c r="D641" s="618" t="s">
        <v>177</v>
      </c>
      <c r="E641" s="633">
        <v>5</v>
      </c>
      <c r="F641" s="603">
        <v>1993</v>
      </c>
      <c r="G641" s="617" t="s">
        <v>127</v>
      </c>
      <c r="H641" s="620" t="s">
        <v>149</v>
      </c>
      <c r="I641" s="621">
        <v>150</v>
      </c>
      <c r="J641" s="621">
        <v>2</v>
      </c>
      <c r="K641" s="603">
        <f t="shared" si="60"/>
        <v>18</v>
      </c>
      <c r="L641" s="604">
        <v>0.78472222222222221</v>
      </c>
      <c r="M641" s="605">
        <f t="shared" si="61"/>
        <v>0.78472222222222221</v>
      </c>
      <c r="N641" s="663"/>
      <c r="P641" s="37" t="str">
        <f t="shared" si="56"/>
        <v>1993F0</v>
      </c>
      <c r="Q641" s="37" t="str">
        <f t="shared" si="57"/>
        <v>F018</v>
      </c>
      <c r="R641" s="37" t="str">
        <f t="shared" si="58"/>
        <v>MayF0</v>
      </c>
    </row>
    <row r="642" spans="1:18" ht="29.25" customHeight="1">
      <c r="A642" s="616">
        <f t="shared" si="59"/>
        <v>638</v>
      </c>
      <c r="B642" s="617">
        <v>10</v>
      </c>
      <c r="C642" s="618">
        <v>34094</v>
      </c>
      <c r="D642" s="618" t="s">
        <v>177</v>
      </c>
      <c r="E642" s="633">
        <v>5</v>
      </c>
      <c r="F642" s="603">
        <v>1993</v>
      </c>
      <c r="G642" s="617" t="s">
        <v>127</v>
      </c>
      <c r="H642" s="620" t="s">
        <v>152</v>
      </c>
      <c r="I642" s="621">
        <v>1200</v>
      </c>
      <c r="J642" s="621">
        <v>11</v>
      </c>
      <c r="K642" s="603">
        <f t="shared" si="60"/>
        <v>18</v>
      </c>
      <c r="L642" s="604">
        <v>0.78749999999999998</v>
      </c>
      <c r="M642" s="605">
        <f t="shared" si="61"/>
        <v>0.78749999999999998</v>
      </c>
      <c r="N642" s="663"/>
      <c r="P642" s="37" t="str">
        <f t="shared" si="56"/>
        <v>1993F3</v>
      </c>
      <c r="Q642" s="37" t="str">
        <f t="shared" si="57"/>
        <v>F318</v>
      </c>
      <c r="R642" s="37" t="str">
        <f t="shared" si="58"/>
        <v>MayF3</v>
      </c>
    </row>
    <row r="643" spans="1:18">
      <c r="A643" s="616">
        <f t="shared" si="59"/>
        <v>639</v>
      </c>
      <c r="B643" s="617">
        <v>11</v>
      </c>
      <c r="C643" s="618">
        <v>34096</v>
      </c>
      <c r="D643" s="618" t="s">
        <v>177</v>
      </c>
      <c r="E643" s="633">
        <v>7</v>
      </c>
      <c r="F643" s="603">
        <v>1993</v>
      </c>
      <c r="G643" s="617" t="s">
        <v>138</v>
      </c>
      <c r="H643" s="620" t="s">
        <v>149</v>
      </c>
      <c r="I643" s="621">
        <v>75</v>
      </c>
      <c r="J643" s="621">
        <v>0.5</v>
      </c>
      <c r="K643" s="603">
        <f t="shared" si="60"/>
        <v>16</v>
      </c>
      <c r="L643" s="604">
        <v>0.70486111111111116</v>
      </c>
      <c r="M643" s="605">
        <f t="shared" si="61"/>
        <v>0.70486111111111116</v>
      </c>
      <c r="N643" s="663"/>
      <c r="P643" s="37" t="str">
        <f t="shared" si="56"/>
        <v>1993F0</v>
      </c>
      <c r="Q643" s="37" t="str">
        <f t="shared" si="57"/>
        <v>F016</v>
      </c>
      <c r="R643" s="37" t="str">
        <f t="shared" si="58"/>
        <v>MayF0</v>
      </c>
    </row>
    <row r="644" spans="1:18" ht="15.75" customHeight="1">
      <c r="A644" s="616">
        <f t="shared" si="59"/>
        <v>640</v>
      </c>
      <c r="B644" s="617">
        <v>12</v>
      </c>
      <c r="C644" s="618">
        <v>34096</v>
      </c>
      <c r="D644" s="618" t="s">
        <v>177</v>
      </c>
      <c r="E644" s="633">
        <v>7</v>
      </c>
      <c r="F644" s="603">
        <v>1993</v>
      </c>
      <c r="G644" s="617" t="s">
        <v>148</v>
      </c>
      <c r="H644" s="620" t="s">
        <v>149</v>
      </c>
      <c r="I644" s="621">
        <v>100</v>
      </c>
      <c r="J644" s="621">
        <v>1</v>
      </c>
      <c r="K644" s="603">
        <f t="shared" si="60"/>
        <v>17</v>
      </c>
      <c r="L644" s="604">
        <v>0.72986111111111107</v>
      </c>
      <c r="M644" s="605">
        <f t="shared" si="61"/>
        <v>0.72986111111111107</v>
      </c>
      <c r="N644" s="663"/>
      <c r="P644" s="37" t="str">
        <f t="shared" si="56"/>
        <v>1993F0</v>
      </c>
      <c r="Q644" s="37" t="str">
        <f t="shared" si="57"/>
        <v>F017</v>
      </c>
      <c r="R644" s="37" t="str">
        <f t="shared" si="58"/>
        <v>MayF0</v>
      </c>
    </row>
    <row r="645" spans="1:18">
      <c r="A645" s="616">
        <f t="shared" si="59"/>
        <v>641</v>
      </c>
      <c r="B645" s="617">
        <v>13</v>
      </c>
      <c r="C645" s="618">
        <v>34096</v>
      </c>
      <c r="D645" s="618" t="s">
        <v>177</v>
      </c>
      <c r="E645" s="633">
        <v>7</v>
      </c>
      <c r="F645" s="603">
        <v>1993</v>
      </c>
      <c r="G645" s="617" t="s">
        <v>148</v>
      </c>
      <c r="H645" s="620" t="s">
        <v>149</v>
      </c>
      <c r="I645" s="621">
        <v>100</v>
      </c>
      <c r="J645" s="621">
        <v>1</v>
      </c>
      <c r="K645" s="603">
        <f t="shared" si="60"/>
        <v>17</v>
      </c>
      <c r="L645" s="604">
        <v>0.73958333333333337</v>
      </c>
      <c r="M645" s="605">
        <f t="shared" si="61"/>
        <v>0.73958333333333337</v>
      </c>
      <c r="N645" s="663"/>
      <c r="P645" s="37" t="str">
        <f t="shared" si="56"/>
        <v>1993F0</v>
      </c>
      <c r="Q645" s="37" t="str">
        <f t="shared" si="57"/>
        <v>F017</v>
      </c>
      <c r="R645" s="37" t="str">
        <f t="shared" si="58"/>
        <v>MayF0</v>
      </c>
    </row>
    <row r="646" spans="1:18">
      <c r="A646" s="616">
        <f t="shared" si="59"/>
        <v>642</v>
      </c>
      <c r="B646" s="617">
        <v>14</v>
      </c>
      <c r="C646" s="618">
        <v>34106</v>
      </c>
      <c r="D646" s="618" t="s">
        <v>177</v>
      </c>
      <c r="E646" s="633">
        <v>17</v>
      </c>
      <c r="F646" s="603">
        <v>1993</v>
      </c>
      <c r="G646" s="617" t="s">
        <v>143</v>
      </c>
      <c r="H646" s="620" t="s">
        <v>150</v>
      </c>
      <c r="I646" s="621">
        <v>150</v>
      </c>
      <c r="J646" s="621">
        <v>2.5</v>
      </c>
      <c r="K646" s="603">
        <f t="shared" si="60"/>
        <v>18</v>
      </c>
      <c r="L646" s="604">
        <v>0.77361111111111114</v>
      </c>
      <c r="M646" s="605">
        <f t="shared" si="61"/>
        <v>0.77361111111111114</v>
      </c>
      <c r="N646" s="663"/>
      <c r="P646" s="37" t="str">
        <f t="shared" ref="P646:P709" si="62">CONCATENATE(F646,H646)</f>
        <v>1993F1</v>
      </c>
      <c r="Q646" s="37" t="str">
        <f t="shared" ref="Q646:Q709" si="63">CONCATENATE(H646,K646)</f>
        <v>F118</v>
      </c>
      <c r="R646" s="37" t="str">
        <f t="shared" ref="R646:R709" si="64">CONCATENATE(D646,H646)</f>
        <v>MayF1</v>
      </c>
    </row>
    <row r="647" spans="1:18" ht="28.5" customHeight="1">
      <c r="A647" s="616">
        <f t="shared" ref="A647:A710" si="65">+A646+1</f>
        <v>643</v>
      </c>
      <c r="B647" s="617">
        <v>15</v>
      </c>
      <c r="C647" s="618">
        <v>34122</v>
      </c>
      <c r="D647" s="618" t="s">
        <v>178</v>
      </c>
      <c r="E647" s="633">
        <v>2</v>
      </c>
      <c r="F647" s="603">
        <v>1993</v>
      </c>
      <c r="G647" s="617" t="s">
        <v>128</v>
      </c>
      <c r="H647" s="620" t="s">
        <v>149</v>
      </c>
      <c r="I647" s="621">
        <v>50</v>
      </c>
      <c r="J647" s="621">
        <v>0.5</v>
      </c>
      <c r="K647" s="603">
        <f t="shared" si="60"/>
        <v>21</v>
      </c>
      <c r="L647" s="604">
        <v>0.89583333333333337</v>
      </c>
      <c r="M647" s="605">
        <f t="shared" si="61"/>
        <v>0.89583333333333337</v>
      </c>
      <c r="N647" s="663"/>
      <c r="P647" s="37" t="str">
        <f t="shared" si="62"/>
        <v>1993F0</v>
      </c>
      <c r="Q647" s="37" t="str">
        <f t="shared" si="63"/>
        <v>F021</v>
      </c>
      <c r="R647" s="37" t="str">
        <f t="shared" si="64"/>
        <v>JuneF0</v>
      </c>
    </row>
    <row r="648" spans="1:18" ht="32.25" customHeight="1">
      <c r="A648" s="616">
        <f t="shared" si="65"/>
        <v>644</v>
      </c>
      <c r="B648" s="617">
        <v>16</v>
      </c>
      <c r="C648" s="618">
        <v>34157</v>
      </c>
      <c r="D648" s="618" t="s">
        <v>179</v>
      </c>
      <c r="E648" s="633">
        <v>7</v>
      </c>
      <c r="F648" s="603">
        <v>1993</v>
      </c>
      <c r="G648" s="617" t="s">
        <v>141</v>
      </c>
      <c r="H648" s="620" t="s">
        <v>149</v>
      </c>
      <c r="I648" s="621">
        <v>50</v>
      </c>
      <c r="J648" s="621">
        <v>0.5</v>
      </c>
      <c r="K648" s="603">
        <f t="shared" si="60"/>
        <v>19</v>
      </c>
      <c r="L648" s="604">
        <v>0.79166666666666663</v>
      </c>
      <c r="M648" s="605">
        <f t="shared" si="61"/>
        <v>0.79166666666666663</v>
      </c>
      <c r="N648" s="663"/>
      <c r="P648" s="37" t="str">
        <f t="shared" si="62"/>
        <v>1993F0</v>
      </c>
      <c r="Q648" s="37" t="str">
        <f t="shared" si="63"/>
        <v>F019</v>
      </c>
      <c r="R648" s="37" t="str">
        <f t="shared" si="64"/>
        <v>JulyF0</v>
      </c>
    </row>
    <row r="649" spans="1:18" ht="15" customHeight="1">
      <c r="A649" s="616">
        <f t="shared" si="65"/>
        <v>645</v>
      </c>
      <c r="B649" s="617">
        <v>17</v>
      </c>
      <c r="C649" s="618">
        <v>34230</v>
      </c>
      <c r="D649" s="618" t="s">
        <v>181</v>
      </c>
      <c r="E649" s="633">
        <v>18</v>
      </c>
      <c r="F649" s="603">
        <v>1993</v>
      </c>
      <c r="G649" s="617" t="s">
        <v>128</v>
      </c>
      <c r="H649" s="620" t="s">
        <v>149</v>
      </c>
      <c r="I649" s="621">
        <v>100</v>
      </c>
      <c r="J649" s="621">
        <v>0.5</v>
      </c>
      <c r="K649" s="603">
        <f t="shared" si="60"/>
        <v>18</v>
      </c>
      <c r="L649" s="604">
        <v>0.7597222222222223</v>
      </c>
      <c r="M649" s="605">
        <f t="shared" si="61"/>
        <v>0.7597222222222223</v>
      </c>
      <c r="N649" s="663">
        <v>0.76249999999999996</v>
      </c>
      <c r="P649" s="37" t="str">
        <f t="shared" si="62"/>
        <v>1993F0</v>
      </c>
      <c r="Q649" s="37" t="str">
        <f t="shared" si="63"/>
        <v>F018</v>
      </c>
      <c r="R649" s="37" t="str">
        <f t="shared" si="64"/>
        <v>SeptemberF0</v>
      </c>
    </row>
    <row r="650" spans="1:18">
      <c r="A650" s="616">
        <f t="shared" si="65"/>
        <v>646</v>
      </c>
      <c r="B650" s="617">
        <v>18</v>
      </c>
      <c r="C650" s="618">
        <v>34254</v>
      </c>
      <c r="D650" s="618" t="s">
        <v>182</v>
      </c>
      <c r="E650" s="633">
        <v>12</v>
      </c>
      <c r="F650" s="603">
        <v>1993</v>
      </c>
      <c r="G650" s="617" t="s">
        <v>142</v>
      </c>
      <c r="H650" s="620" t="s">
        <v>150</v>
      </c>
      <c r="I650" s="621">
        <v>75</v>
      </c>
      <c r="J650" s="621">
        <v>2</v>
      </c>
      <c r="K650" s="603">
        <f t="shared" ref="K650:K710" si="66">HOUR(M650)</f>
        <v>17</v>
      </c>
      <c r="L650" s="604">
        <v>0.73958333333333337</v>
      </c>
      <c r="M650" s="605">
        <f t="shared" si="61"/>
        <v>0.73958333333333337</v>
      </c>
      <c r="N650" s="663"/>
      <c r="P650" s="37" t="str">
        <f t="shared" si="62"/>
        <v>1993F1</v>
      </c>
      <c r="Q650" s="37" t="str">
        <f t="shared" si="63"/>
        <v>F117</v>
      </c>
      <c r="R650" s="37" t="str">
        <f t="shared" si="64"/>
        <v>OctoberF1</v>
      </c>
    </row>
    <row r="651" spans="1:18">
      <c r="A651" s="616">
        <f t="shared" si="65"/>
        <v>647</v>
      </c>
      <c r="B651" s="617">
        <v>1</v>
      </c>
      <c r="C651" s="618">
        <v>34463</v>
      </c>
      <c r="D651" s="618" t="s">
        <v>177</v>
      </c>
      <c r="E651" s="633">
        <v>9</v>
      </c>
      <c r="F651" s="603">
        <v>1994</v>
      </c>
      <c r="G651" s="617" t="s">
        <v>129</v>
      </c>
      <c r="H651" s="620" t="s">
        <v>150</v>
      </c>
      <c r="I651" s="621">
        <v>100</v>
      </c>
      <c r="J651" s="621">
        <v>2</v>
      </c>
      <c r="K651" s="603">
        <f t="shared" si="66"/>
        <v>16</v>
      </c>
      <c r="L651" s="604">
        <v>0.69444444444444453</v>
      </c>
      <c r="M651" s="605">
        <f t="shared" si="61"/>
        <v>0.69444444444444453</v>
      </c>
      <c r="N651" s="663"/>
      <c r="P651" s="37" t="str">
        <f t="shared" si="62"/>
        <v>1994F1</v>
      </c>
      <c r="Q651" s="37" t="str">
        <f t="shared" si="63"/>
        <v>F116</v>
      </c>
      <c r="R651" s="37" t="str">
        <f t="shared" si="64"/>
        <v>MayF1</v>
      </c>
    </row>
    <row r="652" spans="1:18">
      <c r="A652" s="616">
        <f t="shared" si="65"/>
        <v>648</v>
      </c>
      <c r="B652" s="617">
        <v>2</v>
      </c>
      <c r="C652" s="618">
        <v>34463</v>
      </c>
      <c r="D652" s="618" t="s">
        <v>177</v>
      </c>
      <c r="E652" s="633">
        <v>9</v>
      </c>
      <c r="F652" s="603">
        <v>1994</v>
      </c>
      <c r="G652" s="617" t="s">
        <v>129</v>
      </c>
      <c r="H652" s="620" t="s">
        <v>149</v>
      </c>
      <c r="I652" s="621">
        <v>25</v>
      </c>
      <c r="J652" s="621">
        <v>1</v>
      </c>
      <c r="K652" s="603">
        <f t="shared" si="66"/>
        <v>17</v>
      </c>
      <c r="L652" s="604">
        <v>0.71527777777777779</v>
      </c>
      <c r="M652" s="605">
        <f t="shared" si="61"/>
        <v>0.71527777777777779</v>
      </c>
      <c r="N652" s="663"/>
      <c r="P652" s="37" t="str">
        <f t="shared" si="62"/>
        <v>1994F0</v>
      </c>
      <c r="Q652" s="37" t="str">
        <f t="shared" si="63"/>
        <v>F017</v>
      </c>
      <c r="R652" s="37" t="str">
        <f t="shared" si="64"/>
        <v>MayF0</v>
      </c>
    </row>
    <row r="653" spans="1:18">
      <c r="A653" s="616">
        <f t="shared" si="65"/>
        <v>649</v>
      </c>
      <c r="B653" s="617">
        <v>3</v>
      </c>
      <c r="C653" s="618">
        <v>34482</v>
      </c>
      <c r="D653" s="618" t="s">
        <v>177</v>
      </c>
      <c r="E653" s="633">
        <v>28</v>
      </c>
      <c r="F653" s="603">
        <v>1994</v>
      </c>
      <c r="G653" s="617" t="s">
        <v>137</v>
      </c>
      <c r="H653" s="620" t="s">
        <v>150</v>
      </c>
      <c r="I653" s="621">
        <v>350</v>
      </c>
      <c r="J653" s="621">
        <v>4</v>
      </c>
      <c r="K653" s="603">
        <f t="shared" si="66"/>
        <v>19</v>
      </c>
      <c r="L653" s="604">
        <v>0.7944444444444444</v>
      </c>
      <c r="M653" s="605">
        <f t="shared" si="61"/>
        <v>0.7944444444444444</v>
      </c>
      <c r="N653" s="663">
        <v>0.80694444444444446</v>
      </c>
      <c r="P653" s="37" t="str">
        <f t="shared" si="62"/>
        <v>1994F1</v>
      </c>
      <c r="Q653" s="37" t="str">
        <f t="shared" si="63"/>
        <v>F119</v>
      </c>
      <c r="R653" s="37" t="str">
        <f t="shared" si="64"/>
        <v>MayF1</v>
      </c>
    </row>
    <row r="654" spans="1:18">
      <c r="A654" s="616">
        <f t="shared" si="65"/>
        <v>650</v>
      </c>
      <c r="B654" s="617">
        <v>4</v>
      </c>
      <c r="C654" s="618">
        <v>34495</v>
      </c>
      <c r="D654" s="618" t="s">
        <v>178</v>
      </c>
      <c r="E654" s="633">
        <v>10</v>
      </c>
      <c r="F654" s="603">
        <v>1994</v>
      </c>
      <c r="G654" s="617" t="s">
        <v>139</v>
      </c>
      <c r="H654" s="620" t="s">
        <v>149</v>
      </c>
      <c r="I654" s="621">
        <v>50</v>
      </c>
      <c r="J654" s="621">
        <v>1</v>
      </c>
      <c r="K654" s="603">
        <f t="shared" si="66"/>
        <v>19</v>
      </c>
      <c r="L654" s="604">
        <v>0.8125</v>
      </c>
      <c r="M654" s="605">
        <f t="shared" si="61"/>
        <v>0.8125</v>
      </c>
      <c r="N654" s="663"/>
      <c r="P654" s="37" t="str">
        <f t="shared" si="62"/>
        <v>1994F0</v>
      </c>
      <c r="Q654" s="37" t="str">
        <f t="shared" si="63"/>
        <v>F019</v>
      </c>
      <c r="R654" s="37" t="str">
        <f t="shared" si="64"/>
        <v>JuneF0</v>
      </c>
    </row>
    <row r="655" spans="1:18">
      <c r="A655" s="616">
        <f t="shared" si="65"/>
        <v>651</v>
      </c>
      <c r="B655" s="617">
        <v>5</v>
      </c>
      <c r="C655" s="618">
        <v>34514</v>
      </c>
      <c r="D655" s="618" t="s">
        <v>178</v>
      </c>
      <c r="E655" s="633">
        <v>29</v>
      </c>
      <c r="F655" s="603">
        <v>1994</v>
      </c>
      <c r="G655" s="617" t="s">
        <v>133</v>
      </c>
      <c r="H655" s="620" t="s">
        <v>149</v>
      </c>
      <c r="I655" s="621">
        <v>25</v>
      </c>
      <c r="J655" s="621">
        <v>0.5</v>
      </c>
      <c r="K655" s="603">
        <f t="shared" si="66"/>
        <v>19</v>
      </c>
      <c r="L655" s="604">
        <v>0.79861111111111116</v>
      </c>
      <c r="M655" s="605">
        <f t="shared" si="61"/>
        <v>0.79861111111111116</v>
      </c>
      <c r="N655" s="663"/>
      <c r="P655" s="37" t="str">
        <f t="shared" si="62"/>
        <v>1994F0</v>
      </c>
      <c r="Q655" s="37" t="str">
        <f t="shared" si="63"/>
        <v>F019</v>
      </c>
      <c r="R655" s="37" t="str">
        <f t="shared" si="64"/>
        <v>JuneF0</v>
      </c>
    </row>
    <row r="656" spans="1:18">
      <c r="A656" s="616">
        <f t="shared" si="65"/>
        <v>652</v>
      </c>
      <c r="B656" s="617">
        <v>1</v>
      </c>
      <c r="C656" s="618">
        <v>34783</v>
      </c>
      <c r="D656" s="632" t="s">
        <v>175</v>
      </c>
      <c r="E656" s="633">
        <v>25</v>
      </c>
      <c r="F656" s="603">
        <v>1995</v>
      </c>
      <c r="G656" s="617" t="s">
        <v>128</v>
      </c>
      <c r="H656" s="620" t="s">
        <v>150</v>
      </c>
      <c r="I656" s="621">
        <v>100</v>
      </c>
      <c r="J656" s="621">
        <v>3</v>
      </c>
      <c r="K656" s="603">
        <f t="shared" si="66"/>
        <v>15</v>
      </c>
      <c r="L656" s="604">
        <v>0.64236111111111105</v>
      </c>
      <c r="M656" s="605">
        <f t="shared" si="61"/>
        <v>0.64236111111111105</v>
      </c>
      <c r="N656" s="663"/>
      <c r="P656" s="37" t="str">
        <f t="shared" si="62"/>
        <v>1995F1</v>
      </c>
      <c r="Q656" s="37" t="str">
        <f t="shared" si="63"/>
        <v>F115</v>
      </c>
      <c r="R656" s="37" t="str">
        <f t="shared" si="64"/>
        <v>MarchF1</v>
      </c>
    </row>
    <row r="657" spans="1:18">
      <c r="A657" s="616">
        <f t="shared" si="65"/>
        <v>653</v>
      </c>
      <c r="B657" s="617">
        <v>2</v>
      </c>
      <c r="C657" s="618">
        <v>34783</v>
      </c>
      <c r="D657" s="632" t="s">
        <v>175</v>
      </c>
      <c r="E657" s="633">
        <v>25</v>
      </c>
      <c r="F657" s="603">
        <v>1995</v>
      </c>
      <c r="G657" s="617" t="s">
        <v>133</v>
      </c>
      <c r="H657" s="620" t="s">
        <v>150</v>
      </c>
      <c r="I657" s="621">
        <v>200</v>
      </c>
      <c r="J657" s="621">
        <v>5</v>
      </c>
      <c r="K657" s="603">
        <f t="shared" si="66"/>
        <v>17</v>
      </c>
      <c r="L657" s="604">
        <v>0.73750000000000004</v>
      </c>
      <c r="M657" s="605">
        <f t="shared" si="61"/>
        <v>0.73750000000000004</v>
      </c>
      <c r="N657" s="663"/>
      <c r="P657" s="37" t="str">
        <f t="shared" si="62"/>
        <v>1995F1</v>
      </c>
      <c r="Q657" s="37" t="str">
        <f t="shared" si="63"/>
        <v>F117</v>
      </c>
      <c r="R657" s="37" t="str">
        <f t="shared" si="64"/>
        <v>MarchF1</v>
      </c>
    </row>
    <row r="658" spans="1:18">
      <c r="A658" s="616">
        <f t="shared" si="65"/>
        <v>654</v>
      </c>
      <c r="B658" s="617">
        <v>3</v>
      </c>
      <c r="C658" s="618">
        <v>34783</v>
      </c>
      <c r="D658" s="632" t="s">
        <v>175</v>
      </c>
      <c r="E658" s="633">
        <v>25</v>
      </c>
      <c r="F658" s="603">
        <v>1995</v>
      </c>
      <c r="G658" s="617" t="s">
        <v>128</v>
      </c>
      <c r="H658" s="620" t="s">
        <v>149</v>
      </c>
      <c r="I658" s="621">
        <v>50</v>
      </c>
      <c r="J658" s="621">
        <v>0.5</v>
      </c>
      <c r="K658" s="603">
        <f t="shared" si="66"/>
        <v>18</v>
      </c>
      <c r="L658" s="604">
        <v>0.76041666666666663</v>
      </c>
      <c r="M658" s="605">
        <f t="shared" si="61"/>
        <v>0.76041666666666663</v>
      </c>
      <c r="N658" s="663"/>
      <c r="P658" s="37" t="str">
        <f t="shared" si="62"/>
        <v>1995F0</v>
      </c>
      <c r="Q658" s="37" t="str">
        <f t="shared" si="63"/>
        <v>F018</v>
      </c>
      <c r="R658" s="37" t="str">
        <f t="shared" si="64"/>
        <v>MarchF0</v>
      </c>
    </row>
    <row r="659" spans="1:18">
      <c r="A659" s="616">
        <f t="shared" si="65"/>
        <v>655</v>
      </c>
      <c r="B659" s="617">
        <v>4</v>
      </c>
      <c r="C659" s="618">
        <v>34808</v>
      </c>
      <c r="D659" s="618" t="s">
        <v>176</v>
      </c>
      <c r="E659" s="633">
        <v>19</v>
      </c>
      <c r="F659" s="603">
        <v>1995</v>
      </c>
      <c r="G659" s="617" t="s">
        <v>135</v>
      </c>
      <c r="H659" s="620" t="s">
        <v>149</v>
      </c>
      <c r="I659" s="621">
        <v>20</v>
      </c>
      <c r="J659" s="621">
        <v>0.2</v>
      </c>
      <c r="K659" s="603">
        <f t="shared" si="66"/>
        <v>19</v>
      </c>
      <c r="L659" s="604">
        <v>0.80208333333333337</v>
      </c>
      <c r="M659" s="605">
        <f t="shared" si="61"/>
        <v>0.80208333333333337</v>
      </c>
      <c r="N659" s="663"/>
      <c r="P659" s="37" t="str">
        <f t="shared" si="62"/>
        <v>1995F0</v>
      </c>
      <c r="Q659" s="37" t="str">
        <f t="shared" si="63"/>
        <v>F019</v>
      </c>
      <c r="R659" s="37" t="str">
        <f t="shared" si="64"/>
        <v>AprilF0</v>
      </c>
    </row>
    <row r="660" spans="1:18" ht="30.75" customHeight="1">
      <c r="A660" s="616">
        <f t="shared" si="65"/>
        <v>656</v>
      </c>
      <c r="B660" s="617">
        <v>5</v>
      </c>
      <c r="C660" s="618">
        <v>34826</v>
      </c>
      <c r="D660" s="618" t="s">
        <v>177</v>
      </c>
      <c r="E660" s="633">
        <v>7</v>
      </c>
      <c r="F660" s="603">
        <v>1995</v>
      </c>
      <c r="G660" s="617" t="s">
        <v>145</v>
      </c>
      <c r="H660" s="620" t="s">
        <v>151</v>
      </c>
      <c r="I660" s="621">
        <v>200</v>
      </c>
      <c r="J660" s="621">
        <v>12</v>
      </c>
      <c r="K660" s="603">
        <f t="shared" si="66"/>
        <v>0</v>
      </c>
      <c r="L660" s="604">
        <v>2.7777777777777776E-2</v>
      </c>
      <c r="M660" s="605">
        <f t="shared" si="61"/>
        <v>2.7777777777777776E-2</v>
      </c>
      <c r="N660" s="663">
        <v>4.1666666666666664E-2</v>
      </c>
      <c r="P660" s="37" t="str">
        <f t="shared" si="62"/>
        <v>1995F2</v>
      </c>
      <c r="Q660" s="37" t="str">
        <f t="shared" si="63"/>
        <v>F20</v>
      </c>
      <c r="R660" s="37" t="str">
        <f t="shared" si="64"/>
        <v>MayF2</v>
      </c>
    </row>
    <row r="661" spans="1:18">
      <c r="A661" s="616">
        <f t="shared" si="65"/>
        <v>657</v>
      </c>
      <c r="B661" s="617">
        <v>6</v>
      </c>
      <c r="C661" s="618">
        <v>34826</v>
      </c>
      <c r="D661" s="618" t="s">
        <v>177</v>
      </c>
      <c r="E661" s="633">
        <v>7</v>
      </c>
      <c r="F661" s="603">
        <v>1995</v>
      </c>
      <c r="G661" s="617" t="s">
        <v>131</v>
      </c>
      <c r="H661" s="620" t="s">
        <v>149</v>
      </c>
      <c r="I661" s="621">
        <v>25</v>
      </c>
      <c r="J661" s="621">
        <v>0.2</v>
      </c>
      <c r="K661" s="603">
        <f t="shared" si="66"/>
        <v>7</v>
      </c>
      <c r="L661" s="604">
        <v>0.2951388888888889</v>
      </c>
      <c r="M661" s="605">
        <f t="shared" si="61"/>
        <v>0.2951388888888889</v>
      </c>
      <c r="N661" s="663"/>
      <c r="P661" s="37" t="str">
        <f t="shared" si="62"/>
        <v>1995F0</v>
      </c>
      <c r="Q661" s="37" t="str">
        <f t="shared" si="63"/>
        <v>F07</v>
      </c>
      <c r="R661" s="37" t="str">
        <f t="shared" si="64"/>
        <v>MayF0</v>
      </c>
    </row>
    <row r="662" spans="1:18">
      <c r="A662" s="616">
        <f t="shared" si="65"/>
        <v>658</v>
      </c>
      <c r="B662" s="617">
        <v>7</v>
      </c>
      <c r="C662" s="618">
        <v>34836</v>
      </c>
      <c r="D662" s="618" t="s">
        <v>177</v>
      </c>
      <c r="E662" s="633">
        <v>17</v>
      </c>
      <c r="F662" s="603">
        <v>1995</v>
      </c>
      <c r="G662" s="617" t="s">
        <v>132</v>
      </c>
      <c r="H662" s="620" t="s">
        <v>149</v>
      </c>
      <c r="I662" s="621">
        <v>75</v>
      </c>
      <c r="J662" s="621">
        <v>3</v>
      </c>
      <c r="K662" s="603">
        <f t="shared" si="66"/>
        <v>13</v>
      </c>
      <c r="L662" s="604">
        <v>0.54513888888888895</v>
      </c>
      <c r="M662" s="605">
        <f t="shared" si="61"/>
        <v>0.54513888888888895</v>
      </c>
      <c r="N662" s="663"/>
      <c r="P662" s="37" t="str">
        <f t="shared" si="62"/>
        <v>1995F0</v>
      </c>
      <c r="Q662" s="37" t="str">
        <f t="shared" si="63"/>
        <v>F013</v>
      </c>
      <c r="R662" s="37" t="str">
        <f t="shared" si="64"/>
        <v>MayF0</v>
      </c>
    </row>
    <row r="663" spans="1:18" ht="32.25" customHeight="1">
      <c r="A663" s="616">
        <f t="shared" si="65"/>
        <v>659</v>
      </c>
      <c r="B663" s="617">
        <v>8</v>
      </c>
      <c r="C663" s="618">
        <v>34836</v>
      </c>
      <c r="D663" s="618" t="s">
        <v>177</v>
      </c>
      <c r="E663" s="633">
        <v>17</v>
      </c>
      <c r="F663" s="603">
        <v>1995</v>
      </c>
      <c r="G663" s="617" t="s">
        <v>128</v>
      </c>
      <c r="H663" s="620" t="s">
        <v>149</v>
      </c>
      <c r="I663" s="621">
        <v>100</v>
      </c>
      <c r="J663" s="621">
        <v>2</v>
      </c>
      <c r="K663" s="603">
        <f t="shared" si="66"/>
        <v>14</v>
      </c>
      <c r="L663" s="604">
        <v>0.59444444444444444</v>
      </c>
      <c r="M663" s="605">
        <f t="shared" si="61"/>
        <v>0.59444444444444444</v>
      </c>
      <c r="N663" s="663">
        <v>0.6</v>
      </c>
      <c r="P663" s="37" t="str">
        <f t="shared" si="62"/>
        <v>1995F0</v>
      </c>
      <c r="Q663" s="37" t="str">
        <f t="shared" si="63"/>
        <v>F014</v>
      </c>
      <c r="R663" s="37" t="str">
        <f t="shared" si="64"/>
        <v>MayF0</v>
      </c>
    </row>
    <row r="664" spans="1:18">
      <c r="A664" s="616">
        <f t="shared" si="65"/>
        <v>660</v>
      </c>
      <c r="B664" s="617">
        <v>9</v>
      </c>
      <c r="C664" s="618">
        <v>34841</v>
      </c>
      <c r="D664" s="618" t="s">
        <v>177</v>
      </c>
      <c r="E664" s="633">
        <v>22</v>
      </c>
      <c r="F664" s="603">
        <v>1995</v>
      </c>
      <c r="G664" s="617" t="s">
        <v>136</v>
      </c>
      <c r="H664" s="620" t="s">
        <v>150</v>
      </c>
      <c r="I664" s="621">
        <v>200</v>
      </c>
      <c r="J664" s="621">
        <v>2</v>
      </c>
      <c r="K664" s="603">
        <f t="shared" si="66"/>
        <v>15</v>
      </c>
      <c r="L664" s="604">
        <v>0.63472222222222219</v>
      </c>
      <c r="M664" s="605">
        <f t="shared" si="61"/>
        <v>0.63472222222222219</v>
      </c>
      <c r="N664" s="663"/>
      <c r="P664" s="37" t="str">
        <f t="shared" si="62"/>
        <v>1995F1</v>
      </c>
      <c r="Q664" s="37" t="str">
        <f t="shared" si="63"/>
        <v>F115</v>
      </c>
      <c r="R664" s="37" t="str">
        <f t="shared" si="64"/>
        <v>MayF1</v>
      </c>
    </row>
    <row r="665" spans="1:18">
      <c r="A665" s="616">
        <f t="shared" si="65"/>
        <v>661</v>
      </c>
      <c r="B665" s="617">
        <v>10</v>
      </c>
      <c r="C665" s="618">
        <v>34841</v>
      </c>
      <c r="D665" s="618" t="s">
        <v>177</v>
      </c>
      <c r="E665" s="633">
        <v>22</v>
      </c>
      <c r="F665" s="603">
        <v>1995</v>
      </c>
      <c r="G665" s="617" t="s">
        <v>141</v>
      </c>
      <c r="H665" s="620" t="s">
        <v>149</v>
      </c>
      <c r="I665" s="621">
        <v>25</v>
      </c>
      <c r="J665" s="621">
        <v>0.5</v>
      </c>
      <c r="K665" s="603">
        <f t="shared" si="66"/>
        <v>15</v>
      </c>
      <c r="L665" s="604">
        <v>0.63541666666666663</v>
      </c>
      <c r="M665" s="605">
        <f t="shared" si="61"/>
        <v>0.63541666666666663</v>
      </c>
      <c r="N665" s="663"/>
      <c r="P665" s="37" t="str">
        <f t="shared" si="62"/>
        <v>1995F0</v>
      </c>
      <c r="Q665" s="37" t="str">
        <f t="shared" si="63"/>
        <v>F015</v>
      </c>
      <c r="R665" s="37" t="str">
        <f t="shared" si="64"/>
        <v>MayF0</v>
      </c>
    </row>
    <row r="666" spans="1:18">
      <c r="A666" s="616">
        <f t="shared" si="65"/>
        <v>662</v>
      </c>
      <c r="B666" s="617">
        <v>11</v>
      </c>
      <c r="C666" s="618">
        <v>34841</v>
      </c>
      <c r="D666" s="618" t="s">
        <v>177</v>
      </c>
      <c r="E666" s="633">
        <v>22</v>
      </c>
      <c r="F666" s="603">
        <v>1995</v>
      </c>
      <c r="G666" s="617" t="s">
        <v>143</v>
      </c>
      <c r="H666" s="620" t="s">
        <v>149</v>
      </c>
      <c r="I666" s="621">
        <v>50</v>
      </c>
      <c r="J666" s="621">
        <v>1</v>
      </c>
      <c r="K666" s="603">
        <f t="shared" si="66"/>
        <v>18</v>
      </c>
      <c r="L666" s="604">
        <v>0.76249999999999996</v>
      </c>
      <c r="M666" s="605">
        <f t="shared" si="61"/>
        <v>0.76249999999999996</v>
      </c>
      <c r="N666" s="663"/>
      <c r="P666" s="37" t="str">
        <f t="shared" si="62"/>
        <v>1995F0</v>
      </c>
      <c r="Q666" s="37" t="str">
        <f t="shared" si="63"/>
        <v>F018</v>
      </c>
      <c r="R666" s="37" t="str">
        <f t="shared" si="64"/>
        <v>MayF0</v>
      </c>
    </row>
    <row r="667" spans="1:18">
      <c r="A667" s="616">
        <f t="shared" si="65"/>
        <v>663</v>
      </c>
      <c r="B667" s="617">
        <v>12</v>
      </c>
      <c r="C667" s="618">
        <v>34841</v>
      </c>
      <c r="D667" s="618" t="s">
        <v>177</v>
      </c>
      <c r="E667" s="633">
        <v>22</v>
      </c>
      <c r="F667" s="603">
        <v>1995</v>
      </c>
      <c r="G667" s="617" t="s">
        <v>143</v>
      </c>
      <c r="H667" s="620" t="s">
        <v>149</v>
      </c>
      <c r="I667" s="621">
        <v>25</v>
      </c>
      <c r="J667" s="621">
        <v>0.3</v>
      </c>
      <c r="K667" s="603">
        <f t="shared" si="66"/>
        <v>19</v>
      </c>
      <c r="L667" s="604">
        <v>0.81597222222222221</v>
      </c>
      <c r="M667" s="605">
        <f t="shared" si="61"/>
        <v>0.81597222222222221</v>
      </c>
      <c r="N667" s="663"/>
      <c r="P667" s="37" t="str">
        <f t="shared" si="62"/>
        <v>1995F0</v>
      </c>
      <c r="Q667" s="37" t="str">
        <f t="shared" si="63"/>
        <v>F019</v>
      </c>
      <c r="R667" s="37" t="str">
        <f t="shared" si="64"/>
        <v>MayF0</v>
      </c>
    </row>
    <row r="668" spans="1:18">
      <c r="A668" s="616">
        <f t="shared" si="65"/>
        <v>664</v>
      </c>
      <c r="B668" s="617">
        <v>13</v>
      </c>
      <c r="C668" s="618">
        <v>34841</v>
      </c>
      <c r="D668" s="618" t="s">
        <v>177</v>
      </c>
      <c r="E668" s="633">
        <v>22</v>
      </c>
      <c r="F668" s="603">
        <v>1995</v>
      </c>
      <c r="G668" s="617" t="s">
        <v>143</v>
      </c>
      <c r="H668" s="620" t="s">
        <v>149</v>
      </c>
      <c r="I668" s="621">
        <v>75</v>
      </c>
      <c r="J668" s="621">
        <v>1</v>
      </c>
      <c r="K668" s="603">
        <f t="shared" si="66"/>
        <v>20</v>
      </c>
      <c r="L668" s="604">
        <v>0.8340277777777777</v>
      </c>
      <c r="M668" s="605">
        <f t="shared" si="61"/>
        <v>0.8340277777777777</v>
      </c>
      <c r="N668" s="663"/>
      <c r="P668" s="37" t="str">
        <f t="shared" si="62"/>
        <v>1995F0</v>
      </c>
      <c r="Q668" s="37" t="str">
        <f t="shared" si="63"/>
        <v>F020</v>
      </c>
      <c r="R668" s="37" t="str">
        <f t="shared" si="64"/>
        <v>MayF0</v>
      </c>
    </row>
    <row r="669" spans="1:18">
      <c r="A669" s="616">
        <f t="shared" si="65"/>
        <v>665</v>
      </c>
      <c r="B669" s="617">
        <v>14</v>
      </c>
      <c r="C669" s="618">
        <v>34845</v>
      </c>
      <c r="D669" s="618" t="s">
        <v>177</v>
      </c>
      <c r="E669" s="633">
        <v>26</v>
      </c>
      <c r="F669" s="603">
        <v>1995</v>
      </c>
      <c r="G669" s="617" t="s">
        <v>146</v>
      </c>
      <c r="H669" s="620" t="s">
        <v>149</v>
      </c>
      <c r="I669" s="621">
        <v>100</v>
      </c>
      <c r="J669" s="621">
        <v>1</v>
      </c>
      <c r="K669" s="603">
        <f t="shared" si="66"/>
        <v>15</v>
      </c>
      <c r="L669" s="604">
        <v>0.66319444444444442</v>
      </c>
      <c r="M669" s="605">
        <f t="shared" si="61"/>
        <v>0.66319444444444442</v>
      </c>
      <c r="N669" s="663"/>
      <c r="P669" s="37" t="str">
        <f t="shared" si="62"/>
        <v>1995F0</v>
      </c>
      <c r="Q669" s="37" t="str">
        <f t="shared" si="63"/>
        <v>F015</v>
      </c>
      <c r="R669" s="37" t="str">
        <f t="shared" si="64"/>
        <v>MayF0</v>
      </c>
    </row>
    <row r="670" spans="1:18">
      <c r="A670" s="616">
        <f t="shared" si="65"/>
        <v>666</v>
      </c>
      <c r="B670" s="617">
        <v>15</v>
      </c>
      <c r="C670" s="618">
        <v>34849</v>
      </c>
      <c r="D670" s="618" t="s">
        <v>177</v>
      </c>
      <c r="E670" s="633">
        <v>30</v>
      </c>
      <c r="F670" s="603">
        <v>1995</v>
      </c>
      <c r="G670" s="617" t="s">
        <v>127</v>
      </c>
      <c r="H670" s="620" t="s">
        <v>149</v>
      </c>
      <c r="I670" s="621">
        <v>50</v>
      </c>
      <c r="J670" s="621">
        <v>0.5</v>
      </c>
      <c r="K670" s="603">
        <f t="shared" si="66"/>
        <v>18</v>
      </c>
      <c r="L670" s="604">
        <v>0.76111111111111107</v>
      </c>
      <c r="M670" s="605">
        <f t="shared" si="61"/>
        <v>0.76111111111111107</v>
      </c>
      <c r="N670" s="663"/>
      <c r="P670" s="37" t="str">
        <f t="shared" si="62"/>
        <v>1995F0</v>
      </c>
      <c r="Q670" s="37" t="str">
        <f t="shared" si="63"/>
        <v>F018</v>
      </c>
      <c r="R670" s="37" t="str">
        <f t="shared" si="64"/>
        <v>MayF0</v>
      </c>
    </row>
    <row r="671" spans="1:18">
      <c r="A671" s="616">
        <f t="shared" si="65"/>
        <v>667</v>
      </c>
      <c r="B671" s="617">
        <v>16</v>
      </c>
      <c r="C671" s="618">
        <v>34849</v>
      </c>
      <c r="D671" s="618" t="s">
        <v>177</v>
      </c>
      <c r="E671" s="633">
        <v>30</v>
      </c>
      <c r="F671" s="603">
        <v>1995</v>
      </c>
      <c r="G671" s="617" t="s">
        <v>142</v>
      </c>
      <c r="H671" s="620" t="s">
        <v>149</v>
      </c>
      <c r="I671" s="621">
        <v>200</v>
      </c>
      <c r="J671" s="621">
        <v>2</v>
      </c>
      <c r="K671" s="603">
        <f t="shared" si="66"/>
        <v>19</v>
      </c>
      <c r="L671" s="604">
        <v>0.80208333333333337</v>
      </c>
      <c r="M671" s="605">
        <f t="shared" si="61"/>
        <v>0.80208333333333337</v>
      </c>
      <c r="N671" s="663"/>
      <c r="P671" s="37" t="str">
        <f t="shared" si="62"/>
        <v>1995F0</v>
      </c>
      <c r="Q671" s="37" t="str">
        <f t="shared" si="63"/>
        <v>F019</v>
      </c>
      <c r="R671" s="37" t="str">
        <f t="shared" si="64"/>
        <v>MayF0</v>
      </c>
    </row>
    <row r="672" spans="1:18">
      <c r="A672" s="616">
        <f t="shared" si="65"/>
        <v>668</v>
      </c>
      <c r="B672" s="617">
        <v>17</v>
      </c>
      <c r="C672" s="618">
        <v>34850</v>
      </c>
      <c r="D672" s="618" t="s">
        <v>177</v>
      </c>
      <c r="E672" s="633">
        <v>31</v>
      </c>
      <c r="F672" s="603">
        <v>1995</v>
      </c>
      <c r="G672" s="617" t="s">
        <v>142</v>
      </c>
      <c r="H672" s="620" t="s">
        <v>149</v>
      </c>
      <c r="I672" s="621">
        <v>25</v>
      </c>
      <c r="J672" s="621">
        <v>0.1</v>
      </c>
      <c r="K672" s="603">
        <f t="shared" si="66"/>
        <v>12</v>
      </c>
      <c r="L672" s="604">
        <v>0.52083333333333337</v>
      </c>
      <c r="M672" s="605">
        <f t="shared" si="61"/>
        <v>0.52083333333333337</v>
      </c>
      <c r="N672" s="663"/>
      <c r="P672" s="37" t="str">
        <f t="shared" si="62"/>
        <v>1995F0</v>
      </c>
      <c r="Q672" s="37" t="str">
        <f t="shared" si="63"/>
        <v>F012</v>
      </c>
      <c r="R672" s="37" t="str">
        <f t="shared" si="64"/>
        <v>MayF0</v>
      </c>
    </row>
    <row r="673" spans="1:18">
      <c r="A673" s="616">
        <f t="shared" si="65"/>
        <v>669</v>
      </c>
      <c r="B673" s="617">
        <v>18</v>
      </c>
      <c r="C673" s="618">
        <v>34852</v>
      </c>
      <c r="D673" s="618" t="s">
        <v>178</v>
      </c>
      <c r="E673" s="633">
        <v>2</v>
      </c>
      <c r="F673" s="603">
        <v>1995</v>
      </c>
      <c r="G673" s="617" t="s">
        <v>134</v>
      </c>
      <c r="H673" s="620" t="s">
        <v>150</v>
      </c>
      <c r="I673" s="621">
        <v>150</v>
      </c>
      <c r="J673" s="621">
        <v>11</v>
      </c>
      <c r="K673" s="603">
        <f t="shared" si="66"/>
        <v>17</v>
      </c>
      <c r="L673" s="604">
        <v>0.72569444444444453</v>
      </c>
      <c r="M673" s="605">
        <f t="shared" si="61"/>
        <v>0.72569444444444453</v>
      </c>
      <c r="N673" s="663">
        <v>0.73263888888888884</v>
      </c>
      <c r="P673" s="37" t="str">
        <f t="shared" si="62"/>
        <v>1995F1</v>
      </c>
      <c r="Q673" s="37" t="str">
        <f t="shared" si="63"/>
        <v>F117</v>
      </c>
      <c r="R673" s="37" t="str">
        <f t="shared" si="64"/>
        <v>JuneF1</v>
      </c>
    </row>
    <row r="674" spans="1:18">
      <c r="A674" s="616">
        <f t="shared" si="65"/>
        <v>670</v>
      </c>
      <c r="B674" s="617">
        <v>19</v>
      </c>
      <c r="C674" s="618">
        <v>34858</v>
      </c>
      <c r="D674" s="618" t="s">
        <v>178</v>
      </c>
      <c r="E674" s="633">
        <v>8</v>
      </c>
      <c r="F674" s="603">
        <v>1995</v>
      </c>
      <c r="G674" s="617" t="s">
        <v>142</v>
      </c>
      <c r="H674" s="620" t="s">
        <v>149</v>
      </c>
      <c r="I674" s="621">
        <v>50</v>
      </c>
      <c r="J674" s="621">
        <v>0.1</v>
      </c>
      <c r="K674" s="603">
        <f t="shared" si="66"/>
        <v>15</v>
      </c>
      <c r="L674" s="604">
        <v>0.64375000000000004</v>
      </c>
      <c r="M674" s="605">
        <f t="shared" si="61"/>
        <v>0.64375000000000004</v>
      </c>
      <c r="N674" s="663">
        <v>0.64652777777777781</v>
      </c>
      <c r="P674" s="37" t="str">
        <f t="shared" si="62"/>
        <v>1995F0</v>
      </c>
      <c r="Q674" s="37" t="str">
        <f t="shared" si="63"/>
        <v>F015</v>
      </c>
      <c r="R674" s="37" t="str">
        <f t="shared" si="64"/>
        <v>JuneF0</v>
      </c>
    </row>
    <row r="675" spans="1:18">
      <c r="A675" s="616">
        <f t="shared" si="65"/>
        <v>671</v>
      </c>
      <c r="B675" s="617">
        <v>20</v>
      </c>
      <c r="C675" s="618">
        <v>34858</v>
      </c>
      <c r="D675" s="618" t="s">
        <v>178</v>
      </c>
      <c r="E675" s="633">
        <v>8</v>
      </c>
      <c r="F675" s="603">
        <v>1995</v>
      </c>
      <c r="G675" s="617" t="s">
        <v>142</v>
      </c>
      <c r="H675" s="620" t="s">
        <v>153</v>
      </c>
      <c r="I675" s="621">
        <v>200</v>
      </c>
      <c r="J675" s="621">
        <v>3</v>
      </c>
      <c r="K675" s="603">
        <f t="shared" si="66"/>
        <v>15</v>
      </c>
      <c r="L675" s="604">
        <v>0.64652777777777781</v>
      </c>
      <c r="M675" s="605">
        <f t="shared" si="61"/>
        <v>0.64652777777777781</v>
      </c>
      <c r="N675" s="663"/>
      <c r="P675" s="37" t="str">
        <f t="shared" si="62"/>
        <v>1995F4</v>
      </c>
      <c r="Q675" s="37" t="str">
        <f t="shared" si="63"/>
        <v>F415</v>
      </c>
      <c r="R675" s="37" t="str">
        <f t="shared" si="64"/>
        <v>JuneF4</v>
      </c>
    </row>
    <row r="676" spans="1:18">
      <c r="A676" s="616">
        <f t="shared" si="65"/>
        <v>672</v>
      </c>
      <c r="B676" s="617">
        <v>21</v>
      </c>
      <c r="C676" s="618">
        <v>34858</v>
      </c>
      <c r="D676" s="618" t="s">
        <v>178</v>
      </c>
      <c r="E676" s="633">
        <v>8</v>
      </c>
      <c r="F676" s="603">
        <v>1995</v>
      </c>
      <c r="G676" s="617" t="s">
        <v>142</v>
      </c>
      <c r="H676" s="620" t="s">
        <v>149</v>
      </c>
      <c r="I676" s="621">
        <v>100</v>
      </c>
      <c r="J676" s="621">
        <v>0.3</v>
      </c>
      <c r="K676" s="603">
        <f t="shared" si="66"/>
        <v>15</v>
      </c>
      <c r="L676" s="604">
        <v>0.65972222222222221</v>
      </c>
      <c r="M676" s="605">
        <f t="shared" si="61"/>
        <v>0.65972222222222221</v>
      </c>
      <c r="N676" s="663"/>
      <c r="P676" s="37" t="str">
        <f t="shared" si="62"/>
        <v>1995F0</v>
      </c>
      <c r="Q676" s="37" t="str">
        <f t="shared" si="63"/>
        <v>F015</v>
      </c>
      <c r="R676" s="37" t="str">
        <f t="shared" si="64"/>
        <v>JuneF0</v>
      </c>
    </row>
    <row r="677" spans="1:18" ht="30.75" customHeight="1">
      <c r="A677" s="616">
        <f t="shared" si="65"/>
        <v>673</v>
      </c>
      <c r="B677" s="617">
        <v>22</v>
      </c>
      <c r="C677" s="618">
        <v>34858</v>
      </c>
      <c r="D677" s="618" t="s">
        <v>178</v>
      </c>
      <c r="E677" s="633">
        <v>8</v>
      </c>
      <c r="F677" s="603">
        <v>1995</v>
      </c>
      <c r="G677" s="617" t="s">
        <v>142</v>
      </c>
      <c r="H677" s="620" t="s">
        <v>151</v>
      </c>
      <c r="I677" s="621">
        <v>400</v>
      </c>
      <c r="J677" s="621">
        <v>6</v>
      </c>
      <c r="K677" s="603">
        <f t="shared" si="66"/>
        <v>15</v>
      </c>
      <c r="L677" s="604">
        <v>0.65972222222222221</v>
      </c>
      <c r="M677" s="605">
        <f t="shared" si="61"/>
        <v>0.65972222222222221</v>
      </c>
      <c r="N677" s="663">
        <v>0.66527777777777775</v>
      </c>
      <c r="P677" s="37" t="str">
        <f t="shared" si="62"/>
        <v>1995F2</v>
      </c>
      <c r="Q677" s="37" t="str">
        <f t="shared" si="63"/>
        <v>F215</v>
      </c>
      <c r="R677" s="37" t="str">
        <f t="shared" si="64"/>
        <v>JuneF2</v>
      </c>
    </row>
    <row r="678" spans="1:18">
      <c r="A678" s="616">
        <f t="shared" si="65"/>
        <v>674</v>
      </c>
      <c r="B678" s="617">
        <v>23</v>
      </c>
      <c r="C678" s="618">
        <v>34858</v>
      </c>
      <c r="D678" s="618" t="s">
        <v>178</v>
      </c>
      <c r="E678" s="633">
        <v>8</v>
      </c>
      <c r="F678" s="603">
        <v>1995</v>
      </c>
      <c r="G678" s="617" t="s">
        <v>137</v>
      </c>
      <c r="H678" s="620" t="s">
        <v>150</v>
      </c>
      <c r="I678" s="621">
        <v>200</v>
      </c>
      <c r="J678" s="621">
        <v>3</v>
      </c>
      <c r="K678" s="603">
        <f t="shared" si="66"/>
        <v>15</v>
      </c>
      <c r="L678" s="604">
        <v>0.66319444444444442</v>
      </c>
      <c r="M678" s="605">
        <f t="shared" si="61"/>
        <v>0.66319444444444442</v>
      </c>
      <c r="N678" s="663">
        <v>0.67708333333333337</v>
      </c>
      <c r="P678" s="37" t="str">
        <f t="shared" si="62"/>
        <v>1995F1</v>
      </c>
      <c r="Q678" s="37" t="str">
        <f t="shared" si="63"/>
        <v>F115</v>
      </c>
      <c r="R678" s="37" t="str">
        <f t="shared" si="64"/>
        <v>JuneF1</v>
      </c>
    </row>
    <row r="679" spans="1:18">
      <c r="A679" s="616">
        <f t="shared" si="65"/>
        <v>675</v>
      </c>
      <c r="B679" s="617">
        <v>24</v>
      </c>
      <c r="C679" s="618">
        <v>34858</v>
      </c>
      <c r="D679" s="618" t="s">
        <v>178</v>
      </c>
      <c r="E679" s="633">
        <v>8</v>
      </c>
      <c r="F679" s="603">
        <v>1995</v>
      </c>
      <c r="G679" s="617" t="s">
        <v>142</v>
      </c>
      <c r="H679" s="620" t="s">
        <v>150</v>
      </c>
      <c r="I679" s="621">
        <v>250</v>
      </c>
      <c r="J679" s="621">
        <v>2</v>
      </c>
      <c r="K679" s="603">
        <f t="shared" si="66"/>
        <v>16</v>
      </c>
      <c r="L679" s="604">
        <v>0.66666666666666663</v>
      </c>
      <c r="M679" s="605">
        <f t="shared" si="61"/>
        <v>0.66666666666666663</v>
      </c>
      <c r="N679" s="663">
        <v>0.67361111111111116</v>
      </c>
      <c r="P679" s="37" t="str">
        <f t="shared" si="62"/>
        <v>1995F1</v>
      </c>
      <c r="Q679" s="37" t="str">
        <f t="shared" si="63"/>
        <v>F116</v>
      </c>
      <c r="R679" s="37" t="str">
        <f t="shared" si="64"/>
        <v>JuneF1</v>
      </c>
    </row>
    <row r="680" spans="1:18">
      <c r="A680" s="616">
        <f t="shared" si="65"/>
        <v>676</v>
      </c>
      <c r="B680" s="617">
        <v>25</v>
      </c>
      <c r="C680" s="618">
        <v>34858</v>
      </c>
      <c r="D680" s="618" t="s">
        <v>178</v>
      </c>
      <c r="E680" s="633">
        <v>8</v>
      </c>
      <c r="F680" s="603">
        <v>1995</v>
      </c>
      <c r="G680" s="617" t="s">
        <v>132</v>
      </c>
      <c r="H680" s="620" t="s">
        <v>149</v>
      </c>
      <c r="I680" s="621">
        <v>75</v>
      </c>
      <c r="J680" s="621">
        <v>1</v>
      </c>
      <c r="K680" s="603">
        <f t="shared" si="66"/>
        <v>16</v>
      </c>
      <c r="L680" s="604">
        <v>0.67708333333333337</v>
      </c>
      <c r="M680" s="605">
        <f t="shared" si="61"/>
        <v>0.67708333333333337</v>
      </c>
      <c r="N680" s="663"/>
      <c r="P680" s="37" t="str">
        <f t="shared" si="62"/>
        <v>1995F0</v>
      </c>
      <c r="Q680" s="37" t="str">
        <f t="shared" si="63"/>
        <v>F016</v>
      </c>
      <c r="R680" s="37" t="str">
        <f t="shared" si="64"/>
        <v>JuneF0</v>
      </c>
    </row>
    <row r="681" spans="1:18">
      <c r="A681" s="616">
        <f t="shared" si="65"/>
        <v>677</v>
      </c>
      <c r="B681" s="617">
        <v>26</v>
      </c>
      <c r="C681" s="618">
        <v>34858</v>
      </c>
      <c r="D681" s="618" t="s">
        <v>178</v>
      </c>
      <c r="E681" s="633">
        <v>8</v>
      </c>
      <c r="F681" s="603">
        <v>1995</v>
      </c>
      <c r="G681" s="617" t="s">
        <v>147</v>
      </c>
      <c r="H681" s="620" t="s">
        <v>149</v>
      </c>
      <c r="I681" s="621">
        <v>100</v>
      </c>
      <c r="J681" s="621">
        <v>2</v>
      </c>
      <c r="K681" s="603">
        <f t="shared" si="66"/>
        <v>16</v>
      </c>
      <c r="L681" s="604">
        <v>0.67986111111111114</v>
      </c>
      <c r="M681" s="605">
        <f t="shared" si="61"/>
        <v>0.67986111111111114</v>
      </c>
      <c r="N681" s="663"/>
      <c r="P681" s="37" t="str">
        <f t="shared" si="62"/>
        <v>1995F0</v>
      </c>
      <c r="Q681" s="37" t="str">
        <f t="shared" si="63"/>
        <v>F016</v>
      </c>
      <c r="R681" s="37" t="str">
        <f t="shared" si="64"/>
        <v>JuneF0</v>
      </c>
    </row>
    <row r="682" spans="1:18">
      <c r="A682" s="616">
        <f t="shared" si="65"/>
        <v>678</v>
      </c>
      <c r="B682" s="617">
        <v>27</v>
      </c>
      <c r="C682" s="618">
        <v>34858</v>
      </c>
      <c r="D682" s="618" t="s">
        <v>178</v>
      </c>
      <c r="E682" s="633">
        <v>8</v>
      </c>
      <c r="F682" s="603">
        <v>1995</v>
      </c>
      <c r="G682" s="617" t="s">
        <v>137</v>
      </c>
      <c r="H682" s="620" t="s">
        <v>150</v>
      </c>
      <c r="I682" s="621">
        <v>250</v>
      </c>
      <c r="J682" s="621">
        <v>10</v>
      </c>
      <c r="K682" s="603">
        <f t="shared" si="66"/>
        <v>16</v>
      </c>
      <c r="L682" s="604">
        <v>0.69097222222222221</v>
      </c>
      <c r="M682" s="605">
        <f t="shared" si="61"/>
        <v>0.69097222222222221</v>
      </c>
      <c r="N682" s="663">
        <v>0.70138888888888884</v>
      </c>
      <c r="P682" s="37" t="str">
        <f t="shared" si="62"/>
        <v>1995F1</v>
      </c>
      <c r="Q682" s="37" t="str">
        <f t="shared" si="63"/>
        <v>F116</v>
      </c>
      <c r="R682" s="37" t="str">
        <f t="shared" si="64"/>
        <v>JuneF1</v>
      </c>
    </row>
    <row r="683" spans="1:18">
      <c r="A683" s="616">
        <f t="shared" si="65"/>
        <v>679</v>
      </c>
      <c r="B683" s="617">
        <v>28</v>
      </c>
      <c r="C683" s="618">
        <v>34858</v>
      </c>
      <c r="D683" s="618" t="s">
        <v>178</v>
      </c>
      <c r="E683" s="633">
        <v>8</v>
      </c>
      <c r="F683" s="603">
        <v>1995</v>
      </c>
      <c r="G683" s="635" t="s">
        <v>147</v>
      </c>
      <c r="H683" s="636" t="s">
        <v>151</v>
      </c>
      <c r="I683" s="637">
        <v>500</v>
      </c>
      <c r="J683" s="637">
        <v>10</v>
      </c>
      <c r="K683" s="638">
        <f t="shared" si="66"/>
        <v>16</v>
      </c>
      <c r="L683" s="604">
        <v>0.70486111111111116</v>
      </c>
      <c r="M683" s="639">
        <f t="shared" si="61"/>
        <v>0.70486111111111116</v>
      </c>
      <c r="N683" s="663">
        <v>0.71527777777777779</v>
      </c>
      <c r="P683" s="37" t="str">
        <f t="shared" si="62"/>
        <v>1995F2</v>
      </c>
      <c r="Q683" s="37" t="str">
        <f t="shared" si="63"/>
        <v>F216</v>
      </c>
      <c r="R683" s="37" t="str">
        <f t="shared" si="64"/>
        <v>JuneF2</v>
      </c>
    </row>
    <row r="684" spans="1:18">
      <c r="A684" s="616">
        <f t="shared" si="65"/>
        <v>680</v>
      </c>
      <c r="B684" s="617">
        <v>29</v>
      </c>
      <c r="C684" s="618">
        <v>34858</v>
      </c>
      <c r="D684" s="618" t="s">
        <v>178</v>
      </c>
      <c r="E684" s="633">
        <v>8</v>
      </c>
      <c r="F684" s="603">
        <v>1995</v>
      </c>
      <c r="G684" s="635" t="s">
        <v>142</v>
      </c>
      <c r="H684" s="636" t="s">
        <v>151</v>
      </c>
      <c r="I684" s="637">
        <v>300</v>
      </c>
      <c r="J684" s="637">
        <v>4</v>
      </c>
      <c r="K684" s="638">
        <f t="shared" si="66"/>
        <v>16</v>
      </c>
      <c r="L684" s="604">
        <v>0.70763888888888893</v>
      </c>
      <c r="M684" s="639">
        <f t="shared" si="61"/>
        <v>0.70763888888888893</v>
      </c>
      <c r="N684" s="663">
        <v>0.72569444444444453</v>
      </c>
      <c r="P684" s="37" t="str">
        <f t="shared" si="62"/>
        <v>1995F2</v>
      </c>
      <c r="Q684" s="37" t="str">
        <f t="shared" si="63"/>
        <v>F216</v>
      </c>
      <c r="R684" s="37" t="str">
        <f t="shared" si="64"/>
        <v>JuneF2</v>
      </c>
    </row>
    <row r="685" spans="1:18" ht="42" customHeight="1">
      <c r="A685" s="616">
        <f t="shared" si="65"/>
        <v>681</v>
      </c>
      <c r="B685" s="617">
        <v>30</v>
      </c>
      <c r="C685" s="618">
        <v>34858</v>
      </c>
      <c r="D685" s="618" t="s">
        <v>178</v>
      </c>
      <c r="E685" s="633">
        <v>8</v>
      </c>
      <c r="F685" s="603">
        <v>1995</v>
      </c>
      <c r="G685" s="635" t="s">
        <v>147</v>
      </c>
      <c r="H685" s="636" t="s">
        <v>151</v>
      </c>
      <c r="I685" s="637">
        <v>400</v>
      </c>
      <c r="J685" s="637">
        <v>9</v>
      </c>
      <c r="K685" s="638">
        <f t="shared" si="66"/>
        <v>17</v>
      </c>
      <c r="L685" s="604">
        <v>0.71527777777777779</v>
      </c>
      <c r="M685" s="639">
        <f t="shared" si="61"/>
        <v>0.71527777777777779</v>
      </c>
      <c r="N685" s="663">
        <v>0.72569444444444453</v>
      </c>
      <c r="P685" s="37" t="str">
        <f t="shared" si="62"/>
        <v>1995F2</v>
      </c>
      <c r="Q685" s="37" t="str">
        <f t="shared" si="63"/>
        <v>F217</v>
      </c>
      <c r="R685" s="37" t="str">
        <f t="shared" si="64"/>
        <v>JuneF2</v>
      </c>
    </row>
    <row r="686" spans="1:18">
      <c r="A686" s="616">
        <f t="shared" si="65"/>
        <v>682</v>
      </c>
      <c r="B686" s="617">
        <v>31</v>
      </c>
      <c r="C686" s="618">
        <v>34858</v>
      </c>
      <c r="D686" s="618" t="s">
        <v>178</v>
      </c>
      <c r="E686" s="633">
        <v>8</v>
      </c>
      <c r="F686" s="603">
        <v>1995</v>
      </c>
      <c r="G686" s="617" t="s">
        <v>142</v>
      </c>
      <c r="H686" s="620" t="s">
        <v>149</v>
      </c>
      <c r="I686" s="621">
        <v>100</v>
      </c>
      <c r="J686" s="621">
        <v>2</v>
      </c>
      <c r="K686" s="603">
        <f t="shared" si="66"/>
        <v>17</v>
      </c>
      <c r="L686" s="604">
        <v>0.71527777777777779</v>
      </c>
      <c r="M686" s="605">
        <f t="shared" si="61"/>
        <v>0.71527777777777779</v>
      </c>
      <c r="N686" s="663"/>
      <c r="P686" s="37" t="str">
        <f t="shared" si="62"/>
        <v>1995F0</v>
      </c>
      <c r="Q686" s="37" t="str">
        <f t="shared" si="63"/>
        <v>F017</v>
      </c>
      <c r="R686" s="37" t="str">
        <f t="shared" si="64"/>
        <v>JuneF0</v>
      </c>
    </row>
    <row r="687" spans="1:18">
      <c r="A687" s="616">
        <f t="shared" si="65"/>
        <v>683</v>
      </c>
      <c r="B687" s="617">
        <v>32</v>
      </c>
      <c r="C687" s="618">
        <v>34858</v>
      </c>
      <c r="D687" s="618" t="s">
        <v>178</v>
      </c>
      <c r="E687" s="633">
        <v>8</v>
      </c>
      <c r="F687" s="603">
        <v>1995</v>
      </c>
      <c r="G687" s="617" t="s">
        <v>142</v>
      </c>
      <c r="H687" s="620" t="s">
        <v>149</v>
      </c>
      <c r="I687" s="621">
        <v>50</v>
      </c>
      <c r="J687" s="621">
        <v>1</v>
      </c>
      <c r="K687" s="603">
        <f t="shared" si="66"/>
        <v>17</v>
      </c>
      <c r="L687" s="604">
        <v>0.72291666666666676</v>
      </c>
      <c r="M687" s="605">
        <f t="shared" si="61"/>
        <v>0.72291666666666676</v>
      </c>
      <c r="N687" s="663"/>
      <c r="P687" s="37" t="str">
        <f t="shared" si="62"/>
        <v>1995F0</v>
      </c>
      <c r="Q687" s="37" t="str">
        <f t="shared" si="63"/>
        <v>F017</v>
      </c>
      <c r="R687" s="37" t="str">
        <f t="shared" si="64"/>
        <v>JuneF0</v>
      </c>
    </row>
    <row r="688" spans="1:18" ht="56.25" customHeight="1">
      <c r="A688" s="616">
        <f t="shared" si="65"/>
        <v>684</v>
      </c>
      <c r="B688" s="617">
        <v>33</v>
      </c>
      <c r="C688" s="618">
        <v>34858</v>
      </c>
      <c r="D688" s="618" t="s">
        <v>178</v>
      </c>
      <c r="E688" s="633">
        <v>8</v>
      </c>
      <c r="F688" s="603">
        <v>1995</v>
      </c>
      <c r="G688" s="617" t="s">
        <v>142</v>
      </c>
      <c r="H688" s="620" t="s">
        <v>153</v>
      </c>
      <c r="I688" s="621">
        <v>600</v>
      </c>
      <c r="J688" s="621">
        <v>29</v>
      </c>
      <c r="K688" s="603">
        <f t="shared" si="66"/>
        <v>17</v>
      </c>
      <c r="L688" s="604">
        <v>0.73263888888888884</v>
      </c>
      <c r="M688" s="605">
        <f t="shared" si="61"/>
        <v>0.73263888888888884</v>
      </c>
      <c r="N688" s="663">
        <v>0.77083333333333337</v>
      </c>
      <c r="P688" s="37" t="str">
        <f t="shared" si="62"/>
        <v>1995F4</v>
      </c>
      <c r="Q688" s="37" t="str">
        <f t="shared" si="63"/>
        <v>F417</v>
      </c>
      <c r="R688" s="37" t="str">
        <f t="shared" si="64"/>
        <v>JuneF4</v>
      </c>
    </row>
    <row r="689" spans="1:18">
      <c r="A689" s="616">
        <f t="shared" si="65"/>
        <v>685</v>
      </c>
      <c r="B689" s="617">
        <v>34</v>
      </c>
      <c r="C689" s="618">
        <v>34858</v>
      </c>
      <c r="D689" s="618" t="s">
        <v>178</v>
      </c>
      <c r="E689" s="633">
        <v>8</v>
      </c>
      <c r="F689" s="603">
        <v>1995</v>
      </c>
      <c r="G689" s="617" t="s">
        <v>138</v>
      </c>
      <c r="H689" s="620" t="s">
        <v>149</v>
      </c>
      <c r="I689" s="621">
        <v>150</v>
      </c>
      <c r="J689" s="621">
        <v>4</v>
      </c>
      <c r="K689" s="603">
        <f t="shared" si="66"/>
        <v>17</v>
      </c>
      <c r="L689" s="604">
        <v>0.73819444444444438</v>
      </c>
      <c r="M689" s="605">
        <f t="shared" si="61"/>
        <v>0.73819444444444438</v>
      </c>
      <c r="N689" s="663">
        <v>0.74236111111111114</v>
      </c>
      <c r="P689" s="37" t="str">
        <f t="shared" si="62"/>
        <v>1995F0</v>
      </c>
      <c r="Q689" s="37" t="str">
        <f t="shared" si="63"/>
        <v>F017</v>
      </c>
      <c r="R689" s="37" t="str">
        <f t="shared" si="64"/>
        <v>JuneF0</v>
      </c>
    </row>
    <row r="690" spans="1:18" ht="15" customHeight="1">
      <c r="A690" s="616">
        <f t="shared" si="65"/>
        <v>686</v>
      </c>
      <c r="B690" s="617">
        <v>35</v>
      </c>
      <c r="C690" s="618">
        <v>34858</v>
      </c>
      <c r="D690" s="618" t="s">
        <v>178</v>
      </c>
      <c r="E690" s="633">
        <v>8</v>
      </c>
      <c r="F690" s="603">
        <v>1995</v>
      </c>
      <c r="G690" s="617" t="s">
        <v>137</v>
      </c>
      <c r="H690" s="620" t="s">
        <v>149</v>
      </c>
      <c r="I690" s="621">
        <v>50</v>
      </c>
      <c r="J690" s="621">
        <v>0.5</v>
      </c>
      <c r="K690" s="603">
        <f t="shared" si="66"/>
        <v>17</v>
      </c>
      <c r="L690" s="604">
        <v>0.74513888888888891</v>
      </c>
      <c r="M690" s="605">
        <f t="shared" si="61"/>
        <v>0.74513888888888891</v>
      </c>
      <c r="N690" s="663"/>
      <c r="P690" s="37" t="str">
        <f t="shared" si="62"/>
        <v>1995F0</v>
      </c>
      <c r="Q690" s="37" t="str">
        <f t="shared" si="63"/>
        <v>F017</v>
      </c>
      <c r="R690" s="37" t="str">
        <f t="shared" si="64"/>
        <v>JuneF0</v>
      </c>
    </row>
    <row r="691" spans="1:18" ht="66" customHeight="1">
      <c r="A691" s="616">
        <f t="shared" si="65"/>
        <v>687</v>
      </c>
      <c r="B691" s="617">
        <v>36</v>
      </c>
      <c r="C691" s="618">
        <v>34858</v>
      </c>
      <c r="D691" s="618" t="s">
        <v>178</v>
      </c>
      <c r="E691" s="633">
        <v>8</v>
      </c>
      <c r="F691" s="603">
        <v>1995</v>
      </c>
      <c r="G691" s="617" t="s">
        <v>143</v>
      </c>
      <c r="H691" s="620" t="s">
        <v>153</v>
      </c>
      <c r="I691" s="621">
        <v>2200</v>
      </c>
      <c r="J691" s="621">
        <v>15</v>
      </c>
      <c r="K691" s="603">
        <f t="shared" si="66"/>
        <v>18</v>
      </c>
      <c r="L691" s="604">
        <v>0.78125</v>
      </c>
      <c r="M691" s="605">
        <f t="shared" ref="M691:M753" si="67">+L691</f>
        <v>0.78125</v>
      </c>
      <c r="N691" s="663">
        <v>0.81319444444444444</v>
      </c>
      <c r="P691" s="37" t="str">
        <f t="shared" si="62"/>
        <v>1995F4</v>
      </c>
      <c r="Q691" s="37" t="str">
        <f t="shared" si="63"/>
        <v>F418</v>
      </c>
      <c r="R691" s="37" t="str">
        <f t="shared" si="64"/>
        <v>JuneF4</v>
      </c>
    </row>
    <row r="692" spans="1:18" ht="15.75" customHeight="1">
      <c r="A692" s="616">
        <f t="shared" si="65"/>
        <v>688</v>
      </c>
      <c r="B692" s="617">
        <v>37</v>
      </c>
      <c r="C692" s="618">
        <v>34882</v>
      </c>
      <c r="D692" s="618" t="s">
        <v>179</v>
      </c>
      <c r="E692" s="633">
        <v>2</v>
      </c>
      <c r="F692" s="603">
        <v>1995</v>
      </c>
      <c r="G692" s="617" t="s">
        <v>141</v>
      </c>
      <c r="H692" s="620" t="s">
        <v>149</v>
      </c>
      <c r="I692" s="621">
        <v>50</v>
      </c>
      <c r="J692" s="621">
        <v>0.3</v>
      </c>
      <c r="K692" s="603">
        <f t="shared" si="66"/>
        <v>19</v>
      </c>
      <c r="L692" s="604">
        <v>0.8222222222222223</v>
      </c>
      <c r="M692" s="605">
        <f t="shared" si="67"/>
        <v>0.8222222222222223</v>
      </c>
      <c r="N692" s="663"/>
      <c r="P692" s="37" t="str">
        <f t="shared" si="62"/>
        <v>1995F0</v>
      </c>
      <c r="Q692" s="37" t="str">
        <f t="shared" si="63"/>
        <v>F019</v>
      </c>
      <c r="R692" s="37" t="str">
        <f t="shared" si="64"/>
        <v>JulyF0</v>
      </c>
    </row>
    <row r="693" spans="1:18" ht="42" customHeight="1">
      <c r="A693" s="616">
        <f t="shared" si="65"/>
        <v>689</v>
      </c>
      <c r="B693" s="617">
        <v>38</v>
      </c>
      <c r="C693" s="618">
        <v>34882</v>
      </c>
      <c r="D693" s="618" t="s">
        <v>179</v>
      </c>
      <c r="E693" s="633">
        <v>2</v>
      </c>
      <c r="F693" s="603">
        <v>1995</v>
      </c>
      <c r="G693" s="617" t="s">
        <v>141</v>
      </c>
      <c r="H693" s="620" t="s">
        <v>149</v>
      </c>
      <c r="I693" s="621">
        <v>75</v>
      </c>
      <c r="J693" s="621">
        <v>0.5</v>
      </c>
      <c r="K693" s="603">
        <f t="shared" si="66"/>
        <v>20</v>
      </c>
      <c r="L693" s="604">
        <v>0.84375</v>
      </c>
      <c r="M693" s="605">
        <f t="shared" si="67"/>
        <v>0.84375</v>
      </c>
      <c r="N693" s="663">
        <v>0.85069444444444453</v>
      </c>
      <c r="P693" s="37" t="str">
        <f t="shared" si="62"/>
        <v>1995F0</v>
      </c>
      <c r="Q693" s="37" t="str">
        <f t="shared" si="63"/>
        <v>F020</v>
      </c>
      <c r="R693" s="37" t="str">
        <f t="shared" si="64"/>
        <v>JulyF0</v>
      </c>
    </row>
    <row r="694" spans="1:18">
      <c r="A694" s="616">
        <f t="shared" si="65"/>
        <v>690</v>
      </c>
      <c r="B694" s="617">
        <v>39</v>
      </c>
      <c r="C694" s="618">
        <v>34902</v>
      </c>
      <c r="D694" s="618" t="s">
        <v>179</v>
      </c>
      <c r="E694" s="633">
        <v>22</v>
      </c>
      <c r="F694" s="603">
        <v>1995</v>
      </c>
      <c r="G694" s="617" t="s">
        <v>138</v>
      </c>
      <c r="H694" s="620" t="s">
        <v>149</v>
      </c>
      <c r="I694" s="621">
        <v>25</v>
      </c>
      <c r="J694" s="621">
        <v>0.1</v>
      </c>
      <c r="K694" s="603">
        <f t="shared" si="66"/>
        <v>19</v>
      </c>
      <c r="L694" s="604">
        <v>0.80625000000000002</v>
      </c>
      <c r="M694" s="605">
        <f t="shared" si="67"/>
        <v>0.80625000000000002</v>
      </c>
      <c r="N694" s="663"/>
      <c r="P694" s="37" t="str">
        <f t="shared" si="62"/>
        <v>1995F0</v>
      </c>
      <c r="Q694" s="37" t="str">
        <f t="shared" si="63"/>
        <v>F019</v>
      </c>
      <c r="R694" s="37" t="str">
        <f t="shared" si="64"/>
        <v>JulyF0</v>
      </c>
    </row>
    <row r="695" spans="1:18" ht="43.5" customHeight="1">
      <c r="A695" s="616">
        <f t="shared" si="65"/>
        <v>691</v>
      </c>
      <c r="B695" s="617">
        <v>40</v>
      </c>
      <c r="C695" s="618">
        <v>34903</v>
      </c>
      <c r="D695" s="618" t="s">
        <v>179</v>
      </c>
      <c r="E695" s="633">
        <v>23</v>
      </c>
      <c r="F695" s="603">
        <v>1995</v>
      </c>
      <c r="G695" s="617" t="s">
        <v>146</v>
      </c>
      <c r="H695" s="620" t="s">
        <v>150</v>
      </c>
      <c r="I695" s="621">
        <v>150</v>
      </c>
      <c r="J695" s="621">
        <v>4</v>
      </c>
      <c r="K695" s="603">
        <f t="shared" si="66"/>
        <v>19</v>
      </c>
      <c r="L695" s="604">
        <v>0.79305555555555562</v>
      </c>
      <c r="M695" s="605">
        <f t="shared" si="67"/>
        <v>0.79305555555555562</v>
      </c>
      <c r="N695" s="663">
        <v>0.80347222222222225</v>
      </c>
      <c r="P695" s="37" t="str">
        <f t="shared" si="62"/>
        <v>1995F1</v>
      </c>
      <c r="Q695" s="37" t="str">
        <f t="shared" si="63"/>
        <v>F119</v>
      </c>
      <c r="R695" s="37" t="str">
        <f t="shared" si="64"/>
        <v>JulyF1</v>
      </c>
    </row>
    <row r="696" spans="1:18" ht="41.25" customHeight="1">
      <c r="A696" s="616">
        <f t="shared" si="65"/>
        <v>692</v>
      </c>
      <c r="B696" s="617">
        <v>41</v>
      </c>
      <c r="C696" s="618">
        <v>34903</v>
      </c>
      <c r="D696" s="618" t="s">
        <v>179</v>
      </c>
      <c r="E696" s="633">
        <v>23</v>
      </c>
      <c r="F696" s="603">
        <v>1995</v>
      </c>
      <c r="G696" s="617" t="s">
        <v>146</v>
      </c>
      <c r="H696" s="620" t="s">
        <v>149</v>
      </c>
      <c r="I696" s="621">
        <v>100</v>
      </c>
      <c r="J696" s="621">
        <v>2</v>
      </c>
      <c r="K696" s="603">
        <f t="shared" si="66"/>
        <v>19</v>
      </c>
      <c r="L696" s="604">
        <v>0.82638888888888884</v>
      </c>
      <c r="M696" s="605">
        <f t="shared" si="67"/>
        <v>0.82638888888888884</v>
      </c>
      <c r="N696" s="663">
        <v>0.83194444444444438</v>
      </c>
      <c r="P696" s="37" t="str">
        <f t="shared" si="62"/>
        <v>1995F0</v>
      </c>
      <c r="Q696" s="37" t="str">
        <f t="shared" si="63"/>
        <v>F019</v>
      </c>
      <c r="R696" s="37" t="str">
        <f t="shared" si="64"/>
        <v>JulyF0</v>
      </c>
    </row>
    <row r="697" spans="1:18">
      <c r="A697" s="616">
        <f t="shared" si="65"/>
        <v>693</v>
      </c>
      <c r="B697" s="617">
        <v>1</v>
      </c>
      <c r="C697" s="618">
        <v>35194</v>
      </c>
      <c r="D697" s="618" t="s">
        <v>177</v>
      </c>
      <c r="E697" s="633">
        <v>9</v>
      </c>
      <c r="F697" s="603">
        <v>1996</v>
      </c>
      <c r="G697" s="617" t="s">
        <v>142</v>
      </c>
      <c r="H697" s="620" t="s">
        <v>149</v>
      </c>
      <c r="I697" s="621">
        <v>25</v>
      </c>
      <c r="J697" s="621">
        <v>0.1</v>
      </c>
      <c r="K697" s="603">
        <f t="shared" si="66"/>
        <v>17</v>
      </c>
      <c r="L697" s="604">
        <v>0.72222222222222221</v>
      </c>
      <c r="M697" s="605">
        <f t="shared" si="67"/>
        <v>0.72222222222222221</v>
      </c>
      <c r="N697" s="663">
        <v>0.72291666666666676</v>
      </c>
      <c r="P697" s="37" t="str">
        <f t="shared" si="62"/>
        <v>1996F0</v>
      </c>
      <c r="Q697" s="37" t="str">
        <f t="shared" si="63"/>
        <v>F017</v>
      </c>
      <c r="R697" s="37" t="str">
        <f t="shared" si="64"/>
        <v>MayF0</v>
      </c>
    </row>
    <row r="698" spans="1:18">
      <c r="A698" s="616">
        <f t="shared" si="65"/>
        <v>694</v>
      </c>
      <c r="B698" s="617">
        <v>2</v>
      </c>
      <c r="C698" s="618">
        <v>35194</v>
      </c>
      <c r="D698" s="618" t="s">
        <v>177</v>
      </c>
      <c r="E698" s="633">
        <v>9</v>
      </c>
      <c r="F698" s="603">
        <v>1996</v>
      </c>
      <c r="G698" s="617" t="s">
        <v>143</v>
      </c>
      <c r="H698" s="620" t="s">
        <v>149</v>
      </c>
      <c r="I698" s="621">
        <v>100</v>
      </c>
      <c r="J698" s="621">
        <v>5</v>
      </c>
      <c r="K698" s="603">
        <f t="shared" si="66"/>
        <v>17</v>
      </c>
      <c r="L698" s="604">
        <v>0.74930555555555556</v>
      </c>
      <c r="M698" s="605">
        <f t="shared" si="67"/>
        <v>0.74930555555555556</v>
      </c>
      <c r="N698" s="663">
        <v>0.75694444444444453</v>
      </c>
      <c r="P698" s="37" t="str">
        <f t="shared" si="62"/>
        <v>1996F0</v>
      </c>
      <c r="Q698" s="37" t="str">
        <f t="shared" si="63"/>
        <v>F017</v>
      </c>
      <c r="R698" s="37" t="str">
        <f t="shared" si="64"/>
        <v>MayF0</v>
      </c>
    </row>
    <row r="699" spans="1:18">
      <c r="A699" s="616">
        <f t="shared" si="65"/>
        <v>695</v>
      </c>
      <c r="B699" s="617">
        <v>3</v>
      </c>
      <c r="C699" s="618">
        <v>35194</v>
      </c>
      <c r="D699" s="618" t="s">
        <v>177</v>
      </c>
      <c r="E699" s="633">
        <v>9</v>
      </c>
      <c r="F699" s="603">
        <v>1996</v>
      </c>
      <c r="G699" s="617" t="s">
        <v>143</v>
      </c>
      <c r="H699" s="620" t="s">
        <v>149</v>
      </c>
      <c r="I699" s="621">
        <v>20</v>
      </c>
      <c r="J699" s="621">
        <v>0.1</v>
      </c>
      <c r="K699" s="603">
        <f t="shared" si="66"/>
        <v>18</v>
      </c>
      <c r="L699" s="604">
        <v>0.76527777777777783</v>
      </c>
      <c r="M699" s="605">
        <f t="shared" si="67"/>
        <v>0.76527777777777783</v>
      </c>
      <c r="N699" s="663">
        <v>0.76527777777777783</v>
      </c>
      <c r="P699" s="37" t="str">
        <f t="shared" si="62"/>
        <v>1996F0</v>
      </c>
      <c r="Q699" s="37" t="str">
        <f t="shared" si="63"/>
        <v>F018</v>
      </c>
      <c r="R699" s="37" t="str">
        <f t="shared" si="64"/>
        <v>MayF0</v>
      </c>
    </row>
    <row r="700" spans="1:18">
      <c r="A700" s="616">
        <f t="shared" si="65"/>
        <v>696</v>
      </c>
      <c r="B700" s="617">
        <v>4</v>
      </c>
      <c r="C700" s="618">
        <v>35194</v>
      </c>
      <c r="D700" s="618" t="s">
        <v>177</v>
      </c>
      <c r="E700" s="633">
        <v>9</v>
      </c>
      <c r="F700" s="603">
        <v>1996</v>
      </c>
      <c r="G700" s="617" t="s">
        <v>143</v>
      </c>
      <c r="H700" s="620" t="s">
        <v>149</v>
      </c>
      <c r="I700" s="621">
        <v>75</v>
      </c>
      <c r="J700" s="621">
        <v>0.6</v>
      </c>
      <c r="K700" s="603">
        <f t="shared" si="66"/>
        <v>18</v>
      </c>
      <c r="L700" s="604">
        <v>0.7715277777777777</v>
      </c>
      <c r="M700" s="605">
        <f t="shared" si="67"/>
        <v>0.7715277777777777</v>
      </c>
      <c r="N700" s="663">
        <v>0.77430555555555547</v>
      </c>
      <c r="P700" s="37" t="str">
        <f t="shared" si="62"/>
        <v>1996F0</v>
      </c>
      <c r="Q700" s="37" t="str">
        <f t="shared" si="63"/>
        <v>F018</v>
      </c>
      <c r="R700" s="37" t="str">
        <f t="shared" si="64"/>
        <v>MayF0</v>
      </c>
    </row>
    <row r="701" spans="1:18">
      <c r="A701" s="616">
        <f t="shared" si="65"/>
        <v>697</v>
      </c>
      <c r="B701" s="617">
        <v>5</v>
      </c>
      <c r="C701" s="618">
        <v>35209</v>
      </c>
      <c r="D701" s="618" t="s">
        <v>177</v>
      </c>
      <c r="E701" s="633">
        <v>24</v>
      </c>
      <c r="F701" s="603">
        <v>1996</v>
      </c>
      <c r="G701" s="617" t="s">
        <v>131</v>
      </c>
      <c r="H701" s="620" t="s">
        <v>149</v>
      </c>
      <c r="I701" s="621">
        <v>50</v>
      </c>
      <c r="J701" s="621">
        <v>1</v>
      </c>
      <c r="K701" s="603">
        <f t="shared" si="66"/>
        <v>14</v>
      </c>
      <c r="L701" s="604">
        <v>0.61736111111111114</v>
      </c>
      <c r="M701" s="605">
        <f t="shared" si="67"/>
        <v>0.61736111111111114</v>
      </c>
      <c r="N701" s="663">
        <v>0.62083333333333335</v>
      </c>
      <c r="P701" s="37" t="str">
        <f t="shared" si="62"/>
        <v>1996F0</v>
      </c>
      <c r="Q701" s="37" t="str">
        <f t="shared" si="63"/>
        <v>F014</v>
      </c>
      <c r="R701" s="37" t="str">
        <f t="shared" si="64"/>
        <v>MayF0</v>
      </c>
    </row>
    <row r="702" spans="1:18">
      <c r="A702" s="616">
        <f t="shared" si="65"/>
        <v>698</v>
      </c>
      <c r="B702" s="617">
        <v>6</v>
      </c>
      <c r="C702" s="618">
        <v>35209</v>
      </c>
      <c r="D702" s="618" t="s">
        <v>177</v>
      </c>
      <c r="E702" s="633">
        <v>24</v>
      </c>
      <c r="F702" s="603">
        <v>1996</v>
      </c>
      <c r="G702" s="617" t="s">
        <v>136</v>
      </c>
      <c r="H702" s="620" t="s">
        <v>149</v>
      </c>
      <c r="I702" s="621">
        <v>30</v>
      </c>
      <c r="J702" s="621">
        <v>0.5</v>
      </c>
      <c r="K702" s="603">
        <f t="shared" si="66"/>
        <v>14</v>
      </c>
      <c r="L702" s="604">
        <v>0.62222222222222223</v>
      </c>
      <c r="M702" s="605">
        <f t="shared" si="67"/>
        <v>0.62222222222222223</v>
      </c>
      <c r="N702" s="663">
        <v>0.62430555555555556</v>
      </c>
      <c r="P702" s="37" t="str">
        <f t="shared" si="62"/>
        <v>1996F0</v>
      </c>
      <c r="Q702" s="37" t="str">
        <f t="shared" si="63"/>
        <v>F014</v>
      </c>
      <c r="R702" s="37" t="str">
        <f t="shared" si="64"/>
        <v>MayF0</v>
      </c>
    </row>
    <row r="703" spans="1:18">
      <c r="A703" s="616">
        <f t="shared" si="65"/>
        <v>699</v>
      </c>
      <c r="B703" s="617">
        <v>7</v>
      </c>
      <c r="C703" s="618">
        <v>35209</v>
      </c>
      <c r="D703" s="618" t="s">
        <v>177</v>
      </c>
      <c r="E703" s="633">
        <v>24</v>
      </c>
      <c r="F703" s="603">
        <v>1996</v>
      </c>
      <c r="G703" s="617" t="s">
        <v>132</v>
      </c>
      <c r="H703" s="620" t="s">
        <v>149</v>
      </c>
      <c r="I703" s="621">
        <v>40</v>
      </c>
      <c r="J703" s="621">
        <v>0.6</v>
      </c>
      <c r="K703" s="603">
        <f t="shared" si="66"/>
        <v>14</v>
      </c>
      <c r="L703" s="604">
        <v>0.62291666666666667</v>
      </c>
      <c r="M703" s="605">
        <f t="shared" si="67"/>
        <v>0.62291666666666667</v>
      </c>
      <c r="N703" s="663">
        <v>0.62569444444444444</v>
      </c>
      <c r="P703" s="37" t="str">
        <f t="shared" si="62"/>
        <v>1996F0</v>
      </c>
      <c r="Q703" s="37" t="str">
        <f t="shared" si="63"/>
        <v>F014</v>
      </c>
      <c r="R703" s="37" t="str">
        <f t="shared" si="64"/>
        <v>MayF0</v>
      </c>
    </row>
    <row r="704" spans="1:18">
      <c r="A704" s="616">
        <f t="shared" si="65"/>
        <v>700</v>
      </c>
      <c r="B704" s="617">
        <v>8</v>
      </c>
      <c r="C704" s="618">
        <v>35209</v>
      </c>
      <c r="D704" s="618" t="s">
        <v>177</v>
      </c>
      <c r="E704" s="633">
        <v>24</v>
      </c>
      <c r="F704" s="603">
        <v>1996</v>
      </c>
      <c r="G704" s="617" t="s">
        <v>131</v>
      </c>
      <c r="H704" s="620" t="s">
        <v>149</v>
      </c>
      <c r="I704" s="621">
        <v>75</v>
      </c>
      <c r="J704" s="621">
        <v>0.6</v>
      </c>
      <c r="K704" s="603">
        <f t="shared" si="66"/>
        <v>15</v>
      </c>
      <c r="L704" s="604">
        <v>0.64444444444444449</v>
      </c>
      <c r="M704" s="605">
        <f t="shared" si="67"/>
        <v>0.64444444444444449</v>
      </c>
      <c r="N704" s="663">
        <v>0.64722222222222225</v>
      </c>
      <c r="P704" s="37" t="str">
        <f t="shared" si="62"/>
        <v>1996F0</v>
      </c>
      <c r="Q704" s="37" t="str">
        <f t="shared" si="63"/>
        <v>F015</v>
      </c>
      <c r="R704" s="37" t="str">
        <f t="shared" si="64"/>
        <v>MayF0</v>
      </c>
    </row>
    <row r="705" spans="1:18">
      <c r="A705" s="616">
        <f t="shared" si="65"/>
        <v>701</v>
      </c>
      <c r="B705" s="617">
        <v>9</v>
      </c>
      <c r="C705" s="618">
        <v>35209</v>
      </c>
      <c r="D705" s="618" t="s">
        <v>177</v>
      </c>
      <c r="E705" s="633">
        <v>24</v>
      </c>
      <c r="F705" s="603">
        <v>1996</v>
      </c>
      <c r="G705" s="617" t="s">
        <v>132</v>
      </c>
      <c r="H705" s="620" t="s">
        <v>149</v>
      </c>
      <c r="I705" s="621">
        <v>50</v>
      </c>
      <c r="J705" s="621">
        <v>0.5</v>
      </c>
      <c r="K705" s="603">
        <f t="shared" si="66"/>
        <v>15</v>
      </c>
      <c r="L705" s="604">
        <v>0.65416666666666667</v>
      </c>
      <c r="M705" s="605">
        <f t="shared" si="67"/>
        <v>0.65416666666666667</v>
      </c>
      <c r="N705" s="663">
        <v>0.65694444444444444</v>
      </c>
      <c r="P705" s="37" t="str">
        <f t="shared" si="62"/>
        <v>1996F0</v>
      </c>
      <c r="Q705" s="37" t="str">
        <f t="shared" si="63"/>
        <v>F015</v>
      </c>
      <c r="R705" s="37" t="str">
        <f t="shared" si="64"/>
        <v>MayF0</v>
      </c>
    </row>
    <row r="706" spans="1:18">
      <c r="A706" s="616">
        <f t="shared" si="65"/>
        <v>702</v>
      </c>
      <c r="B706" s="617">
        <v>10</v>
      </c>
      <c r="C706" s="618">
        <v>35209</v>
      </c>
      <c r="D706" s="618" t="s">
        <v>177</v>
      </c>
      <c r="E706" s="633">
        <v>24</v>
      </c>
      <c r="F706" s="603">
        <v>1996</v>
      </c>
      <c r="G706" s="617" t="s">
        <v>141</v>
      </c>
      <c r="H706" s="620" t="s">
        <v>149</v>
      </c>
      <c r="I706" s="621">
        <v>50</v>
      </c>
      <c r="J706" s="621">
        <v>0.6</v>
      </c>
      <c r="K706" s="603">
        <f t="shared" si="66"/>
        <v>16</v>
      </c>
      <c r="L706" s="604">
        <v>0.68958333333333333</v>
      </c>
      <c r="M706" s="605">
        <f t="shared" si="67"/>
        <v>0.68958333333333333</v>
      </c>
      <c r="N706" s="663">
        <v>0.69305555555555554</v>
      </c>
      <c r="P706" s="37" t="str">
        <f t="shared" si="62"/>
        <v>1996F0</v>
      </c>
      <c r="Q706" s="37" t="str">
        <f t="shared" si="63"/>
        <v>F016</v>
      </c>
      <c r="R706" s="37" t="str">
        <f t="shared" si="64"/>
        <v>MayF0</v>
      </c>
    </row>
    <row r="707" spans="1:18">
      <c r="A707" s="616">
        <f t="shared" si="65"/>
        <v>703</v>
      </c>
      <c r="B707" s="617">
        <v>11</v>
      </c>
      <c r="C707" s="618">
        <v>35209</v>
      </c>
      <c r="D707" s="618" t="s">
        <v>177</v>
      </c>
      <c r="E707" s="633">
        <v>24</v>
      </c>
      <c r="F707" s="603">
        <v>1996</v>
      </c>
      <c r="G707" s="617" t="s">
        <v>142</v>
      </c>
      <c r="H707" s="620" t="s">
        <v>149</v>
      </c>
      <c r="I707" s="621">
        <v>40</v>
      </c>
      <c r="J707" s="621">
        <v>0.5</v>
      </c>
      <c r="K707" s="603">
        <f t="shared" si="66"/>
        <v>17</v>
      </c>
      <c r="L707" s="604">
        <v>0.74652777777777779</v>
      </c>
      <c r="M707" s="605">
        <f t="shared" si="67"/>
        <v>0.74652777777777779</v>
      </c>
      <c r="N707" s="663">
        <v>0.74861111111111101</v>
      </c>
      <c r="P707" s="37" t="str">
        <f t="shared" si="62"/>
        <v>1996F0</v>
      </c>
      <c r="Q707" s="37" t="str">
        <f t="shared" si="63"/>
        <v>F017</v>
      </c>
      <c r="R707" s="37" t="str">
        <f t="shared" si="64"/>
        <v>MayF0</v>
      </c>
    </row>
    <row r="708" spans="1:18">
      <c r="A708" s="616">
        <f t="shared" si="65"/>
        <v>704</v>
      </c>
      <c r="B708" s="617">
        <v>12</v>
      </c>
      <c r="C708" s="618">
        <v>35209</v>
      </c>
      <c r="D708" s="618" t="s">
        <v>177</v>
      </c>
      <c r="E708" s="633">
        <v>24</v>
      </c>
      <c r="F708" s="603">
        <v>1996</v>
      </c>
      <c r="G708" s="617" t="s">
        <v>132</v>
      </c>
      <c r="H708" s="620" t="s">
        <v>149</v>
      </c>
      <c r="I708" s="621">
        <v>50</v>
      </c>
      <c r="J708" s="621">
        <v>0.5</v>
      </c>
      <c r="K708" s="603">
        <f t="shared" si="66"/>
        <v>19</v>
      </c>
      <c r="L708" s="604">
        <v>0.8125</v>
      </c>
      <c r="M708" s="605">
        <f t="shared" si="67"/>
        <v>0.8125</v>
      </c>
      <c r="N708" s="663">
        <v>0.81597222222222221</v>
      </c>
      <c r="P708" s="37" t="str">
        <f t="shared" si="62"/>
        <v>1996F0</v>
      </c>
      <c r="Q708" s="37" t="str">
        <f t="shared" si="63"/>
        <v>F019</v>
      </c>
      <c r="R708" s="37" t="str">
        <f t="shared" si="64"/>
        <v>MayF0</v>
      </c>
    </row>
    <row r="709" spans="1:18">
      <c r="A709" s="616">
        <f t="shared" si="65"/>
        <v>705</v>
      </c>
      <c r="B709" s="617">
        <v>13</v>
      </c>
      <c r="C709" s="618">
        <v>35210</v>
      </c>
      <c r="D709" s="618" t="s">
        <v>177</v>
      </c>
      <c r="E709" s="633">
        <v>25</v>
      </c>
      <c r="F709" s="603">
        <v>1996</v>
      </c>
      <c r="G709" s="617" t="s">
        <v>129</v>
      </c>
      <c r="H709" s="620" t="s">
        <v>149</v>
      </c>
      <c r="I709" s="621">
        <v>100</v>
      </c>
      <c r="J709" s="621">
        <v>5</v>
      </c>
      <c r="K709" s="603">
        <f t="shared" si="66"/>
        <v>16</v>
      </c>
      <c r="L709" s="604">
        <v>0.6875</v>
      </c>
      <c r="M709" s="605">
        <f t="shared" si="67"/>
        <v>0.6875</v>
      </c>
      <c r="N709" s="663">
        <v>0.69027777777777777</v>
      </c>
      <c r="P709" s="37" t="str">
        <f t="shared" si="62"/>
        <v>1996F0</v>
      </c>
      <c r="Q709" s="37" t="str">
        <f t="shared" si="63"/>
        <v>F016</v>
      </c>
      <c r="R709" s="37" t="str">
        <f t="shared" si="64"/>
        <v>MayF0</v>
      </c>
    </row>
    <row r="710" spans="1:18">
      <c r="A710" s="616">
        <f t="shared" si="65"/>
        <v>706</v>
      </c>
      <c r="B710" s="617">
        <v>14</v>
      </c>
      <c r="C710" s="618">
        <v>35210</v>
      </c>
      <c r="D710" s="618" t="s">
        <v>177</v>
      </c>
      <c r="E710" s="633">
        <v>25</v>
      </c>
      <c r="F710" s="603">
        <v>1996</v>
      </c>
      <c r="G710" s="617" t="s">
        <v>144</v>
      </c>
      <c r="H710" s="620" t="s">
        <v>151</v>
      </c>
      <c r="I710" s="621">
        <v>200</v>
      </c>
      <c r="J710" s="621">
        <v>3</v>
      </c>
      <c r="K710" s="603">
        <f t="shared" si="66"/>
        <v>16</v>
      </c>
      <c r="L710" s="604">
        <v>0.70416666666666661</v>
      </c>
      <c r="M710" s="605">
        <f t="shared" si="67"/>
        <v>0.70416666666666661</v>
      </c>
      <c r="N710" s="663">
        <v>0.71250000000000002</v>
      </c>
      <c r="P710" s="37" t="str">
        <f t="shared" ref="P710:P773" si="68">CONCATENATE(F710,H710)</f>
        <v>1996F2</v>
      </c>
      <c r="Q710" s="37" t="str">
        <f t="shared" ref="Q710:Q773" si="69">CONCATENATE(H710,K710)</f>
        <v>F216</v>
      </c>
      <c r="R710" s="37" t="str">
        <f t="shared" ref="R710:R773" si="70">CONCATENATE(D710,H710)</f>
        <v>MayF2</v>
      </c>
    </row>
    <row r="711" spans="1:18">
      <c r="A711" s="616">
        <f t="shared" ref="A711:A774" si="71">+A710+1</f>
        <v>707</v>
      </c>
      <c r="B711" s="617">
        <v>15</v>
      </c>
      <c r="C711" s="618">
        <v>35210</v>
      </c>
      <c r="D711" s="618" t="s">
        <v>177</v>
      </c>
      <c r="E711" s="633">
        <v>25</v>
      </c>
      <c r="F711" s="603">
        <v>1996</v>
      </c>
      <c r="G711" s="617" t="s">
        <v>126</v>
      </c>
      <c r="H711" s="620" t="s">
        <v>150</v>
      </c>
      <c r="I711" s="621">
        <v>100</v>
      </c>
      <c r="J711" s="621">
        <v>1</v>
      </c>
      <c r="K711" s="603">
        <f t="shared" ref="K711:K774" si="72">HOUR(M711)</f>
        <v>17</v>
      </c>
      <c r="L711" s="604">
        <v>0.72569444444444453</v>
      </c>
      <c r="M711" s="605">
        <f t="shared" si="67"/>
        <v>0.72569444444444453</v>
      </c>
      <c r="N711" s="663">
        <v>0.72916666666666663</v>
      </c>
      <c r="P711" s="37" t="str">
        <f t="shared" si="68"/>
        <v>1996F1</v>
      </c>
      <c r="Q711" s="37" t="str">
        <f t="shared" si="69"/>
        <v>F117</v>
      </c>
      <c r="R711" s="37" t="str">
        <f t="shared" si="70"/>
        <v>MayF1</v>
      </c>
    </row>
    <row r="712" spans="1:18">
      <c r="A712" s="616">
        <f t="shared" si="71"/>
        <v>708</v>
      </c>
      <c r="B712" s="617">
        <v>16</v>
      </c>
      <c r="C712" s="618">
        <v>35210</v>
      </c>
      <c r="D712" s="618" t="s">
        <v>177</v>
      </c>
      <c r="E712" s="633">
        <v>25</v>
      </c>
      <c r="F712" s="603">
        <v>1996</v>
      </c>
      <c r="G712" s="617" t="s">
        <v>129</v>
      </c>
      <c r="H712" s="620" t="s">
        <v>150</v>
      </c>
      <c r="I712" s="621">
        <v>200</v>
      </c>
      <c r="J712" s="621">
        <v>4</v>
      </c>
      <c r="K712" s="603">
        <f t="shared" si="72"/>
        <v>17</v>
      </c>
      <c r="L712" s="604">
        <v>0.73541666666666661</v>
      </c>
      <c r="M712" s="605">
        <f t="shared" si="67"/>
        <v>0.73541666666666661</v>
      </c>
      <c r="N712" s="663">
        <v>0.74305555555555547</v>
      </c>
      <c r="P712" s="37" t="str">
        <f t="shared" si="68"/>
        <v>1996F1</v>
      </c>
      <c r="Q712" s="37" t="str">
        <f t="shared" si="69"/>
        <v>F117</v>
      </c>
      <c r="R712" s="37" t="str">
        <f t="shared" si="70"/>
        <v>MayF1</v>
      </c>
    </row>
    <row r="713" spans="1:18">
      <c r="A713" s="616">
        <f t="shared" si="71"/>
        <v>709</v>
      </c>
      <c r="B713" s="617">
        <v>17</v>
      </c>
      <c r="C713" s="618">
        <v>35211</v>
      </c>
      <c r="D713" s="618" t="s">
        <v>177</v>
      </c>
      <c r="E713" s="633">
        <v>26</v>
      </c>
      <c r="F713" s="603">
        <v>1996</v>
      </c>
      <c r="G713" s="617" t="s">
        <v>127</v>
      </c>
      <c r="H713" s="620" t="s">
        <v>149</v>
      </c>
      <c r="I713" s="621">
        <v>50</v>
      </c>
      <c r="J713" s="621">
        <v>0.5</v>
      </c>
      <c r="K713" s="603">
        <f t="shared" si="72"/>
        <v>13</v>
      </c>
      <c r="L713" s="604">
        <v>0.57847222222222217</v>
      </c>
      <c r="M713" s="605">
        <f t="shared" si="67"/>
        <v>0.57847222222222217</v>
      </c>
      <c r="N713" s="663">
        <v>0.58194444444444449</v>
      </c>
      <c r="P713" s="37" t="str">
        <f t="shared" si="68"/>
        <v>1996F0</v>
      </c>
      <c r="Q713" s="37" t="str">
        <f t="shared" si="69"/>
        <v>F013</v>
      </c>
      <c r="R713" s="37" t="str">
        <f t="shared" si="70"/>
        <v>MayF0</v>
      </c>
    </row>
    <row r="714" spans="1:18">
      <c r="A714" s="616">
        <f t="shared" si="71"/>
        <v>710</v>
      </c>
      <c r="B714" s="617">
        <v>18</v>
      </c>
      <c r="C714" s="618">
        <v>35211</v>
      </c>
      <c r="D714" s="618" t="s">
        <v>177</v>
      </c>
      <c r="E714" s="633">
        <v>26</v>
      </c>
      <c r="F714" s="603">
        <v>1996</v>
      </c>
      <c r="G714" s="617" t="s">
        <v>127</v>
      </c>
      <c r="H714" s="620" t="s">
        <v>149</v>
      </c>
      <c r="I714" s="621">
        <v>100</v>
      </c>
      <c r="J714" s="621">
        <v>1</v>
      </c>
      <c r="K714" s="603">
        <f t="shared" si="72"/>
        <v>14</v>
      </c>
      <c r="L714" s="604">
        <v>0.59444444444444444</v>
      </c>
      <c r="M714" s="605">
        <f t="shared" si="67"/>
        <v>0.59444444444444444</v>
      </c>
      <c r="N714" s="663">
        <v>0.59583333333333333</v>
      </c>
      <c r="P714" s="37" t="str">
        <f t="shared" si="68"/>
        <v>1996F0</v>
      </c>
      <c r="Q714" s="37" t="str">
        <f t="shared" si="69"/>
        <v>F014</v>
      </c>
      <c r="R714" s="37" t="str">
        <f t="shared" si="70"/>
        <v>MayF0</v>
      </c>
    </row>
    <row r="715" spans="1:18">
      <c r="A715" s="616">
        <f t="shared" si="71"/>
        <v>711</v>
      </c>
      <c r="B715" s="617">
        <v>19</v>
      </c>
      <c r="C715" s="618">
        <v>35211</v>
      </c>
      <c r="D715" s="618" t="s">
        <v>177</v>
      </c>
      <c r="E715" s="633">
        <v>26</v>
      </c>
      <c r="F715" s="603">
        <v>1996</v>
      </c>
      <c r="G715" s="617" t="s">
        <v>127</v>
      </c>
      <c r="H715" s="620" t="s">
        <v>149</v>
      </c>
      <c r="I715" s="621">
        <v>75</v>
      </c>
      <c r="J715" s="621">
        <v>1</v>
      </c>
      <c r="K715" s="603">
        <f t="shared" si="72"/>
        <v>14</v>
      </c>
      <c r="L715" s="604">
        <v>0.59444444444444444</v>
      </c>
      <c r="M715" s="605">
        <f t="shared" si="67"/>
        <v>0.59444444444444444</v>
      </c>
      <c r="N715" s="663">
        <v>0.59722222222222221</v>
      </c>
      <c r="P715" s="37" t="str">
        <f t="shared" si="68"/>
        <v>1996F0</v>
      </c>
      <c r="Q715" s="37" t="str">
        <f t="shared" si="69"/>
        <v>F014</v>
      </c>
      <c r="R715" s="37" t="str">
        <f t="shared" si="70"/>
        <v>MayF0</v>
      </c>
    </row>
    <row r="716" spans="1:18">
      <c r="A716" s="616">
        <f t="shared" si="71"/>
        <v>712</v>
      </c>
      <c r="B716" s="617">
        <v>20</v>
      </c>
      <c r="C716" s="618">
        <v>35216</v>
      </c>
      <c r="D716" s="618" t="s">
        <v>177</v>
      </c>
      <c r="E716" s="633">
        <v>31</v>
      </c>
      <c r="F716" s="603">
        <v>1996</v>
      </c>
      <c r="G716" s="617" t="s">
        <v>146</v>
      </c>
      <c r="H716" s="620" t="s">
        <v>149</v>
      </c>
      <c r="I716" s="621">
        <v>50</v>
      </c>
      <c r="J716" s="621">
        <v>0.5</v>
      </c>
      <c r="K716" s="603">
        <f t="shared" si="72"/>
        <v>18</v>
      </c>
      <c r="L716" s="604">
        <v>0.76180555555555562</v>
      </c>
      <c r="M716" s="605">
        <f t="shared" si="67"/>
        <v>0.76180555555555562</v>
      </c>
      <c r="N716" s="663">
        <v>0.76249999999999996</v>
      </c>
      <c r="P716" s="37" t="str">
        <f t="shared" si="68"/>
        <v>1996F0</v>
      </c>
      <c r="Q716" s="37" t="str">
        <f t="shared" si="69"/>
        <v>F018</v>
      </c>
      <c r="R716" s="37" t="str">
        <f t="shared" si="70"/>
        <v>MayF0</v>
      </c>
    </row>
    <row r="717" spans="1:18">
      <c r="A717" s="616">
        <f t="shared" si="71"/>
        <v>713</v>
      </c>
      <c r="B717" s="617">
        <v>21</v>
      </c>
      <c r="C717" s="618">
        <v>35216</v>
      </c>
      <c r="D717" s="618" t="s">
        <v>177</v>
      </c>
      <c r="E717" s="633">
        <v>31</v>
      </c>
      <c r="F717" s="603">
        <v>1996</v>
      </c>
      <c r="G717" s="617" t="s">
        <v>147</v>
      </c>
      <c r="H717" s="620" t="s">
        <v>149</v>
      </c>
      <c r="I717" s="621">
        <v>50</v>
      </c>
      <c r="J717" s="621">
        <v>0.5</v>
      </c>
      <c r="K717" s="603">
        <f t="shared" si="72"/>
        <v>20</v>
      </c>
      <c r="L717" s="604">
        <v>0.84236111111111101</v>
      </c>
      <c r="M717" s="605">
        <f t="shared" si="67"/>
        <v>0.84236111111111101</v>
      </c>
      <c r="N717" s="663">
        <v>0.84305555555555556</v>
      </c>
      <c r="P717" s="37" t="str">
        <f t="shared" si="68"/>
        <v>1996F0</v>
      </c>
      <c r="Q717" s="37" t="str">
        <f t="shared" si="69"/>
        <v>F020</v>
      </c>
      <c r="R717" s="37" t="str">
        <f t="shared" si="70"/>
        <v>MayF0</v>
      </c>
    </row>
    <row r="718" spans="1:18">
      <c r="A718" s="616">
        <f t="shared" si="71"/>
        <v>714</v>
      </c>
      <c r="B718" s="617">
        <v>22</v>
      </c>
      <c r="C718" s="618">
        <v>35218</v>
      </c>
      <c r="D718" s="618" t="s">
        <v>178</v>
      </c>
      <c r="E718" s="633">
        <v>2</v>
      </c>
      <c r="F718" s="603">
        <v>1996</v>
      </c>
      <c r="G718" s="617" t="s">
        <v>131</v>
      </c>
      <c r="H718" s="620" t="s">
        <v>149</v>
      </c>
      <c r="I718" s="621">
        <v>50</v>
      </c>
      <c r="J718" s="621">
        <v>3</v>
      </c>
      <c r="K718" s="603">
        <f t="shared" si="72"/>
        <v>14</v>
      </c>
      <c r="L718" s="604">
        <v>0.60277777777777775</v>
      </c>
      <c r="M718" s="605">
        <f t="shared" si="67"/>
        <v>0.60277777777777775</v>
      </c>
      <c r="N718" s="663">
        <v>0.61805555555555558</v>
      </c>
      <c r="P718" s="37" t="str">
        <f t="shared" si="68"/>
        <v>1996F0</v>
      </c>
      <c r="Q718" s="37" t="str">
        <f t="shared" si="69"/>
        <v>F014</v>
      </c>
      <c r="R718" s="37" t="str">
        <f t="shared" si="70"/>
        <v>JuneF0</v>
      </c>
    </row>
    <row r="719" spans="1:18">
      <c r="A719" s="616">
        <f t="shared" si="71"/>
        <v>715</v>
      </c>
      <c r="B719" s="617">
        <v>23</v>
      </c>
      <c r="C719" s="618">
        <v>35218</v>
      </c>
      <c r="D719" s="618" t="s">
        <v>178</v>
      </c>
      <c r="E719" s="633">
        <v>2</v>
      </c>
      <c r="F719" s="603">
        <v>1996</v>
      </c>
      <c r="G719" s="617" t="s">
        <v>141</v>
      </c>
      <c r="H719" s="620" t="s">
        <v>149</v>
      </c>
      <c r="I719" s="621">
        <v>50</v>
      </c>
      <c r="J719" s="621">
        <v>0.5</v>
      </c>
      <c r="K719" s="603">
        <f t="shared" si="72"/>
        <v>16</v>
      </c>
      <c r="L719" s="604">
        <v>0.67152777777777783</v>
      </c>
      <c r="M719" s="605">
        <f t="shared" si="67"/>
        <v>0.67152777777777783</v>
      </c>
      <c r="N719" s="663">
        <v>0.6743055555555556</v>
      </c>
      <c r="P719" s="37" t="str">
        <f t="shared" si="68"/>
        <v>1996F0</v>
      </c>
      <c r="Q719" s="37" t="str">
        <f t="shared" si="69"/>
        <v>F016</v>
      </c>
      <c r="R719" s="37" t="str">
        <f t="shared" si="70"/>
        <v>JuneF0</v>
      </c>
    </row>
    <row r="720" spans="1:18">
      <c r="A720" s="616">
        <f t="shared" si="71"/>
        <v>716</v>
      </c>
      <c r="B720" s="617">
        <v>24</v>
      </c>
      <c r="C720" s="618">
        <v>35218</v>
      </c>
      <c r="D720" s="618" t="s">
        <v>178</v>
      </c>
      <c r="E720" s="633">
        <v>2</v>
      </c>
      <c r="F720" s="603">
        <v>1996</v>
      </c>
      <c r="G720" s="617" t="s">
        <v>141</v>
      </c>
      <c r="H720" s="620" t="s">
        <v>149</v>
      </c>
      <c r="I720" s="621">
        <v>50</v>
      </c>
      <c r="J720" s="621">
        <v>0.5</v>
      </c>
      <c r="K720" s="603">
        <f t="shared" si="72"/>
        <v>16</v>
      </c>
      <c r="L720" s="604">
        <v>0.68888888888888899</v>
      </c>
      <c r="M720" s="605">
        <f t="shared" si="67"/>
        <v>0.68888888888888899</v>
      </c>
      <c r="N720" s="663">
        <v>0.69097222222222221</v>
      </c>
      <c r="P720" s="37" t="str">
        <f t="shared" si="68"/>
        <v>1996F0</v>
      </c>
      <c r="Q720" s="37" t="str">
        <f t="shared" si="69"/>
        <v>F016</v>
      </c>
      <c r="R720" s="37" t="str">
        <f t="shared" si="70"/>
        <v>JuneF0</v>
      </c>
    </row>
    <row r="721" spans="1:18">
      <c r="A721" s="616">
        <f t="shared" si="71"/>
        <v>717</v>
      </c>
      <c r="B721" s="617">
        <v>25</v>
      </c>
      <c r="C721" s="618">
        <v>35219</v>
      </c>
      <c r="D721" s="618" t="s">
        <v>178</v>
      </c>
      <c r="E721" s="633">
        <v>3</v>
      </c>
      <c r="F721" s="603">
        <v>1996</v>
      </c>
      <c r="G721" s="617" t="s">
        <v>126</v>
      </c>
      <c r="H721" s="620" t="s">
        <v>149</v>
      </c>
      <c r="I721" s="621">
        <v>50</v>
      </c>
      <c r="J721" s="621">
        <v>0.5</v>
      </c>
      <c r="K721" s="603">
        <f t="shared" si="72"/>
        <v>14</v>
      </c>
      <c r="L721" s="604">
        <v>0.59722222222222221</v>
      </c>
      <c r="M721" s="605">
        <f t="shared" si="67"/>
        <v>0.59722222222222221</v>
      </c>
      <c r="N721" s="663">
        <v>0.6</v>
      </c>
      <c r="P721" s="37" t="str">
        <f t="shared" si="68"/>
        <v>1996F0</v>
      </c>
      <c r="Q721" s="37" t="str">
        <f t="shared" si="69"/>
        <v>F014</v>
      </c>
      <c r="R721" s="37" t="str">
        <f t="shared" si="70"/>
        <v>JuneF0</v>
      </c>
    </row>
    <row r="722" spans="1:18">
      <c r="A722" s="616">
        <f t="shared" si="71"/>
        <v>718</v>
      </c>
      <c r="B722" s="617">
        <v>26</v>
      </c>
      <c r="C722" s="618">
        <v>35221</v>
      </c>
      <c r="D722" s="618" t="s">
        <v>178</v>
      </c>
      <c r="E722" s="633">
        <v>5</v>
      </c>
      <c r="F722" s="603">
        <v>1996</v>
      </c>
      <c r="G722" s="617" t="s">
        <v>127</v>
      </c>
      <c r="H722" s="620" t="s">
        <v>149</v>
      </c>
      <c r="I722" s="621">
        <v>25</v>
      </c>
      <c r="J722" s="621">
        <v>2</v>
      </c>
      <c r="K722" s="603">
        <f t="shared" si="72"/>
        <v>16</v>
      </c>
      <c r="L722" s="604">
        <v>0.69930555555555562</v>
      </c>
      <c r="M722" s="605">
        <f t="shared" si="67"/>
        <v>0.69930555555555562</v>
      </c>
      <c r="N722" s="663">
        <v>0.7055555555555556</v>
      </c>
      <c r="P722" s="37" t="str">
        <f t="shared" si="68"/>
        <v>1996F0</v>
      </c>
      <c r="Q722" s="37" t="str">
        <f t="shared" si="69"/>
        <v>F016</v>
      </c>
      <c r="R722" s="37" t="str">
        <f t="shared" si="70"/>
        <v>JuneF0</v>
      </c>
    </row>
    <row r="723" spans="1:18">
      <c r="A723" s="616">
        <f t="shared" si="71"/>
        <v>719</v>
      </c>
      <c r="B723" s="617">
        <v>27</v>
      </c>
      <c r="C723" s="618">
        <v>35234</v>
      </c>
      <c r="D723" s="618" t="s">
        <v>178</v>
      </c>
      <c r="E723" s="633">
        <v>18</v>
      </c>
      <c r="F723" s="603">
        <v>1996</v>
      </c>
      <c r="G723" s="617" t="s">
        <v>146</v>
      </c>
      <c r="H723" s="620" t="s">
        <v>149</v>
      </c>
      <c r="I723" s="621">
        <v>50</v>
      </c>
      <c r="J723" s="621">
        <v>0.5</v>
      </c>
      <c r="K723" s="603">
        <f t="shared" si="72"/>
        <v>16</v>
      </c>
      <c r="L723" s="604">
        <v>0.69027777777777777</v>
      </c>
      <c r="M723" s="605">
        <f t="shared" si="67"/>
        <v>0.69027777777777777</v>
      </c>
      <c r="N723" s="663">
        <v>0.69305555555555554</v>
      </c>
      <c r="P723" s="37" t="str">
        <f t="shared" si="68"/>
        <v>1996F0</v>
      </c>
      <c r="Q723" s="37" t="str">
        <f t="shared" si="69"/>
        <v>F016</v>
      </c>
      <c r="R723" s="37" t="str">
        <f t="shared" si="70"/>
        <v>JuneF0</v>
      </c>
    </row>
    <row r="724" spans="1:18">
      <c r="A724" s="616">
        <f t="shared" si="71"/>
        <v>720</v>
      </c>
      <c r="B724" s="617">
        <v>28</v>
      </c>
      <c r="C724" s="618">
        <v>35287</v>
      </c>
      <c r="D724" s="618" t="s">
        <v>180</v>
      </c>
      <c r="E724" s="633">
        <v>10</v>
      </c>
      <c r="F724" s="603">
        <v>1996</v>
      </c>
      <c r="G724" s="617" t="s">
        <v>143</v>
      </c>
      <c r="H724" s="620" t="s">
        <v>149</v>
      </c>
      <c r="I724" s="621">
        <v>50</v>
      </c>
      <c r="J724" s="621">
        <v>0.5</v>
      </c>
      <c r="K724" s="603">
        <f t="shared" si="72"/>
        <v>17</v>
      </c>
      <c r="L724" s="604">
        <v>0.72430555555555554</v>
      </c>
      <c r="M724" s="605">
        <f t="shared" si="67"/>
        <v>0.72430555555555554</v>
      </c>
      <c r="N724" s="663">
        <v>0.72569444444444453</v>
      </c>
      <c r="P724" s="37" t="str">
        <f t="shared" si="68"/>
        <v>1996F0</v>
      </c>
      <c r="Q724" s="37" t="str">
        <f t="shared" si="69"/>
        <v>F017</v>
      </c>
      <c r="R724" s="37" t="str">
        <f t="shared" si="70"/>
        <v>AugustF0</v>
      </c>
    </row>
    <row r="725" spans="1:18">
      <c r="A725" s="616">
        <f t="shared" si="71"/>
        <v>721</v>
      </c>
      <c r="B725" s="617">
        <v>29</v>
      </c>
      <c r="C725" s="618">
        <v>35305</v>
      </c>
      <c r="D725" s="618" t="s">
        <v>180</v>
      </c>
      <c r="E725" s="633">
        <v>28</v>
      </c>
      <c r="F725" s="603">
        <v>1996</v>
      </c>
      <c r="G725" s="617" t="s">
        <v>145</v>
      </c>
      <c r="H725" s="620" t="s">
        <v>149</v>
      </c>
      <c r="I725" s="621">
        <v>10</v>
      </c>
      <c r="J725" s="621">
        <v>0.2</v>
      </c>
      <c r="K725" s="603">
        <f t="shared" si="72"/>
        <v>12</v>
      </c>
      <c r="L725" s="604">
        <v>0.50347222222222221</v>
      </c>
      <c r="M725" s="605">
        <f t="shared" si="67"/>
        <v>0.50347222222222221</v>
      </c>
      <c r="N725" s="663">
        <v>0.50486111111111109</v>
      </c>
      <c r="P725" s="37" t="str">
        <f t="shared" si="68"/>
        <v>1996F0</v>
      </c>
      <c r="Q725" s="37" t="str">
        <f t="shared" si="69"/>
        <v>F012</v>
      </c>
      <c r="R725" s="37" t="str">
        <f t="shared" si="70"/>
        <v>AugustF0</v>
      </c>
    </row>
    <row r="726" spans="1:18">
      <c r="A726" s="616">
        <f t="shared" si="71"/>
        <v>722</v>
      </c>
      <c r="B726" s="617">
        <v>30</v>
      </c>
      <c r="C726" s="618">
        <v>35305</v>
      </c>
      <c r="D726" s="618" t="s">
        <v>180</v>
      </c>
      <c r="E726" s="633">
        <v>28</v>
      </c>
      <c r="F726" s="603">
        <v>1996</v>
      </c>
      <c r="G726" s="617" t="s">
        <v>145</v>
      </c>
      <c r="H726" s="620" t="s">
        <v>149</v>
      </c>
      <c r="I726" s="621">
        <v>10</v>
      </c>
      <c r="J726" s="621">
        <v>0.2</v>
      </c>
      <c r="K726" s="603">
        <f t="shared" si="72"/>
        <v>12</v>
      </c>
      <c r="L726" s="604">
        <v>0.52083333333333337</v>
      </c>
      <c r="M726" s="605">
        <f t="shared" si="67"/>
        <v>0.52083333333333337</v>
      </c>
      <c r="N726" s="663">
        <v>0.52222222222222225</v>
      </c>
      <c r="P726" s="37" t="str">
        <f t="shared" si="68"/>
        <v>1996F0</v>
      </c>
      <c r="Q726" s="37" t="str">
        <f t="shared" si="69"/>
        <v>F012</v>
      </c>
      <c r="R726" s="37" t="str">
        <f t="shared" si="70"/>
        <v>AugustF0</v>
      </c>
    </row>
    <row r="727" spans="1:18" ht="15" customHeight="1">
      <c r="A727" s="616">
        <f t="shared" si="71"/>
        <v>723</v>
      </c>
      <c r="B727" s="617">
        <v>31</v>
      </c>
      <c r="C727" s="618">
        <v>35325</v>
      </c>
      <c r="D727" s="618" t="s">
        <v>181</v>
      </c>
      <c r="E727" s="633">
        <v>17</v>
      </c>
      <c r="F727" s="603">
        <v>1996</v>
      </c>
      <c r="G727" s="617" t="s">
        <v>135</v>
      </c>
      <c r="H727" s="620" t="s">
        <v>149</v>
      </c>
      <c r="I727" s="621">
        <v>100</v>
      </c>
      <c r="J727" s="621">
        <v>0.5</v>
      </c>
      <c r="K727" s="603">
        <f t="shared" si="72"/>
        <v>21</v>
      </c>
      <c r="L727" s="604">
        <v>0.88194444444444453</v>
      </c>
      <c r="M727" s="605">
        <f t="shared" si="67"/>
        <v>0.88194444444444453</v>
      </c>
      <c r="N727" s="663">
        <v>0.8833333333333333</v>
      </c>
      <c r="P727" s="37" t="str">
        <f t="shared" si="68"/>
        <v>1996F0</v>
      </c>
      <c r="Q727" s="37" t="str">
        <f t="shared" si="69"/>
        <v>F021</v>
      </c>
      <c r="R727" s="37" t="str">
        <f t="shared" si="70"/>
        <v>SeptemberF0</v>
      </c>
    </row>
    <row r="728" spans="1:18">
      <c r="A728" s="616">
        <f t="shared" si="71"/>
        <v>724</v>
      </c>
      <c r="B728" s="617">
        <v>32</v>
      </c>
      <c r="C728" s="618">
        <v>35325</v>
      </c>
      <c r="D728" s="618" t="s">
        <v>181</v>
      </c>
      <c r="E728" s="633">
        <v>17</v>
      </c>
      <c r="F728" s="603">
        <v>1996</v>
      </c>
      <c r="G728" s="617" t="s">
        <v>136</v>
      </c>
      <c r="H728" s="620" t="s">
        <v>149</v>
      </c>
      <c r="I728" s="621">
        <v>50</v>
      </c>
      <c r="J728" s="621">
        <v>0.5</v>
      </c>
      <c r="K728" s="603">
        <f t="shared" si="72"/>
        <v>22</v>
      </c>
      <c r="L728" s="604">
        <v>0.9458333333333333</v>
      </c>
      <c r="M728" s="605">
        <f t="shared" si="67"/>
        <v>0.9458333333333333</v>
      </c>
      <c r="N728" s="663">
        <v>0.9472222222222223</v>
      </c>
      <c r="P728" s="37" t="str">
        <f t="shared" si="68"/>
        <v>1996F0</v>
      </c>
      <c r="Q728" s="37" t="str">
        <f t="shared" si="69"/>
        <v>F022</v>
      </c>
      <c r="R728" s="37" t="str">
        <f t="shared" si="70"/>
        <v>SeptemberF0</v>
      </c>
    </row>
    <row r="729" spans="1:18">
      <c r="A729" s="616">
        <f t="shared" si="71"/>
        <v>725</v>
      </c>
      <c r="B729" s="617">
        <v>33</v>
      </c>
      <c r="C729" s="618">
        <v>35325</v>
      </c>
      <c r="D729" s="618" t="s">
        <v>181</v>
      </c>
      <c r="E729" s="633">
        <v>17</v>
      </c>
      <c r="F729" s="603">
        <v>1996</v>
      </c>
      <c r="G729" s="617" t="s">
        <v>131</v>
      </c>
      <c r="H729" s="620" t="s">
        <v>149</v>
      </c>
      <c r="I729" s="621">
        <v>50</v>
      </c>
      <c r="J729" s="621">
        <v>0.5</v>
      </c>
      <c r="K729" s="603">
        <f t="shared" si="72"/>
        <v>23</v>
      </c>
      <c r="L729" s="604">
        <v>0.99236111111111114</v>
      </c>
      <c r="M729" s="605">
        <f t="shared" si="67"/>
        <v>0.99236111111111114</v>
      </c>
      <c r="N729" s="663">
        <v>0.99375000000000002</v>
      </c>
      <c r="P729" s="37" t="str">
        <f t="shared" si="68"/>
        <v>1996F0</v>
      </c>
      <c r="Q729" s="37" t="str">
        <f t="shared" si="69"/>
        <v>F023</v>
      </c>
      <c r="R729" s="37" t="str">
        <f t="shared" si="70"/>
        <v>SeptemberF0</v>
      </c>
    </row>
    <row r="730" spans="1:18">
      <c r="A730" s="616">
        <f t="shared" si="71"/>
        <v>726</v>
      </c>
      <c r="B730" s="617">
        <v>34</v>
      </c>
      <c r="C730" s="618">
        <v>35326</v>
      </c>
      <c r="D730" s="618" t="s">
        <v>181</v>
      </c>
      <c r="E730" s="633">
        <v>18</v>
      </c>
      <c r="F730" s="603">
        <v>1996</v>
      </c>
      <c r="G730" s="617" t="s">
        <v>127</v>
      </c>
      <c r="H730" s="620" t="s">
        <v>149</v>
      </c>
      <c r="I730" s="621">
        <v>50</v>
      </c>
      <c r="J730" s="621">
        <v>0.5</v>
      </c>
      <c r="K730" s="603">
        <f t="shared" si="72"/>
        <v>19</v>
      </c>
      <c r="L730" s="604">
        <v>0.79236111111111107</v>
      </c>
      <c r="M730" s="605">
        <f t="shared" si="67"/>
        <v>0.79236111111111107</v>
      </c>
      <c r="N730" s="663">
        <v>0.79374999999999996</v>
      </c>
      <c r="P730" s="37" t="str">
        <f t="shared" si="68"/>
        <v>1996F0</v>
      </c>
      <c r="Q730" s="37" t="str">
        <f t="shared" si="69"/>
        <v>F019</v>
      </c>
      <c r="R730" s="37" t="str">
        <f t="shared" si="70"/>
        <v>SeptemberF0</v>
      </c>
    </row>
    <row r="731" spans="1:18">
      <c r="A731" s="616">
        <f t="shared" si="71"/>
        <v>727</v>
      </c>
      <c r="B731" s="617">
        <v>35</v>
      </c>
      <c r="C731" s="618">
        <v>35326</v>
      </c>
      <c r="D731" s="618" t="s">
        <v>181</v>
      </c>
      <c r="E731" s="633">
        <v>18</v>
      </c>
      <c r="F731" s="603">
        <v>1996</v>
      </c>
      <c r="G731" s="617" t="s">
        <v>127</v>
      </c>
      <c r="H731" s="620" t="s">
        <v>149</v>
      </c>
      <c r="I731" s="621">
        <v>50</v>
      </c>
      <c r="J731" s="621">
        <v>0.5</v>
      </c>
      <c r="K731" s="603">
        <f t="shared" si="72"/>
        <v>19</v>
      </c>
      <c r="L731" s="604">
        <v>0.79652777777777783</v>
      </c>
      <c r="M731" s="605">
        <f t="shared" si="67"/>
        <v>0.79652777777777783</v>
      </c>
      <c r="N731" s="663">
        <v>0.79861111111111116</v>
      </c>
      <c r="P731" s="37" t="str">
        <f t="shared" si="68"/>
        <v>1996F0</v>
      </c>
      <c r="Q731" s="37" t="str">
        <f t="shared" si="69"/>
        <v>F019</v>
      </c>
      <c r="R731" s="37" t="str">
        <f t="shared" si="70"/>
        <v>SeptemberF0</v>
      </c>
    </row>
    <row r="732" spans="1:18">
      <c r="A732" s="616">
        <f t="shared" si="71"/>
        <v>728</v>
      </c>
      <c r="B732" s="617">
        <v>1</v>
      </c>
      <c r="C732" s="618">
        <v>35556</v>
      </c>
      <c r="D732" s="618" t="s">
        <v>177</v>
      </c>
      <c r="E732" s="633">
        <v>6</v>
      </c>
      <c r="F732" s="603">
        <v>1997</v>
      </c>
      <c r="G732" s="617" t="s">
        <v>130</v>
      </c>
      <c r="H732" s="620" t="s">
        <v>149</v>
      </c>
      <c r="I732" s="621">
        <v>25</v>
      </c>
      <c r="J732" s="621">
        <v>0.7</v>
      </c>
      <c r="K732" s="603">
        <f t="shared" si="72"/>
        <v>19</v>
      </c>
      <c r="L732" s="604">
        <v>0.81597222222222221</v>
      </c>
      <c r="M732" s="605">
        <f t="shared" si="67"/>
        <v>0.81597222222222221</v>
      </c>
      <c r="N732" s="663">
        <v>0.81597222222222221</v>
      </c>
      <c r="P732" s="37" t="str">
        <f t="shared" si="68"/>
        <v>1997F0</v>
      </c>
      <c r="Q732" s="37" t="str">
        <f t="shared" si="69"/>
        <v>F019</v>
      </c>
      <c r="R732" s="37" t="str">
        <f t="shared" si="70"/>
        <v>MayF0</v>
      </c>
    </row>
    <row r="733" spans="1:18">
      <c r="A733" s="616">
        <f t="shared" si="71"/>
        <v>729</v>
      </c>
      <c r="B733" s="617">
        <v>2</v>
      </c>
      <c r="C733" s="618">
        <v>35557</v>
      </c>
      <c r="D733" s="618" t="s">
        <v>177</v>
      </c>
      <c r="E733" s="633">
        <v>7</v>
      </c>
      <c r="F733" s="603">
        <v>1997</v>
      </c>
      <c r="G733" s="617" t="s">
        <v>142</v>
      </c>
      <c r="H733" s="620" t="s">
        <v>149</v>
      </c>
      <c r="I733" s="621">
        <v>25</v>
      </c>
      <c r="J733" s="621">
        <v>0.2</v>
      </c>
      <c r="K733" s="603">
        <f t="shared" si="72"/>
        <v>18</v>
      </c>
      <c r="L733" s="604">
        <v>0.77708333333333324</v>
      </c>
      <c r="M733" s="605">
        <f t="shared" si="67"/>
        <v>0.77708333333333324</v>
      </c>
      <c r="N733" s="663">
        <v>0.77847222222222223</v>
      </c>
      <c r="P733" s="37" t="str">
        <f t="shared" si="68"/>
        <v>1997F0</v>
      </c>
      <c r="Q733" s="37" t="str">
        <f t="shared" si="69"/>
        <v>F018</v>
      </c>
      <c r="R733" s="37" t="str">
        <f t="shared" si="70"/>
        <v>MayF0</v>
      </c>
    </row>
    <row r="734" spans="1:18">
      <c r="A734" s="616">
        <f t="shared" si="71"/>
        <v>730</v>
      </c>
      <c r="B734" s="617">
        <v>3</v>
      </c>
      <c r="C734" s="618">
        <v>35557</v>
      </c>
      <c r="D734" s="618" t="s">
        <v>177</v>
      </c>
      <c r="E734" s="633">
        <v>7</v>
      </c>
      <c r="F734" s="603">
        <v>1997</v>
      </c>
      <c r="G734" s="617" t="s">
        <v>141</v>
      </c>
      <c r="H734" s="620" t="s">
        <v>149</v>
      </c>
      <c r="I734" s="621">
        <v>25</v>
      </c>
      <c r="J734" s="621">
        <v>0.5</v>
      </c>
      <c r="K734" s="603">
        <f t="shared" si="72"/>
        <v>18</v>
      </c>
      <c r="L734" s="604">
        <v>0.78611111111111109</v>
      </c>
      <c r="M734" s="605">
        <f t="shared" si="67"/>
        <v>0.78611111111111109</v>
      </c>
      <c r="N734" s="663">
        <v>0.78611111111111109</v>
      </c>
      <c r="P734" s="37" t="str">
        <f t="shared" si="68"/>
        <v>1997F0</v>
      </c>
      <c r="Q734" s="37" t="str">
        <f t="shared" si="69"/>
        <v>F018</v>
      </c>
      <c r="R734" s="37" t="str">
        <f t="shared" si="70"/>
        <v>MayF0</v>
      </c>
    </row>
    <row r="735" spans="1:18">
      <c r="A735" s="616">
        <f t="shared" si="71"/>
        <v>731</v>
      </c>
      <c r="B735" s="617">
        <v>4</v>
      </c>
      <c r="C735" s="618">
        <v>35557</v>
      </c>
      <c r="D735" s="618" t="s">
        <v>177</v>
      </c>
      <c r="E735" s="633">
        <v>7</v>
      </c>
      <c r="F735" s="603">
        <v>1997</v>
      </c>
      <c r="G735" s="617" t="s">
        <v>142</v>
      </c>
      <c r="H735" s="620" t="s">
        <v>149</v>
      </c>
      <c r="I735" s="621">
        <v>50</v>
      </c>
      <c r="J735" s="621">
        <v>1</v>
      </c>
      <c r="K735" s="603">
        <f t="shared" si="72"/>
        <v>19</v>
      </c>
      <c r="L735" s="604">
        <v>0.79861111111111116</v>
      </c>
      <c r="M735" s="605">
        <f t="shared" si="67"/>
        <v>0.79861111111111116</v>
      </c>
      <c r="N735" s="663">
        <v>0.79861111111111116</v>
      </c>
      <c r="P735" s="37" t="str">
        <f t="shared" si="68"/>
        <v>1997F0</v>
      </c>
      <c r="Q735" s="37" t="str">
        <f t="shared" si="69"/>
        <v>F019</v>
      </c>
      <c r="R735" s="37" t="str">
        <f t="shared" si="70"/>
        <v>MayF0</v>
      </c>
    </row>
    <row r="736" spans="1:18">
      <c r="A736" s="616">
        <f t="shared" si="71"/>
        <v>732</v>
      </c>
      <c r="B736" s="617">
        <v>5</v>
      </c>
      <c r="C736" s="618">
        <v>35557</v>
      </c>
      <c r="D736" s="618" t="s">
        <v>177</v>
      </c>
      <c r="E736" s="633">
        <v>7</v>
      </c>
      <c r="F736" s="603">
        <v>1997</v>
      </c>
      <c r="G736" s="617" t="s">
        <v>143</v>
      </c>
      <c r="H736" s="620" t="s">
        <v>149</v>
      </c>
      <c r="I736" s="621">
        <v>25</v>
      </c>
      <c r="J736" s="621">
        <v>0.1</v>
      </c>
      <c r="K736" s="603">
        <f t="shared" si="72"/>
        <v>20</v>
      </c>
      <c r="L736" s="604">
        <v>0.83680555555555547</v>
      </c>
      <c r="M736" s="605">
        <f t="shared" si="67"/>
        <v>0.83680555555555547</v>
      </c>
      <c r="N736" s="663">
        <v>0.83819444444444446</v>
      </c>
      <c r="P736" s="37" t="str">
        <f t="shared" si="68"/>
        <v>1997F0</v>
      </c>
      <c r="Q736" s="37" t="str">
        <f t="shared" si="69"/>
        <v>F020</v>
      </c>
      <c r="R736" s="37" t="str">
        <f t="shared" si="70"/>
        <v>MayF0</v>
      </c>
    </row>
    <row r="737" spans="1:18">
      <c r="A737" s="616">
        <f t="shared" si="71"/>
        <v>733</v>
      </c>
      <c r="B737" s="617">
        <v>6</v>
      </c>
      <c r="C737" s="618">
        <v>35578</v>
      </c>
      <c r="D737" s="618" t="s">
        <v>177</v>
      </c>
      <c r="E737" s="633">
        <v>28</v>
      </c>
      <c r="F737" s="603">
        <v>1997</v>
      </c>
      <c r="G737" s="617" t="s">
        <v>144</v>
      </c>
      <c r="H737" s="620" t="s">
        <v>149</v>
      </c>
      <c r="I737" s="621">
        <v>25</v>
      </c>
      <c r="J737" s="621">
        <v>0.1</v>
      </c>
      <c r="K737" s="603">
        <f t="shared" si="72"/>
        <v>16</v>
      </c>
      <c r="L737" s="604">
        <v>0.67152777777777783</v>
      </c>
      <c r="M737" s="605">
        <f t="shared" si="67"/>
        <v>0.67152777777777783</v>
      </c>
      <c r="N737" s="663">
        <v>0.67222222222222217</v>
      </c>
      <c r="P737" s="37" t="str">
        <f t="shared" si="68"/>
        <v>1997F0</v>
      </c>
      <c r="Q737" s="37" t="str">
        <f t="shared" si="69"/>
        <v>F016</v>
      </c>
      <c r="R737" s="37" t="str">
        <f t="shared" si="70"/>
        <v>MayF0</v>
      </c>
    </row>
    <row r="738" spans="1:18">
      <c r="A738" s="616">
        <f t="shared" si="71"/>
        <v>734</v>
      </c>
      <c r="B738" s="617">
        <v>7</v>
      </c>
      <c r="C738" s="618">
        <v>35579</v>
      </c>
      <c r="D738" s="618" t="s">
        <v>177</v>
      </c>
      <c r="E738" s="633">
        <v>29</v>
      </c>
      <c r="F738" s="603">
        <v>1997</v>
      </c>
      <c r="G738" s="617" t="s">
        <v>145</v>
      </c>
      <c r="H738" s="620" t="s">
        <v>149</v>
      </c>
      <c r="I738" s="621">
        <v>25</v>
      </c>
      <c r="J738" s="621">
        <v>0.1</v>
      </c>
      <c r="K738" s="603">
        <f t="shared" si="72"/>
        <v>20</v>
      </c>
      <c r="L738" s="604">
        <v>0.87152777777777779</v>
      </c>
      <c r="M738" s="605">
        <f t="shared" si="67"/>
        <v>0.87152777777777779</v>
      </c>
      <c r="N738" s="663">
        <v>0.87291666666666667</v>
      </c>
      <c r="P738" s="37" t="str">
        <f t="shared" si="68"/>
        <v>1997F0</v>
      </c>
      <c r="Q738" s="37" t="str">
        <f t="shared" si="69"/>
        <v>F020</v>
      </c>
      <c r="R738" s="37" t="str">
        <f t="shared" si="70"/>
        <v>MayF0</v>
      </c>
    </row>
    <row r="739" spans="1:18">
      <c r="A739" s="616">
        <f t="shared" si="71"/>
        <v>735</v>
      </c>
      <c r="B739" s="617">
        <v>8</v>
      </c>
      <c r="C739" s="618">
        <v>35579</v>
      </c>
      <c r="D739" s="618" t="s">
        <v>177</v>
      </c>
      <c r="E739" s="633">
        <v>29</v>
      </c>
      <c r="F739" s="603">
        <v>1997</v>
      </c>
      <c r="G739" s="617" t="s">
        <v>141</v>
      </c>
      <c r="H739" s="620" t="s">
        <v>149</v>
      </c>
      <c r="I739" s="621">
        <v>50</v>
      </c>
      <c r="J739" s="621">
        <v>0.3</v>
      </c>
      <c r="K739" s="603">
        <f t="shared" si="72"/>
        <v>21</v>
      </c>
      <c r="L739" s="604">
        <v>0.87777777777777777</v>
      </c>
      <c r="M739" s="605">
        <f t="shared" si="67"/>
        <v>0.87777777777777777</v>
      </c>
      <c r="N739" s="663">
        <v>0.87916666666666676</v>
      </c>
      <c r="P739" s="37" t="str">
        <f t="shared" si="68"/>
        <v>1997F0</v>
      </c>
      <c r="Q739" s="37" t="str">
        <f t="shared" si="69"/>
        <v>F021</v>
      </c>
      <c r="R739" s="37" t="str">
        <f t="shared" si="70"/>
        <v>MayF0</v>
      </c>
    </row>
    <row r="740" spans="1:18">
      <c r="A740" s="616">
        <f t="shared" si="71"/>
        <v>736</v>
      </c>
      <c r="B740" s="617">
        <v>9</v>
      </c>
      <c r="C740" s="618">
        <v>35579</v>
      </c>
      <c r="D740" s="618" t="s">
        <v>177</v>
      </c>
      <c r="E740" s="633">
        <v>29</v>
      </c>
      <c r="F740" s="603">
        <v>1997</v>
      </c>
      <c r="G740" s="617" t="s">
        <v>145</v>
      </c>
      <c r="H740" s="620" t="s">
        <v>149</v>
      </c>
      <c r="I740" s="621">
        <v>25</v>
      </c>
      <c r="J740" s="621">
        <v>0.1</v>
      </c>
      <c r="K740" s="603">
        <f t="shared" si="72"/>
        <v>21</v>
      </c>
      <c r="L740" s="604">
        <v>0.8833333333333333</v>
      </c>
      <c r="M740" s="605">
        <f t="shared" si="67"/>
        <v>0.8833333333333333</v>
      </c>
      <c r="N740" s="663">
        <v>0.8847222222222223</v>
      </c>
      <c r="P740" s="37" t="str">
        <f t="shared" si="68"/>
        <v>1997F0</v>
      </c>
      <c r="Q740" s="37" t="str">
        <f t="shared" si="69"/>
        <v>F021</v>
      </c>
      <c r="R740" s="37" t="str">
        <f t="shared" si="70"/>
        <v>MayF0</v>
      </c>
    </row>
    <row r="741" spans="1:18">
      <c r="A741" s="616">
        <f t="shared" si="71"/>
        <v>737</v>
      </c>
      <c r="B741" s="617">
        <v>10</v>
      </c>
      <c r="C741" s="618">
        <v>35590</v>
      </c>
      <c r="D741" s="618" t="s">
        <v>178</v>
      </c>
      <c r="E741" s="633">
        <v>9</v>
      </c>
      <c r="F741" s="603">
        <v>1997</v>
      </c>
      <c r="G741" s="617" t="s">
        <v>141</v>
      </c>
      <c r="H741" s="620" t="s">
        <v>149</v>
      </c>
      <c r="I741" s="621">
        <v>25</v>
      </c>
      <c r="J741" s="621">
        <v>0.1</v>
      </c>
      <c r="K741" s="603">
        <f t="shared" si="72"/>
        <v>14</v>
      </c>
      <c r="L741" s="604">
        <v>0.60069444444444442</v>
      </c>
      <c r="M741" s="605">
        <f t="shared" si="67"/>
        <v>0.60069444444444442</v>
      </c>
      <c r="N741" s="663">
        <v>0.6020833333333333</v>
      </c>
      <c r="P741" s="37" t="str">
        <f t="shared" si="68"/>
        <v>1997F0</v>
      </c>
      <c r="Q741" s="37" t="str">
        <f t="shared" si="69"/>
        <v>F014</v>
      </c>
      <c r="R741" s="37" t="str">
        <f t="shared" si="70"/>
        <v>JuneF0</v>
      </c>
    </row>
    <row r="742" spans="1:18">
      <c r="A742" s="616">
        <f t="shared" si="71"/>
        <v>738</v>
      </c>
      <c r="B742" s="617">
        <v>11</v>
      </c>
      <c r="C742" s="618">
        <v>35592</v>
      </c>
      <c r="D742" s="618" t="s">
        <v>178</v>
      </c>
      <c r="E742" s="633">
        <v>11</v>
      </c>
      <c r="F742" s="603">
        <v>1997</v>
      </c>
      <c r="G742" s="617" t="s">
        <v>143</v>
      </c>
      <c r="H742" s="620" t="s">
        <v>150</v>
      </c>
      <c r="I742" s="621">
        <v>100</v>
      </c>
      <c r="J742" s="621">
        <v>2</v>
      </c>
      <c r="K742" s="603">
        <f t="shared" si="72"/>
        <v>17</v>
      </c>
      <c r="L742" s="604">
        <v>0.72222222222222221</v>
      </c>
      <c r="M742" s="605">
        <f t="shared" si="67"/>
        <v>0.72222222222222221</v>
      </c>
      <c r="N742" s="663">
        <v>0.72569444444444453</v>
      </c>
      <c r="P742" s="37" t="str">
        <f t="shared" si="68"/>
        <v>1997F1</v>
      </c>
      <c r="Q742" s="37" t="str">
        <f t="shared" si="69"/>
        <v>F117</v>
      </c>
      <c r="R742" s="37" t="str">
        <f t="shared" si="70"/>
        <v>JuneF1</v>
      </c>
    </row>
    <row r="743" spans="1:18">
      <c r="A743" s="616">
        <f t="shared" si="71"/>
        <v>739</v>
      </c>
      <c r="B743" s="617">
        <v>12</v>
      </c>
      <c r="C743" s="618">
        <v>35592</v>
      </c>
      <c r="D743" s="618" t="s">
        <v>178</v>
      </c>
      <c r="E743" s="633">
        <v>11</v>
      </c>
      <c r="F743" s="603">
        <v>1997</v>
      </c>
      <c r="G743" s="617" t="s">
        <v>143</v>
      </c>
      <c r="H743" s="620" t="s">
        <v>149</v>
      </c>
      <c r="I743" s="621">
        <v>25</v>
      </c>
      <c r="J743" s="621">
        <v>0.1</v>
      </c>
      <c r="K743" s="603">
        <f t="shared" si="72"/>
        <v>17</v>
      </c>
      <c r="L743" s="604">
        <v>0.73541666666666661</v>
      </c>
      <c r="M743" s="605">
        <f t="shared" si="67"/>
        <v>0.73541666666666661</v>
      </c>
      <c r="N743" s="663">
        <v>0.73611111111111116</v>
      </c>
      <c r="P743" s="37" t="str">
        <f t="shared" si="68"/>
        <v>1997F0</v>
      </c>
      <c r="Q743" s="37" t="str">
        <f t="shared" si="69"/>
        <v>F017</v>
      </c>
      <c r="R743" s="37" t="str">
        <f t="shared" si="70"/>
        <v>JuneF0</v>
      </c>
    </row>
    <row r="744" spans="1:18">
      <c r="A744" s="616">
        <f t="shared" si="71"/>
        <v>740</v>
      </c>
      <c r="B744" s="617">
        <v>13</v>
      </c>
      <c r="C744" s="618">
        <v>35592</v>
      </c>
      <c r="D744" s="618" t="s">
        <v>178</v>
      </c>
      <c r="E744" s="633">
        <v>11</v>
      </c>
      <c r="F744" s="603">
        <v>1997</v>
      </c>
      <c r="G744" s="617" t="s">
        <v>143</v>
      </c>
      <c r="H744" s="620" t="s">
        <v>152</v>
      </c>
      <c r="I744" s="621">
        <v>600</v>
      </c>
      <c r="J744" s="621">
        <v>9</v>
      </c>
      <c r="K744" s="603">
        <f t="shared" si="72"/>
        <v>17</v>
      </c>
      <c r="L744" s="604">
        <v>0.7402777777777777</v>
      </c>
      <c r="M744" s="605">
        <f t="shared" si="67"/>
        <v>0.7402777777777777</v>
      </c>
      <c r="N744" s="663">
        <v>0.77222222222222225</v>
      </c>
      <c r="P744" s="37" t="str">
        <f t="shared" si="68"/>
        <v>1997F3</v>
      </c>
      <c r="Q744" s="37" t="str">
        <f t="shared" si="69"/>
        <v>F317</v>
      </c>
      <c r="R744" s="37" t="str">
        <f t="shared" si="70"/>
        <v>JuneF3</v>
      </c>
    </row>
    <row r="745" spans="1:18">
      <c r="A745" s="616">
        <f t="shared" si="71"/>
        <v>741</v>
      </c>
      <c r="B745" s="617">
        <v>14</v>
      </c>
      <c r="C745" s="618">
        <v>35592</v>
      </c>
      <c r="D745" s="618" t="s">
        <v>178</v>
      </c>
      <c r="E745" s="633">
        <v>11</v>
      </c>
      <c r="F745" s="603">
        <v>1997</v>
      </c>
      <c r="G745" s="617" t="s">
        <v>148</v>
      </c>
      <c r="H745" s="620" t="s">
        <v>150</v>
      </c>
      <c r="I745" s="621">
        <v>200</v>
      </c>
      <c r="J745" s="621">
        <v>0.5</v>
      </c>
      <c r="K745" s="603">
        <f t="shared" si="72"/>
        <v>18</v>
      </c>
      <c r="L745" s="604">
        <v>0.78402777777777777</v>
      </c>
      <c r="M745" s="605">
        <f t="shared" si="67"/>
        <v>0.78402777777777777</v>
      </c>
      <c r="N745" s="663">
        <v>0.78819444444444453</v>
      </c>
      <c r="P745" s="37" t="str">
        <f t="shared" si="68"/>
        <v>1997F1</v>
      </c>
      <c r="Q745" s="37" t="str">
        <f t="shared" si="69"/>
        <v>F118</v>
      </c>
      <c r="R745" s="37" t="str">
        <f t="shared" si="70"/>
        <v>JuneF1</v>
      </c>
    </row>
    <row r="746" spans="1:18">
      <c r="A746" s="616">
        <f t="shared" si="71"/>
        <v>742</v>
      </c>
      <c r="B746" s="617">
        <v>15</v>
      </c>
      <c r="C746" s="618">
        <v>35592</v>
      </c>
      <c r="D746" s="618" t="s">
        <v>178</v>
      </c>
      <c r="E746" s="633">
        <v>11</v>
      </c>
      <c r="F746" s="603">
        <v>1997</v>
      </c>
      <c r="G746" s="617" t="s">
        <v>148</v>
      </c>
      <c r="H746" s="620" t="s">
        <v>149</v>
      </c>
      <c r="I746" s="621">
        <v>50</v>
      </c>
      <c r="J746" s="621">
        <v>0.5</v>
      </c>
      <c r="K746" s="603">
        <f t="shared" si="72"/>
        <v>19</v>
      </c>
      <c r="L746" s="604">
        <v>0.79791666666666661</v>
      </c>
      <c r="M746" s="605">
        <f t="shared" si="67"/>
        <v>0.79791666666666661</v>
      </c>
      <c r="N746" s="663">
        <v>0.7993055555555556</v>
      </c>
      <c r="P746" s="37" t="str">
        <f t="shared" si="68"/>
        <v>1997F0</v>
      </c>
      <c r="Q746" s="37" t="str">
        <f t="shared" si="69"/>
        <v>F019</v>
      </c>
      <c r="R746" s="37" t="str">
        <f t="shared" si="70"/>
        <v>JuneF0</v>
      </c>
    </row>
    <row r="747" spans="1:18">
      <c r="A747" s="616">
        <f t="shared" si="71"/>
        <v>743</v>
      </c>
      <c r="B747" s="617">
        <v>16</v>
      </c>
      <c r="C747" s="618">
        <v>35592</v>
      </c>
      <c r="D747" s="618" t="s">
        <v>178</v>
      </c>
      <c r="E747" s="633">
        <v>11</v>
      </c>
      <c r="F747" s="603">
        <v>1997</v>
      </c>
      <c r="G747" s="617" t="s">
        <v>148</v>
      </c>
      <c r="H747" s="620" t="s">
        <v>149</v>
      </c>
      <c r="I747" s="621">
        <v>25</v>
      </c>
      <c r="J747" s="621">
        <v>0.1</v>
      </c>
      <c r="K747" s="603">
        <f t="shared" si="72"/>
        <v>19</v>
      </c>
      <c r="L747" s="604">
        <v>0.80694444444444446</v>
      </c>
      <c r="M747" s="605">
        <f t="shared" si="67"/>
        <v>0.80694444444444446</v>
      </c>
      <c r="N747" s="663">
        <v>0.80763888888888891</v>
      </c>
      <c r="P747" s="37" t="str">
        <f t="shared" si="68"/>
        <v>1997F0</v>
      </c>
      <c r="Q747" s="37" t="str">
        <f t="shared" si="69"/>
        <v>F019</v>
      </c>
      <c r="R747" s="37" t="str">
        <f t="shared" si="70"/>
        <v>JuneF0</v>
      </c>
    </row>
    <row r="748" spans="1:18">
      <c r="A748" s="616">
        <f t="shared" si="71"/>
        <v>744</v>
      </c>
      <c r="B748" s="617">
        <v>17</v>
      </c>
      <c r="C748" s="618">
        <v>35592</v>
      </c>
      <c r="D748" s="618" t="s">
        <v>178</v>
      </c>
      <c r="E748" s="633">
        <v>11</v>
      </c>
      <c r="F748" s="603">
        <v>1997</v>
      </c>
      <c r="G748" s="617" t="s">
        <v>142</v>
      </c>
      <c r="H748" s="620" t="s">
        <v>150</v>
      </c>
      <c r="I748" s="621">
        <v>200</v>
      </c>
      <c r="J748" s="621">
        <v>4</v>
      </c>
      <c r="K748" s="603">
        <f t="shared" si="72"/>
        <v>19</v>
      </c>
      <c r="L748" s="604">
        <v>0.82430555555555562</v>
      </c>
      <c r="M748" s="605">
        <f t="shared" si="67"/>
        <v>0.82430555555555562</v>
      </c>
      <c r="N748" s="663">
        <v>0.83194444444444438</v>
      </c>
      <c r="P748" s="37" t="str">
        <f t="shared" si="68"/>
        <v>1997F1</v>
      </c>
      <c r="Q748" s="37" t="str">
        <f t="shared" si="69"/>
        <v>F119</v>
      </c>
      <c r="R748" s="37" t="str">
        <f t="shared" si="70"/>
        <v>JuneF1</v>
      </c>
    </row>
    <row r="749" spans="1:18">
      <c r="A749" s="616">
        <f t="shared" si="71"/>
        <v>745</v>
      </c>
      <c r="B749" s="617">
        <v>18</v>
      </c>
      <c r="C749" s="618">
        <v>35592</v>
      </c>
      <c r="D749" s="618" t="s">
        <v>178</v>
      </c>
      <c r="E749" s="633">
        <v>11</v>
      </c>
      <c r="F749" s="603">
        <v>1997</v>
      </c>
      <c r="G749" s="617" t="s">
        <v>147</v>
      </c>
      <c r="H749" s="620" t="s">
        <v>150</v>
      </c>
      <c r="I749" s="621">
        <v>200</v>
      </c>
      <c r="J749" s="621">
        <v>1</v>
      </c>
      <c r="K749" s="603">
        <f t="shared" si="72"/>
        <v>19</v>
      </c>
      <c r="L749" s="604">
        <v>0.83194444444444438</v>
      </c>
      <c r="M749" s="605">
        <f t="shared" si="67"/>
        <v>0.83194444444444438</v>
      </c>
      <c r="N749" s="663">
        <v>0.83472222222222225</v>
      </c>
      <c r="P749" s="37" t="str">
        <f t="shared" si="68"/>
        <v>1997F1</v>
      </c>
      <c r="Q749" s="37" t="str">
        <f t="shared" si="69"/>
        <v>F119</v>
      </c>
      <c r="R749" s="37" t="str">
        <f t="shared" si="70"/>
        <v>JuneF1</v>
      </c>
    </row>
    <row r="750" spans="1:18">
      <c r="A750" s="616">
        <f t="shared" si="71"/>
        <v>746</v>
      </c>
      <c r="B750" s="617">
        <v>19</v>
      </c>
      <c r="C750" s="618">
        <v>35592</v>
      </c>
      <c r="D750" s="618" t="s">
        <v>178</v>
      </c>
      <c r="E750" s="633">
        <v>11</v>
      </c>
      <c r="F750" s="603">
        <v>1997</v>
      </c>
      <c r="G750" s="617" t="s">
        <v>148</v>
      </c>
      <c r="H750" s="620" t="s">
        <v>150</v>
      </c>
      <c r="I750" s="621">
        <v>100</v>
      </c>
      <c r="J750" s="621">
        <v>9</v>
      </c>
      <c r="K750" s="603">
        <f t="shared" si="72"/>
        <v>21</v>
      </c>
      <c r="L750" s="604">
        <v>0.88194444444444453</v>
      </c>
      <c r="M750" s="605">
        <f t="shared" si="67"/>
        <v>0.88194444444444453</v>
      </c>
      <c r="N750" s="663">
        <v>0.89583333333333337</v>
      </c>
      <c r="P750" s="37" t="str">
        <f t="shared" si="68"/>
        <v>1997F1</v>
      </c>
      <c r="Q750" s="37" t="str">
        <f t="shared" si="69"/>
        <v>F121</v>
      </c>
      <c r="R750" s="37" t="str">
        <f t="shared" si="70"/>
        <v>JuneF1</v>
      </c>
    </row>
    <row r="751" spans="1:18">
      <c r="A751" s="616">
        <f t="shared" si="71"/>
        <v>747</v>
      </c>
      <c r="B751" s="617">
        <v>20</v>
      </c>
      <c r="C751" s="618">
        <v>35593</v>
      </c>
      <c r="D751" s="618" t="s">
        <v>178</v>
      </c>
      <c r="E751" s="633">
        <v>12</v>
      </c>
      <c r="F751" s="603">
        <v>1997</v>
      </c>
      <c r="G751" s="617" t="s">
        <v>143</v>
      </c>
      <c r="H751" s="620" t="s">
        <v>149</v>
      </c>
      <c r="I751" s="621">
        <v>25</v>
      </c>
      <c r="J751" s="621">
        <v>0.1</v>
      </c>
      <c r="K751" s="603">
        <f t="shared" si="72"/>
        <v>19</v>
      </c>
      <c r="L751" s="604">
        <v>0.80069444444444438</v>
      </c>
      <c r="M751" s="605">
        <f t="shared" si="67"/>
        <v>0.80069444444444438</v>
      </c>
      <c r="N751" s="663">
        <v>0.80208333333333337</v>
      </c>
      <c r="P751" s="37" t="str">
        <f t="shared" si="68"/>
        <v>1997F0</v>
      </c>
      <c r="Q751" s="37" t="str">
        <f t="shared" si="69"/>
        <v>F019</v>
      </c>
      <c r="R751" s="37" t="str">
        <f t="shared" si="70"/>
        <v>JuneF0</v>
      </c>
    </row>
    <row r="752" spans="1:18">
      <c r="A752" s="616">
        <f t="shared" si="71"/>
        <v>748</v>
      </c>
      <c r="B752" s="617">
        <v>21</v>
      </c>
      <c r="C752" s="618">
        <v>35593</v>
      </c>
      <c r="D752" s="618" t="s">
        <v>178</v>
      </c>
      <c r="E752" s="633">
        <v>12</v>
      </c>
      <c r="F752" s="603">
        <v>1997</v>
      </c>
      <c r="G752" s="617" t="s">
        <v>137</v>
      </c>
      <c r="H752" s="620" t="s">
        <v>149</v>
      </c>
      <c r="I752" s="621">
        <v>25</v>
      </c>
      <c r="J752" s="621">
        <v>0.1</v>
      </c>
      <c r="K752" s="603">
        <f t="shared" si="72"/>
        <v>20</v>
      </c>
      <c r="L752" s="604">
        <v>0.84027777777777779</v>
      </c>
      <c r="M752" s="605">
        <f t="shared" si="67"/>
        <v>0.84027777777777779</v>
      </c>
      <c r="N752" s="663">
        <v>0.84166666666666667</v>
      </c>
      <c r="P752" s="37" t="str">
        <f t="shared" si="68"/>
        <v>1997F0</v>
      </c>
      <c r="Q752" s="37" t="str">
        <f t="shared" si="69"/>
        <v>F020</v>
      </c>
      <c r="R752" s="37" t="str">
        <f t="shared" si="70"/>
        <v>JuneF0</v>
      </c>
    </row>
    <row r="753" spans="1:18">
      <c r="A753" s="616">
        <f t="shared" si="71"/>
        <v>749</v>
      </c>
      <c r="B753" s="617">
        <v>22</v>
      </c>
      <c r="C753" s="618">
        <v>35595</v>
      </c>
      <c r="D753" s="618" t="s">
        <v>178</v>
      </c>
      <c r="E753" s="633">
        <v>14</v>
      </c>
      <c r="F753" s="603">
        <v>1997</v>
      </c>
      <c r="G753" s="617" t="s">
        <v>135</v>
      </c>
      <c r="H753" s="620" t="s">
        <v>149</v>
      </c>
      <c r="I753" s="621">
        <v>50</v>
      </c>
      <c r="J753" s="621">
        <v>0.2</v>
      </c>
      <c r="K753" s="603">
        <f t="shared" si="72"/>
        <v>14</v>
      </c>
      <c r="L753" s="604">
        <v>0.62430555555555556</v>
      </c>
      <c r="M753" s="605">
        <f t="shared" si="67"/>
        <v>0.62430555555555556</v>
      </c>
      <c r="N753" s="663">
        <v>0.62569444444444444</v>
      </c>
      <c r="P753" s="37" t="str">
        <f t="shared" si="68"/>
        <v>1997F0</v>
      </c>
      <c r="Q753" s="37" t="str">
        <f t="shared" si="69"/>
        <v>F014</v>
      </c>
      <c r="R753" s="37" t="str">
        <f t="shared" si="70"/>
        <v>JuneF0</v>
      </c>
    </row>
    <row r="754" spans="1:18">
      <c r="A754" s="616">
        <f t="shared" si="71"/>
        <v>750</v>
      </c>
      <c r="B754" s="617">
        <v>23</v>
      </c>
      <c r="C754" s="618">
        <v>35595</v>
      </c>
      <c r="D754" s="618" t="s">
        <v>178</v>
      </c>
      <c r="E754" s="633">
        <v>14</v>
      </c>
      <c r="F754" s="603">
        <v>1997</v>
      </c>
      <c r="G754" s="617" t="s">
        <v>135</v>
      </c>
      <c r="H754" s="620" t="s">
        <v>149</v>
      </c>
      <c r="I754" s="621">
        <v>25</v>
      </c>
      <c r="J754" s="621">
        <v>0.1</v>
      </c>
      <c r="K754" s="603">
        <f t="shared" si="72"/>
        <v>15</v>
      </c>
      <c r="L754" s="604">
        <v>0.64097222222222217</v>
      </c>
      <c r="M754" s="605">
        <f t="shared" ref="M754:M814" si="73">+L754</f>
        <v>0.64097222222222217</v>
      </c>
      <c r="N754" s="663">
        <v>0.64236111111111105</v>
      </c>
      <c r="P754" s="37" t="str">
        <f t="shared" si="68"/>
        <v>1997F0</v>
      </c>
      <c r="Q754" s="37" t="str">
        <f t="shared" si="69"/>
        <v>F015</v>
      </c>
      <c r="R754" s="37" t="str">
        <f t="shared" si="70"/>
        <v>JuneF0</v>
      </c>
    </row>
    <row r="755" spans="1:18">
      <c r="A755" s="616">
        <f t="shared" si="71"/>
        <v>751</v>
      </c>
      <c r="B755" s="617">
        <v>24</v>
      </c>
      <c r="C755" s="618">
        <v>35595</v>
      </c>
      <c r="D755" s="618" t="s">
        <v>178</v>
      </c>
      <c r="E755" s="633">
        <v>14</v>
      </c>
      <c r="F755" s="603">
        <v>1997</v>
      </c>
      <c r="G755" s="617" t="s">
        <v>145</v>
      </c>
      <c r="H755" s="620" t="s">
        <v>149</v>
      </c>
      <c r="I755" s="621">
        <v>25</v>
      </c>
      <c r="J755" s="621">
        <v>0.1</v>
      </c>
      <c r="K755" s="603">
        <f t="shared" si="72"/>
        <v>16</v>
      </c>
      <c r="L755" s="604">
        <v>0.68402777777777779</v>
      </c>
      <c r="M755" s="605">
        <f t="shared" si="73"/>
        <v>0.68402777777777779</v>
      </c>
      <c r="N755" s="663">
        <v>0.68541666666666667</v>
      </c>
      <c r="P755" s="37" t="str">
        <f t="shared" si="68"/>
        <v>1997F0</v>
      </c>
      <c r="Q755" s="37" t="str">
        <f t="shared" si="69"/>
        <v>F016</v>
      </c>
      <c r="R755" s="37" t="str">
        <f t="shared" si="70"/>
        <v>JuneF0</v>
      </c>
    </row>
    <row r="756" spans="1:18">
      <c r="A756" s="616">
        <f t="shared" si="71"/>
        <v>752</v>
      </c>
      <c r="B756" s="617">
        <v>25</v>
      </c>
      <c r="C756" s="618">
        <v>35595</v>
      </c>
      <c r="D756" s="618" t="s">
        <v>178</v>
      </c>
      <c r="E756" s="633">
        <v>14</v>
      </c>
      <c r="F756" s="603">
        <v>1997</v>
      </c>
      <c r="G756" s="617" t="s">
        <v>136</v>
      </c>
      <c r="H756" s="620" t="s">
        <v>149</v>
      </c>
      <c r="I756" s="621">
        <v>50</v>
      </c>
      <c r="J756" s="621">
        <v>0.2</v>
      </c>
      <c r="K756" s="603">
        <f t="shared" si="72"/>
        <v>17</v>
      </c>
      <c r="L756" s="604">
        <v>0.7416666666666667</v>
      </c>
      <c r="M756" s="605">
        <f t="shared" si="73"/>
        <v>0.7416666666666667</v>
      </c>
      <c r="N756" s="663">
        <v>0.74375000000000002</v>
      </c>
      <c r="P756" s="37" t="str">
        <f t="shared" si="68"/>
        <v>1997F0</v>
      </c>
      <c r="Q756" s="37" t="str">
        <f t="shared" si="69"/>
        <v>F017</v>
      </c>
      <c r="R756" s="37" t="str">
        <f t="shared" si="70"/>
        <v>JuneF0</v>
      </c>
    </row>
    <row r="757" spans="1:18">
      <c r="A757" s="616">
        <f t="shared" si="71"/>
        <v>753</v>
      </c>
      <c r="B757" s="617">
        <v>26</v>
      </c>
      <c r="C757" s="618">
        <v>35595</v>
      </c>
      <c r="D757" s="618" t="s">
        <v>178</v>
      </c>
      <c r="E757" s="633">
        <v>14</v>
      </c>
      <c r="F757" s="603">
        <v>1997</v>
      </c>
      <c r="G757" s="617" t="s">
        <v>141</v>
      </c>
      <c r="H757" s="620" t="s">
        <v>149</v>
      </c>
      <c r="I757" s="621">
        <v>50</v>
      </c>
      <c r="J757" s="621">
        <v>0.1</v>
      </c>
      <c r="K757" s="603">
        <f t="shared" si="72"/>
        <v>18</v>
      </c>
      <c r="L757" s="604">
        <v>0.75694444444444453</v>
      </c>
      <c r="M757" s="605">
        <f t="shared" si="73"/>
        <v>0.75694444444444453</v>
      </c>
      <c r="N757" s="663">
        <v>0.75902777777777775</v>
      </c>
      <c r="P757" s="37" t="str">
        <f t="shared" si="68"/>
        <v>1997F0</v>
      </c>
      <c r="Q757" s="37" t="str">
        <f t="shared" si="69"/>
        <v>F018</v>
      </c>
      <c r="R757" s="37" t="str">
        <f t="shared" si="70"/>
        <v>JuneF0</v>
      </c>
    </row>
    <row r="758" spans="1:18">
      <c r="A758" s="616">
        <f t="shared" si="71"/>
        <v>754</v>
      </c>
      <c r="B758" s="617">
        <v>27</v>
      </c>
      <c r="C758" s="618">
        <v>35596</v>
      </c>
      <c r="D758" s="618" t="s">
        <v>178</v>
      </c>
      <c r="E758" s="633">
        <v>15</v>
      </c>
      <c r="F758" s="603">
        <v>1997</v>
      </c>
      <c r="G758" s="617" t="s">
        <v>128</v>
      </c>
      <c r="H758" s="620" t="s">
        <v>150</v>
      </c>
      <c r="I758" s="621">
        <v>100</v>
      </c>
      <c r="J758" s="621">
        <v>0.5</v>
      </c>
      <c r="K758" s="603">
        <f t="shared" si="72"/>
        <v>18</v>
      </c>
      <c r="L758" s="604">
        <v>0.75694444444444453</v>
      </c>
      <c r="M758" s="605">
        <f t="shared" si="73"/>
        <v>0.75694444444444453</v>
      </c>
      <c r="N758" s="663">
        <v>0.7597222222222223</v>
      </c>
      <c r="P758" s="37" t="str">
        <f t="shared" si="68"/>
        <v>1997F1</v>
      </c>
      <c r="Q758" s="37" t="str">
        <f t="shared" si="69"/>
        <v>F118</v>
      </c>
      <c r="R758" s="37" t="str">
        <f t="shared" si="70"/>
        <v>JuneF1</v>
      </c>
    </row>
    <row r="759" spans="1:18">
      <c r="A759" s="616">
        <f t="shared" si="71"/>
        <v>755</v>
      </c>
      <c r="B759" s="617">
        <v>28</v>
      </c>
      <c r="C759" s="618">
        <v>35597</v>
      </c>
      <c r="D759" s="618" t="s">
        <v>178</v>
      </c>
      <c r="E759" s="633">
        <v>16</v>
      </c>
      <c r="F759" s="603">
        <v>1997</v>
      </c>
      <c r="G759" s="617" t="s">
        <v>129</v>
      </c>
      <c r="H759" s="620" t="s">
        <v>149</v>
      </c>
      <c r="I759" s="621">
        <v>25</v>
      </c>
      <c r="J759" s="621">
        <v>0.2</v>
      </c>
      <c r="K759" s="603">
        <f t="shared" si="72"/>
        <v>12</v>
      </c>
      <c r="L759" s="604">
        <v>0.51388888888888895</v>
      </c>
      <c r="M759" s="605">
        <f t="shared" si="73"/>
        <v>0.51388888888888895</v>
      </c>
      <c r="N759" s="663">
        <v>0.51527777777777783</v>
      </c>
      <c r="P759" s="37" t="str">
        <f t="shared" si="68"/>
        <v>1997F0</v>
      </c>
      <c r="Q759" s="37" t="str">
        <f t="shared" si="69"/>
        <v>F012</v>
      </c>
      <c r="R759" s="37" t="str">
        <f t="shared" si="70"/>
        <v>JuneF0</v>
      </c>
    </row>
    <row r="760" spans="1:18">
      <c r="A760" s="616">
        <f t="shared" si="71"/>
        <v>756</v>
      </c>
      <c r="B760" s="617">
        <v>29</v>
      </c>
      <c r="C760" s="618">
        <v>35597</v>
      </c>
      <c r="D760" s="618" t="s">
        <v>178</v>
      </c>
      <c r="E760" s="633">
        <v>16</v>
      </c>
      <c r="F760" s="603">
        <v>1997</v>
      </c>
      <c r="G760" s="617" t="s">
        <v>134</v>
      </c>
      <c r="H760" s="620" t="s">
        <v>149</v>
      </c>
      <c r="I760" s="621">
        <v>50</v>
      </c>
      <c r="J760" s="621">
        <v>0.1</v>
      </c>
      <c r="K760" s="603">
        <f t="shared" si="72"/>
        <v>12</v>
      </c>
      <c r="L760" s="604">
        <v>0.52083333333333337</v>
      </c>
      <c r="M760" s="605">
        <f t="shared" si="73"/>
        <v>0.52083333333333337</v>
      </c>
      <c r="N760" s="663">
        <v>0.5229166666666667</v>
      </c>
      <c r="P760" s="37" t="str">
        <f t="shared" si="68"/>
        <v>1997F0</v>
      </c>
      <c r="Q760" s="37" t="str">
        <f t="shared" si="69"/>
        <v>F012</v>
      </c>
      <c r="R760" s="37" t="str">
        <f t="shared" si="70"/>
        <v>JuneF0</v>
      </c>
    </row>
    <row r="761" spans="1:18">
      <c r="A761" s="616">
        <f t="shared" si="71"/>
        <v>757</v>
      </c>
      <c r="B761" s="617">
        <v>1</v>
      </c>
      <c r="C761" s="618">
        <v>36014</v>
      </c>
      <c r="D761" s="618" t="s">
        <v>180</v>
      </c>
      <c r="E761" s="633">
        <v>7</v>
      </c>
      <c r="F761" s="603">
        <v>1998</v>
      </c>
      <c r="G761" s="617" t="s">
        <v>145</v>
      </c>
      <c r="H761" s="620" t="s">
        <v>149</v>
      </c>
      <c r="I761" s="621">
        <v>25</v>
      </c>
      <c r="J761" s="621">
        <v>0.5</v>
      </c>
      <c r="K761" s="603">
        <f t="shared" si="72"/>
        <v>16</v>
      </c>
      <c r="L761" s="604">
        <v>0.67361111111111116</v>
      </c>
      <c r="M761" s="605">
        <f t="shared" si="73"/>
        <v>0.67361111111111116</v>
      </c>
      <c r="N761" s="663">
        <v>0.67708333333333337</v>
      </c>
      <c r="P761" s="37" t="str">
        <f t="shared" si="68"/>
        <v>1998F0</v>
      </c>
      <c r="Q761" s="37" t="str">
        <f t="shared" si="69"/>
        <v>F016</v>
      </c>
      <c r="R761" s="37" t="str">
        <f t="shared" si="70"/>
        <v>AugustF0</v>
      </c>
    </row>
    <row r="762" spans="1:18">
      <c r="A762" s="616">
        <f t="shared" si="71"/>
        <v>758</v>
      </c>
      <c r="B762" s="617">
        <v>2</v>
      </c>
      <c r="C762" s="618">
        <v>36095</v>
      </c>
      <c r="D762" s="618" t="s">
        <v>182</v>
      </c>
      <c r="E762" s="633">
        <v>27</v>
      </c>
      <c r="F762" s="603">
        <v>1998</v>
      </c>
      <c r="G762" s="617" t="s">
        <v>145</v>
      </c>
      <c r="H762" s="620" t="s">
        <v>150</v>
      </c>
      <c r="I762" s="621">
        <v>300</v>
      </c>
      <c r="J762" s="621">
        <v>1</v>
      </c>
      <c r="K762" s="603">
        <f t="shared" si="72"/>
        <v>19</v>
      </c>
      <c r="L762" s="604">
        <v>0.80208333333333337</v>
      </c>
      <c r="M762" s="605">
        <f t="shared" si="73"/>
        <v>0.80208333333333337</v>
      </c>
      <c r="N762" s="663">
        <v>0.8041666666666667</v>
      </c>
      <c r="P762" s="37" t="str">
        <f t="shared" si="68"/>
        <v>1998F1</v>
      </c>
      <c r="Q762" s="37" t="str">
        <f t="shared" si="69"/>
        <v>F119</v>
      </c>
      <c r="R762" s="37" t="str">
        <f t="shared" si="70"/>
        <v>OctoberF1</v>
      </c>
    </row>
    <row r="763" spans="1:18">
      <c r="A763" s="616">
        <f t="shared" si="71"/>
        <v>759</v>
      </c>
      <c r="B763" s="617">
        <v>1</v>
      </c>
      <c r="C763" s="618">
        <v>36281</v>
      </c>
      <c r="D763" s="618" t="s">
        <v>177</v>
      </c>
      <c r="E763" s="633">
        <v>1</v>
      </c>
      <c r="F763" s="603">
        <v>1999</v>
      </c>
      <c r="G763" s="617" t="s">
        <v>134</v>
      </c>
      <c r="H763" s="620" t="s">
        <v>149</v>
      </c>
      <c r="I763" s="621">
        <v>50</v>
      </c>
      <c r="J763" s="621">
        <v>0.1</v>
      </c>
      <c r="K763" s="603">
        <f t="shared" si="72"/>
        <v>19</v>
      </c>
      <c r="L763" s="604">
        <v>0.79652777777777783</v>
      </c>
      <c r="M763" s="605">
        <f t="shared" si="73"/>
        <v>0.79652777777777783</v>
      </c>
      <c r="N763" s="663">
        <v>0.79652777777777783</v>
      </c>
      <c r="P763" s="37" t="str">
        <f t="shared" si="68"/>
        <v>1999F0</v>
      </c>
      <c r="Q763" s="37" t="str">
        <f t="shared" si="69"/>
        <v>F019</v>
      </c>
      <c r="R763" s="37" t="str">
        <f t="shared" si="70"/>
        <v>MayF0</v>
      </c>
    </row>
    <row r="764" spans="1:18">
      <c r="A764" s="616">
        <f t="shared" si="71"/>
        <v>760</v>
      </c>
      <c r="B764" s="617">
        <v>2</v>
      </c>
      <c r="C764" s="618">
        <v>36300</v>
      </c>
      <c r="D764" s="618" t="s">
        <v>177</v>
      </c>
      <c r="E764" s="633">
        <v>20</v>
      </c>
      <c r="F764" s="603">
        <v>1999</v>
      </c>
      <c r="G764" s="617" t="s">
        <v>142</v>
      </c>
      <c r="H764" s="620" t="s">
        <v>149</v>
      </c>
      <c r="I764" s="621">
        <v>25</v>
      </c>
      <c r="J764" s="621">
        <v>0.1</v>
      </c>
      <c r="K764" s="603">
        <f t="shared" si="72"/>
        <v>17</v>
      </c>
      <c r="L764" s="604">
        <v>0.71111111111111114</v>
      </c>
      <c r="M764" s="605">
        <f t="shared" si="73"/>
        <v>0.71111111111111114</v>
      </c>
      <c r="N764" s="663">
        <v>0.71250000000000002</v>
      </c>
      <c r="P764" s="37" t="str">
        <f t="shared" si="68"/>
        <v>1999F0</v>
      </c>
      <c r="Q764" s="37" t="str">
        <f t="shared" si="69"/>
        <v>F017</v>
      </c>
      <c r="R764" s="37" t="str">
        <f t="shared" si="70"/>
        <v>MayF0</v>
      </c>
    </row>
    <row r="765" spans="1:18">
      <c r="A765" s="616">
        <f t="shared" si="71"/>
        <v>761</v>
      </c>
      <c r="B765" s="617">
        <v>3</v>
      </c>
      <c r="C765" s="618">
        <v>36300</v>
      </c>
      <c r="D765" s="618" t="s">
        <v>177</v>
      </c>
      <c r="E765" s="633">
        <v>20</v>
      </c>
      <c r="F765" s="603">
        <v>1999</v>
      </c>
      <c r="G765" s="617" t="s">
        <v>142</v>
      </c>
      <c r="H765" s="620" t="s">
        <v>149</v>
      </c>
      <c r="I765" s="621">
        <v>25</v>
      </c>
      <c r="J765" s="621">
        <v>0.1</v>
      </c>
      <c r="K765" s="603">
        <f t="shared" si="72"/>
        <v>17</v>
      </c>
      <c r="L765" s="604">
        <v>0.72152777777777777</v>
      </c>
      <c r="M765" s="605">
        <f t="shared" si="73"/>
        <v>0.72152777777777777</v>
      </c>
      <c r="N765" s="663">
        <v>0.72222222222222221</v>
      </c>
      <c r="P765" s="37" t="str">
        <f t="shared" si="68"/>
        <v>1999F0</v>
      </c>
      <c r="Q765" s="37" t="str">
        <f t="shared" si="69"/>
        <v>F017</v>
      </c>
      <c r="R765" s="37" t="str">
        <f t="shared" si="70"/>
        <v>MayF0</v>
      </c>
    </row>
    <row r="766" spans="1:18">
      <c r="A766" s="616">
        <f t="shared" si="71"/>
        <v>762</v>
      </c>
      <c r="B766" s="617">
        <v>4</v>
      </c>
      <c r="C766" s="618">
        <v>36300</v>
      </c>
      <c r="D766" s="618" t="s">
        <v>177</v>
      </c>
      <c r="E766" s="633">
        <v>20</v>
      </c>
      <c r="F766" s="603">
        <v>1999</v>
      </c>
      <c r="G766" s="617" t="s">
        <v>147</v>
      </c>
      <c r="H766" s="620" t="s">
        <v>149</v>
      </c>
      <c r="I766" s="621">
        <v>50</v>
      </c>
      <c r="J766" s="621">
        <v>0.5</v>
      </c>
      <c r="K766" s="603">
        <f t="shared" si="72"/>
        <v>17</v>
      </c>
      <c r="L766" s="604">
        <v>0.73888888888888893</v>
      </c>
      <c r="M766" s="605">
        <f t="shared" si="73"/>
        <v>0.73888888888888893</v>
      </c>
      <c r="N766" s="663">
        <v>0.7416666666666667</v>
      </c>
      <c r="P766" s="37" t="str">
        <f t="shared" si="68"/>
        <v>1999F0</v>
      </c>
      <c r="Q766" s="37" t="str">
        <f t="shared" si="69"/>
        <v>F017</v>
      </c>
      <c r="R766" s="37" t="str">
        <f t="shared" si="70"/>
        <v>MayF0</v>
      </c>
    </row>
    <row r="767" spans="1:18">
      <c r="A767" s="616">
        <f t="shared" si="71"/>
        <v>763</v>
      </c>
      <c r="B767" s="617">
        <v>5</v>
      </c>
      <c r="C767" s="618">
        <v>36300</v>
      </c>
      <c r="D767" s="618" t="s">
        <v>177</v>
      </c>
      <c r="E767" s="633">
        <v>20</v>
      </c>
      <c r="F767" s="603">
        <v>1999</v>
      </c>
      <c r="G767" s="617" t="s">
        <v>147</v>
      </c>
      <c r="H767" s="620" t="s">
        <v>149</v>
      </c>
      <c r="I767" s="621">
        <v>25</v>
      </c>
      <c r="J767" s="621">
        <v>0.1</v>
      </c>
      <c r="K767" s="603">
        <f t="shared" si="72"/>
        <v>19</v>
      </c>
      <c r="L767" s="604">
        <v>0.79305555555555562</v>
      </c>
      <c r="M767" s="605">
        <f t="shared" si="73"/>
        <v>0.79305555555555562</v>
      </c>
      <c r="N767" s="663">
        <v>0.79374999999999996</v>
      </c>
      <c r="P767" s="37" t="str">
        <f t="shared" si="68"/>
        <v>1999F0</v>
      </c>
      <c r="Q767" s="37" t="str">
        <f t="shared" si="69"/>
        <v>F019</v>
      </c>
      <c r="R767" s="37" t="str">
        <f t="shared" si="70"/>
        <v>MayF0</v>
      </c>
    </row>
    <row r="768" spans="1:18">
      <c r="A768" s="616">
        <f t="shared" si="71"/>
        <v>764</v>
      </c>
      <c r="B768" s="617">
        <v>6</v>
      </c>
      <c r="C768" s="618">
        <v>36305</v>
      </c>
      <c r="D768" s="618" t="s">
        <v>177</v>
      </c>
      <c r="E768" s="633">
        <v>25</v>
      </c>
      <c r="F768" s="603">
        <v>1999</v>
      </c>
      <c r="G768" s="617" t="s">
        <v>145</v>
      </c>
      <c r="H768" s="620" t="s">
        <v>149</v>
      </c>
      <c r="I768" s="621">
        <v>25</v>
      </c>
      <c r="J768" s="621">
        <v>0.3</v>
      </c>
      <c r="K768" s="603">
        <f t="shared" si="72"/>
        <v>16</v>
      </c>
      <c r="L768" s="604">
        <v>0.70694444444444438</v>
      </c>
      <c r="M768" s="605">
        <f t="shared" si="73"/>
        <v>0.70694444444444438</v>
      </c>
      <c r="N768" s="663">
        <v>0.70694444444444438</v>
      </c>
      <c r="P768" s="37" t="str">
        <f t="shared" si="68"/>
        <v>1999F0</v>
      </c>
      <c r="Q768" s="37" t="str">
        <f t="shared" si="69"/>
        <v>F016</v>
      </c>
      <c r="R768" s="37" t="str">
        <f t="shared" si="70"/>
        <v>MayF0</v>
      </c>
    </row>
    <row r="769" spans="1:18">
      <c r="A769" s="616">
        <f t="shared" si="71"/>
        <v>765</v>
      </c>
      <c r="B769" s="617">
        <v>7</v>
      </c>
      <c r="C769" s="618">
        <v>36305</v>
      </c>
      <c r="D769" s="618" t="s">
        <v>177</v>
      </c>
      <c r="E769" s="633">
        <v>25</v>
      </c>
      <c r="F769" s="603">
        <v>1999</v>
      </c>
      <c r="G769" s="617" t="s">
        <v>145</v>
      </c>
      <c r="H769" s="620" t="s">
        <v>149</v>
      </c>
      <c r="I769" s="621">
        <v>25</v>
      </c>
      <c r="J769" s="621">
        <v>1</v>
      </c>
      <c r="K769" s="603">
        <f t="shared" si="72"/>
        <v>17</v>
      </c>
      <c r="L769" s="604">
        <v>0.71180555555555547</v>
      </c>
      <c r="M769" s="605">
        <f t="shared" si="73"/>
        <v>0.71180555555555547</v>
      </c>
      <c r="N769" s="663">
        <v>0.71388888888888891</v>
      </c>
      <c r="P769" s="37" t="str">
        <f t="shared" si="68"/>
        <v>1999F0</v>
      </c>
      <c r="Q769" s="37" t="str">
        <f t="shared" si="69"/>
        <v>F017</v>
      </c>
      <c r="R769" s="37" t="str">
        <f t="shared" si="70"/>
        <v>MayF0</v>
      </c>
    </row>
    <row r="770" spans="1:18">
      <c r="A770" s="616">
        <f t="shared" si="71"/>
        <v>766</v>
      </c>
      <c r="B770" s="617">
        <v>8</v>
      </c>
      <c r="C770" s="618">
        <v>36305</v>
      </c>
      <c r="D770" s="618" t="s">
        <v>177</v>
      </c>
      <c r="E770" s="633">
        <v>25</v>
      </c>
      <c r="F770" s="603">
        <v>1999</v>
      </c>
      <c r="G770" s="617" t="s">
        <v>145</v>
      </c>
      <c r="H770" s="620" t="s">
        <v>149</v>
      </c>
      <c r="I770" s="621">
        <v>25</v>
      </c>
      <c r="J770" s="621">
        <v>0.1</v>
      </c>
      <c r="K770" s="603">
        <f t="shared" si="72"/>
        <v>19</v>
      </c>
      <c r="L770" s="604">
        <v>0.82986111111111116</v>
      </c>
      <c r="M770" s="605">
        <f t="shared" si="73"/>
        <v>0.82986111111111116</v>
      </c>
      <c r="N770" s="663">
        <v>0.83125000000000004</v>
      </c>
      <c r="P770" s="37" t="str">
        <f t="shared" si="68"/>
        <v>1999F0</v>
      </c>
      <c r="Q770" s="37" t="str">
        <f t="shared" si="69"/>
        <v>F019</v>
      </c>
      <c r="R770" s="37" t="str">
        <f t="shared" si="70"/>
        <v>MayF0</v>
      </c>
    </row>
    <row r="771" spans="1:18">
      <c r="A771" s="616">
        <f t="shared" si="71"/>
        <v>767</v>
      </c>
      <c r="B771" s="617">
        <v>9</v>
      </c>
      <c r="C771" s="618">
        <v>36313</v>
      </c>
      <c r="D771" s="618" t="s">
        <v>178</v>
      </c>
      <c r="E771" s="633">
        <v>2</v>
      </c>
      <c r="F771" s="603">
        <v>1999</v>
      </c>
      <c r="G771" s="617" t="s">
        <v>137</v>
      </c>
      <c r="H771" s="620" t="s">
        <v>149</v>
      </c>
      <c r="I771" s="621">
        <v>25</v>
      </c>
      <c r="J771" s="621">
        <v>0.1</v>
      </c>
      <c r="K771" s="603">
        <f t="shared" si="72"/>
        <v>19</v>
      </c>
      <c r="L771" s="604">
        <v>0.81111111111111101</v>
      </c>
      <c r="M771" s="605">
        <f t="shared" si="73"/>
        <v>0.81111111111111101</v>
      </c>
      <c r="N771" s="663">
        <v>0.81111111111111101</v>
      </c>
      <c r="P771" s="37" t="str">
        <f t="shared" si="68"/>
        <v>1999F0</v>
      </c>
      <c r="Q771" s="37" t="str">
        <f t="shared" si="69"/>
        <v>F019</v>
      </c>
      <c r="R771" s="37" t="str">
        <f t="shared" si="70"/>
        <v>JuneF0</v>
      </c>
    </row>
    <row r="772" spans="1:18">
      <c r="A772" s="616">
        <f t="shared" si="71"/>
        <v>768</v>
      </c>
      <c r="B772" s="617">
        <v>10</v>
      </c>
      <c r="C772" s="618">
        <v>36315</v>
      </c>
      <c r="D772" s="618" t="s">
        <v>178</v>
      </c>
      <c r="E772" s="633">
        <v>4</v>
      </c>
      <c r="F772" s="603">
        <v>1999</v>
      </c>
      <c r="G772" s="617" t="s">
        <v>127</v>
      </c>
      <c r="H772" s="620" t="s">
        <v>149</v>
      </c>
      <c r="I772" s="621">
        <v>15</v>
      </c>
      <c r="J772" s="621">
        <v>0.1</v>
      </c>
      <c r="K772" s="603">
        <f t="shared" si="72"/>
        <v>20</v>
      </c>
      <c r="L772" s="604">
        <v>0.85902777777777783</v>
      </c>
      <c r="M772" s="605">
        <f t="shared" si="73"/>
        <v>0.85902777777777783</v>
      </c>
      <c r="N772" s="663">
        <v>0.86041666666666661</v>
      </c>
      <c r="P772" s="37" t="str">
        <f t="shared" si="68"/>
        <v>1999F0</v>
      </c>
      <c r="Q772" s="37" t="str">
        <f t="shared" si="69"/>
        <v>F020</v>
      </c>
      <c r="R772" s="37" t="str">
        <f t="shared" si="70"/>
        <v>JuneF0</v>
      </c>
    </row>
    <row r="773" spans="1:18">
      <c r="A773" s="616">
        <f t="shared" si="71"/>
        <v>769</v>
      </c>
      <c r="B773" s="617">
        <v>11</v>
      </c>
      <c r="C773" s="618">
        <v>36335</v>
      </c>
      <c r="D773" s="618" t="s">
        <v>178</v>
      </c>
      <c r="E773" s="633">
        <v>24</v>
      </c>
      <c r="F773" s="603">
        <v>1999</v>
      </c>
      <c r="G773" s="617" t="s">
        <v>136</v>
      </c>
      <c r="H773" s="620" t="s">
        <v>149</v>
      </c>
      <c r="I773" s="621">
        <v>25</v>
      </c>
      <c r="J773" s="621">
        <v>0.1</v>
      </c>
      <c r="K773" s="603">
        <f t="shared" si="72"/>
        <v>15</v>
      </c>
      <c r="L773" s="604">
        <v>0.66388888888888886</v>
      </c>
      <c r="M773" s="605">
        <f t="shared" si="73"/>
        <v>0.66388888888888886</v>
      </c>
      <c r="N773" s="663">
        <v>0.6645833333333333</v>
      </c>
      <c r="P773" s="37" t="str">
        <f t="shared" si="68"/>
        <v>1999F0</v>
      </c>
      <c r="Q773" s="37" t="str">
        <f t="shared" si="69"/>
        <v>F015</v>
      </c>
      <c r="R773" s="37" t="str">
        <f t="shared" si="70"/>
        <v>JuneF0</v>
      </c>
    </row>
    <row r="774" spans="1:18">
      <c r="A774" s="616">
        <f t="shared" si="71"/>
        <v>770</v>
      </c>
      <c r="B774" s="617">
        <v>12</v>
      </c>
      <c r="C774" s="618">
        <v>36335</v>
      </c>
      <c r="D774" s="618" t="s">
        <v>178</v>
      </c>
      <c r="E774" s="633">
        <v>24</v>
      </c>
      <c r="F774" s="603">
        <v>1999</v>
      </c>
      <c r="G774" s="617" t="s">
        <v>140</v>
      </c>
      <c r="H774" s="620" t="s">
        <v>149</v>
      </c>
      <c r="I774" s="621">
        <v>50</v>
      </c>
      <c r="J774" s="621">
        <v>0.2</v>
      </c>
      <c r="K774" s="603">
        <f t="shared" si="72"/>
        <v>18</v>
      </c>
      <c r="L774" s="604">
        <v>0.75</v>
      </c>
      <c r="M774" s="605">
        <f t="shared" si="73"/>
        <v>0.75</v>
      </c>
      <c r="N774" s="663">
        <v>0.75694444444444453</v>
      </c>
      <c r="P774" s="37" t="str">
        <f t="shared" ref="P774:P837" si="74">CONCATENATE(F774,H774)</f>
        <v>1999F0</v>
      </c>
      <c r="Q774" s="37" t="str">
        <f t="shared" ref="Q774:Q837" si="75">CONCATENATE(H774,K774)</f>
        <v>F018</v>
      </c>
      <c r="R774" s="37" t="str">
        <f t="shared" ref="R774:R837" si="76">CONCATENATE(D774,H774)</f>
        <v>JuneF0</v>
      </c>
    </row>
    <row r="775" spans="1:18">
      <c r="A775" s="616">
        <f t="shared" ref="A775:A838" si="77">+A774+1</f>
        <v>771</v>
      </c>
      <c r="B775" s="617">
        <v>13</v>
      </c>
      <c r="C775" s="618">
        <v>36340</v>
      </c>
      <c r="D775" s="618" t="s">
        <v>178</v>
      </c>
      <c r="E775" s="633">
        <v>29</v>
      </c>
      <c r="F775" s="603">
        <v>1999</v>
      </c>
      <c r="G775" s="617" t="s">
        <v>127</v>
      </c>
      <c r="H775" s="620" t="s">
        <v>149</v>
      </c>
      <c r="I775" s="621">
        <v>25</v>
      </c>
      <c r="J775" s="621">
        <v>0.1</v>
      </c>
      <c r="K775" s="603">
        <f t="shared" ref="K775:K834" si="78">HOUR(M775)</f>
        <v>15</v>
      </c>
      <c r="L775" s="604">
        <v>0.65555555555555556</v>
      </c>
      <c r="M775" s="605">
        <f t="shared" si="73"/>
        <v>0.65555555555555556</v>
      </c>
      <c r="N775" s="663">
        <v>0.65625</v>
      </c>
      <c r="P775" s="37" t="str">
        <f t="shared" si="74"/>
        <v>1999F0</v>
      </c>
      <c r="Q775" s="37" t="str">
        <f t="shared" si="75"/>
        <v>F015</v>
      </c>
      <c r="R775" s="37" t="str">
        <f t="shared" si="76"/>
        <v>JuneF0</v>
      </c>
    </row>
    <row r="776" spans="1:18">
      <c r="A776" s="616">
        <f t="shared" si="77"/>
        <v>772</v>
      </c>
      <c r="B776" s="617">
        <v>14</v>
      </c>
      <c r="C776" s="618">
        <v>36340</v>
      </c>
      <c r="D776" s="618" t="s">
        <v>178</v>
      </c>
      <c r="E776" s="633">
        <v>29</v>
      </c>
      <c r="F776" s="603">
        <v>1999</v>
      </c>
      <c r="G776" s="617" t="s">
        <v>127</v>
      </c>
      <c r="H776" s="620" t="s">
        <v>149</v>
      </c>
      <c r="I776" s="621">
        <v>25</v>
      </c>
      <c r="J776" s="621">
        <v>0.1</v>
      </c>
      <c r="K776" s="603">
        <f t="shared" si="78"/>
        <v>16</v>
      </c>
      <c r="L776" s="604">
        <v>0.69097222222222221</v>
      </c>
      <c r="M776" s="605">
        <f t="shared" si="73"/>
        <v>0.69097222222222221</v>
      </c>
      <c r="N776" s="663">
        <v>0.69166666666666676</v>
      </c>
      <c r="P776" s="37" t="str">
        <f t="shared" si="74"/>
        <v>1999F0</v>
      </c>
      <c r="Q776" s="37" t="str">
        <f t="shared" si="75"/>
        <v>F016</v>
      </c>
      <c r="R776" s="37" t="str">
        <f t="shared" si="76"/>
        <v>JuneF0</v>
      </c>
    </row>
    <row r="777" spans="1:18">
      <c r="A777" s="616">
        <f t="shared" si="77"/>
        <v>773</v>
      </c>
      <c r="B777" s="617">
        <v>15</v>
      </c>
      <c r="C777" s="618">
        <v>36340</v>
      </c>
      <c r="D777" s="618" t="s">
        <v>178</v>
      </c>
      <c r="E777" s="633">
        <v>29</v>
      </c>
      <c r="F777" s="603">
        <v>1999</v>
      </c>
      <c r="G777" s="617" t="s">
        <v>131</v>
      </c>
      <c r="H777" s="620" t="s">
        <v>149</v>
      </c>
      <c r="I777" s="621">
        <v>25</v>
      </c>
      <c r="J777" s="621">
        <v>0.1</v>
      </c>
      <c r="K777" s="603">
        <f t="shared" si="78"/>
        <v>18</v>
      </c>
      <c r="L777" s="604">
        <v>0.75347222222222221</v>
      </c>
      <c r="M777" s="605">
        <f t="shared" si="73"/>
        <v>0.75347222222222221</v>
      </c>
      <c r="N777" s="663">
        <v>0.75416666666666676</v>
      </c>
      <c r="P777" s="37" t="str">
        <f t="shared" si="74"/>
        <v>1999F0</v>
      </c>
      <c r="Q777" s="37" t="str">
        <f t="shared" si="75"/>
        <v>F018</v>
      </c>
      <c r="R777" s="37" t="str">
        <f t="shared" si="76"/>
        <v>JuneF0</v>
      </c>
    </row>
    <row r="778" spans="1:18">
      <c r="A778" s="616">
        <f t="shared" si="77"/>
        <v>774</v>
      </c>
      <c r="B778" s="617">
        <v>16</v>
      </c>
      <c r="C778" s="618">
        <v>36340</v>
      </c>
      <c r="D778" s="618" t="s">
        <v>178</v>
      </c>
      <c r="E778" s="633">
        <v>29</v>
      </c>
      <c r="F778" s="603">
        <v>1999</v>
      </c>
      <c r="G778" s="617" t="s">
        <v>131</v>
      </c>
      <c r="H778" s="620" t="s">
        <v>149</v>
      </c>
      <c r="I778" s="621">
        <v>50</v>
      </c>
      <c r="J778" s="621">
        <v>1</v>
      </c>
      <c r="K778" s="603">
        <f t="shared" si="78"/>
        <v>18</v>
      </c>
      <c r="L778" s="604">
        <v>0.7583333333333333</v>
      </c>
      <c r="M778" s="605">
        <f t="shared" si="73"/>
        <v>0.7583333333333333</v>
      </c>
      <c r="N778" s="663">
        <v>0.76388888888888884</v>
      </c>
      <c r="P778" s="37" t="str">
        <f t="shared" si="74"/>
        <v>1999F0</v>
      </c>
      <c r="Q778" s="37" t="str">
        <f t="shared" si="75"/>
        <v>F018</v>
      </c>
      <c r="R778" s="37" t="str">
        <f t="shared" si="76"/>
        <v>JuneF0</v>
      </c>
    </row>
    <row r="779" spans="1:18">
      <c r="A779" s="616">
        <f t="shared" si="77"/>
        <v>775</v>
      </c>
      <c r="B779" s="617">
        <v>17</v>
      </c>
      <c r="C779" s="618">
        <v>36340</v>
      </c>
      <c r="D779" s="618" t="s">
        <v>178</v>
      </c>
      <c r="E779" s="633">
        <v>29</v>
      </c>
      <c r="F779" s="603">
        <v>1999</v>
      </c>
      <c r="G779" s="617" t="s">
        <v>131</v>
      </c>
      <c r="H779" s="620" t="s">
        <v>149</v>
      </c>
      <c r="I779" s="621">
        <v>25</v>
      </c>
      <c r="J779" s="621">
        <v>0.1</v>
      </c>
      <c r="K779" s="603">
        <f t="shared" si="78"/>
        <v>18</v>
      </c>
      <c r="L779" s="604">
        <v>0.76458333333333339</v>
      </c>
      <c r="M779" s="605">
        <f t="shared" si="73"/>
        <v>0.76458333333333339</v>
      </c>
      <c r="N779" s="663">
        <v>0.76527777777777783</v>
      </c>
      <c r="P779" s="37" t="str">
        <f t="shared" si="74"/>
        <v>1999F0</v>
      </c>
      <c r="Q779" s="37" t="str">
        <f t="shared" si="75"/>
        <v>F018</v>
      </c>
      <c r="R779" s="37" t="str">
        <f t="shared" si="76"/>
        <v>JuneF0</v>
      </c>
    </row>
    <row r="780" spans="1:18">
      <c r="A780" s="616">
        <f t="shared" si="77"/>
        <v>776</v>
      </c>
      <c r="B780" s="617">
        <v>18</v>
      </c>
      <c r="C780" s="618">
        <v>36340</v>
      </c>
      <c r="D780" s="618" t="s">
        <v>178</v>
      </c>
      <c r="E780" s="633">
        <v>29</v>
      </c>
      <c r="F780" s="603">
        <v>1999</v>
      </c>
      <c r="G780" s="617" t="s">
        <v>131</v>
      </c>
      <c r="H780" s="620" t="s">
        <v>149</v>
      </c>
      <c r="I780" s="621">
        <v>25</v>
      </c>
      <c r="J780" s="621">
        <v>0.1</v>
      </c>
      <c r="K780" s="603">
        <f t="shared" si="78"/>
        <v>18</v>
      </c>
      <c r="L780" s="604">
        <v>0.77708333333333324</v>
      </c>
      <c r="M780" s="605">
        <f t="shared" si="73"/>
        <v>0.77708333333333324</v>
      </c>
      <c r="N780" s="663">
        <v>0.77847222222222223</v>
      </c>
      <c r="P780" s="37" t="str">
        <f t="shared" si="74"/>
        <v>1999F0</v>
      </c>
      <c r="Q780" s="37" t="str">
        <f t="shared" si="75"/>
        <v>F018</v>
      </c>
      <c r="R780" s="37" t="str">
        <f t="shared" si="76"/>
        <v>JuneF0</v>
      </c>
    </row>
    <row r="781" spans="1:18">
      <c r="A781" s="616">
        <f t="shared" si="77"/>
        <v>777</v>
      </c>
      <c r="B781" s="617">
        <v>19</v>
      </c>
      <c r="C781" s="618">
        <v>36340</v>
      </c>
      <c r="D781" s="618" t="s">
        <v>178</v>
      </c>
      <c r="E781" s="633">
        <v>29</v>
      </c>
      <c r="F781" s="603">
        <v>1999</v>
      </c>
      <c r="G781" s="617" t="s">
        <v>141</v>
      </c>
      <c r="H781" s="620" t="s">
        <v>149</v>
      </c>
      <c r="I781" s="621">
        <v>25</v>
      </c>
      <c r="J781" s="621">
        <v>0.1</v>
      </c>
      <c r="K781" s="603">
        <f t="shared" si="78"/>
        <v>18</v>
      </c>
      <c r="L781" s="604">
        <v>0.77916666666666667</v>
      </c>
      <c r="M781" s="605">
        <f t="shared" si="73"/>
        <v>0.77916666666666667</v>
      </c>
      <c r="N781" s="663">
        <v>0.78125</v>
      </c>
      <c r="P781" s="37" t="str">
        <f t="shared" si="74"/>
        <v>1999F0</v>
      </c>
      <c r="Q781" s="37" t="str">
        <f t="shared" si="75"/>
        <v>F018</v>
      </c>
      <c r="R781" s="37" t="str">
        <f t="shared" si="76"/>
        <v>JuneF0</v>
      </c>
    </row>
    <row r="782" spans="1:18">
      <c r="A782" s="616">
        <f t="shared" si="77"/>
        <v>778</v>
      </c>
      <c r="B782" s="617">
        <v>20</v>
      </c>
      <c r="C782" s="618">
        <v>36340</v>
      </c>
      <c r="D782" s="618" t="s">
        <v>178</v>
      </c>
      <c r="E782" s="633">
        <v>29</v>
      </c>
      <c r="F782" s="603">
        <v>1999</v>
      </c>
      <c r="G782" s="617" t="s">
        <v>131</v>
      </c>
      <c r="H782" s="620" t="s">
        <v>149</v>
      </c>
      <c r="I782" s="621">
        <v>25</v>
      </c>
      <c r="J782" s="621">
        <v>0.1</v>
      </c>
      <c r="K782" s="603">
        <f t="shared" si="78"/>
        <v>18</v>
      </c>
      <c r="L782" s="604">
        <v>0.78472222222222221</v>
      </c>
      <c r="M782" s="605">
        <f t="shared" si="73"/>
        <v>0.78472222222222221</v>
      </c>
      <c r="N782" s="663">
        <v>0.78611111111111109</v>
      </c>
      <c r="P782" s="37" t="str">
        <f t="shared" si="74"/>
        <v>1999F0</v>
      </c>
      <c r="Q782" s="37" t="str">
        <f t="shared" si="75"/>
        <v>F018</v>
      </c>
      <c r="R782" s="37" t="str">
        <f t="shared" si="76"/>
        <v>JuneF0</v>
      </c>
    </row>
    <row r="783" spans="1:18">
      <c r="A783" s="616">
        <f t="shared" si="77"/>
        <v>779</v>
      </c>
      <c r="B783" s="617">
        <v>21</v>
      </c>
      <c r="C783" s="618">
        <v>36340</v>
      </c>
      <c r="D783" s="618" t="s">
        <v>178</v>
      </c>
      <c r="E783" s="633">
        <v>29</v>
      </c>
      <c r="F783" s="603">
        <v>1999</v>
      </c>
      <c r="G783" s="617" t="s">
        <v>131</v>
      </c>
      <c r="H783" s="620" t="s">
        <v>149</v>
      </c>
      <c r="I783" s="621">
        <v>25</v>
      </c>
      <c r="J783" s="621">
        <v>0.1</v>
      </c>
      <c r="K783" s="603">
        <f t="shared" si="78"/>
        <v>18</v>
      </c>
      <c r="L783" s="604">
        <v>0.78888888888888886</v>
      </c>
      <c r="M783" s="605">
        <f t="shared" si="73"/>
        <v>0.78888888888888886</v>
      </c>
      <c r="N783" s="663">
        <v>0.7909722222222223</v>
      </c>
      <c r="P783" s="37" t="str">
        <f t="shared" si="74"/>
        <v>1999F0</v>
      </c>
      <c r="Q783" s="37" t="str">
        <f t="shared" si="75"/>
        <v>F018</v>
      </c>
      <c r="R783" s="37" t="str">
        <f t="shared" si="76"/>
        <v>JuneF0</v>
      </c>
    </row>
    <row r="784" spans="1:18">
      <c r="A784" s="616">
        <f t="shared" si="77"/>
        <v>780</v>
      </c>
      <c r="B784" s="617">
        <v>22</v>
      </c>
      <c r="C784" s="618">
        <v>36340</v>
      </c>
      <c r="D784" s="618" t="s">
        <v>178</v>
      </c>
      <c r="E784" s="633">
        <v>29</v>
      </c>
      <c r="F784" s="603">
        <v>1999</v>
      </c>
      <c r="G784" s="617" t="s">
        <v>141</v>
      </c>
      <c r="H784" s="620" t="s">
        <v>149</v>
      </c>
      <c r="I784" s="621">
        <v>50</v>
      </c>
      <c r="J784" s="621">
        <v>0.8</v>
      </c>
      <c r="K784" s="603">
        <f t="shared" si="78"/>
        <v>18</v>
      </c>
      <c r="L784" s="604">
        <v>0.79027777777777775</v>
      </c>
      <c r="M784" s="605">
        <f t="shared" si="73"/>
        <v>0.79027777777777775</v>
      </c>
      <c r="N784" s="663">
        <v>0.79374999999999996</v>
      </c>
      <c r="P784" s="37" t="str">
        <f t="shared" si="74"/>
        <v>1999F0</v>
      </c>
      <c r="Q784" s="37" t="str">
        <f t="shared" si="75"/>
        <v>F018</v>
      </c>
      <c r="R784" s="37" t="str">
        <f t="shared" si="76"/>
        <v>JuneF0</v>
      </c>
    </row>
    <row r="785" spans="1:18">
      <c r="A785" s="616">
        <f t="shared" si="77"/>
        <v>781</v>
      </c>
      <c r="B785" s="617">
        <v>23</v>
      </c>
      <c r="C785" s="618">
        <v>36340</v>
      </c>
      <c r="D785" s="618" t="s">
        <v>178</v>
      </c>
      <c r="E785" s="633">
        <v>29</v>
      </c>
      <c r="F785" s="603">
        <v>1999</v>
      </c>
      <c r="G785" s="617" t="s">
        <v>141</v>
      </c>
      <c r="H785" s="620" t="s">
        <v>149</v>
      </c>
      <c r="I785" s="621">
        <v>25</v>
      </c>
      <c r="J785" s="621">
        <v>0.3</v>
      </c>
      <c r="K785" s="603">
        <f t="shared" si="78"/>
        <v>19</v>
      </c>
      <c r="L785" s="604">
        <v>0.80069444444444438</v>
      </c>
      <c r="M785" s="605">
        <f t="shared" si="73"/>
        <v>0.80069444444444438</v>
      </c>
      <c r="N785" s="663">
        <v>0.80486111111111114</v>
      </c>
      <c r="P785" s="37" t="str">
        <f t="shared" si="74"/>
        <v>1999F0</v>
      </c>
      <c r="Q785" s="37" t="str">
        <f t="shared" si="75"/>
        <v>F019</v>
      </c>
      <c r="R785" s="37" t="str">
        <f t="shared" si="76"/>
        <v>JuneF0</v>
      </c>
    </row>
    <row r="786" spans="1:18">
      <c r="A786" s="616">
        <f t="shared" si="77"/>
        <v>782</v>
      </c>
      <c r="B786" s="617">
        <v>24</v>
      </c>
      <c r="C786" s="618">
        <v>36340</v>
      </c>
      <c r="D786" s="618" t="s">
        <v>178</v>
      </c>
      <c r="E786" s="633">
        <v>29</v>
      </c>
      <c r="F786" s="603">
        <v>1999</v>
      </c>
      <c r="G786" s="617" t="s">
        <v>141</v>
      </c>
      <c r="H786" s="620" t="s">
        <v>149</v>
      </c>
      <c r="I786" s="621">
        <v>25</v>
      </c>
      <c r="J786" s="621">
        <v>0.1</v>
      </c>
      <c r="K786" s="603">
        <f t="shared" si="78"/>
        <v>19</v>
      </c>
      <c r="L786" s="604">
        <v>0.80208333333333337</v>
      </c>
      <c r="M786" s="605">
        <f t="shared" si="73"/>
        <v>0.80208333333333337</v>
      </c>
      <c r="N786" s="663">
        <v>0.80347222222222225</v>
      </c>
      <c r="P786" s="37" t="str">
        <f t="shared" si="74"/>
        <v>1999F0</v>
      </c>
      <c r="Q786" s="37" t="str">
        <f t="shared" si="75"/>
        <v>F019</v>
      </c>
      <c r="R786" s="37" t="str">
        <f t="shared" si="76"/>
        <v>JuneF0</v>
      </c>
    </row>
    <row r="787" spans="1:18">
      <c r="A787" s="616">
        <f t="shared" si="77"/>
        <v>783</v>
      </c>
      <c r="B787" s="617">
        <v>25</v>
      </c>
      <c r="C787" s="618">
        <v>36340</v>
      </c>
      <c r="D787" s="618" t="s">
        <v>178</v>
      </c>
      <c r="E787" s="633">
        <v>29</v>
      </c>
      <c r="F787" s="603">
        <v>1999</v>
      </c>
      <c r="G787" s="617" t="s">
        <v>131</v>
      </c>
      <c r="H787" s="620" t="s">
        <v>149</v>
      </c>
      <c r="I787" s="621">
        <v>25</v>
      </c>
      <c r="J787" s="621">
        <v>0.2</v>
      </c>
      <c r="K787" s="603">
        <f t="shared" si="78"/>
        <v>23</v>
      </c>
      <c r="L787" s="604">
        <v>0.99305555555555547</v>
      </c>
      <c r="M787" s="605">
        <f t="shared" si="73"/>
        <v>0.99305555555555547</v>
      </c>
      <c r="N787" s="663">
        <v>0.99513888888888891</v>
      </c>
      <c r="P787" s="37" t="str">
        <f t="shared" si="74"/>
        <v>1999F0</v>
      </c>
      <c r="Q787" s="37" t="str">
        <f t="shared" si="75"/>
        <v>F023</v>
      </c>
      <c r="R787" s="37" t="str">
        <f t="shared" si="76"/>
        <v>JuneF0</v>
      </c>
    </row>
    <row r="788" spans="1:18">
      <c r="A788" s="616">
        <f t="shared" si="77"/>
        <v>784</v>
      </c>
      <c r="B788" s="617">
        <v>1</v>
      </c>
      <c r="C788" s="640">
        <v>36580</v>
      </c>
      <c r="D788" s="632" t="s">
        <v>174</v>
      </c>
      <c r="E788" s="633">
        <v>24</v>
      </c>
      <c r="F788" s="603">
        <v>2000</v>
      </c>
      <c r="G788" s="617" t="s">
        <v>137</v>
      </c>
      <c r="H788" s="620" t="s">
        <v>149</v>
      </c>
      <c r="I788" s="621">
        <v>25</v>
      </c>
      <c r="J788" s="621">
        <v>2</v>
      </c>
      <c r="K788" s="603">
        <f t="shared" si="78"/>
        <v>18</v>
      </c>
      <c r="L788" s="604">
        <v>0.77916666666666667</v>
      </c>
      <c r="M788" s="605">
        <f t="shared" si="73"/>
        <v>0.77916666666666667</v>
      </c>
      <c r="N788" s="663">
        <v>0.78333333333333333</v>
      </c>
      <c r="P788" s="37" t="str">
        <f t="shared" si="74"/>
        <v>2000F0</v>
      </c>
      <c r="Q788" s="37" t="str">
        <f t="shared" si="75"/>
        <v>F018</v>
      </c>
      <c r="R788" s="37" t="str">
        <f t="shared" si="76"/>
        <v>FebruaryF0</v>
      </c>
    </row>
    <row r="789" spans="1:18">
      <c r="A789" s="616">
        <f t="shared" si="77"/>
        <v>785</v>
      </c>
      <c r="B789" s="617">
        <v>2</v>
      </c>
      <c r="C789" s="640">
        <v>36580</v>
      </c>
      <c r="D789" s="632" t="s">
        <v>174</v>
      </c>
      <c r="E789" s="633">
        <v>24</v>
      </c>
      <c r="F789" s="603">
        <v>2000</v>
      </c>
      <c r="G789" s="617" t="s">
        <v>133</v>
      </c>
      <c r="H789" s="620" t="s">
        <v>150</v>
      </c>
      <c r="I789" s="621">
        <v>150</v>
      </c>
      <c r="J789" s="621">
        <v>14</v>
      </c>
      <c r="K789" s="603">
        <f t="shared" si="78"/>
        <v>20</v>
      </c>
      <c r="L789" s="604">
        <v>0.84236111111111101</v>
      </c>
      <c r="M789" s="605">
        <f t="shared" si="73"/>
        <v>0.84236111111111101</v>
      </c>
      <c r="N789" s="663">
        <v>0.8534722222222223</v>
      </c>
      <c r="P789" s="37" t="str">
        <f t="shared" si="74"/>
        <v>2000F1</v>
      </c>
      <c r="Q789" s="37" t="str">
        <f t="shared" si="75"/>
        <v>F120</v>
      </c>
      <c r="R789" s="37" t="str">
        <f t="shared" si="76"/>
        <v>FebruaryF1</v>
      </c>
    </row>
    <row r="790" spans="1:18">
      <c r="A790" s="616">
        <f t="shared" si="77"/>
        <v>786</v>
      </c>
      <c r="B790" s="617">
        <v>3</v>
      </c>
      <c r="C790" s="640">
        <v>36671</v>
      </c>
      <c r="D790" s="618" t="s">
        <v>177</v>
      </c>
      <c r="E790" s="633">
        <v>25</v>
      </c>
      <c r="F790" s="603">
        <v>2000</v>
      </c>
      <c r="G790" s="617" t="s">
        <v>144</v>
      </c>
      <c r="H790" s="620" t="s">
        <v>149</v>
      </c>
      <c r="I790" s="621">
        <v>25</v>
      </c>
      <c r="J790" s="621">
        <v>0.5</v>
      </c>
      <c r="K790" s="603">
        <f t="shared" si="78"/>
        <v>19</v>
      </c>
      <c r="L790" s="604">
        <v>0.82708333333333339</v>
      </c>
      <c r="M790" s="605">
        <f t="shared" si="73"/>
        <v>0.82708333333333339</v>
      </c>
      <c r="N790" s="663">
        <v>0.82916666666666661</v>
      </c>
      <c r="P790" s="37" t="str">
        <f t="shared" si="74"/>
        <v>2000F0</v>
      </c>
      <c r="Q790" s="37" t="str">
        <f t="shared" si="75"/>
        <v>F019</v>
      </c>
      <c r="R790" s="37" t="str">
        <f t="shared" si="76"/>
        <v>MayF0</v>
      </c>
    </row>
    <row r="791" spans="1:18">
      <c r="A791" s="616">
        <f t="shared" si="77"/>
        <v>787</v>
      </c>
      <c r="B791" s="617">
        <v>4</v>
      </c>
      <c r="C791" s="640">
        <v>36690</v>
      </c>
      <c r="D791" s="618" t="s">
        <v>178</v>
      </c>
      <c r="E791" s="633">
        <v>13</v>
      </c>
      <c r="F791" s="603">
        <v>2000</v>
      </c>
      <c r="G791" s="617" t="s">
        <v>132</v>
      </c>
      <c r="H791" s="620" t="s">
        <v>149</v>
      </c>
      <c r="I791" s="621">
        <v>25</v>
      </c>
      <c r="J791" s="621">
        <v>0.1</v>
      </c>
      <c r="K791" s="603">
        <f t="shared" si="78"/>
        <v>15</v>
      </c>
      <c r="L791" s="604">
        <v>0.66249999999999998</v>
      </c>
      <c r="M791" s="605">
        <f t="shared" si="73"/>
        <v>0.66249999999999998</v>
      </c>
      <c r="N791" s="663">
        <v>0.67013888888888884</v>
      </c>
      <c r="P791" s="37" t="str">
        <f t="shared" si="74"/>
        <v>2000F0</v>
      </c>
      <c r="Q791" s="37" t="str">
        <f t="shared" si="75"/>
        <v>F015</v>
      </c>
      <c r="R791" s="37" t="str">
        <f t="shared" si="76"/>
        <v>JuneF0</v>
      </c>
    </row>
    <row r="792" spans="1:18">
      <c r="A792" s="616">
        <f t="shared" si="77"/>
        <v>788</v>
      </c>
      <c r="B792" s="617">
        <v>5</v>
      </c>
      <c r="C792" s="640">
        <v>36690</v>
      </c>
      <c r="D792" s="618" t="s">
        <v>178</v>
      </c>
      <c r="E792" s="633">
        <v>13</v>
      </c>
      <c r="F792" s="603">
        <v>2000</v>
      </c>
      <c r="G792" s="617" t="s">
        <v>138</v>
      </c>
      <c r="H792" s="620" t="s">
        <v>149</v>
      </c>
      <c r="I792" s="621">
        <v>25</v>
      </c>
      <c r="J792" s="621">
        <v>0.1</v>
      </c>
      <c r="K792" s="603">
        <f t="shared" si="78"/>
        <v>19</v>
      </c>
      <c r="L792" s="604">
        <v>0.82361111111111107</v>
      </c>
      <c r="M792" s="605">
        <f t="shared" si="73"/>
        <v>0.82361111111111107</v>
      </c>
      <c r="N792" s="663">
        <v>0.82499999999999996</v>
      </c>
      <c r="P792" s="37" t="str">
        <f t="shared" si="74"/>
        <v>2000F0</v>
      </c>
      <c r="Q792" s="37" t="str">
        <f t="shared" si="75"/>
        <v>F019</v>
      </c>
      <c r="R792" s="37" t="str">
        <f t="shared" si="76"/>
        <v>JuneF0</v>
      </c>
    </row>
    <row r="793" spans="1:18">
      <c r="A793" s="616">
        <f t="shared" si="77"/>
        <v>789</v>
      </c>
      <c r="B793" s="617">
        <v>6</v>
      </c>
      <c r="C793" s="640">
        <v>36702</v>
      </c>
      <c r="D793" s="618" t="s">
        <v>178</v>
      </c>
      <c r="E793" s="633">
        <v>25</v>
      </c>
      <c r="F793" s="603">
        <v>2000</v>
      </c>
      <c r="G793" s="617" t="s">
        <v>141</v>
      </c>
      <c r="H793" s="620" t="s">
        <v>149</v>
      </c>
      <c r="I793" s="621">
        <v>25</v>
      </c>
      <c r="J793" s="621">
        <v>1.5</v>
      </c>
      <c r="K793" s="603">
        <f t="shared" si="78"/>
        <v>15</v>
      </c>
      <c r="L793" s="604">
        <v>0.66180555555555554</v>
      </c>
      <c r="M793" s="605">
        <f t="shared" si="73"/>
        <v>0.66180555555555554</v>
      </c>
      <c r="N793" s="663">
        <v>0.66736111111111107</v>
      </c>
      <c r="P793" s="37" t="str">
        <f t="shared" si="74"/>
        <v>2000F0</v>
      </c>
      <c r="Q793" s="37" t="str">
        <f t="shared" si="75"/>
        <v>F015</v>
      </c>
      <c r="R793" s="37" t="str">
        <f t="shared" si="76"/>
        <v>JuneF0</v>
      </c>
    </row>
    <row r="794" spans="1:18">
      <c r="A794" s="616">
        <f t="shared" si="77"/>
        <v>790</v>
      </c>
      <c r="B794" s="617">
        <v>7</v>
      </c>
      <c r="C794" s="640">
        <v>36702</v>
      </c>
      <c r="D794" s="618" t="s">
        <v>178</v>
      </c>
      <c r="E794" s="633">
        <v>25</v>
      </c>
      <c r="F794" s="603">
        <v>2000</v>
      </c>
      <c r="G794" s="617" t="s">
        <v>141</v>
      </c>
      <c r="H794" s="620" t="s">
        <v>149</v>
      </c>
      <c r="I794" s="621">
        <v>25</v>
      </c>
      <c r="J794" s="621">
        <v>0.1</v>
      </c>
      <c r="K794" s="603">
        <f t="shared" si="78"/>
        <v>16</v>
      </c>
      <c r="L794" s="604">
        <v>0.68263888888888891</v>
      </c>
      <c r="M794" s="605">
        <f t="shared" si="73"/>
        <v>0.68263888888888891</v>
      </c>
      <c r="N794" s="663">
        <v>0.68402777777777779</v>
      </c>
      <c r="P794" s="37" t="str">
        <f t="shared" si="74"/>
        <v>2000F0</v>
      </c>
      <c r="Q794" s="37" t="str">
        <f t="shared" si="75"/>
        <v>F016</v>
      </c>
      <c r="R794" s="37" t="str">
        <f t="shared" si="76"/>
        <v>JuneF0</v>
      </c>
    </row>
    <row r="795" spans="1:18">
      <c r="A795" s="616">
        <f t="shared" si="77"/>
        <v>791</v>
      </c>
      <c r="B795" s="617">
        <v>8</v>
      </c>
      <c r="C795" s="640">
        <v>36822</v>
      </c>
      <c r="D795" s="618" t="s">
        <v>182</v>
      </c>
      <c r="E795" s="633">
        <v>23</v>
      </c>
      <c r="F795" s="603">
        <v>2000</v>
      </c>
      <c r="G795" s="617" t="s">
        <v>145</v>
      </c>
      <c r="H795" s="620" t="s">
        <v>149</v>
      </c>
      <c r="I795" s="621">
        <v>50</v>
      </c>
      <c r="J795" s="621">
        <v>0.5</v>
      </c>
      <c r="K795" s="603">
        <f t="shared" si="78"/>
        <v>13</v>
      </c>
      <c r="L795" s="604">
        <v>0.54861111111111105</v>
      </c>
      <c r="M795" s="605">
        <f t="shared" si="73"/>
        <v>0.54861111111111105</v>
      </c>
      <c r="N795" s="663">
        <v>0.56944444444444442</v>
      </c>
      <c r="P795" s="37" t="str">
        <f t="shared" si="74"/>
        <v>2000F0</v>
      </c>
      <c r="Q795" s="37" t="str">
        <f t="shared" si="75"/>
        <v>F013</v>
      </c>
      <c r="R795" s="37" t="str">
        <f t="shared" si="76"/>
        <v>OctoberF0</v>
      </c>
    </row>
    <row r="796" spans="1:18">
      <c r="A796" s="616">
        <f t="shared" si="77"/>
        <v>792</v>
      </c>
      <c r="B796" s="617">
        <v>1</v>
      </c>
      <c r="C796" s="640">
        <v>36973</v>
      </c>
      <c r="D796" s="632" t="s">
        <v>175</v>
      </c>
      <c r="E796" s="633">
        <v>23</v>
      </c>
      <c r="F796" s="603">
        <v>2001</v>
      </c>
      <c r="G796" s="617" t="s">
        <v>129</v>
      </c>
      <c r="H796" s="620" t="s">
        <v>149</v>
      </c>
      <c r="I796" s="621">
        <v>25</v>
      </c>
      <c r="J796" s="621">
        <v>0.1</v>
      </c>
      <c r="K796" s="603">
        <f t="shared" si="78"/>
        <v>15</v>
      </c>
      <c r="L796" s="604">
        <v>0.625</v>
      </c>
      <c r="M796" s="605">
        <f t="shared" si="73"/>
        <v>0.625</v>
      </c>
      <c r="N796" s="663">
        <v>0.63194444444444442</v>
      </c>
      <c r="P796" s="37" t="str">
        <f t="shared" si="74"/>
        <v>2001F0</v>
      </c>
      <c r="Q796" s="37" t="str">
        <f t="shared" si="75"/>
        <v>F015</v>
      </c>
      <c r="R796" s="37" t="str">
        <f t="shared" si="76"/>
        <v>MarchF0</v>
      </c>
    </row>
    <row r="797" spans="1:18">
      <c r="A797" s="616">
        <f t="shared" si="77"/>
        <v>793</v>
      </c>
      <c r="B797" s="617">
        <v>2</v>
      </c>
      <c r="C797" s="618">
        <v>36987</v>
      </c>
      <c r="D797" s="618" t="s">
        <v>176</v>
      </c>
      <c r="E797" s="633">
        <v>6</v>
      </c>
      <c r="F797" s="603">
        <v>2001</v>
      </c>
      <c r="G797" s="617" t="s">
        <v>132</v>
      </c>
      <c r="H797" s="620" t="s">
        <v>150</v>
      </c>
      <c r="I797" s="621">
        <v>100</v>
      </c>
      <c r="J797" s="621">
        <v>10</v>
      </c>
      <c r="K797" s="603">
        <f t="shared" si="78"/>
        <v>17</v>
      </c>
      <c r="L797" s="604">
        <v>0.70833333333333337</v>
      </c>
      <c r="M797" s="605">
        <f t="shared" si="73"/>
        <v>0.70833333333333337</v>
      </c>
      <c r="N797" s="663">
        <v>0.71180555555555547</v>
      </c>
      <c r="P797" s="37" t="str">
        <f t="shared" si="74"/>
        <v>2001F1</v>
      </c>
      <c r="Q797" s="37" t="str">
        <f t="shared" si="75"/>
        <v>F117</v>
      </c>
      <c r="R797" s="37" t="str">
        <f t="shared" si="76"/>
        <v>AprilF1</v>
      </c>
    </row>
    <row r="798" spans="1:18">
      <c r="A798" s="616">
        <f t="shared" si="77"/>
        <v>794</v>
      </c>
      <c r="B798" s="617">
        <v>3</v>
      </c>
      <c r="C798" s="618">
        <v>36991</v>
      </c>
      <c r="D798" s="618" t="s">
        <v>176</v>
      </c>
      <c r="E798" s="633">
        <v>10</v>
      </c>
      <c r="F798" s="603">
        <v>2001</v>
      </c>
      <c r="G798" s="617" t="s">
        <v>141</v>
      </c>
      <c r="H798" s="620" t="s">
        <v>150</v>
      </c>
      <c r="I798" s="621">
        <v>100</v>
      </c>
      <c r="J798" s="621">
        <v>1.5</v>
      </c>
      <c r="K798" s="603">
        <f t="shared" si="78"/>
        <v>21</v>
      </c>
      <c r="L798" s="604">
        <v>0.89027777777777783</v>
      </c>
      <c r="M798" s="605">
        <f t="shared" si="73"/>
        <v>0.89027777777777783</v>
      </c>
      <c r="N798" s="663">
        <v>0.89374999999999993</v>
      </c>
      <c r="P798" s="37" t="str">
        <f t="shared" si="74"/>
        <v>2001F1</v>
      </c>
      <c r="Q798" s="37" t="str">
        <f t="shared" si="75"/>
        <v>F121</v>
      </c>
      <c r="R798" s="37" t="str">
        <f t="shared" si="76"/>
        <v>AprilF1</v>
      </c>
    </row>
    <row r="799" spans="1:18">
      <c r="A799" s="616">
        <f t="shared" si="77"/>
        <v>795</v>
      </c>
      <c r="B799" s="617">
        <v>4</v>
      </c>
      <c r="C799" s="618">
        <v>36991</v>
      </c>
      <c r="D799" s="618" t="s">
        <v>176</v>
      </c>
      <c r="E799" s="633">
        <v>10</v>
      </c>
      <c r="F799" s="603">
        <v>2001</v>
      </c>
      <c r="G799" s="617" t="s">
        <v>131</v>
      </c>
      <c r="H799" s="620" t="s">
        <v>151</v>
      </c>
      <c r="I799" s="621">
        <v>200</v>
      </c>
      <c r="J799" s="621">
        <v>4</v>
      </c>
      <c r="K799" s="603">
        <f t="shared" si="78"/>
        <v>22</v>
      </c>
      <c r="L799" s="604">
        <v>0.92083333333333339</v>
      </c>
      <c r="M799" s="605">
        <f t="shared" si="73"/>
        <v>0.92083333333333339</v>
      </c>
      <c r="N799" s="663">
        <v>0.9243055555555556</v>
      </c>
      <c r="P799" s="37" t="str">
        <f t="shared" si="74"/>
        <v>2001F2</v>
      </c>
      <c r="Q799" s="37" t="str">
        <f t="shared" si="75"/>
        <v>F222</v>
      </c>
      <c r="R799" s="37" t="str">
        <f t="shared" si="76"/>
        <v>AprilF2</v>
      </c>
    </row>
    <row r="800" spans="1:18">
      <c r="A800" s="616">
        <f t="shared" si="77"/>
        <v>796</v>
      </c>
      <c r="B800" s="617">
        <v>5</v>
      </c>
      <c r="C800" s="618">
        <v>36991</v>
      </c>
      <c r="D800" s="618" t="s">
        <v>176</v>
      </c>
      <c r="E800" s="633">
        <v>10</v>
      </c>
      <c r="F800" s="603">
        <v>2001</v>
      </c>
      <c r="G800" s="617" t="s">
        <v>128</v>
      </c>
      <c r="H800" s="620" t="s">
        <v>151</v>
      </c>
      <c r="I800" s="621">
        <v>200</v>
      </c>
      <c r="J800" s="621">
        <v>12</v>
      </c>
      <c r="K800" s="603">
        <f t="shared" si="78"/>
        <v>22</v>
      </c>
      <c r="L800" s="604">
        <v>0.94444444444444453</v>
      </c>
      <c r="M800" s="605">
        <f t="shared" si="73"/>
        <v>0.94444444444444453</v>
      </c>
      <c r="N800" s="663">
        <v>0.96527777777777779</v>
      </c>
      <c r="P800" s="37" t="str">
        <f t="shared" si="74"/>
        <v>2001F2</v>
      </c>
      <c r="Q800" s="37" t="str">
        <f t="shared" si="75"/>
        <v>F222</v>
      </c>
      <c r="R800" s="37" t="str">
        <f t="shared" si="76"/>
        <v>AprilF2</v>
      </c>
    </row>
    <row r="801" spans="1:18">
      <c r="A801" s="616">
        <f t="shared" si="77"/>
        <v>797</v>
      </c>
      <c r="B801" s="617">
        <v>6</v>
      </c>
      <c r="C801" s="618">
        <v>36991</v>
      </c>
      <c r="D801" s="618" t="s">
        <v>176</v>
      </c>
      <c r="E801" s="633">
        <v>10</v>
      </c>
      <c r="F801" s="603">
        <v>2001</v>
      </c>
      <c r="G801" s="617" t="s">
        <v>128</v>
      </c>
      <c r="H801" s="620" t="s">
        <v>150</v>
      </c>
      <c r="I801" s="621">
        <v>100</v>
      </c>
      <c r="J801" s="621">
        <v>6</v>
      </c>
      <c r="K801" s="603">
        <f t="shared" si="78"/>
        <v>23</v>
      </c>
      <c r="L801" s="604">
        <v>0.95833333333333337</v>
      </c>
      <c r="M801" s="605">
        <f t="shared" si="73"/>
        <v>0.95833333333333337</v>
      </c>
      <c r="N801" s="663">
        <v>0.96875</v>
      </c>
      <c r="P801" s="37" t="str">
        <f t="shared" si="74"/>
        <v>2001F1</v>
      </c>
      <c r="Q801" s="37" t="str">
        <f t="shared" si="75"/>
        <v>F123</v>
      </c>
      <c r="R801" s="37" t="str">
        <f t="shared" si="76"/>
        <v>AprilF1</v>
      </c>
    </row>
    <row r="802" spans="1:18">
      <c r="A802" s="616">
        <f t="shared" si="77"/>
        <v>798</v>
      </c>
      <c r="B802" s="617">
        <v>7</v>
      </c>
      <c r="C802" s="618">
        <v>36991</v>
      </c>
      <c r="D802" s="618" t="s">
        <v>176</v>
      </c>
      <c r="E802" s="633">
        <v>10</v>
      </c>
      <c r="F802" s="603">
        <v>2001</v>
      </c>
      <c r="G802" s="617" t="s">
        <v>128</v>
      </c>
      <c r="H802" s="620" t="s">
        <v>149</v>
      </c>
      <c r="I802" s="621">
        <v>50</v>
      </c>
      <c r="J802" s="621">
        <v>2</v>
      </c>
      <c r="K802" s="603">
        <f t="shared" si="78"/>
        <v>23</v>
      </c>
      <c r="L802" s="604">
        <v>0.96527777777777779</v>
      </c>
      <c r="M802" s="605">
        <f t="shared" si="73"/>
        <v>0.96527777777777779</v>
      </c>
      <c r="N802" s="663">
        <v>0.97222222222222221</v>
      </c>
      <c r="P802" s="37" t="str">
        <f t="shared" si="74"/>
        <v>2001F0</v>
      </c>
      <c r="Q802" s="37" t="str">
        <f t="shared" si="75"/>
        <v>F023</v>
      </c>
      <c r="R802" s="37" t="str">
        <f t="shared" si="76"/>
        <v>AprilF0</v>
      </c>
    </row>
    <row r="803" spans="1:18">
      <c r="A803" s="616">
        <f t="shared" si="77"/>
        <v>799</v>
      </c>
      <c r="B803" s="617">
        <v>8</v>
      </c>
      <c r="C803" s="618">
        <v>36991</v>
      </c>
      <c r="D803" s="618" t="s">
        <v>176</v>
      </c>
      <c r="E803" s="633">
        <v>10</v>
      </c>
      <c r="F803" s="603">
        <v>2001</v>
      </c>
      <c r="G803" s="617" t="s">
        <v>143</v>
      </c>
      <c r="H803" s="620" t="s">
        <v>151</v>
      </c>
      <c r="I803" s="621">
        <v>200</v>
      </c>
      <c r="J803" s="621">
        <v>6</v>
      </c>
      <c r="K803" s="603">
        <f t="shared" si="78"/>
        <v>23</v>
      </c>
      <c r="L803" s="604">
        <v>0.97013888888888899</v>
      </c>
      <c r="M803" s="605">
        <f t="shared" si="73"/>
        <v>0.97013888888888899</v>
      </c>
      <c r="N803" s="663">
        <v>0.98055555555555562</v>
      </c>
      <c r="P803" s="37" t="str">
        <f t="shared" si="74"/>
        <v>2001F2</v>
      </c>
      <c r="Q803" s="37" t="str">
        <f t="shared" si="75"/>
        <v>F223</v>
      </c>
      <c r="R803" s="37" t="str">
        <f t="shared" si="76"/>
        <v>AprilF2</v>
      </c>
    </row>
    <row r="804" spans="1:18">
      <c r="A804" s="616">
        <f t="shared" si="77"/>
        <v>800</v>
      </c>
      <c r="B804" s="617">
        <v>9</v>
      </c>
      <c r="C804" s="618">
        <v>37011</v>
      </c>
      <c r="D804" s="618" t="s">
        <v>176</v>
      </c>
      <c r="E804" s="633">
        <v>30</v>
      </c>
      <c r="F804" s="603">
        <v>2001</v>
      </c>
      <c r="G804" s="617" t="s">
        <v>141</v>
      </c>
      <c r="H804" s="620" t="s">
        <v>149</v>
      </c>
      <c r="I804" s="621">
        <v>10</v>
      </c>
      <c r="J804" s="621">
        <v>0.1</v>
      </c>
      <c r="K804" s="603">
        <f t="shared" si="78"/>
        <v>19</v>
      </c>
      <c r="L804" s="604">
        <v>0.8208333333333333</v>
      </c>
      <c r="M804" s="605">
        <f t="shared" si="73"/>
        <v>0.8208333333333333</v>
      </c>
      <c r="N804" s="663">
        <v>0.82152777777777775</v>
      </c>
      <c r="P804" s="37" t="str">
        <f t="shared" si="74"/>
        <v>2001F0</v>
      </c>
      <c r="Q804" s="37" t="str">
        <f t="shared" si="75"/>
        <v>F019</v>
      </c>
      <c r="R804" s="37" t="str">
        <f t="shared" si="76"/>
        <v>AprilF0</v>
      </c>
    </row>
    <row r="805" spans="1:18">
      <c r="A805" s="616">
        <f t="shared" si="77"/>
        <v>801</v>
      </c>
      <c r="B805" s="617">
        <v>10</v>
      </c>
      <c r="C805" s="618">
        <v>37030</v>
      </c>
      <c r="D805" s="618" t="s">
        <v>177</v>
      </c>
      <c r="E805" s="633">
        <v>19</v>
      </c>
      <c r="F805" s="603">
        <v>2001</v>
      </c>
      <c r="G805" s="617" t="s">
        <v>137</v>
      </c>
      <c r="H805" s="620" t="s">
        <v>149</v>
      </c>
      <c r="I805" s="621">
        <v>25</v>
      </c>
      <c r="J805" s="621">
        <v>0.2</v>
      </c>
      <c r="K805" s="603">
        <f t="shared" si="78"/>
        <v>9</v>
      </c>
      <c r="L805" s="604">
        <v>0.40625</v>
      </c>
      <c r="M805" s="605">
        <f t="shared" si="73"/>
        <v>0.40625</v>
      </c>
      <c r="N805" s="663">
        <v>0.40763888888888888</v>
      </c>
      <c r="P805" s="37" t="str">
        <f t="shared" si="74"/>
        <v>2001F0</v>
      </c>
      <c r="Q805" s="37" t="str">
        <f t="shared" si="75"/>
        <v>F09</v>
      </c>
      <c r="R805" s="37" t="str">
        <f t="shared" si="76"/>
        <v>MayF0</v>
      </c>
    </row>
    <row r="806" spans="1:18">
      <c r="A806" s="616">
        <f t="shared" si="77"/>
        <v>802</v>
      </c>
      <c r="B806" s="617">
        <v>11</v>
      </c>
      <c r="C806" s="618">
        <v>37040</v>
      </c>
      <c r="D806" s="618" t="s">
        <v>177</v>
      </c>
      <c r="E806" s="633">
        <v>29</v>
      </c>
      <c r="F806" s="603">
        <v>2001</v>
      </c>
      <c r="G806" s="617" t="s">
        <v>145</v>
      </c>
      <c r="H806" s="620" t="s">
        <v>149</v>
      </c>
      <c r="I806" s="621">
        <v>25</v>
      </c>
      <c r="J806" s="621">
        <v>0.1</v>
      </c>
      <c r="K806" s="603">
        <f t="shared" si="78"/>
        <v>16</v>
      </c>
      <c r="L806" s="604">
        <v>0.69791666666666663</v>
      </c>
      <c r="M806" s="605">
        <f t="shared" si="73"/>
        <v>0.69791666666666663</v>
      </c>
      <c r="N806" s="663">
        <v>0.69861111111111107</v>
      </c>
      <c r="P806" s="37" t="str">
        <f t="shared" si="74"/>
        <v>2001F0</v>
      </c>
      <c r="Q806" s="37" t="str">
        <f t="shared" si="75"/>
        <v>F016</v>
      </c>
      <c r="R806" s="37" t="str">
        <f t="shared" si="76"/>
        <v>MayF0</v>
      </c>
    </row>
    <row r="807" spans="1:18">
      <c r="A807" s="616">
        <f t="shared" si="77"/>
        <v>803</v>
      </c>
      <c r="B807" s="617">
        <v>12</v>
      </c>
      <c r="C807" s="618">
        <v>37040</v>
      </c>
      <c r="D807" s="618" t="s">
        <v>177</v>
      </c>
      <c r="E807" s="633">
        <v>29</v>
      </c>
      <c r="F807" s="603">
        <v>2001</v>
      </c>
      <c r="G807" s="617" t="s">
        <v>141</v>
      </c>
      <c r="H807" s="620" t="s">
        <v>149</v>
      </c>
      <c r="I807" s="621">
        <v>25</v>
      </c>
      <c r="J807" s="621">
        <v>0.2</v>
      </c>
      <c r="K807" s="603">
        <f t="shared" si="78"/>
        <v>17</v>
      </c>
      <c r="L807" s="604">
        <v>0.74652777777777779</v>
      </c>
      <c r="M807" s="605">
        <f t="shared" si="73"/>
        <v>0.74652777777777779</v>
      </c>
      <c r="N807" s="663">
        <v>0.74791666666666667</v>
      </c>
      <c r="P807" s="37" t="str">
        <f t="shared" si="74"/>
        <v>2001F0</v>
      </c>
      <c r="Q807" s="37" t="str">
        <f t="shared" si="75"/>
        <v>F017</v>
      </c>
      <c r="R807" s="37" t="str">
        <f t="shared" si="76"/>
        <v>MayF0</v>
      </c>
    </row>
    <row r="808" spans="1:18">
      <c r="A808" s="616">
        <f t="shared" si="77"/>
        <v>804</v>
      </c>
      <c r="B808" s="617">
        <v>13</v>
      </c>
      <c r="C808" s="618">
        <v>37040</v>
      </c>
      <c r="D808" s="618" t="s">
        <v>177</v>
      </c>
      <c r="E808" s="633">
        <v>29</v>
      </c>
      <c r="F808" s="603">
        <v>2001</v>
      </c>
      <c r="G808" s="617" t="s">
        <v>141</v>
      </c>
      <c r="H808" s="620" t="s">
        <v>149</v>
      </c>
      <c r="I808" s="621">
        <v>25</v>
      </c>
      <c r="J808" s="621">
        <v>0.1</v>
      </c>
      <c r="K808" s="603">
        <f t="shared" si="78"/>
        <v>18</v>
      </c>
      <c r="L808" s="604">
        <v>0.75138888888888899</v>
      </c>
      <c r="M808" s="605">
        <f t="shared" si="73"/>
        <v>0.75138888888888899</v>
      </c>
      <c r="N808" s="663">
        <v>0.75208333333333333</v>
      </c>
      <c r="P808" s="37" t="str">
        <f t="shared" si="74"/>
        <v>2001F0</v>
      </c>
      <c r="Q808" s="37" t="str">
        <f t="shared" si="75"/>
        <v>F018</v>
      </c>
      <c r="R808" s="37" t="str">
        <f t="shared" si="76"/>
        <v>MayF0</v>
      </c>
    </row>
    <row r="809" spans="1:18">
      <c r="A809" s="616">
        <f t="shared" si="77"/>
        <v>805</v>
      </c>
      <c r="B809" s="617">
        <v>14</v>
      </c>
      <c r="C809" s="618">
        <v>37040</v>
      </c>
      <c r="D809" s="618" t="s">
        <v>177</v>
      </c>
      <c r="E809" s="633">
        <v>29</v>
      </c>
      <c r="F809" s="603">
        <v>2001</v>
      </c>
      <c r="G809" s="617" t="s">
        <v>141</v>
      </c>
      <c r="H809" s="620" t="s">
        <v>149</v>
      </c>
      <c r="I809" s="621">
        <v>25</v>
      </c>
      <c r="J809" s="621">
        <v>0.1</v>
      </c>
      <c r="K809" s="603">
        <f t="shared" si="78"/>
        <v>18</v>
      </c>
      <c r="L809" s="604">
        <v>0.75347222222222221</v>
      </c>
      <c r="M809" s="605">
        <f t="shared" si="73"/>
        <v>0.75347222222222221</v>
      </c>
      <c r="N809" s="663">
        <v>0.75486111111111109</v>
      </c>
      <c r="P809" s="37" t="str">
        <f t="shared" si="74"/>
        <v>2001F0</v>
      </c>
      <c r="Q809" s="37" t="str">
        <f t="shared" si="75"/>
        <v>F018</v>
      </c>
      <c r="R809" s="37" t="str">
        <f t="shared" si="76"/>
        <v>MayF0</v>
      </c>
    </row>
    <row r="810" spans="1:18">
      <c r="A810" s="616">
        <f t="shared" si="77"/>
        <v>806</v>
      </c>
      <c r="B810" s="617">
        <v>15</v>
      </c>
      <c r="C810" s="618">
        <v>37040</v>
      </c>
      <c r="D810" s="618" t="s">
        <v>177</v>
      </c>
      <c r="E810" s="633">
        <v>29</v>
      </c>
      <c r="F810" s="603">
        <v>2001</v>
      </c>
      <c r="G810" s="617" t="s">
        <v>141</v>
      </c>
      <c r="H810" s="620" t="s">
        <v>149</v>
      </c>
      <c r="I810" s="621">
        <v>20</v>
      </c>
      <c r="J810" s="621">
        <v>0.1</v>
      </c>
      <c r="K810" s="603">
        <f t="shared" si="78"/>
        <v>18</v>
      </c>
      <c r="L810" s="604">
        <v>0.75486111111111109</v>
      </c>
      <c r="M810" s="605">
        <f t="shared" si="73"/>
        <v>0.75486111111111109</v>
      </c>
      <c r="N810" s="663">
        <v>0.75555555555555554</v>
      </c>
      <c r="P810" s="37" t="str">
        <f t="shared" si="74"/>
        <v>2001F0</v>
      </c>
      <c r="Q810" s="37" t="str">
        <f t="shared" si="75"/>
        <v>F018</v>
      </c>
      <c r="R810" s="37" t="str">
        <f t="shared" si="76"/>
        <v>MayF0</v>
      </c>
    </row>
    <row r="811" spans="1:18">
      <c r="A811" s="616">
        <f t="shared" si="77"/>
        <v>807</v>
      </c>
      <c r="B811" s="617">
        <v>16</v>
      </c>
      <c r="C811" s="618">
        <v>37040</v>
      </c>
      <c r="D811" s="618" t="s">
        <v>177</v>
      </c>
      <c r="E811" s="633">
        <v>29</v>
      </c>
      <c r="F811" s="603">
        <v>2001</v>
      </c>
      <c r="G811" s="617" t="s">
        <v>141</v>
      </c>
      <c r="H811" s="620" t="s">
        <v>152</v>
      </c>
      <c r="I811" s="621">
        <v>440</v>
      </c>
      <c r="J811" s="621">
        <v>10</v>
      </c>
      <c r="K811" s="603">
        <f t="shared" si="78"/>
        <v>18</v>
      </c>
      <c r="L811" s="604">
        <v>0.76041666666666663</v>
      </c>
      <c r="M811" s="605">
        <f t="shared" si="73"/>
        <v>0.76041666666666663</v>
      </c>
      <c r="N811" s="663">
        <v>0.78125</v>
      </c>
      <c r="P811" s="37" t="str">
        <f t="shared" si="74"/>
        <v>2001F3</v>
      </c>
      <c r="Q811" s="37" t="str">
        <f t="shared" si="75"/>
        <v>F318</v>
      </c>
      <c r="R811" s="37" t="str">
        <f t="shared" si="76"/>
        <v>MayF3</v>
      </c>
    </row>
    <row r="812" spans="1:18">
      <c r="A812" s="616">
        <f t="shared" si="77"/>
        <v>808</v>
      </c>
      <c r="B812" s="617">
        <v>17</v>
      </c>
      <c r="C812" s="618">
        <v>37040</v>
      </c>
      <c r="D812" s="618" t="s">
        <v>177</v>
      </c>
      <c r="E812" s="633">
        <v>29</v>
      </c>
      <c r="F812" s="603">
        <v>2001</v>
      </c>
      <c r="G812" s="617" t="s">
        <v>141</v>
      </c>
      <c r="H812" s="620" t="s">
        <v>149</v>
      </c>
      <c r="I812" s="621">
        <v>20</v>
      </c>
      <c r="J812" s="621">
        <v>0.1</v>
      </c>
      <c r="K812" s="603">
        <f t="shared" si="78"/>
        <v>18</v>
      </c>
      <c r="L812" s="604">
        <v>0.76666666666666661</v>
      </c>
      <c r="M812" s="605">
        <f t="shared" si="73"/>
        <v>0.76666666666666661</v>
      </c>
      <c r="N812" s="663">
        <v>0.7680555555555556</v>
      </c>
      <c r="P812" s="37" t="str">
        <f t="shared" si="74"/>
        <v>2001F0</v>
      </c>
      <c r="Q812" s="37" t="str">
        <f t="shared" si="75"/>
        <v>F018</v>
      </c>
      <c r="R812" s="37" t="str">
        <f t="shared" si="76"/>
        <v>MayF0</v>
      </c>
    </row>
    <row r="813" spans="1:18">
      <c r="A813" s="616">
        <f t="shared" si="77"/>
        <v>809</v>
      </c>
      <c r="B813" s="617">
        <v>18</v>
      </c>
      <c r="C813" s="618">
        <v>37151</v>
      </c>
      <c r="D813" s="618" t="s">
        <v>181</v>
      </c>
      <c r="E813" s="633">
        <v>17</v>
      </c>
      <c r="F813" s="603">
        <v>2001</v>
      </c>
      <c r="G813" s="617" t="s">
        <v>126</v>
      </c>
      <c r="H813" s="620" t="s">
        <v>149</v>
      </c>
      <c r="I813" s="621">
        <v>25</v>
      </c>
      <c r="J813" s="621">
        <v>0.1</v>
      </c>
      <c r="K813" s="603">
        <f t="shared" si="78"/>
        <v>15</v>
      </c>
      <c r="L813" s="604">
        <v>0.66180555555555554</v>
      </c>
      <c r="M813" s="605">
        <f t="shared" si="73"/>
        <v>0.66180555555555554</v>
      </c>
      <c r="N813" s="663">
        <v>0.66249999999999998</v>
      </c>
      <c r="P813" s="37" t="str">
        <f t="shared" si="74"/>
        <v>2001F0</v>
      </c>
      <c r="Q813" s="37" t="str">
        <f t="shared" si="75"/>
        <v>F015</v>
      </c>
      <c r="R813" s="37" t="str">
        <f t="shared" si="76"/>
        <v>SeptemberF0</v>
      </c>
    </row>
    <row r="814" spans="1:18">
      <c r="A814" s="616">
        <f t="shared" si="77"/>
        <v>810</v>
      </c>
      <c r="B814" s="617">
        <v>19</v>
      </c>
      <c r="C814" s="618">
        <v>37153</v>
      </c>
      <c r="D814" s="618" t="s">
        <v>181</v>
      </c>
      <c r="E814" s="633">
        <v>19</v>
      </c>
      <c r="F814" s="603">
        <v>2001</v>
      </c>
      <c r="G814" s="617" t="s">
        <v>140</v>
      </c>
      <c r="H814" s="620" t="s">
        <v>149</v>
      </c>
      <c r="I814" s="621">
        <v>25</v>
      </c>
      <c r="J814" s="621">
        <v>0.2</v>
      </c>
      <c r="K814" s="603">
        <f t="shared" si="78"/>
        <v>17</v>
      </c>
      <c r="L814" s="604">
        <v>0.74652777777777779</v>
      </c>
      <c r="M814" s="605">
        <f t="shared" si="73"/>
        <v>0.74652777777777779</v>
      </c>
      <c r="N814" s="663">
        <v>0.74791666666666667</v>
      </c>
      <c r="P814" s="37" t="str">
        <f t="shared" si="74"/>
        <v>2001F0</v>
      </c>
      <c r="Q814" s="37" t="str">
        <f t="shared" si="75"/>
        <v>F017</v>
      </c>
      <c r="R814" s="37" t="str">
        <f t="shared" si="76"/>
        <v>SeptemberF0</v>
      </c>
    </row>
    <row r="815" spans="1:18">
      <c r="A815" s="616">
        <f t="shared" si="77"/>
        <v>811</v>
      </c>
      <c r="B815" s="617">
        <v>20</v>
      </c>
      <c r="C815" s="618">
        <v>37153</v>
      </c>
      <c r="D815" s="618" t="s">
        <v>181</v>
      </c>
      <c r="E815" s="633">
        <v>19</v>
      </c>
      <c r="F815" s="603">
        <v>2001</v>
      </c>
      <c r="G815" s="617" t="s">
        <v>128</v>
      </c>
      <c r="H815" s="620" t="s">
        <v>149</v>
      </c>
      <c r="I815" s="621">
        <v>25</v>
      </c>
      <c r="J815" s="621">
        <v>0.1</v>
      </c>
      <c r="K815" s="603">
        <f t="shared" si="78"/>
        <v>18</v>
      </c>
      <c r="L815" s="604">
        <v>0.77083333333333337</v>
      </c>
      <c r="M815" s="605">
        <f t="shared" ref="M815:M877" si="79">+L815</f>
        <v>0.77083333333333337</v>
      </c>
      <c r="N815" s="663">
        <v>0.77222222222222225</v>
      </c>
      <c r="P815" s="37" t="str">
        <f t="shared" si="74"/>
        <v>2001F0</v>
      </c>
      <c r="Q815" s="37" t="str">
        <f t="shared" si="75"/>
        <v>F018</v>
      </c>
      <c r="R815" s="37" t="str">
        <f t="shared" si="76"/>
        <v>SeptemberF0</v>
      </c>
    </row>
    <row r="816" spans="1:18">
      <c r="A816" s="616">
        <f t="shared" si="77"/>
        <v>812</v>
      </c>
      <c r="B816" s="617">
        <v>1</v>
      </c>
      <c r="C816" s="618">
        <v>37381</v>
      </c>
      <c r="D816" s="618" t="s">
        <v>177</v>
      </c>
      <c r="E816" s="633">
        <v>5</v>
      </c>
      <c r="F816" s="603">
        <v>2002</v>
      </c>
      <c r="G816" s="617" t="s">
        <v>144</v>
      </c>
      <c r="H816" s="620" t="s">
        <v>149</v>
      </c>
      <c r="I816" s="621">
        <v>25</v>
      </c>
      <c r="J816" s="621">
        <v>0.1</v>
      </c>
      <c r="K816" s="603">
        <f t="shared" si="78"/>
        <v>16</v>
      </c>
      <c r="L816" s="604">
        <v>0.68194444444444446</v>
      </c>
      <c r="M816" s="605">
        <f t="shared" si="79"/>
        <v>0.68194444444444446</v>
      </c>
      <c r="N816" s="663">
        <v>0.68402777777777779</v>
      </c>
      <c r="P816" s="37" t="str">
        <f t="shared" si="74"/>
        <v>2002F0</v>
      </c>
      <c r="Q816" s="37" t="str">
        <f t="shared" si="75"/>
        <v>F016</v>
      </c>
      <c r="R816" s="37" t="str">
        <f t="shared" si="76"/>
        <v>MayF0</v>
      </c>
    </row>
    <row r="817" spans="1:18">
      <c r="A817" s="616">
        <f t="shared" si="77"/>
        <v>813</v>
      </c>
      <c r="B817" s="617">
        <v>2</v>
      </c>
      <c r="C817" s="618">
        <v>37381</v>
      </c>
      <c r="D817" s="618" t="s">
        <v>177</v>
      </c>
      <c r="E817" s="633">
        <v>5</v>
      </c>
      <c r="F817" s="603">
        <v>2002</v>
      </c>
      <c r="G817" s="617" t="s">
        <v>144</v>
      </c>
      <c r="H817" s="620" t="s">
        <v>149</v>
      </c>
      <c r="I817" s="621">
        <v>50</v>
      </c>
      <c r="J817" s="621">
        <v>0.5</v>
      </c>
      <c r="K817" s="603">
        <f t="shared" si="78"/>
        <v>16</v>
      </c>
      <c r="L817" s="604">
        <v>0.68819444444444444</v>
      </c>
      <c r="M817" s="605">
        <f t="shared" si="79"/>
        <v>0.68819444444444444</v>
      </c>
      <c r="N817" s="663">
        <v>0.69166666666666676</v>
      </c>
      <c r="P817" s="37" t="str">
        <f t="shared" si="74"/>
        <v>2002F0</v>
      </c>
      <c r="Q817" s="37" t="str">
        <f t="shared" si="75"/>
        <v>F016</v>
      </c>
      <c r="R817" s="37" t="str">
        <f t="shared" si="76"/>
        <v>MayF0</v>
      </c>
    </row>
    <row r="818" spans="1:18">
      <c r="A818" s="616">
        <f t="shared" si="77"/>
        <v>814</v>
      </c>
      <c r="B818" s="617">
        <v>3</v>
      </c>
      <c r="C818" s="618">
        <v>37381</v>
      </c>
      <c r="D818" s="618" t="s">
        <v>177</v>
      </c>
      <c r="E818" s="633">
        <v>5</v>
      </c>
      <c r="F818" s="603">
        <v>2002</v>
      </c>
      <c r="G818" s="617" t="s">
        <v>136</v>
      </c>
      <c r="H818" s="620" t="s">
        <v>149</v>
      </c>
      <c r="I818" s="621">
        <v>25</v>
      </c>
      <c r="J818" s="621">
        <v>0.1</v>
      </c>
      <c r="K818" s="603">
        <f t="shared" si="78"/>
        <v>16</v>
      </c>
      <c r="L818" s="604">
        <v>0.69097222222222221</v>
      </c>
      <c r="M818" s="605">
        <f t="shared" si="79"/>
        <v>0.69097222222222221</v>
      </c>
      <c r="N818" s="663">
        <v>0.69305555555555554</v>
      </c>
      <c r="P818" s="37" t="str">
        <f t="shared" si="74"/>
        <v>2002F0</v>
      </c>
      <c r="Q818" s="37" t="str">
        <f t="shared" si="75"/>
        <v>F016</v>
      </c>
      <c r="R818" s="37" t="str">
        <f t="shared" si="76"/>
        <v>MayF0</v>
      </c>
    </row>
    <row r="819" spans="1:18">
      <c r="A819" s="616">
        <f t="shared" si="77"/>
        <v>815</v>
      </c>
      <c r="B819" s="617">
        <v>4</v>
      </c>
      <c r="C819" s="618">
        <v>37381</v>
      </c>
      <c r="D819" s="618" t="s">
        <v>177</v>
      </c>
      <c r="E819" s="633">
        <v>5</v>
      </c>
      <c r="F819" s="603">
        <v>2002</v>
      </c>
      <c r="G819" s="617" t="s">
        <v>145</v>
      </c>
      <c r="H819" s="620" t="s">
        <v>151</v>
      </c>
      <c r="I819" s="621">
        <v>150</v>
      </c>
      <c r="J819" s="621">
        <v>2</v>
      </c>
      <c r="K819" s="603">
        <f t="shared" si="78"/>
        <v>17</v>
      </c>
      <c r="L819" s="604">
        <v>0.74652777777777779</v>
      </c>
      <c r="M819" s="605">
        <f t="shared" si="79"/>
        <v>0.74652777777777779</v>
      </c>
      <c r="N819" s="663">
        <v>0.75138888888888899</v>
      </c>
      <c r="P819" s="37" t="str">
        <f t="shared" si="74"/>
        <v>2002F2</v>
      </c>
      <c r="Q819" s="37" t="str">
        <f t="shared" si="75"/>
        <v>F217</v>
      </c>
      <c r="R819" s="37" t="str">
        <f t="shared" si="76"/>
        <v>MayF2</v>
      </c>
    </row>
    <row r="820" spans="1:18">
      <c r="A820" s="616">
        <f t="shared" si="77"/>
        <v>816</v>
      </c>
      <c r="B820" s="617">
        <v>5</v>
      </c>
      <c r="C820" s="618">
        <v>37381</v>
      </c>
      <c r="D820" s="618" t="s">
        <v>177</v>
      </c>
      <c r="E820" s="633">
        <v>5</v>
      </c>
      <c r="F820" s="603">
        <v>2002</v>
      </c>
      <c r="G820" s="617" t="s">
        <v>145</v>
      </c>
      <c r="H820" s="620" t="s">
        <v>149</v>
      </c>
      <c r="I820" s="621">
        <v>25</v>
      </c>
      <c r="J820" s="621">
        <v>0.1</v>
      </c>
      <c r="K820" s="603">
        <f t="shared" si="78"/>
        <v>17</v>
      </c>
      <c r="L820" s="604">
        <v>0.74791666666666667</v>
      </c>
      <c r="M820" s="605">
        <f t="shared" si="79"/>
        <v>0.74791666666666667</v>
      </c>
      <c r="N820" s="663">
        <v>0.74930555555555556</v>
      </c>
      <c r="P820" s="37" t="str">
        <f t="shared" si="74"/>
        <v>2002F0</v>
      </c>
      <c r="Q820" s="37" t="str">
        <f t="shared" si="75"/>
        <v>F017</v>
      </c>
      <c r="R820" s="37" t="str">
        <f t="shared" si="76"/>
        <v>MayF0</v>
      </c>
    </row>
    <row r="821" spans="1:18">
      <c r="A821" s="616">
        <f t="shared" si="77"/>
        <v>817</v>
      </c>
      <c r="B821" s="617">
        <v>6</v>
      </c>
      <c r="C821" s="618">
        <v>37381</v>
      </c>
      <c r="D821" s="618" t="s">
        <v>177</v>
      </c>
      <c r="E821" s="633">
        <v>5</v>
      </c>
      <c r="F821" s="603">
        <v>2002</v>
      </c>
      <c r="G821" s="617" t="s">
        <v>146</v>
      </c>
      <c r="H821" s="620" t="s">
        <v>149</v>
      </c>
      <c r="I821" s="621">
        <v>50</v>
      </c>
      <c r="J821" s="621">
        <v>0.4</v>
      </c>
      <c r="K821" s="603">
        <f t="shared" si="78"/>
        <v>18</v>
      </c>
      <c r="L821" s="604">
        <v>0.75763888888888886</v>
      </c>
      <c r="M821" s="605">
        <f t="shared" si="79"/>
        <v>0.75763888888888886</v>
      </c>
      <c r="N821" s="663">
        <v>0.76041666666666663</v>
      </c>
      <c r="P821" s="37" t="str">
        <f t="shared" si="74"/>
        <v>2002F0</v>
      </c>
      <c r="Q821" s="37" t="str">
        <f t="shared" si="75"/>
        <v>F018</v>
      </c>
      <c r="R821" s="37" t="str">
        <f t="shared" si="76"/>
        <v>MayF0</v>
      </c>
    </row>
    <row r="822" spans="1:18">
      <c r="A822" s="616">
        <f t="shared" si="77"/>
        <v>818</v>
      </c>
      <c r="B822" s="617">
        <v>7</v>
      </c>
      <c r="C822" s="618">
        <v>37381</v>
      </c>
      <c r="D822" s="618" t="s">
        <v>177</v>
      </c>
      <c r="E822" s="633">
        <v>5</v>
      </c>
      <c r="F822" s="603">
        <v>2002</v>
      </c>
      <c r="G822" s="617" t="s">
        <v>146</v>
      </c>
      <c r="H822" s="620" t="s">
        <v>149</v>
      </c>
      <c r="I822" s="621">
        <v>25</v>
      </c>
      <c r="J822" s="621">
        <v>0.3</v>
      </c>
      <c r="K822" s="603">
        <f t="shared" si="78"/>
        <v>18</v>
      </c>
      <c r="L822" s="604">
        <v>0.77083333333333337</v>
      </c>
      <c r="M822" s="605">
        <f t="shared" si="79"/>
        <v>0.77083333333333337</v>
      </c>
      <c r="N822" s="663">
        <v>0.7729166666666667</v>
      </c>
      <c r="P822" s="37" t="str">
        <f t="shared" si="74"/>
        <v>2002F0</v>
      </c>
      <c r="Q822" s="37" t="str">
        <f t="shared" si="75"/>
        <v>F018</v>
      </c>
      <c r="R822" s="37" t="str">
        <f t="shared" si="76"/>
        <v>MayF0</v>
      </c>
    </row>
    <row r="823" spans="1:18">
      <c r="A823" s="616">
        <f t="shared" si="77"/>
        <v>819</v>
      </c>
      <c r="B823" s="617">
        <v>8</v>
      </c>
      <c r="C823" s="618">
        <v>37381</v>
      </c>
      <c r="D823" s="618" t="s">
        <v>177</v>
      </c>
      <c r="E823" s="633">
        <v>5</v>
      </c>
      <c r="F823" s="603">
        <v>2002</v>
      </c>
      <c r="G823" s="617" t="s">
        <v>146</v>
      </c>
      <c r="H823" s="620" t="s">
        <v>149</v>
      </c>
      <c r="I823" s="621">
        <v>25</v>
      </c>
      <c r="J823" s="621">
        <v>0.1</v>
      </c>
      <c r="K823" s="603">
        <f t="shared" si="78"/>
        <v>18</v>
      </c>
      <c r="L823" s="604">
        <v>0.77430555555555547</v>
      </c>
      <c r="M823" s="605">
        <f t="shared" si="79"/>
        <v>0.77430555555555547</v>
      </c>
      <c r="N823" s="663">
        <v>0.77430555555555547</v>
      </c>
      <c r="P823" s="37" t="str">
        <f t="shared" si="74"/>
        <v>2002F0</v>
      </c>
      <c r="Q823" s="37" t="str">
        <f t="shared" si="75"/>
        <v>F018</v>
      </c>
      <c r="R823" s="37" t="str">
        <f t="shared" si="76"/>
        <v>MayF0</v>
      </c>
    </row>
    <row r="824" spans="1:18">
      <c r="A824" s="616">
        <f t="shared" si="77"/>
        <v>820</v>
      </c>
      <c r="B824" s="617">
        <v>9</v>
      </c>
      <c r="C824" s="618">
        <v>37381</v>
      </c>
      <c r="D824" s="618" t="s">
        <v>177</v>
      </c>
      <c r="E824" s="633">
        <v>5</v>
      </c>
      <c r="F824" s="603">
        <v>2002</v>
      </c>
      <c r="G824" s="617" t="s">
        <v>138</v>
      </c>
      <c r="H824" s="620" t="s">
        <v>149</v>
      </c>
      <c r="I824" s="621">
        <v>25</v>
      </c>
      <c r="J824" s="621">
        <v>2.5</v>
      </c>
      <c r="K824" s="603">
        <f t="shared" si="78"/>
        <v>18</v>
      </c>
      <c r="L824" s="604">
        <v>0.78749999999999998</v>
      </c>
      <c r="M824" s="605">
        <f t="shared" si="79"/>
        <v>0.78749999999999998</v>
      </c>
      <c r="N824" s="663">
        <v>0.79027777777777775</v>
      </c>
      <c r="P824" s="37" t="str">
        <f t="shared" si="74"/>
        <v>2002F0</v>
      </c>
      <c r="Q824" s="37" t="str">
        <f t="shared" si="75"/>
        <v>F018</v>
      </c>
      <c r="R824" s="37" t="str">
        <f t="shared" si="76"/>
        <v>MayF0</v>
      </c>
    </row>
    <row r="825" spans="1:18">
      <c r="A825" s="616">
        <f t="shared" si="77"/>
        <v>821</v>
      </c>
      <c r="B825" s="617">
        <v>10</v>
      </c>
      <c r="C825" s="618">
        <v>37381</v>
      </c>
      <c r="D825" s="618" t="s">
        <v>177</v>
      </c>
      <c r="E825" s="633">
        <v>5</v>
      </c>
      <c r="F825" s="603">
        <v>2002</v>
      </c>
      <c r="G825" s="617" t="s">
        <v>138</v>
      </c>
      <c r="H825" s="620" t="s">
        <v>149</v>
      </c>
      <c r="I825" s="621">
        <v>25</v>
      </c>
      <c r="J825" s="621">
        <v>0.5</v>
      </c>
      <c r="K825" s="603">
        <f t="shared" si="78"/>
        <v>18</v>
      </c>
      <c r="L825" s="604">
        <v>0.79027777777777775</v>
      </c>
      <c r="M825" s="605">
        <f t="shared" si="79"/>
        <v>0.79027777777777775</v>
      </c>
      <c r="N825" s="663">
        <v>0.79027777777777775</v>
      </c>
      <c r="P825" s="37" t="str">
        <f t="shared" si="74"/>
        <v>2002F0</v>
      </c>
      <c r="Q825" s="37" t="str">
        <f t="shared" si="75"/>
        <v>F018</v>
      </c>
      <c r="R825" s="37" t="str">
        <f t="shared" si="76"/>
        <v>MayF0</v>
      </c>
    </row>
    <row r="826" spans="1:18">
      <c r="A826" s="616">
        <f t="shared" si="77"/>
        <v>822</v>
      </c>
      <c r="B826" s="617">
        <v>11</v>
      </c>
      <c r="C826" s="618">
        <v>37381</v>
      </c>
      <c r="D826" s="618" t="s">
        <v>177</v>
      </c>
      <c r="E826" s="633">
        <v>5</v>
      </c>
      <c r="F826" s="603">
        <v>2002</v>
      </c>
      <c r="G826" s="617" t="s">
        <v>146</v>
      </c>
      <c r="H826" s="620" t="s">
        <v>149</v>
      </c>
      <c r="I826" s="621">
        <v>25</v>
      </c>
      <c r="J826" s="621">
        <v>0.2</v>
      </c>
      <c r="K826" s="603">
        <f t="shared" si="78"/>
        <v>19</v>
      </c>
      <c r="L826" s="604">
        <v>0.79861111111111116</v>
      </c>
      <c r="M826" s="605">
        <f t="shared" si="79"/>
        <v>0.79861111111111116</v>
      </c>
      <c r="N826" s="663">
        <v>0.80069444444444438</v>
      </c>
      <c r="P826" s="37" t="str">
        <f t="shared" si="74"/>
        <v>2002F0</v>
      </c>
      <c r="Q826" s="37" t="str">
        <f t="shared" si="75"/>
        <v>F019</v>
      </c>
      <c r="R826" s="37" t="str">
        <f t="shared" si="76"/>
        <v>MayF0</v>
      </c>
    </row>
    <row r="827" spans="1:18">
      <c r="A827" s="616">
        <f t="shared" si="77"/>
        <v>823</v>
      </c>
      <c r="B827" s="617">
        <v>12</v>
      </c>
      <c r="C827" s="618">
        <v>37381</v>
      </c>
      <c r="D827" s="618" t="s">
        <v>177</v>
      </c>
      <c r="E827" s="633">
        <v>5</v>
      </c>
      <c r="F827" s="603">
        <v>2002</v>
      </c>
      <c r="G827" s="617" t="s">
        <v>147</v>
      </c>
      <c r="H827" s="620" t="s">
        <v>149</v>
      </c>
      <c r="I827" s="621">
        <v>25</v>
      </c>
      <c r="J827" s="621">
        <v>0.2</v>
      </c>
      <c r="K827" s="603">
        <f t="shared" si="78"/>
        <v>20</v>
      </c>
      <c r="L827" s="604">
        <v>0.84375</v>
      </c>
      <c r="M827" s="605">
        <f t="shared" si="79"/>
        <v>0.84375</v>
      </c>
      <c r="N827" s="663">
        <v>0.84583333333333333</v>
      </c>
      <c r="P827" s="37" t="str">
        <f t="shared" si="74"/>
        <v>2002F0</v>
      </c>
      <c r="Q827" s="37" t="str">
        <f t="shared" si="75"/>
        <v>F020</v>
      </c>
      <c r="R827" s="37" t="str">
        <f t="shared" si="76"/>
        <v>MayF0</v>
      </c>
    </row>
    <row r="828" spans="1:18">
      <c r="A828" s="616">
        <f t="shared" si="77"/>
        <v>824</v>
      </c>
      <c r="B828" s="617">
        <v>13</v>
      </c>
      <c r="C828" s="618">
        <v>37387</v>
      </c>
      <c r="D828" s="618" t="s">
        <v>177</v>
      </c>
      <c r="E828" s="633">
        <v>11</v>
      </c>
      <c r="F828" s="603">
        <v>2002</v>
      </c>
      <c r="G828" s="617" t="s">
        <v>135</v>
      </c>
      <c r="H828" s="620" t="s">
        <v>149</v>
      </c>
      <c r="I828" s="621">
        <v>25</v>
      </c>
      <c r="J828" s="621">
        <v>0.1</v>
      </c>
      <c r="K828" s="603">
        <f t="shared" si="78"/>
        <v>0</v>
      </c>
      <c r="L828" s="604">
        <v>3.5416666666666666E-2</v>
      </c>
      <c r="M828" s="605">
        <f t="shared" si="79"/>
        <v>3.5416666666666666E-2</v>
      </c>
      <c r="N828" s="663">
        <v>3.6805555555555557E-2</v>
      </c>
      <c r="P828" s="37" t="str">
        <f t="shared" si="74"/>
        <v>2002F0</v>
      </c>
      <c r="Q828" s="37" t="str">
        <f t="shared" si="75"/>
        <v>F00</v>
      </c>
      <c r="R828" s="37" t="str">
        <f t="shared" si="76"/>
        <v>MayF0</v>
      </c>
    </row>
    <row r="829" spans="1:18">
      <c r="A829" s="616">
        <f t="shared" si="77"/>
        <v>825</v>
      </c>
      <c r="B829" s="617">
        <v>14</v>
      </c>
      <c r="C829" s="618">
        <v>37392</v>
      </c>
      <c r="D829" s="618" t="s">
        <v>177</v>
      </c>
      <c r="E829" s="633">
        <v>16</v>
      </c>
      <c r="F829" s="603">
        <v>2002</v>
      </c>
      <c r="G829" s="617" t="s">
        <v>127</v>
      </c>
      <c r="H829" s="620" t="s">
        <v>149</v>
      </c>
      <c r="I829" s="621">
        <v>25</v>
      </c>
      <c r="J829" s="621">
        <v>0.1</v>
      </c>
      <c r="K829" s="603">
        <f t="shared" si="78"/>
        <v>18</v>
      </c>
      <c r="L829" s="604">
        <v>0.75</v>
      </c>
      <c r="M829" s="605">
        <f t="shared" si="79"/>
        <v>0.75</v>
      </c>
      <c r="N829" s="663">
        <v>0.75138888888888899</v>
      </c>
      <c r="P829" s="37" t="str">
        <f t="shared" si="74"/>
        <v>2002F0</v>
      </c>
      <c r="Q829" s="37" t="str">
        <f t="shared" si="75"/>
        <v>F018</v>
      </c>
      <c r="R829" s="37" t="str">
        <f t="shared" si="76"/>
        <v>MayF0</v>
      </c>
    </row>
    <row r="830" spans="1:18">
      <c r="A830" s="616">
        <f t="shared" si="77"/>
        <v>826</v>
      </c>
      <c r="B830" s="617">
        <v>15</v>
      </c>
      <c r="C830" s="618">
        <v>37392</v>
      </c>
      <c r="D830" s="618" t="s">
        <v>177</v>
      </c>
      <c r="E830" s="633">
        <v>16</v>
      </c>
      <c r="F830" s="603">
        <v>2002</v>
      </c>
      <c r="G830" s="617" t="s">
        <v>127</v>
      </c>
      <c r="H830" s="620" t="s">
        <v>149</v>
      </c>
      <c r="I830" s="621">
        <v>25</v>
      </c>
      <c r="J830" s="621">
        <v>0.1</v>
      </c>
      <c r="K830" s="603">
        <f t="shared" si="78"/>
        <v>18</v>
      </c>
      <c r="L830" s="604">
        <v>0.77777777777777779</v>
      </c>
      <c r="M830" s="605">
        <f t="shared" si="79"/>
        <v>0.77777777777777779</v>
      </c>
      <c r="N830" s="663">
        <v>0.77986111111111101</v>
      </c>
      <c r="P830" s="37" t="str">
        <f t="shared" si="74"/>
        <v>2002F0</v>
      </c>
      <c r="Q830" s="37" t="str">
        <f t="shared" si="75"/>
        <v>F018</v>
      </c>
      <c r="R830" s="37" t="str">
        <f t="shared" si="76"/>
        <v>MayF0</v>
      </c>
    </row>
    <row r="831" spans="1:18">
      <c r="A831" s="616">
        <f t="shared" si="77"/>
        <v>827</v>
      </c>
      <c r="B831" s="617">
        <v>16</v>
      </c>
      <c r="C831" s="618">
        <v>37392</v>
      </c>
      <c r="D831" s="618" t="s">
        <v>177</v>
      </c>
      <c r="E831" s="633">
        <v>16</v>
      </c>
      <c r="F831" s="603">
        <v>2002</v>
      </c>
      <c r="G831" s="617" t="s">
        <v>136</v>
      </c>
      <c r="H831" s="620" t="s">
        <v>150</v>
      </c>
      <c r="I831" s="621">
        <v>100</v>
      </c>
      <c r="J831" s="621">
        <v>0.1</v>
      </c>
      <c r="K831" s="603">
        <f t="shared" si="78"/>
        <v>19</v>
      </c>
      <c r="L831" s="604">
        <v>0.82638888888888884</v>
      </c>
      <c r="M831" s="605">
        <f t="shared" si="79"/>
        <v>0.82638888888888884</v>
      </c>
      <c r="N831" s="663">
        <v>0.82986111111111116</v>
      </c>
      <c r="P831" s="37" t="str">
        <f t="shared" si="74"/>
        <v>2002F1</v>
      </c>
      <c r="Q831" s="37" t="str">
        <f t="shared" si="75"/>
        <v>F119</v>
      </c>
      <c r="R831" s="37" t="str">
        <f t="shared" si="76"/>
        <v>MayF1</v>
      </c>
    </row>
    <row r="832" spans="1:18">
      <c r="A832" s="616">
        <f t="shared" si="77"/>
        <v>828</v>
      </c>
      <c r="B832" s="617">
        <v>17</v>
      </c>
      <c r="C832" s="618">
        <v>37399</v>
      </c>
      <c r="D832" s="618" t="s">
        <v>177</v>
      </c>
      <c r="E832" s="633">
        <v>23</v>
      </c>
      <c r="F832" s="603">
        <v>2002</v>
      </c>
      <c r="G832" s="617" t="s">
        <v>133</v>
      </c>
      <c r="H832" s="620" t="s">
        <v>149</v>
      </c>
      <c r="I832" s="621">
        <v>25</v>
      </c>
      <c r="J832" s="621">
        <v>0.1</v>
      </c>
      <c r="K832" s="603">
        <f t="shared" si="78"/>
        <v>17</v>
      </c>
      <c r="L832" s="604">
        <v>0.72916666666666663</v>
      </c>
      <c r="M832" s="605">
        <f t="shared" si="79"/>
        <v>0.72916666666666663</v>
      </c>
      <c r="N832" s="663">
        <v>0.73055555555555562</v>
      </c>
      <c r="P832" s="37" t="str">
        <f t="shared" si="74"/>
        <v>2002F0</v>
      </c>
      <c r="Q832" s="37" t="str">
        <f t="shared" si="75"/>
        <v>F017</v>
      </c>
      <c r="R832" s="37" t="str">
        <f t="shared" si="76"/>
        <v>MayF0</v>
      </c>
    </row>
    <row r="833" spans="1:18">
      <c r="A833" s="616">
        <f t="shared" si="77"/>
        <v>829</v>
      </c>
      <c r="B833" s="617">
        <v>18</v>
      </c>
      <c r="C833" s="618">
        <v>37399</v>
      </c>
      <c r="D833" s="618" t="s">
        <v>177</v>
      </c>
      <c r="E833" s="633">
        <v>23</v>
      </c>
      <c r="F833" s="603">
        <v>2002</v>
      </c>
      <c r="G833" s="617" t="s">
        <v>136</v>
      </c>
      <c r="H833" s="620" t="s">
        <v>149</v>
      </c>
      <c r="I833" s="621">
        <v>25</v>
      </c>
      <c r="J833" s="621">
        <v>0.1</v>
      </c>
      <c r="K833" s="603">
        <f t="shared" si="78"/>
        <v>19</v>
      </c>
      <c r="L833" s="604">
        <v>0.82152777777777775</v>
      </c>
      <c r="M833" s="605">
        <f t="shared" si="79"/>
        <v>0.82152777777777775</v>
      </c>
      <c r="N833" s="663">
        <v>0.82291666666666663</v>
      </c>
      <c r="P833" s="37" t="str">
        <f t="shared" si="74"/>
        <v>2002F0</v>
      </c>
      <c r="Q833" s="37" t="str">
        <f t="shared" si="75"/>
        <v>F019</v>
      </c>
      <c r="R833" s="37" t="str">
        <f t="shared" si="76"/>
        <v>MayF0</v>
      </c>
    </row>
    <row r="834" spans="1:18">
      <c r="A834" s="616">
        <f t="shared" si="77"/>
        <v>830</v>
      </c>
      <c r="B834" s="617">
        <v>19</v>
      </c>
      <c r="C834" s="618">
        <v>37399</v>
      </c>
      <c r="D834" s="618" t="s">
        <v>177</v>
      </c>
      <c r="E834" s="633">
        <v>23</v>
      </c>
      <c r="F834" s="603">
        <v>2002</v>
      </c>
      <c r="G834" s="617" t="s">
        <v>136</v>
      </c>
      <c r="H834" s="620" t="s">
        <v>149</v>
      </c>
      <c r="I834" s="621">
        <v>25</v>
      </c>
      <c r="J834" s="621">
        <v>0.1</v>
      </c>
      <c r="K834" s="603">
        <f t="shared" si="78"/>
        <v>20</v>
      </c>
      <c r="L834" s="604">
        <v>0.83680555555555547</v>
      </c>
      <c r="M834" s="605">
        <f t="shared" si="79"/>
        <v>0.83680555555555547</v>
      </c>
      <c r="N834" s="663">
        <v>0.83819444444444446</v>
      </c>
      <c r="P834" s="37" t="str">
        <f t="shared" si="74"/>
        <v>2002F0</v>
      </c>
      <c r="Q834" s="37" t="str">
        <f t="shared" si="75"/>
        <v>F020</v>
      </c>
      <c r="R834" s="37" t="str">
        <f t="shared" si="76"/>
        <v>MayF0</v>
      </c>
    </row>
    <row r="835" spans="1:18">
      <c r="A835" s="616">
        <f t="shared" si="77"/>
        <v>831</v>
      </c>
      <c r="B835" s="617">
        <v>20</v>
      </c>
      <c r="C835" s="618">
        <v>37399</v>
      </c>
      <c r="D835" s="618" t="s">
        <v>177</v>
      </c>
      <c r="E835" s="633">
        <v>23</v>
      </c>
      <c r="F835" s="603">
        <v>2002</v>
      </c>
      <c r="G835" s="617" t="s">
        <v>137</v>
      </c>
      <c r="H835" s="620" t="s">
        <v>150</v>
      </c>
      <c r="I835" s="621">
        <v>100</v>
      </c>
      <c r="J835" s="621">
        <v>6</v>
      </c>
      <c r="K835" s="603">
        <f t="shared" ref="K835:K898" si="80">HOUR(M835)</f>
        <v>22</v>
      </c>
      <c r="L835" s="604">
        <v>0.93402777777777779</v>
      </c>
      <c r="M835" s="605">
        <f t="shared" si="79"/>
        <v>0.93402777777777779</v>
      </c>
      <c r="N835" s="663">
        <v>0.94097222222222221</v>
      </c>
      <c r="P835" s="37" t="str">
        <f t="shared" si="74"/>
        <v>2002F1</v>
      </c>
      <c r="Q835" s="37" t="str">
        <f t="shared" si="75"/>
        <v>F122</v>
      </c>
      <c r="R835" s="37" t="str">
        <f t="shared" si="76"/>
        <v>MayF1</v>
      </c>
    </row>
    <row r="836" spans="1:18">
      <c r="A836" s="616">
        <f t="shared" si="77"/>
        <v>832</v>
      </c>
      <c r="B836" s="617">
        <v>21</v>
      </c>
      <c r="C836" s="618">
        <v>37422</v>
      </c>
      <c r="D836" s="618" t="s">
        <v>178</v>
      </c>
      <c r="E836" s="633">
        <v>15</v>
      </c>
      <c r="F836" s="603">
        <v>2002</v>
      </c>
      <c r="G836" s="617" t="s">
        <v>128</v>
      </c>
      <c r="H836" s="620" t="s">
        <v>149</v>
      </c>
      <c r="I836" s="621">
        <v>25</v>
      </c>
      <c r="J836" s="621">
        <v>0.2</v>
      </c>
      <c r="K836" s="603">
        <f t="shared" si="80"/>
        <v>17</v>
      </c>
      <c r="L836" s="604">
        <v>0.7104166666666667</v>
      </c>
      <c r="M836" s="605">
        <f t="shared" si="79"/>
        <v>0.7104166666666667</v>
      </c>
      <c r="N836" s="663">
        <v>0.71458333333333324</v>
      </c>
      <c r="P836" s="37" t="str">
        <f t="shared" si="74"/>
        <v>2002F0</v>
      </c>
      <c r="Q836" s="37" t="str">
        <f t="shared" si="75"/>
        <v>F017</v>
      </c>
      <c r="R836" s="37" t="str">
        <f t="shared" si="76"/>
        <v>JuneF0</v>
      </c>
    </row>
    <row r="837" spans="1:18">
      <c r="A837" s="616">
        <f t="shared" si="77"/>
        <v>833</v>
      </c>
      <c r="B837" s="617">
        <v>22</v>
      </c>
      <c r="C837" s="618">
        <v>37498</v>
      </c>
      <c r="D837" s="618" t="s">
        <v>180</v>
      </c>
      <c r="E837" s="633">
        <v>30</v>
      </c>
      <c r="F837" s="603">
        <v>2002</v>
      </c>
      <c r="G837" s="617" t="s">
        <v>144</v>
      </c>
      <c r="H837" s="620" t="s">
        <v>149</v>
      </c>
      <c r="I837" s="621">
        <v>25</v>
      </c>
      <c r="J837" s="621">
        <v>0.5</v>
      </c>
      <c r="K837" s="603">
        <f t="shared" si="80"/>
        <v>18</v>
      </c>
      <c r="L837" s="604">
        <v>0.75486111111111109</v>
      </c>
      <c r="M837" s="605">
        <f t="shared" si="79"/>
        <v>0.75486111111111109</v>
      </c>
      <c r="N837" s="663">
        <v>0.75763888888888886</v>
      </c>
      <c r="P837" s="37" t="str">
        <f t="shared" si="74"/>
        <v>2002F0</v>
      </c>
      <c r="Q837" s="37" t="str">
        <f t="shared" si="75"/>
        <v>F018</v>
      </c>
      <c r="R837" s="37" t="str">
        <f t="shared" si="76"/>
        <v>AugustF0</v>
      </c>
    </row>
    <row r="838" spans="1:18">
      <c r="A838" s="616">
        <f t="shared" si="77"/>
        <v>834</v>
      </c>
      <c r="B838" s="617">
        <v>1</v>
      </c>
      <c r="C838" s="618">
        <v>37726</v>
      </c>
      <c r="D838" s="618" t="s">
        <v>176</v>
      </c>
      <c r="E838" s="633">
        <v>15</v>
      </c>
      <c r="F838" s="603">
        <v>2003</v>
      </c>
      <c r="G838" s="617" t="s">
        <v>143</v>
      </c>
      <c r="H838" s="620" t="s">
        <v>149</v>
      </c>
      <c r="I838" s="621">
        <v>200</v>
      </c>
      <c r="J838" s="621">
        <v>5</v>
      </c>
      <c r="K838" s="603">
        <f t="shared" si="80"/>
        <v>16</v>
      </c>
      <c r="L838" s="604">
        <v>0.67013888888888884</v>
      </c>
      <c r="M838" s="605">
        <f t="shared" si="79"/>
        <v>0.67013888888888884</v>
      </c>
      <c r="N838" s="663">
        <v>0.67708333333333337</v>
      </c>
      <c r="P838" s="37" t="str">
        <f t="shared" ref="P838:P901" si="81">CONCATENATE(F838,H838)</f>
        <v>2003F0</v>
      </c>
      <c r="Q838" s="37" t="str">
        <f t="shared" ref="Q838:Q901" si="82">CONCATENATE(H838,K838)</f>
        <v>F016</v>
      </c>
      <c r="R838" s="37" t="str">
        <f t="shared" ref="R838:R901" si="83">CONCATENATE(D838,H838)</f>
        <v>AprilF0</v>
      </c>
    </row>
    <row r="839" spans="1:18">
      <c r="A839" s="616">
        <f t="shared" ref="A839:A902" si="84">+A838+1</f>
        <v>835</v>
      </c>
      <c r="B839" s="617">
        <v>2</v>
      </c>
      <c r="C839" s="618">
        <v>37734</v>
      </c>
      <c r="D839" s="618" t="s">
        <v>176</v>
      </c>
      <c r="E839" s="633">
        <v>23</v>
      </c>
      <c r="F839" s="603">
        <v>2003</v>
      </c>
      <c r="G839" s="617" t="s">
        <v>147</v>
      </c>
      <c r="H839" s="620" t="s">
        <v>150</v>
      </c>
      <c r="I839" s="621">
        <v>25</v>
      </c>
      <c r="J839" s="621">
        <v>0.1</v>
      </c>
      <c r="K839" s="603">
        <f t="shared" si="80"/>
        <v>11</v>
      </c>
      <c r="L839" s="604">
        <v>0.4694444444444445</v>
      </c>
      <c r="M839" s="605">
        <f t="shared" si="79"/>
        <v>0.4694444444444445</v>
      </c>
      <c r="N839" s="663">
        <v>0.47083333333333338</v>
      </c>
      <c r="P839" s="37" t="str">
        <f t="shared" si="81"/>
        <v>2003F1</v>
      </c>
      <c r="Q839" s="37" t="str">
        <f t="shared" si="82"/>
        <v>F111</v>
      </c>
      <c r="R839" s="37" t="str">
        <f t="shared" si="83"/>
        <v>AprilF1</v>
      </c>
    </row>
    <row r="840" spans="1:18">
      <c r="A840" s="616">
        <f t="shared" si="84"/>
        <v>836</v>
      </c>
      <c r="B840" s="617">
        <v>3</v>
      </c>
      <c r="C840" s="618">
        <v>37756</v>
      </c>
      <c r="D840" s="618" t="s">
        <v>177</v>
      </c>
      <c r="E840" s="633">
        <v>15</v>
      </c>
      <c r="F840" s="603">
        <v>2003</v>
      </c>
      <c r="G840" s="617" t="s">
        <v>126</v>
      </c>
      <c r="H840" s="620" t="s">
        <v>149</v>
      </c>
      <c r="I840" s="621">
        <v>100</v>
      </c>
      <c r="J840" s="621">
        <v>0.1</v>
      </c>
      <c r="K840" s="603">
        <f t="shared" si="80"/>
        <v>15</v>
      </c>
      <c r="L840" s="604">
        <v>0.6333333333333333</v>
      </c>
      <c r="M840" s="605">
        <f t="shared" si="79"/>
        <v>0.6333333333333333</v>
      </c>
      <c r="N840" s="663">
        <v>0.63402777777777775</v>
      </c>
      <c r="P840" s="37" t="str">
        <f t="shared" si="81"/>
        <v>2003F0</v>
      </c>
      <c r="Q840" s="37" t="str">
        <f t="shared" si="82"/>
        <v>F015</v>
      </c>
      <c r="R840" s="37" t="str">
        <f t="shared" si="83"/>
        <v>MayF0</v>
      </c>
    </row>
    <row r="841" spans="1:18">
      <c r="A841" s="616">
        <f t="shared" si="84"/>
        <v>837</v>
      </c>
      <c r="B841" s="617">
        <v>4</v>
      </c>
      <c r="C841" s="618">
        <v>37756</v>
      </c>
      <c r="D841" s="618" t="s">
        <v>177</v>
      </c>
      <c r="E841" s="633">
        <v>15</v>
      </c>
      <c r="F841" s="603">
        <v>2003</v>
      </c>
      <c r="G841" s="617" t="s">
        <v>126</v>
      </c>
      <c r="H841" s="620" t="s">
        <v>150</v>
      </c>
      <c r="I841" s="621">
        <v>200</v>
      </c>
      <c r="J841" s="621">
        <v>5</v>
      </c>
      <c r="K841" s="603">
        <f t="shared" si="80"/>
        <v>15</v>
      </c>
      <c r="L841" s="604">
        <v>0.64236111111111105</v>
      </c>
      <c r="M841" s="605">
        <f t="shared" si="79"/>
        <v>0.64236111111111105</v>
      </c>
      <c r="N841" s="663">
        <v>0.64930555555555558</v>
      </c>
      <c r="P841" s="37" t="str">
        <f t="shared" si="81"/>
        <v>2003F1</v>
      </c>
      <c r="Q841" s="37" t="str">
        <f t="shared" si="82"/>
        <v>F115</v>
      </c>
      <c r="R841" s="37" t="str">
        <f t="shared" si="83"/>
        <v>MayF1</v>
      </c>
    </row>
    <row r="842" spans="1:18">
      <c r="A842" s="616">
        <f t="shared" si="84"/>
        <v>838</v>
      </c>
      <c r="B842" s="617">
        <v>5</v>
      </c>
      <c r="C842" s="618">
        <v>37756</v>
      </c>
      <c r="D842" s="618" t="s">
        <v>177</v>
      </c>
      <c r="E842" s="633">
        <v>15</v>
      </c>
      <c r="F842" s="603">
        <v>2003</v>
      </c>
      <c r="G842" s="617" t="s">
        <v>126</v>
      </c>
      <c r="H842" s="620" t="s">
        <v>149</v>
      </c>
      <c r="I842" s="621">
        <v>50</v>
      </c>
      <c r="J842" s="621">
        <v>0.1</v>
      </c>
      <c r="K842" s="603">
        <f t="shared" si="80"/>
        <v>15</v>
      </c>
      <c r="L842" s="604">
        <v>0.65625</v>
      </c>
      <c r="M842" s="605">
        <f t="shared" si="79"/>
        <v>0.65625</v>
      </c>
      <c r="N842" s="663">
        <v>0.65694444444444444</v>
      </c>
      <c r="P842" s="37" t="str">
        <f t="shared" si="81"/>
        <v>2003F0</v>
      </c>
      <c r="Q842" s="37" t="str">
        <f t="shared" si="82"/>
        <v>F015</v>
      </c>
      <c r="R842" s="37" t="str">
        <f t="shared" si="83"/>
        <v>MayF0</v>
      </c>
    </row>
    <row r="843" spans="1:18">
      <c r="A843" s="616">
        <f t="shared" si="84"/>
        <v>839</v>
      </c>
      <c r="B843" s="617">
        <v>6</v>
      </c>
      <c r="C843" s="618">
        <v>37756</v>
      </c>
      <c r="D843" s="618" t="s">
        <v>177</v>
      </c>
      <c r="E843" s="633">
        <v>15</v>
      </c>
      <c r="F843" s="603">
        <v>2003</v>
      </c>
      <c r="G843" s="617" t="s">
        <v>129</v>
      </c>
      <c r="H843" s="620" t="s">
        <v>150</v>
      </c>
      <c r="I843" s="621">
        <v>1320</v>
      </c>
      <c r="J843" s="621">
        <v>10</v>
      </c>
      <c r="K843" s="603">
        <f t="shared" si="80"/>
        <v>16</v>
      </c>
      <c r="L843" s="604">
        <v>0.69166666666666676</v>
      </c>
      <c r="M843" s="605">
        <f t="shared" si="79"/>
        <v>0.69166666666666676</v>
      </c>
      <c r="N843" s="663">
        <v>0.7055555555555556</v>
      </c>
      <c r="P843" s="37" t="str">
        <f t="shared" si="81"/>
        <v>2003F1</v>
      </c>
      <c r="Q843" s="37" t="str">
        <f t="shared" si="82"/>
        <v>F116</v>
      </c>
      <c r="R843" s="37" t="str">
        <f t="shared" si="83"/>
        <v>MayF1</v>
      </c>
    </row>
    <row r="844" spans="1:18">
      <c r="A844" s="616">
        <f t="shared" si="84"/>
        <v>840</v>
      </c>
      <c r="B844" s="617">
        <v>7</v>
      </c>
      <c r="C844" s="618">
        <v>37756</v>
      </c>
      <c r="D844" s="618" t="s">
        <v>177</v>
      </c>
      <c r="E844" s="633">
        <v>15</v>
      </c>
      <c r="F844" s="603">
        <v>2003</v>
      </c>
      <c r="G844" s="617" t="s">
        <v>129</v>
      </c>
      <c r="H844" s="620" t="s">
        <v>149</v>
      </c>
      <c r="I844" s="621">
        <v>500</v>
      </c>
      <c r="J844" s="621">
        <v>1</v>
      </c>
      <c r="K844" s="603">
        <f t="shared" si="80"/>
        <v>16</v>
      </c>
      <c r="L844" s="604">
        <v>0.69513888888888886</v>
      </c>
      <c r="M844" s="605">
        <f t="shared" si="79"/>
        <v>0.69513888888888886</v>
      </c>
      <c r="N844" s="663">
        <v>0.69791666666666663</v>
      </c>
      <c r="P844" s="37" t="str">
        <f t="shared" si="81"/>
        <v>2003F0</v>
      </c>
      <c r="Q844" s="37" t="str">
        <f t="shared" si="82"/>
        <v>F016</v>
      </c>
      <c r="R844" s="37" t="str">
        <f t="shared" si="83"/>
        <v>MayF0</v>
      </c>
    </row>
    <row r="845" spans="1:18">
      <c r="A845" s="616">
        <f t="shared" si="84"/>
        <v>841</v>
      </c>
      <c r="B845" s="617">
        <v>8</v>
      </c>
      <c r="C845" s="618">
        <v>37756</v>
      </c>
      <c r="D845" s="618" t="s">
        <v>177</v>
      </c>
      <c r="E845" s="633">
        <v>15</v>
      </c>
      <c r="F845" s="603">
        <v>2003</v>
      </c>
      <c r="G845" s="617" t="s">
        <v>127</v>
      </c>
      <c r="H845" s="620" t="s">
        <v>149</v>
      </c>
      <c r="I845" s="621">
        <v>50</v>
      </c>
      <c r="J845" s="621">
        <v>0.1</v>
      </c>
      <c r="K845" s="603">
        <f t="shared" si="80"/>
        <v>17</v>
      </c>
      <c r="L845" s="604">
        <v>0.7402777777777777</v>
      </c>
      <c r="M845" s="605">
        <f t="shared" si="79"/>
        <v>0.7402777777777777</v>
      </c>
      <c r="N845" s="663">
        <v>0.74097222222222225</v>
      </c>
      <c r="P845" s="37" t="str">
        <f t="shared" si="81"/>
        <v>2003F0</v>
      </c>
      <c r="Q845" s="37" t="str">
        <f t="shared" si="82"/>
        <v>F017</v>
      </c>
      <c r="R845" s="37" t="str">
        <f t="shared" si="83"/>
        <v>MayF0</v>
      </c>
    </row>
    <row r="846" spans="1:18">
      <c r="A846" s="616">
        <f t="shared" si="84"/>
        <v>842</v>
      </c>
      <c r="B846" s="617">
        <v>9</v>
      </c>
      <c r="C846" s="618">
        <v>37756</v>
      </c>
      <c r="D846" s="618" t="s">
        <v>177</v>
      </c>
      <c r="E846" s="633">
        <v>15</v>
      </c>
      <c r="F846" s="603">
        <v>2003</v>
      </c>
      <c r="G846" s="617" t="s">
        <v>127</v>
      </c>
      <c r="H846" s="620" t="s">
        <v>149</v>
      </c>
      <c r="I846" s="621">
        <v>30</v>
      </c>
      <c r="J846" s="621">
        <v>0.5</v>
      </c>
      <c r="K846" s="603">
        <f t="shared" si="80"/>
        <v>18</v>
      </c>
      <c r="L846" s="604">
        <v>0.76388888888888884</v>
      </c>
      <c r="M846" s="605">
        <f t="shared" si="79"/>
        <v>0.76388888888888884</v>
      </c>
      <c r="N846" s="663">
        <v>0.76527777777777783</v>
      </c>
      <c r="P846" s="37" t="str">
        <f t="shared" si="81"/>
        <v>2003F0</v>
      </c>
      <c r="Q846" s="37" t="str">
        <f t="shared" si="82"/>
        <v>F018</v>
      </c>
      <c r="R846" s="37" t="str">
        <f t="shared" si="83"/>
        <v>MayF0</v>
      </c>
    </row>
    <row r="847" spans="1:18">
      <c r="A847" s="616">
        <f t="shared" si="84"/>
        <v>843</v>
      </c>
      <c r="B847" s="617">
        <v>10</v>
      </c>
      <c r="C847" s="618">
        <v>37756</v>
      </c>
      <c r="D847" s="618" t="s">
        <v>177</v>
      </c>
      <c r="E847" s="633">
        <v>15</v>
      </c>
      <c r="F847" s="603">
        <v>2003</v>
      </c>
      <c r="G847" s="617" t="s">
        <v>127</v>
      </c>
      <c r="H847" s="620" t="s">
        <v>149</v>
      </c>
      <c r="I847" s="621">
        <v>20</v>
      </c>
      <c r="J847" s="621">
        <v>0.5</v>
      </c>
      <c r="K847" s="603">
        <f t="shared" si="80"/>
        <v>18</v>
      </c>
      <c r="L847" s="604">
        <v>0.77430555555555547</v>
      </c>
      <c r="M847" s="605">
        <f t="shared" si="79"/>
        <v>0.77430555555555547</v>
      </c>
      <c r="N847" s="663">
        <v>0.77500000000000002</v>
      </c>
      <c r="P847" s="37" t="str">
        <f t="shared" si="81"/>
        <v>2003F0</v>
      </c>
      <c r="Q847" s="37" t="str">
        <f t="shared" si="82"/>
        <v>F018</v>
      </c>
      <c r="R847" s="37" t="str">
        <f t="shared" si="83"/>
        <v>MayF0</v>
      </c>
    </row>
    <row r="848" spans="1:18">
      <c r="A848" s="616">
        <f t="shared" si="84"/>
        <v>844</v>
      </c>
      <c r="B848" s="617">
        <v>11</v>
      </c>
      <c r="C848" s="618">
        <v>37756</v>
      </c>
      <c r="D848" s="618" t="s">
        <v>177</v>
      </c>
      <c r="E848" s="633">
        <v>15</v>
      </c>
      <c r="F848" s="603">
        <v>2003</v>
      </c>
      <c r="G848" s="617" t="s">
        <v>130</v>
      </c>
      <c r="H848" s="620" t="s">
        <v>149</v>
      </c>
      <c r="I848" s="621">
        <v>50</v>
      </c>
      <c r="J848" s="621">
        <v>1</v>
      </c>
      <c r="K848" s="603">
        <f t="shared" si="80"/>
        <v>18</v>
      </c>
      <c r="L848" s="604">
        <v>0.77638888888888891</v>
      </c>
      <c r="M848" s="605">
        <f t="shared" si="79"/>
        <v>0.77638888888888891</v>
      </c>
      <c r="N848" s="663">
        <v>0.77777777777777779</v>
      </c>
      <c r="P848" s="37" t="str">
        <f t="shared" si="81"/>
        <v>2003F0</v>
      </c>
      <c r="Q848" s="37" t="str">
        <f t="shared" si="82"/>
        <v>F018</v>
      </c>
      <c r="R848" s="37" t="str">
        <f t="shared" si="83"/>
        <v>MayF0</v>
      </c>
    </row>
    <row r="849" spans="1:18">
      <c r="A849" s="616">
        <f t="shared" si="84"/>
        <v>845</v>
      </c>
      <c r="B849" s="617">
        <v>12</v>
      </c>
      <c r="C849" s="618">
        <v>37756</v>
      </c>
      <c r="D849" s="618" t="s">
        <v>177</v>
      </c>
      <c r="E849" s="633">
        <v>15</v>
      </c>
      <c r="F849" s="603">
        <v>2003</v>
      </c>
      <c r="G849" s="617" t="s">
        <v>127</v>
      </c>
      <c r="H849" s="620" t="s">
        <v>149</v>
      </c>
      <c r="I849" s="621">
        <v>100</v>
      </c>
      <c r="J849" s="621">
        <v>0.3</v>
      </c>
      <c r="K849" s="603">
        <f t="shared" si="80"/>
        <v>18</v>
      </c>
      <c r="L849" s="604">
        <v>0.78125</v>
      </c>
      <c r="M849" s="605">
        <f t="shared" si="79"/>
        <v>0.78125</v>
      </c>
      <c r="N849" s="663">
        <v>0.78194444444444444</v>
      </c>
      <c r="P849" s="37" t="str">
        <f t="shared" si="81"/>
        <v>2003F0</v>
      </c>
      <c r="Q849" s="37" t="str">
        <f t="shared" si="82"/>
        <v>F018</v>
      </c>
      <c r="R849" s="37" t="str">
        <f t="shared" si="83"/>
        <v>MayF0</v>
      </c>
    </row>
    <row r="850" spans="1:18">
      <c r="A850" s="616">
        <f t="shared" si="84"/>
        <v>846</v>
      </c>
      <c r="B850" s="617">
        <v>13</v>
      </c>
      <c r="C850" s="618">
        <v>37756</v>
      </c>
      <c r="D850" s="618" t="s">
        <v>177</v>
      </c>
      <c r="E850" s="633">
        <v>15</v>
      </c>
      <c r="F850" s="603">
        <v>2003</v>
      </c>
      <c r="G850" s="617" t="s">
        <v>135</v>
      </c>
      <c r="H850" s="620" t="s">
        <v>149</v>
      </c>
      <c r="I850" s="621">
        <v>200</v>
      </c>
      <c r="J850" s="621">
        <v>6</v>
      </c>
      <c r="K850" s="603">
        <f t="shared" si="80"/>
        <v>18</v>
      </c>
      <c r="L850" s="604">
        <v>0.79027777777777775</v>
      </c>
      <c r="M850" s="605">
        <f t="shared" si="79"/>
        <v>0.79027777777777775</v>
      </c>
      <c r="N850" s="663">
        <v>0.79583333333333339</v>
      </c>
      <c r="P850" s="37" t="str">
        <f t="shared" si="81"/>
        <v>2003F0</v>
      </c>
      <c r="Q850" s="37" t="str">
        <f t="shared" si="82"/>
        <v>F018</v>
      </c>
      <c r="R850" s="37" t="str">
        <f t="shared" si="83"/>
        <v>MayF0</v>
      </c>
    </row>
    <row r="851" spans="1:18">
      <c r="A851" s="616">
        <f t="shared" si="84"/>
        <v>847</v>
      </c>
      <c r="B851" s="617">
        <v>14</v>
      </c>
      <c r="C851" s="618">
        <v>37756</v>
      </c>
      <c r="D851" s="618" t="s">
        <v>177</v>
      </c>
      <c r="E851" s="633">
        <v>15</v>
      </c>
      <c r="F851" s="603">
        <v>2003</v>
      </c>
      <c r="G851" s="617" t="s">
        <v>130</v>
      </c>
      <c r="H851" s="620" t="s">
        <v>149</v>
      </c>
      <c r="I851" s="621">
        <v>20</v>
      </c>
      <c r="J851" s="621">
        <v>0.1</v>
      </c>
      <c r="K851" s="603">
        <f t="shared" si="80"/>
        <v>19</v>
      </c>
      <c r="L851" s="604">
        <v>0.80208333333333337</v>
      </c>
      <c r="M851" s="605">
        <f t="shared" si="79"/>
        <v>0.80208333333333337</v>
      </c>
      <c r="N851" s="663">
        <v>0.80347222222222225</v>
      </c>
      <c r="P851" s="37" t="str">
        <f t="shared" si="81"/>
        <v>2003F0</v>
      </c>
      <c r="Q851" s="37" t="str">
        <f t="shared" si="82"/>
        <v>F019</v>
      </c>
      <c r="R851" s="37" t="str">
        <f t="shared" si="83"/>
        <v>MayF0</v>
      </c>
    </row>
    <row r="852" spans="1:18">
      <c r="A852" s="616">
        <f t="shared" si="84"/>
        <v>848</v>
      </c>
      <c r="B852" s="617">
        <v>15</v>
      </c>
      <c r="C852" s="618">
        <v>37756</v>
      </c>
      <c r="D852" s="618" t="s">
        <v>177</v>
      </c>
      <c r="E852" s="633">
        <v>15</v>
      </c>
      <c r="F852" s="603">
        <v>2003</v>
      </c>
      <c r="G852" s="617" t="s">
        <v>130</v>
      </c>
      <c r="H852" s="620" t="s">
        <v>149</v>
      </c>
      <c r="I852" s="621">
        <v>50</v>
      </c>
      <c r="J852" s="621">
        <v>0.1</v>
      </c>
      <c r="K852" s="603">
        <f t="shared" si="80"/>
        <v>19</v>
      </c>
      <c r="L852" s="604">
        <v>0.80208333333333337</v>
      </c>
      <c r="M852" s="605">
        <f t="shared" si="79"/>
        <v>0.80208333333333337</v>
      </c>
      <c r="N852" s="663">
        <v>0.8027777777777777</v>
      </c>
      <c r="P852" s="37" t="str">
        <f t="shared" si="81"/>
        <v>2003F0</v>
      </c>
      <c r="Q852" s="37" t="str">
        <f t="shared" si="82"/>
        <v>F019</v>
      </c>
      <c r="R852" s="37" t="str">
        <f t="shared" si="83"/>
        <v>MayF0</v>
      </c>
    </row>
    <row r="853" spans="1:18">
      <c r="A853" s="616">
        <f t="shared" si="84"/>
        <v>849</v>
      </c>
      <c r="B853" s="617">
        <v>16</v>
      </c>
      <c r="C853" s="618">
        <v>37756</v>
      </c>
      <c r="D853" s="618" t="s">
        <v>177</v>
      </c>
      <c r="E853" s="633">
        <v>15</v>
      </c>
      <c r="F853" s="603">
        <v>2003</v>
      </c>
      <c r="G853" s="617" t="s">
        <v>142</v>
      </c>
      <c r="H853" s="620" t="s">
        <v>149</v>
      </c>
      <c r="I853" s="621">
        <v>40</v>
      </c>
      <c r="J853" s="621">
        <v>0.1</v>
      </c>
      <c r="K853" s="603">
        <f t="shared" si="80"/>
        <v>19</v>
      </c>
      <c r="L853" s="604">
        <v>0.8125</v>
      </c>
      <c r="M853" s="605">
        <f t="shared" si="79"/>
        <v>0.8125</v>
      </c>
      <c r="N853" s="663">
        <v>0.81388888888888899</v>
      </c>
      <c r="P853" s="37" t="str">
        <f t="shared" si="81"/>
        <v>2003F0</v>
      </c>
      <c r="Q853" s="37" t="str">
        <f t="shared" si="82"/>
        <v>F019</v>
      </c>
      <c r="R853" s="37" t="str">
        <f t="shared" si="83"/>
        <v>MayF0</v>
      </c>
    </row>
    <row r="854" spans="1:18">
      <c r="A854" s="616">
        <f t="shared" si="84"/>
        <v>850</v>
      </c>
      <c r="B854" s="617">
        <v>17</v>
      </c>
      <c r="C854" s="618">
        <v>37756</v>
      </c>
      <c r="D854" s="618" t="s">
        <v>177</v>
      </c>
      <c r="E854" s="633">
        <v>15</v>
      </c>
      <c r="F854" s="603">
        <v>2003</v>
      </c>
      <c r="G854" s="617" t="s">
        <v>130</v>
      </c>
      <c r="H854" s="620" t="s">
        <v>149</v>
      </c>
      <c r="I854" s="621">
        <v>50</v>
      </c>
      <c r="J854" s="621">
        <v>0.3</v>
      </c>
      <c r="K854" s="603">
        <f t="shared" si="80"/>
        <v>19</v>
      </c>
      <c r="L854" s="604">
        <v>0.81319444444444444</v>
      </c>
      <c r="M854" s="605">
        <f t="shared" si="79"/>
        <v>0.81319444444444444</v>
      </c>
      <c r="N854" s="663">
        <v>0.81597222222222221</v>
      </c>
      <c r="P854" s="37" t="str">
        <f t="shared" si="81"/>
        <v>2003F0</v>
      </c>
      <c r="Q854" s="37" t="str">
        <f t="shared" si="82"/>
        <v>F019</v>
      </c>
      <c r="R854" s="37" t="str">
        <f t="shared" si="83"/>
        <v>MayF0</v>
      </c>
    </row>
    <row r="855" spans="1:18">
      <c r="A855" s="616">
        <f t="shared" si="84"/>
        <v>851</v>
      </c>
      <c r="B855" s="617">
        <v>18</v>
      </c>
      <c r="C855" s="618">
        <v>37756</v>
      </c>
      <c r="D855" s="618" t="s">
        <v>177</v>
      </c>
      <c r="E855" s="633">
        <v>15</v>
      </c>
      <c r="F855" s="603">
        <v>2003</v>
      </c>
      <c r="G855" s="617" t="s">
        <v>127</v>
      </c>
      <c r="H855" s="620" t="s">
        <v>150</v>
      </c>
      <c r="I855" s="621">
        <v>30</v>
      </c>
      <c r="J855" s="621">
        <v>2</v>
      </c>
      <c r="K855" s="603">
        <f t="shared" si="80"/>
        <v>19</v>
      </c>
      <c r="L855" s="604">
        <v>0.81458333333333333</v>
      </c>
      <c r="M855" s="605">
        <f t="shared" si="79"/>
        <v>0.81458333333333333</v>
      </c>
      <c r="N855" s="663">
        <v>0.81666666666666676</v>
      </c>
      <c r="P855" s="37" t="str">
        <f t="shared" si="81"/>
        <v>2003F1</v>
      </c>
      <c r="Q855" s="37" t="str">
        <f t="shared" si="82"/>
        <v>F119</v>
      </c>
      <c r="R855" s="37" t="str">
        <f t="shared" si="83"/>
        <v>MayF1</v>
      </c>
    </row>
    <row r="856" spans="1:18">
      <c r="A856" s="616">
        <f t="shared" si="84"/>
        <v>852</v>
      </c>
      <c r="B856" s="617">
        <v>19</v>
      </c>
      <c r="C856" s="618">
        <v>37756</v>
      </c>
      <c r="D856" s="618" t="s">
        <v>177</v>
      </c>
      <c r="E856" s="633">
        <v>15</v>
      </c>
      <c r="F856" s="603">
        <v>2003</v>
      </c>
      <c r="G856" s="617" t="s">
        <v>147</v>
      </c>
      <c r="H856" s="620" t="s">
        <v>149</v>
      </c>
      <c r="I856" s="621">
        <v>50</v>
      </c>
      <c r="J856" s="621">
        <v>0.5</v>
      </c>
      <c r="K856" s="603">
        <f t="shared" si="80"/>
        <v>19</v>
      </c>
      <c r="L856" s="604">
        <v>0.81736111111111109</v>
      </c>
      <c r="M856" s="605">
        <f t="shared" si="79"/>
        <v>0.81736111111111109</v>
      </c>
      <c r="N856" s="663">
        <v>0.82013888888888886</v>
      </c>
      <c r="P856" s="37" t="str">
        <f t="shared" si="81"/>
        <v>2003F0</v>
      </c>
      <c r="Q856" s="37" t="str">
        <f t="shared" si="82"/>
        <v>F019</v>
      </c>
      <c r="R856" s="37" t="str">
        <f t="shared" si="83"/>
        <v>MayF0</v>
      </c>
    </row>
    <row r="857" spans="1:18">
      <c r="A857" s="616">
        <f t="shared" si="84"/>
        <v>853</v>
      </c>
      <c r="B857" s="617">
        <v>20</v>
      </c>
      <c r="C857" s="618">
        <v>37756</v>
      </c>
      <c r="D857" s="618" t="s">
        <v>177</v>
      </c>
      <c r="E857" s="633">
        <v>15</v>
      </c>
      <c r="F857" s="603">
        <v>2003</v>
      </c>
      <c r="G857" s="617" t="s">
        <v>127</v>
      </c>
      <c r="H857" s="620" t="s">
        <v>149</v>
      </c>
      <c r="I857" s="621">
        <v>40</v>
      </c>
      <c r="J857" s="621">
        <v>1</v>
      </c>
      <c r="K857" s="603">
        <f t="shared" si="80"/>
        <v>19</v>
      </c>
      <c r="L857" s="604">
        <v>0.82291666666666663</v>
      </c>
      <c r="M857" s="605">
        <f t="shared" si="79"/>
        <v>0.82291666666666663</v>
      </c>
      <c r="N857" s="663">
        <v>0.82430555555555562</v>
      </c>
      <c r="P857" s="37" t="str">
        <f t="shared" si="81"/>
        <v>2003F0</v>
      </c>
      <c r="Q857" s="37" t="str">
        <f t="shared" si="82"/>
        <v>F019</v>
      </c>
      <c r="R857" s="37" t="str">
        <f t="shared" si="83"/>
        <v>MayF0</v>
      </c>
    </row>
    <row r="858" spans="1:18">
      <c r="A858" s="616">
        <f t="shared" si="84"/>
        <v>854</v>
      </c>
      <c r="B858" s="617">
        <v>21</v>
      </c>
      <c r="C858" s="618">
        <v>37756</v>
      </c>
      <c r="D858" s="618" t="s">
        <v>177</v>
      </c>
      <c r="E858" s="633">
        <v>15</v>
      </c>
      <c r="F858" s="603">
        <v>2003</v>
      </c>
      <c r="G858" s="617" t="s">
        <v>147</v>
      </c>
      <c r="H858" s="620" t="s">
        <v>149</v>
      </c>
      <c r="I858" s="621">
        <v>20</v>
      </c>
      <c r="J858" s="621">
        <v>0.1</v>
      </c>
      <c r="K858" s="603">
        <f t="shared" si="80"/>
        <v>19</v>
      </c>
      <c r="L858" s="604">
        <v>0.83263888888888893</v>
      </c>
      <c r="M858" s="605">
        <f t="shared" si="79"/>
        <v>0.83263888888888893</v>
      </c>
      <c r="N858" s="663">
        <v>0.8340277777777777</v>
      </c>
      <c r="P858" s="37" t="str">
        <f t="shared" si="81"/>
        <v>2003F0</v>
      </c>
      <c r="Q858" s="37" t="str">
        <f t="shared" si="82"/>
        <v>F019</v>
      </c>
      <c r="R858" s="37" t="str">
        <f t="shared" si="83"/>
        <v>MayF0</v>
      </c>
    </row>
    <row r="859" spans="1:18">
      <c r="A859" s="616">
        <f t="shared" si="84"/>
        <v>855</v>
      </c>
      <c r="B859" s="617">
        <v>22</v>
      </c>
      <c r="C859" s="618">
        <v>37756</v>
      </c>
      <c r="D859" s="618" t="s">
        <v>177</v>
      </c>
      <c r="E859" s="633">
        <v>15</v>
      </c>
      <c r="F859" s="603">
        <v>2003</v>
      </c>
      <c r="G859" s="617" t="s">
        <v>128</v>
      </c>
      <c r="H859" s="620" t="s">
        <v>149</v>
      </c>
      <c r="I859" s="621">
        <v>20</v>
      </c>
      <c r="J859" s="621">
        <v>0.8</v>
      </c>
      <c r="K859" s="603">
        <f t="shared" si="80"/>
        <v>20</v>
      </c>
      <c r="L859" s="604">
        <v>0.83333333333333337</v>
      </c>
      <c r="M859" s="605">
        <f t="shared" si="79"/>
        <v>0.83333333333333337</v>
      </c>
      <c r="N859" s="663">
        <v>0.83472222222222225</v>
      </c>
      <c r="P859" s="37" t="str">
        <f t="shared" si="81"/>
        <v>2003F0</v>
      </c>
      <c r="Q859" s="37" t="str">
        <f t="shared" si="82"/>
        <v>F020</v>
      </c>
      <c r="R859" s="37" t="str">
        <f t="shared" si="83"/>
        <v>MayF0</v>
      </c>
    </row>
    <row r="860" spans="1:18">
      <c r="A860" s="616">
        <f t="shared" si="84"/>
        <v>856</v>
      </c>
      <c r="B860" s="617">
        <v>23</v>
      </c>
      <c r="C860" s="618">
        <v>37756</v>
      </c>
      <c r="D860" s="618" t="s">
        <v>177</v>
      </c>
      <c r="E860" s="633">
        <v>15</v>
      </c>
      <c r="F860" s="603">
        <v>2003</v>
      </c>
      <c r="G860" s="617" t="s">
        <v>136</v>
      </c>
      <c r="H860" s="620" t="s">
        <v>149</v>
      </c>
      <c r="I860" s="621">
        <v>30</v>
      </c>
      <c r="J860" s="621">
        <v>2</v>
      </c>
      <c r="K860" s="603">
        <f t="shared" si="80"/>
        <v>20</v>
      </c>
      <c r="L860" s="604">
        <v>0.84930555555555554</v>
      </c>
      <c r="M860" s="605">
        <f t="shared" si="79"/>
        <v>0.84930555555555554</v>
      </c>
      <c r="N860" s="663">
        <v>0.85277777777777775</v>
      </c>
      <c r="P860" s="37" t="str">
        <f t="shared" si="81"/>
        <v>2003F0</v>
      </c>
      <c r="Q860" s="37" t="str">
        <f t="shared" si="82"/>
        <v>F020</v>
      </c>
      <c r="R860" s="37" t="str">
        <f t="shared" si="83"/>
        <v>MayF0</v>
      </c>
    </row>
    <row r="861" spans="1:18">
      <c r="A861" s="616">
        <f t="shared" si="84"/>
        <v>857</v>
      </c>
      <c r="B861" s="617">
        <v>24</v>
      </c>
      <c r="C861" s="618">
        <v>37756</v>
      </c>
      <c r="D861" s="618" t="s">
        <v>177</v>
      </c>
      <c r="E861" s="633">
        <v>15</v>
      </c>
      <c r="F861" s="603">
        <v>2003</v>
      </c>
      <c r="G861" s="617" t="s">
        <v>141</v>
      </c>
      <c r="H861" s="620" t="s">
        <v>149</v>
      </c>
      <c r="I861" s="621">
        <v>20</v>
      </c>
      <c r="J861" s="621">
        <v>0.1</v>
      </c>
      <c r="K861" s="603">
        <f t="shared" si="80"/>
        <v>20</v>
      </c>
      <c r="L861" s="604">
        <v>0.86388888888888893</v>
      </c>
      <c r="M861" s="605">
        <f t="shared" si="79"/>
        <v>0.86388888888888893</v>
      </c>
      <c r="N861" s="663">
        <v>0.86458333333333337</v>
      </c>
      <c r="P861" s="37" t="str">
        <f t="shared" si="81"/>
        <v>2003F0</v>
      </c>
      <c r="Q861" s="37" t="str">
        <f t="shared" si="82"/>
        <v>F020</v>
      </c>
      <c r="R861" s="37" t="str">
        <f t="shared" si="83"/>
        <v>MayF0</v>
      </c>
    </row>
    <row r="862" spans="1:18">
      <c r="A862" s="616">
        <f t="shared" si="84"/>
        <v>858</v>
      </c>
      <c r="B862" s="617">
        <v>25</v>
      </c>
      <c r="C862" s="618">
        <v>37756</v>
      </c>
      <c r="D862" s="618" t="s">
        <v>177</v>
      </c>
      <c r="E862" s="633">
        <v>15</v>
      </c>
      <c r="F862" s="603">
        <v>2003</v>
      </c>
      <c r="G862" s="617" t="s">
        <v>143</v>
      </c>
      <c r="H862" s="620" t="s">
        <v>150</v>
      </c>
      <c r="I862" s="621">
        <v>100</v>
      </c>
      <c r="J862" s="621">
        <v>11.5</v>
      </c>
      <c r="K862" s="603">
        <f t="shared" si="80"/>
        <v>21</v>
      </c>
      <c r="L862" s="604">
        <v>0.87916666666666676</v>
      </c>
      <c r="M862" s="605">
        <f t="shared" si="79"/>
        <v>0.87916666666666676</v>
      </c>
      <c r="N862" s="663">
        <v>0.89583333333333337</v>
      </c>
      <c r="P862" s="37" t="str">
        <f t="shared" si="81"/>
        <v>2003F1</v>
      </c>
      <c r="Q862" s="37" t="str">
        <f t="shared" si="82"/>
        <v>F121</v>
      </c>
      <c r="R862" s="37" t="str">
        <f t="shared" si="83"/>
        <v>MayF1</v>
      </c>
    </row>
    <row r="863" spans="1:18">
      <c r="A863" s="616">
        <f t="shared" si="84"/>
        <v>859</v>
      </c>
      <c r="B863" s="617">
        <v>26</v>
      </c>
      <c r="C863" s="618">
        <v>37756</v>
      </c>
      <c r="D863" s="618" t="s">
        <v>177</v>
      </c>
      <c r="E863" s="633">
        <v>15</v>
      </c>
      <c r="F863" s="603">
        <v>2003</v>
      </c>
      <c r="G863" s="617" t="s">
        <v>143</v>
      </c>
      <c r="H863" s="620" t="s">
        <v>149</v>
      </c>
      <c r="I863" s="621">
        <v>50</v>
      </c>
      <c r="J863" s="621">
        <v>0.5</v>
      </c>
      <c r="K863" s="603">
        <f t="shared" si="80"/>
        <v>21</v>
      </c>
      <c r="L863" s="604">
        <v>0.89583333333333337</v>
      </c>
      <c r="M863" s="605">
        <f t="shared" si="79"/>
        <v>0.89583333333333337</v>
      </c>
      <c r="N863" s="663">
        <v>0.8979166666666667</v>
      </c>
      <c r="P863" s="37" t="str">
        <f t="shared" si="81"/>
        <v>2003F0</v>
      </c>
      <c r="Q863" s="37" t="str">
        <f t="shared" si="82"/>
        <v>F021</v>
      </c>
      <c r="R863" s="37" t="str">
        <f t="shared" si="83"/>
        <v>MayF0</v>
      </c>
    </row>
    <row r="864" spans="1:18">
      <c r="A864" s="616">
        <f t="shared" si="84"/>
        <v>860</v>
      </c>
      <c r="B864" s="617">
        <v>27</v>
      </c>
      <c r="C864" s="618">
        <v>37756</v>
      </c>
      <c r="D864" s="618" t="s">
        <v>177</v>
      </c>
      <c r="E864" s="633">
        <v>15</v>
      </c>
      <c r="F864" s="603">
        <v>2003</v>
      </c>
      <c r="G864" s="617" t="s">
        <v>143</v>
      </c>
      <c r="H864" s="620" t="s">
        <v>151</v>
      </c>
      <c r="I864" s="621">
        <v>1760</v>
      </c>
      <c r="J864" s="621">
        <v>9.1999999999999993</v>
      </c>
      <c r="K864" s="603">
        <f t="shared" si="80"/>
        <v>21</v>
      </c>
      <c r="L864" s="604">
        <v>0.90555555555555556</v>
      </c>
      <c r="M864" s="605">
        <f t="shared" si="79"/>
        <v>0.90555555555555556</v>
      </c>
      <c r="N864" s="663">
        <v>0.91874999999999996</v>
      </c>
      <c r="P864" s="37" t="str">
        <f t="shared" si="81"/>
        <v>2003F2</v>
      </c>
      <c r="Q864" s="37" t="str">
        <f t="shared" si="82"/>
        <v>F221</v>
      </c>
      <c r="R864" s="37" t="str">
        <f t="shared" si="83"/>
        <v>MayF2</v>
      </c>
    </row>
    <row r="865" spans="1:18">
      <c r="A865" s="616">
        <f t="shared" si="84"/>
        <v>861</v>
      </c>
      <c r="B865" s="617">
        <v>28</v>
      </c>
      <c r="C865" s="618">
        <v>37756</v>
      </c>
      <c r="D865" s="618" t="s">
        <v>177</v>
      </c>
      <c r="E865" s="633">
        <v>15</v>
      </c>
      <c r="F865" s="603">
        <v>2003</v>
      </c>
      <c r="G865" s="617" t="s">
        <v>143</v>
      </c>
      <c r="H865" s="620" t="s">
        <v>149</v>
      </c>
      <c r="I865" s="621">
        <v>50</v>
      </c>
      <c r="J865" s="621">
        <v>0.1</v>
      </c>
      <c r="K865" s="603">
        <f t="shared" si="80"/>
        <v>22</v>
      </c>
      <c r="L865" s="604">
        <v>0.93125000000000002</v>
      </c>
      <c r="M865" s="605">
        <f t="shared" si="79"/>
        <v>0.93125000000000002</v>
      </c>
      <c r="N865" s="663">
        <v>0.93263888888888891</v>
      </c>
      <c r="P865" s="37" t="str">
        <f t="shared" si="81"/>
        <v>2003F0</v>
      </c>
      <c r="Q865" s="37" t="str">
        <f t="shared" si="82"/>
        <v>F022</v>
      </c>
      <c r="R865" s="37" t="str">
        <f t="shared" si="83"/>
        <v>MayF0</v>
      </c>
    </row>
    <row r="866" spans="1:18">
      <c r="A866" s="616">
        <f t="shared" si="84"/>
        <v>862</v>
      </c>
      <c r="B866" s="617">
        <v>29</v>
      </c>
      <c r="C866" s="618">
        <v>37765</v>
      </c>
      <c r="D866" s="618" t="s">
        <v>177</v>
      </c>
      <c r="E866" s="633">
        <v>24</v>
      </c>
      <c r="F866" s="603">
        <v>2003</v>
      </c>
      <c r="G866" s="617" t="s">
        <v>137</v>
      </c>
      <c r="H866" s="620" t="s">
        <v>149</v>
      </c>
      <c r="I866" s="621">
        <v>25</v>
      </c>
      <c r="J866" s="621">
        <v>0.2</v>
      </c>
      <c r="K866" s="603">
        <f t="shared" si="80"/>
        <v>17</v>
      </c>
      <c r="L866" s="604">
        <v>0.74236111111111114</v>
      </c>
      <c r="M866" s="605">
        <f t="shared" si="79"/>
        <v>0.74236111111111114</v>
      </c>
      <c r="N866" s="663">
        <v>0.74305555555555547</v>
      </c>
      <c r="P866" s="37" t="str">
        <f t="shared" si="81"/>
        <v>2003F0</v>
      </c>
      <c r="Q866" s="37" t="str">
        <f t="shared" si="82"/>
        <v>F017</v>
      </c>
      <c r="R866" s="37" t="str">
        <f t="shared" si="83"/>
        <v>MayF0</v>
      </c>
    </row>
    <row r="867" spans="1:18">
      <c r="A867" s="616">
        <f t="shared" si="84"/>
        <v>863</v>
      </c>
      <c r="B867" s="617">
        <v>30</v>
      </c>
      <c r="C867" s="618">
        <v>37765</v>
      </c>
      <c r="D867" s="618" t="s">
        <v>177</v>
      </c>
      <c r="E867" s="633">
        <v>24</v>
      </c>
      <c r="F867" s="603">
        <v>2003</v>
      </c>
      <c r="G867" s="617" t="s">
        <v>142</v>
      </c>
      <c r="H867" s="620" t="s">
        <v>149</v>
      </c>
      <c r="I867" s="621">
        <v>50</v>
      </c>
      <c r="J867" s="621">
        <v>0.2</v>
      </c>
      <c r="K867" s="603">
        <f t="shared" si="80"/>
        <v>18</v>
      </c>
      <c r="L867" s="604">
        <v>0.76249999999999996</v>
      </c>
      <c r="M867" s="605">
        <f t="shared" si="79"/>
        <v>0.76249999999999996</v>
      </c>
      <c r="N867" s="663">
        <v>0.76388888888888884</v>
      </c>
      <c r="P867" s="37" t="str">
        <f t="shared" si="81"/>
        <v>2003F0</v>
      </c>
      <c r="Q867" s="37" t="str">
        <f t="shared" si="82"/>
        <v>F018</v>
      </c>
      <c r="R867" s="37" t="str">
        <f t="shared" si="83"/>
        <v>MayF0</v>
      </c>
    </row>
    <row r="868" spans="1:18">
      <c r="A868" s="616">
        <f t="shared" si="84"/>
        <v>864</v>
      </c>
      <c r="B868" s="617">
        <v>31</v>
      </c>
      <c r="C868" s="618">
        <v>37775</v>
      </c>
      <c r="D868" s="618" t="s">
        <v>178</v>
      </c>
      <c r="E868" s="633">
        <v>3</v>
      </c>
      <c r="F868" s="603">
        <v>2003</v>
      </c>
      <c r="G868" s="617" t="s">
        <v>144</v>
      </c>
      <c r="H868" s="620" t="s">
        <v>149</v>
      </c>
      <c r="I868" s="621">
        <v>50</v>
      </c>
      <c r="J868" s="621">
        <v>0.2</v>
      </c>
      <c r="K868" s="603">
        <f t="shared" si="80"/>
        <v>18</v>
      </c>
      <c r="L868" s="604">
        <v>0.77569444444444446</v>
      </c>
      <c r="M868" s="605">
        <f t="shared" si="79"/>
        <v>0.77569444444444446</v>
      </c>
      <c r="N868" s="663">
        <v>0.78333333333333333</v>
      </c>
      <c r="P868" s="37" t="str">
        <f t="shared" si="81"/>
        <v>2003F0</v>
      </c>
      <c r="Q868" s="37" t="str">
        <f t="shared" si="82"/>
        <v>F018</v>
      </c>
      <c r="R868" s="37" t="str">
        <f t="shared" si="83"/>
        <v>JuneF0</v>
      </c>
    </row>
    <row r="869" spans="1:18">
      <c r="A869" s="616">
        <f t="shared" si="84"/>
        <v>865</v>
      </c>
      <c r="B869" s="617">
        <v>32</v>
      </c>
      <c r="C869" s="618">
        <v>37775</v>
      </c>
      <c r="D869" s="618" t="s">
        <v>178</v>
      </c>
      <c r="E869" s="633">
        <v>3</v>
      </c>
      <c r="F869" s="603">
        <v>2003</v>
      </c>
      <c r="G869" s="617" t="s">
        <v>144</v>
      </c>
      <c r="H869" s="620" t="s">
        <v>149</v>
      </c>
      <c r="I869" s="621">
        <v>25</v>
      </c>
      <c r="J869" s="621">
        <v>0.1</v>
      </c>
      <c r="K869" s="603">
        <f t="shared" si="80"/>
        <v>19</v>
      </c>
      <c r="L869" s="604">
        <v>0.79722222222222217</v>
      </c>
      <c r="M869" s="605">
        <f t="shared" si="79"/>
        <v>0.79722222222222217</v>
      </c>
      <c r="N869" s="663">
        <v>0.7993055555555556</v>
      </c>
      <c r="P869" s="37" t="str">
        <f t="shared" si="81"/>
        <v>2003F0</v>
      </c>
      <c r="Q869" s="37" t="str">
        <f t="shared" si="82"/>
        <v>F019</v>
      </c>
      <c r="R869" s="37" t="str">
        <f t="shared" si="83"/>
        <v>JuneF0</v>
      </c>
    </row>
    <row r="870" spans="1:18">
      <c r="A870" s="616">
        <f t="shared" si="84"/>
        <v>866</v>
      </c>
      <c r="B870" s="617">
        <v>33</v>
      </c>
      <c r="C870" s="618">
        <v>37777</v>
      </c>
      <c r="D870" s="618" t="s">
        <v>178</v>
      </c>
      <c r="E870" s="633">
        <v>5</v>
      </c>
      <c r="F870" s="603">
        <v>2003</v>
      </c>
      <c r="G870" s="617" t="s">
        <v>131</v>
      </c>
      <c r="H870" s="620" t="s">
        <v>149</v>
      </c>
      <c r="I870" s="621">
        <v>440</v>
      </c>
      <c r="J870" s="621">
        <v>4</v>
      </c>
      <c r="K870" s="603">
        <f t="shared" si="80"/>
        <v>16</v>
      </c>
      <c r="L870" s="604">
        <v>0.6875</v>
      </c>
      <c r="M870" s="605">
        <f t="shared" si="79"/>
        <v>0.6875</v>
      </c>
      <c r="N870" s="663">
        <v>0.69097222222222221</v>
      </c>
      <c r="P870" s="37" t="str">
        <f t="shared" si="81"/>
        <v>2003F0</v>
      </c>
      <c r="Q870" s="37" t="str">
        <f t="shared" si="82"/>
        <v>F016</v>
      </c>
      <c r="R870" s="37" t="str">
        <f t="shared" si="83"/>
        <v>JuneF0</v>
      </c>
    </row>
    <row r="871" spans="1:18">
      <c r="A871" s="616">
        <f t="shared" si="84"/>
        <v>867</v>
      </c>
      <c r="B871" s="617">
        <v>1</v>
      </c>
      <c r="C871" s="618">
        <v>38096</v>
      </c>
      <c r="D871" s="618" t="s">
        <v>176</v>
      </c>
      <c r="E871" s="633">
        <v>19</v>
      </c>
      <c r="F871" s="603">
        <v>2004</v>
      </c>
      <c r="G871" s="617" t="s">
        <v>132</v>
      </c>
      <c r="H871" s="620" t="s">
        <v>149</v>
      </c>
      <c r="I871" s="621">
        <v>440</v>
      </c>
      <c r="J871" s="621">
        <v>1</v>
      </c>
      <c r="K871" s="603">
        <f t="shared" si="80"/>
        <v>19</v>
      </c>
      <c r="L871" s="604">
        <v>0.80694444444444446</v>
      </c>
      <c r="M871" s="605">
        <f t="shared" si="79"/>
        <v>0.80694444444444446</v>
      </c>
      <c r="N871" s="663">
        <v>0.81388888888888899</v>
      </c>
      <c r="P871" s="37" t="str">
        <f t="shared" si="81"/>
        <v>2004F0</v>
      </c>
      <c r="Q871" s="37" t="str">
        <f t="shared" si="82"/>
        <v>F019</v>
      </c>
      <c r="R871" s="37" t="str">
        <f t="shared" si="83"/>
        <v>AprilF0</v>
      </c>
    </row>
    <row r="872" spans="1:18">
      <c r="A872" s="616">
        <f t="shared" si="84"/>
        <v>868</v>
      </c>
      <c r="B872" s="617">
        <v>2</v>
      </c>
      <c r="C872" s="618">
        <v>38118</v>
      </c>
      <c r="D872" s="618" t="s">
        <v>177</v>
      </c>
      <c r="E872" s="633">
        <v>11</v>
      </c>
      <c r="F872" s="603">
        <v>2004</v>
      </c>
      <c r="G872" s="617" t="s">
        <v>134</v>
      </c>
      <c r="H872" s="620" t="s">
        <v>149</v>
      </c>
      <c r="I872" s="621">
        <v>25</v>
      </c>
      <c r="J872" s="621">
        <v>1</v>
      </c>
      <c r="K872" s="603">
        <f t="shared" si="80"/>
        <v>16</v>
      </c>
      <c r="L872" s="604">
        <v>0.68819444444444444</v>
      </c>
      <c r="M872" s="605">
        <f t="shared" si="79"/>
        <v>0.68819444444444444</v>
      </c>
      <c r="N872" s="663">
        <v>0.69374999999999998</v>
      </c>
      <c r="P872" s="37" t="str">
        <f t="shared" si="81"/>
        <v>2004F0</v>
      </c>
      <c r="Q872" s="37" t="str">
        <f t="shared" si="82"/>
        <v>F016</v>
      </c>
      <c r="R872" s="37" t="str">
        <f t="shared" si="83"/>
        <v>MayF0</v>
      </c>
    </row>
    <row r="873" spans="1:18">
      <c r="A873" s="616">
        <f t="shared" si="84"/>
        <v>869</v>
      </c>
      <c r="B873" s="617">
        <v>3</v>
      </c>
      <c r="C873" s="618">
        <v>38118</v>
      </c>
      <c r="D873" s="618" t="s">
        <v>177</v>
      </c>
      <c r="E873" s="633">
        <v>11</v>
      </c>
      <c r="F873" s="603">
        <v>2004</v>
      </c>
      <c r="G873" s="617" t="s">
        <v>134</v>
      </c>
      <c r="H873" s="620" t="s">
        <v>149</v>
      </c>
      <c r="I873" s="621">
        <v>25</v>
      </c>
      <c r="J873" s="621">
        <v>0.1</v>
      </c>
      <c r="K873" s="603">
        <f t="shared" si="80"/>
        <v>17</v>
      </c>
      <c r="L873" s="604">
        <v>0.72152777777777777</v>
      </c>
      <c r="M873" s="605">
        <f t="shared" si="79"/>
        <v>0.72152777777777777</v>
      </c>
      <c r="N873" s="663">
        <v>0.72291666666666676</v>
      </c>
      <c r="P873" s="37" t="str">
        <f t="shared" si="81"/>
        <v>2004F0</v>
      </c>
      <c r="Q873" s="37" t="str">
        <f t="shared" si="82"/>
        <v>F017</v>
      </c>
      <c r="R873" s="37" t="str">
        <f t="shared" si="83"/>
        <v>MayF0</v>
      </c>
    </row>
    <row r="874" spans="1:18">
      <c r="A874" s="616">
        <f t="shared" si="84"/>
        <v>870</v>
      </c>
      <c r="B874" s="617">
        <v>4</v>
      </c>
      <c r="C874" s="618">
        <v>38153</v>
      </c>
      <c r="D874" s="618" t="s">
        <v>178</v>
      </c>
      <c r="E874" s="633">
        <v>15</v>
      </c>
      <c r="F874" s="603">
        <v>2004</v>
      </c>
      <c r="G874" s="617" t="s">
        <v>126</v>
      </c>
      <c r="H874" s="620" t="s">
        <v>149</v>
      </c>
      <c r="I874" s="621">
        <v>50</v>
      </c>
      <c r="J874" s="621">
        <v>0.3</v>
      </c>
      <c r="K874" s="603">
        <f t="shared" si="80"/>
        <v>17</v>
      </c>
      <c r="L874" s="604">
        <v>0.72013888888888899</v>
      </c>
      <c r="M874" s="605">
        <f t="shared" si="79"/>
        <v>0.72013888888888899</v>
      </c>
      <c r="N874" s="663">
        <v>0.72638888888888886</v>
      </c>
      <c r="P874" s="37" t="str">
        <f t="shared" si="81"/>
        <v>2004F0</v>
      </c>
      <c r="Q874" s="37" t="str">
        <f t="shared" si="82"/>
        <v>F017</v>
      </c>
      <c r="R874" s="37" t="str">
        <f t="shared" si="83"/>
        <v>JuneF0</v>
      </c>
    </row>
    <row r="875" spans="1:18">
      <c r="A875" s="616">
        <f t="shared" si="84"/>
        <v>871</v>
      </c>
      <c r="B875" s="617">
        <v>5</v>
      </c>
      <c r="C875" s="618">
        <v>38155</v>
      </c>
      <c r="D875" s="618" t="s">
        <v>178</v>
      </c>
      <c r="E875" s="633">
        <v>17</v>
      </c>
      <c r="F875" s="603">
        <v>2004</v>
      </c>
      <c r="G875" s="617" t="s">
        <v>136</v>
      </c>
      <c r="H875" s="620" t="s">
        <v>149</v>
      </c>
      <c r="I875" s="621">
        <v>25</v>
      </c>
      <c r="J875" s="621">
        <v>0.1</v>
      </c>
      <c r="K875" s="603">
        <f t="shared" si="80"/>
        <v>16</v>
      </c>
      <c r="L875" s="604">
        <v>0.70625000000000004</v>
      </c>
      <c r="M875" s="605">
        <f t="shared" si="79"/>
        <v>0.70625000000000004</v>
      </c>
      <c r="N875" s="663">
        <v>0.70833333333333337</v>
      </c>
      <c r="P875" s="37" t="str">
        <f t="shared" si="81"/>
        <v>2004F0</v>
      </c>
      <c r="Q875" s="37" t="str">
        <f t="shared" si="82"/>
        <v>F016</v>
      </c>
      <c r="R875" s="37" t="str">
        <f t="shared" si="83"/>
        <v>JuneF0</v>
      </c>
    </row>
    <row r="876" spans="1:18">
      <c r="A876" s="616">
        <f t="shared" si="84"/>
        <v>872</v>
      </c>
      <c r="B876" s="617">
        <v>6</v>
      </c>
      <c r="C876" s="618">
        <v>38155</v>
      </c>
      <c r="D876" s="618" t="s">
        <v>178</v>
      </c>
      <c r="E876" s="633">
        <v>17</v>
      </c>
      <c r="F876" s="603">
        <v>2004</v>
      </c>
      <c r="G876" s="617" t="s">
        <v>136</v>
      </c>
      <c r="H876" s="620" t="s">
        <v>149</v>
      </c>
      <c r="I876" s="621">
        <v>25</v>
      </c>
      <c r="J876" s="621">
        <v>0.1</v>
      </c>
      <c r="K876" s="603">
        <f t="shared" si="80"/>
        <v>17</v>
      </c>
      <c r="L876" s="604">
        <v>0.73958333333333337</v>
      </c>
      <c r="M876" s="605">
        <f t="shared" si="79"/>
        <v>0.73958333333333337</v>
      </c>
      <c r="N876" s="663">
        <v>0.74236111111111114</v>
      </c>
      <c r="P876" s="37" t="str">
        <f t="shared" si="81"/>
        <v>2004F0</v>
      </c>
      <c r="Q876" s="37" t="str">
        <f t="shared" si="82"/>
        <v>F017</v>
      </c>
      <c r="R876" s="37" t="str">
        <f t="shared" si="83"/>
        <v>JuneF0</v>
      </c>
    </row>
    <row r="877" spans="1:18">
      <c r="A877" s="616">
        <f t="shared" si="84"/>
        <v>873</v>
      </c>
      <c r="B877" s="617">
        <v>7</v>
      </c>
      <c r="C877" s="618">
        <v>38159</v>
      </c>
      <c r="D877" s="618" t="s">
        <v>178</v>
      </c>
      <c r="E877" s="633">
        <v>21</v>
      </c>
      <c r="F877" s="603">
        <v>2004</v>
      </c>
      <c r="G877" s="617" t="s">
        <v>140</v>
      </c>
      <c r="H877" s="620" t="s">
        <v>149</v>
      </c>
      <c r="I877" s="621">
        <v>25</v>
      </c>
      <c r="J877" s="621">
        <v>0.1</v>
      </c>
      <c r="K877" s="603">
        <f t="shared" si="80"/>
        <v>18</v>
      </c>
      <c r="L877" s="604">
        <v>0.75763888888888886</v>
      </c>
      <c r="M877" s="605">
        <f t="shared" si="79"/>
        <v>0.75763888888888886</v>
      </c>
      <c r="N877" s="663">
        <v>0.7583333333333333</v>
      </c>
      <c r="P877" s="37" t="str">
        <f t="shared" si="81"/>
        <v>2004F0</v>
      </c>
      <c r="Q877" s="37" t="str">
        <f t="shared" si="82"/>
        <v>F018</v>
      </c>
      <c r="R877" s="37" t="str">
        <f t="shared" si="83"/>
        <v>JuneF0</v>
      </c>
    </row>
    <row r="878" spans="1:18">
      <c r="A878" s="616">
        <f t="shared" si="84"/>
        <v>874</v>
      </c>
      <c r="B878" s="617">
        <v>8</v>
      </c>
      <c r="C878" s="618">
        <v>38159</v>
      </c>
      <c r="D878" s="618" t="s">
        <v>178</v>
      </c>
      <c r="E878" s="633">
        <v>21</v>
      </c>
      <c r="F878" s="603">
        <v>2004</v>
      </c>
      <c r="G878" s="617" t="s">
        <v>140</v>
      </c>
      <c r="H878" s="620" t="s">
        <v>149</v>
      </c>
      <c r="I878" s="621">
        <v>25</v>
      </c>
      <c r="J878" s="621">
        <v>0.1</v>
      </c>
      <c r="K878" s="603">
        <f t="shared" si="80"/>
        <v>18</v>
      </c>
      <c r="L878" s="604">
        <v>0.76111111111111107</v>
      </c>
      <c r="M878" s="605">
        <f t="shared" ref="M878:M936" si="85">+L878</f>
        <v>0.76111111111111107</v>
      </c>
      <c r="N878" s="663">
        <v>0.76249999999999996</v>
      </c>
      <c r="P878" s="37" t="str">
        <f t="shared" si="81"/>
        <v>2004F0</v>
      </c>
      <c r="Q878" s="37" t="str">
        <f t="shared" si="82"/>
        <v>F018</v>
      </c>
      <c r="R878" s="37" t="str">
        <f t="shared" si="83"/>
        <v>JuneF0</v>
      </c>
    </row>
    <row r="879" spans="1:18">
      <c r="A879" s="616">
        <f t="shared" si="84"/>
        <v>875</v>
      </c>
      <c r="B879" s="617">
        <v>9</v>
      </c>
      <c r="C879" s="618">
        <v>38159</v>
      </c>
      <c r="D879" s="618" t="s">
        <v>178</v>
      </c>
      <c r="E879" s="633">
        <v>21</v>
      </c>
      <c r="F879" s="603">
        <v>2004</v>
      </c>
      <c r="G879" s="617" t="s">
        <v>145</v>
      </c>
      <c r="H879" s="620" t="s">
        <v>149</v>
      </c>
      <c r="I879" s="621">
        <v>25</v>
      </c>
      <c r="J879" s="621">
        <v>0.1</v>
      </c>
      <c r="K879" s="603">
        <f t="shared" si="80"/>
        <v>18</v>
      </c>
      <c r="L879" s="604">
        <v>0.77361111111111114</v>
      </c>
      <c r="M879" s="605">
        <f t="shared" si="85"/>
        <v>0.77361111111111114</v>
      </c>
      <c r="N879" s="663">
        <v>0.77569444444444446</v>
      </c>
      <c r="P879" s="37" t="str">
        <f t="shared" si="81"/>
        <v>2004F0</v>
      </c>
      <c r="Q879" s="37" t="str">
        <f t="shared" si="82"/>
        <v>F018</v>
      </c>
      <c r="R879" s="37" t="str">
        <f t="shared" si="83"/>
        <v>JuneF0</v>
      </c>
    </row>
    <row r="880" spans="1:18">
      <c r="A880" s="616">
        <f t="shared" si="84"/>
        <v>876</v>
      </c>
      <c r="B880" s="617">
        <v>10</v>
      </c>
      <c r="C880" s="618">
        <v>38159</v>
      </c>
      <c r="D880" s="618" t="s">
        <v>178</v>
      </c>
      <c r="E880" s="633">
        <v>21</v>
      </c>
      <c r="F880" s="603">
        <v>2004</v>
      </c>
      <c r="G880" s="617" t="s">
        <v>145</v>
      </c>
      <c r="H880" s="620" t="s">
        <v>149</v>
      </c>
      <c r="I880" s="621">
        <v>25</v>
      </c>
      <c r="J880" s="621">
        <v>0.1</v>
      </c>
      <c r="K880" s="603">
        <f t="shared" si="80"/>
        <v>18</v>
      </c>
      <c r="L880" s="604">
        <v>0.78333333333333333</v>
      </c>
      <c r="M880" s="605">
        <f t="shared" si="85"/>
        <v>0.78333333333333333</v>
      </c>
      <c r="N880" s="663">
        <v>0.78333333333333333</v>
      </c>
      <c r="P880" s="37" t="str">
        <f t="shared" si="81"/>
        <v>2004F0</v>
      </c>
      <c r="Q880" s="37" t="str">
        <f t="shared" si="82"/>
        <v>F018</v>
      </c>
      <c r="R880" s="37" t="str">
        <f t="shared" si="83"/>
        <v>JuneF0</v>
      </c>
    </row>
    <row r="881" spans="1:18">
      <c r="A881" s="616">
        <f t="shared" si="84"/>
        <v>877</v>
      </c>
      <c r="B881" s="617">
        <v>11</v>
      </c>
      <c r="C881" s="618">
        <v>38159</v>
      </c>
      <c r="D881" s="618" t="s">
        <v>178</v>
      </c>
      <c r="E881" s="633">
        <v>21</v>
      </c>
      <c r="F881" s="603">
        <v>2004</v>
      </c>
      <c r="G881" s="617" t="s">
        <v>145</v>
      </c>
      <c r="H881" s="620" t="s">
        <v>149</v>
      </c>
      <c r="I881" s="621">
        <v>25</v>
      </c>
      <c r="J881" s="621">
        <v>0.1</v>
      </c>
      <c r="K881" s="603">
        <f t="shared" si="80"/>
        <v>18</v>
      </c>
      <c r="L881" s="604">
        <v>0.78541666666666676</v>
      </c>
      <c r="M881" s="605">
        <f t="shared" si="85"/>
        <v>0.78541666666666676</v>
      </c>
      <c r="N881" s="663">
        <v>0.78611111111111109</v>
      </c>
      <c r="P881" s="37" t="str">
        <f t="shared" si="81"/>
        <v>2004F0</v>
      </c>
      <c r="Q881" s="37" t="str">
        <f t="shared" si="82"/>
        <v>F018</v>
      </c>
      <c r="R881" s="37" t="str">
        <f t="shared" si="83"/>
        <v>JuneF0</v>
      </c>
    </row>
    <row r="882" spans="1:18">
      <c r="A882" s="616">
        <f t="shared" si="84"/>
        <v>878</v>
      </c>
      <c r="B882" s="617">
        <v>12</v>
      </c>
      <c r="C882" s="618">
        <v>38159</v>
      </c>
      <c r="D882" s="618" t="s">
        <v>178</v>
      </c>
      <c r="E882" s="633">
        <v>21</v>
      </c>
      <c r="F882" s="603">
        <v>2004</v>
      </c>
      <c r="G882" s="617" t="s">
        <v>145</v>
      </c>
      <c r="H882" s="620" t="s">
        <v>149</v>
      </c>
      <c r="I882" s="621">
        <v>25</v>
      </c>
      <c r="J882" s="621">
        <v>0.1</v>
      </c>
      <c r="K882" s="603">
        <f t="shared" si="80"/>
        <v>19</v>
      </c>
      <c r="L882" s="604">
        <v>0.79374999999999996</v>
      </c>
      <c r="M882" s="605">
        <f t="shared" si="85"/>
        <v>0.79374999999999996</v>
      </c>
      <c r="N882" s="663">
        <v>0.79513888888888884</v>
      </c>
      <c r="P882" s="37" t="str">
        <f t="shared" si="81"/>
        <v>2004F0</v>
      </c>
      <c r="Q882" s="37" t="str">
        <f t="shared" si="82"/>
        <v>F019</v>
      </c>
      <c r="R882" s="37" t="str">
        <f t="shared" si="83"/>
        <v>JuneF0</v>
      </c>
    </row>
    <row r="883" spans="1:18">
      <c r="A883" s="616">
        <f t="shared" si="84"/>
        <v>879</v>
      </c>
      <c r="B883" s="617">
        <v>13</v>
      </c>
      <c r="C883" s="618">
        <v>38159</v>
      </c>
      <c r="D883" s="618" t="s">
        <v>178</v>
      </c>
      <c r="E883" s="633">
        <v>21</v>
      </c>
      <c r="F883" s="603">
        <v>2004</v>
      </c>
      <c r="G883" s="617" t="s">
        <v>145</v>
      </c>
      <c r="H883" s="620" t="s">
        <v>149</v>
      </c>
      <c r="I883" s="621">
        <v>25</v>
      </c>
      <c r="J883" s="621">
        <v>0.1</v>
      </c>
      <c r="K883" s="603">
        <f t="shared" si="80"/>
        <v>19</v>
      </c>
      <c r="L883" s="604">
        <v>0.80347222222222225</v>
      </c>
      <c r="M883" s="605">
        <f t="shared" si="85"/>
        <v>0.80347222222222225</v>
      </c>
      <c r="N883" s="663">
        <v>0.8041666666666667</v>
      </c>
      <c r="P883" s="37" t="str">
        <f t="shared" si="81"/>
        <v>2004F0</v>
      </c>
      <c r="Q883" s="37" t="str">
        <f t="shared" si="82"/>
        <v>F019</v>
      </c>
      <c r="R883" s="37" t="str">
        <f t="shared" si="83"/>
        <v>JuneF0</v>
      </c>
    </row>
    <row r="884" spans="1:18">
      <c r="A884" s="616">
        <f t="shared" si="84"/>
        <v>880</v>
      </c>
      <c r="B884" s="617">
        <v>14</v>
      </c>
      <c r="C884" s="618">
        <v>38159</v>
      </c>
      <c r="D884" s="618" t="s">
        <v>178</v>
      </c>
      <c r="E884" s="633">
        <v>21</v>
      </c>
      <c r="F884" s="603">
        <v>2004</v>
      </c>
      <c r="G884" s="617" t="s">
        <v>145</v>
      </c>
      <c r="H884" s="620" t="s">
        <v>150</v>
      </c>
      <c r="I884" s="621">
        <v>50</v>
      </c>
      <c r="J884" s="621">
        <v>0.4</v>
      </c>
      <c r="K884" s="603">
        <f t="shared" si="80"/>
        <v>19</v>
      </c>
      <c r="L884" s="604">
        <v>0.80347222222222225</v>
      </c>
      <c r="M884" s="605">
        <f t="shared" si="85"/>
        <v>0.80347222222222225</v>
      </c>
      <c r="N884" s="663">
        <v>0.80486111111111114</v>
      </c>
      <c r="P884" s="37" t="str">
        <f t="shared" si="81"/>
        <v>2004F1</v>
      </c>
      <c r="Q884" s="37" t="str">
        <f t="shared" si="82"/>
        <v>F119</v>
      </c>
      <c r="R884" s="37" t="str">
        <f t="shared" si="83"/>
        <v>JuneF1</v>
      </c>
    </row>
    <row r="885" spans="1:18">
      <c r="A885" s="616">
        <f t="shared" si="84"/>
        <v>881</v>
      </c>
      <c r="B885" s="617">
        <v>1</v>
      </c>
      <c r="C885" s="618">
        <v>38460</v>
      </c>
      <c r="D885" s="618" t="s">
        <v>176</v>
      </c>
      <c r="E885" s="633">
        <v>18</v>
      </c>
      <c r="F885" s="603">
        <v>2005</v>
      </c>
      <c r="G885" s="617" t="s">
        <v>147</v>
      </c>
      <c r="H885" s="620" t="s">
        <v>149</v>
      </c>
      <c r="I885" s="621">
        <v>25</v>
      </c>
      <c r="J885" s="621">
        <v>0.1</v>
      </c>
      <c r="K885" s="603">
        <f t="shared" si="80"/>
        <v>18</v>
      </c>
      <c r="L885" s="604">
        <v>0.76736111111111116</v>
      </c>
      <c r="M885" s="605">
        <f t="shared" si="85"/>
        <v>0.76736111111111116</v>
      </c>
      <c r="N885" s="663">
        <v>0.76736111111111116</v>
      </c>
      <c r="P885" s="37" t="str">
        <f t="shared" si="81"/>
        <v>2005F0</v>
      </c>
      <c r="Q885" s="37" t="str">
        <f t="shared" si="82"/>
        <v>F018</v>
      </c>
      <c r="R885" s="37" t="str">
        <f t="shared" si="83"/>
        <v>AprilF0</v>
      </c>
    </row>
    <row r="886" spans="1:18">
      <c r="A886" s="616">
        <f t="shared" si="84"/>
        <v>882</v>
      </c>
      <c r="B886" s="617">
        <v>2</v>
      </c>
      <c r="C886" s="618">
        <v>38484</v>
      </c>
      <c r="D886" s="618" t="s">
        <v>177</v>
      </c>
      <c r="E886" s="633">
        <v>12</v>
      </c>
      <c r="F886" s="603">
        <v>2005</v>
      </c>
      <c r="G886" s="617" t="s">
        <v>145</v>
      </c>
      <c r="H886" s="620" t="s">
        <v>149</v>
      </c>
      <c r="I886" s="621">
        <v>25</v>
      </c>
      <c r="J886" s="621">
        <v>0.1</v>
      </c>
      <c r="K886" s="603">
        <f t="shared" si="80"/>
        <v>17</v>
      </c>
      <c r="L886" s="604">
        <v>0.72777777777777775</v>
      </c>
      <c r="M886" s="605">
        <f t="shared" si="85"/>
        <v>0.72777777777777775</v>
      </c>
      <c r="N886" s="663">
        <v>0.72777777777777775</v>
      </c>
      <c r="P886" s="37" t="str">
        <f t="shared" si="81"/>
        <v>2005F0</v>
      </c>
      <c r="Q886" s="37" t="str">
        <f t="shared" si="82"/>
        <v>F017</v>
      </c>
      <c r="R886" s="37" t="str">
        <f t="shared" si="83"/>
        <v>MayF0</v>
      </c>
    </row>
    <row r="887" spans="1:18">
      <c r="A887" s="616">
        <f t="shared" si="84"/>
        <v>883</v>
      </c>
      <c r="B887" s="617">
        <v>3</v>
      </c>
      <c r="C887" s="618">
        <v>38485</v>
      </c>
      <c r="D887" s="618" t="s">
        <v>177</v>
      </c>
      <c r="E887" s="633">
        <v>13</v>
      </c>
      <c r="F887" s="603">
        <v>2005</v>
      </c>
      <c r="G887" s="617" t="s">
        <v>138</v>
      </c>
      <c r="H887" s="620" t="s">
        <v>149</v>
      </c>
      <c r="I887" s="621">
        <v>25</v>
      </c>
      <c r="J887" s="621">
        <v>0.3</v>
      </c>
      <c r="K887" s="603">
        <f t="shared" si="80"/>
        <v>18</v>
      </c>
      <c r="L887" s="604">
        <v>0.78819444444444453</v>
      </c>
      <c r="M887" s="605">
        <f t="shared" si="85"/>
        <v>0.78819444444444453</v>
      </c>
      <c r="N887" s="663">
        <v>0.78819444444444453</v>
      </c>
      <c r="P887" s="37" t="str">
        <f t="shared" si="81"/>
        <v>2005F0</v>
      </c>
      <c r="Q887" s="37" t="str">
        <f t="shared" si="82"/>
        <v>F018</v>
      </c>
      <c r="R887" s="37" t="str">
        <f t="shared" si="83"/>
        <v>MayF0</v>
      </c>
    </row>
    <row r="888" spans="1:18">
      <c r="A888" s="616">
        <f t="shared" si="84"/>
        <v>884</v>
      </c>
      <c r="B888" s="617">
        <v>4</v>
      </c>
      <c r="C888" s="618">
        <v>38503</v>
      </c>
      <c r="D888" s="618" t="s">
        <v>177</v>
      </c>
      <c r="E888" s="633">
        <v>31</v>
      </c>
      <c r="F888" s="603">
        <v>2005</v>
      </c>
      <c r="G888" s="617" t="s">
        <v>145</v>
      </c>
      <c r="H888" s="620" t="s">
        <v>149</v>
      </c>
      <c r="I888" s="621">
        <v>25</v>
      </c>
      <c r="J888" s="621">
        <v>0.1</v>
      </c>
      <c r="K888" s="603">
        <f t="shared" si="80"/>
        <v>14</v>
      </c>
      <c r="L888" s="604">
        <v>0.58680555555555558</v>
      </c>
      <c r="M888" s="605">
        <f t="shared" si="85"/>
        <v>0.58680555555555558</v>
      </c>
      <c r="N888" s="663">
        <v>0.59027777777777779</v>
      </c>
      <c r="P888" s="37" t="str">
        <f t="shared" si="81"/>
        <v>2005F0</v>
      </c>
      <c r="Q888" s="37" t="str">
        <f t="shared" si="82"/>
        <v>F014</v>
      </c>
      <c r="R888" s="37" t="str">
        <f t="shared" si="83"/>
        <v>MayF0</v>
      </c>
    </row>
    <row r="889" spans="1:18">
      <c r="A889" s="616">
        <f t="shared" si="84"/>
        <v>885</v>
      </c>
      <c r="B889" s="617">
        <v>5</v>
      </c>
      <c r="C889" s="618">
        <v>38512</v>
      </c>
      <c r="D889" s="618" t="s">
        <v>178</v>
      </c>
      <c r="E889" s="633">
        <v>9</v>
      </c>
      <c r="F889" s="603">
        <v>2005</v>
      </c>
      <c r="G889" s="617" t="s">
        <v>141</v>
      </c>
      <c r="H889" s="620" t="s">
        <v>149</v>
      </c>
      <c r="I889" s="621">
        <v>25</v>
      </c>
      <c r="J889" s="621">
        <v>0.1</v>
      </c>
      <c r="K889" s="603">
        <f t="shared" si="80"/>
        <v>18</v>
      </c>
      <c r="L889" s="604">
        <v>0.75138888888888899</v>
      </c>
      <c r="M889" s="605">
        <f t="shared" si="85"/>
        <v>0.75138888888888899</v>
      </c>
      <c r="N889" s="663">
        <v>0.75347222222222221</v>
      </c>
      <c r="P889" s="37" t="str">
        <f t="shared" si="81"/>
        <v>2005F0</v>
      </c>
      <c r="Q889" s="37" t="str">
        <f t="shared" si="82"/>
        <v>F018</v>
      </c>
      <c r="R889" s="37" t="str">
        <f t="shared" si="83"/>
        <v>JuneF0</v>
      </c>
    </row>
    <row r="890" spans="1:18">
      <c r="A890" s="616">
        <f t="shared" si="84"/>
        <v>886</v>
      </c>
      <c r="B890" s="617">
        <v>6</v>
      </c>
      <c r="C890" s="618">
        <v>38512</v>
      </c>
      <c r="D890" s="618" t="s">
        <v>178</v>
      </c>
      <c r="E890" s="633">
        <v>9</v>
      </c>
      <c r="F890" s="603">
        <v>2005</v>
      </c>
      <c r="G890" s="617" t="s">
        <v>128</v>
      </c>
      <c r="H890" s="620" t="s">
        <v>149</v>
      </c>
      <c r="I890" s="621">
        <v>25</v>
      </c>
      <c r="J890" s="621">
        <v>0.1</v>
      </c>
      <c r="K890" s="603">
        <f t="shared" si="80"/>
        <v>19</v>
      </c>
      <c r="L890" s="604">
        <v>0.79583333333333339</v>
      </c>
      <c r="M890" s="605">
        <f t="shared" si="85"/>
        <v>0.79583333333333339</v>
      </c>
      <c r="N890" s="663">
        <v>0.79722222222222217</v>
      </c>
      <c r="P890" s="37" t="str">
        <f t="shared" si="81"/>
        <v>2005F0</v>
      </c>
      <c r="Q890" s="37" t="str">
        <f t="shared" si="82"/>
        <v>F019</v>
      </c>
      <c r="R890" s="37" t="str">
        <f t="shared" si="83"/>
        <v>JuneF0</v>
      </c>
    </row>
    <row r="891" spans="1:18">
      <c r="A891" s="616">
        <f t="shared" si="84"/>
        <v>887</v>
      </c>
      <c r="B891" s="617">
        <v>7</v>
      </c>
      <c r="C891" s="618">
        <v>38512</v>
      </c>
      <c r="D891" s="618" t="s">
        <v>178</v>
      </c>
      <c r="E891" s="633">
        <v>9</v>
      </c>
      <c r="F891" s="603">
        <v>2005</v>
      </c>
      <c r="G891" s="617" t="s">
        <v>147</v>
      </c>
      <c r="H891" s="620" t="s">
        <v>149</v>
      </c>
      <c r="I891" s="621">
        <v>30</v>
      </c>
      <c r="J891" s="621">
        <v>0.2</v>
      </c>
      <c r="K891" s="603">
        <f t="shared" si="80"/>
        <v>19</v>
      </c>
      <c r="L891" s="604">
        <v>0.8125</v>
      </c>
      <c r="M891" s="605">
        <f t="shared" si="85"/>
        <v>0.8125</v>
      </c>
      <c r="N891" s="663">
        <v>0.81527777777777777</v>
      </c>
      <c r="P891" s="37" t="str">
        <f t="shared" si="81"/>
        <v>2005F0</v>
      </c>
      <c r="Q891" s="37" t="str">
        <f t="shared" si="82"/>
        <v>F019</v>
      </c>
      <c r="R891" s="37" t="str">
        <f t="shared" si="83"/>
        <v>JuneF0</v>
      </c>
    </row>
    <row r="892" spans="1:18">
      <c r="A892" s="616">
        <f t="shared" si="84"/>
        <v>888</v>
      </c>
      <c r="B892" s="617">
        <v>8</v>
      </c>
      <c r="C892" s="618">
        <v>38512</v>
      </c>
      <c r="D892" s="618" t="s">
        <v>178</v>
      </c>
      <c r="E892" s="633">
        <v>9</v>
      </c>
      <c r="F892" s="603">
        <v>2005</v>
      </c>
      <c r="G892" s="617" t="s">
        <v>147</v>
      </c>
      <c r="H892" s="620" t="s">
        <v>149</v>
      </c>
      <c r="I892" s="621">
        <v>25</v>
      </c>
      <c r="J892" s="621">
        <v>0.1</v>
      </c>
      <c r="K892" s="603">
        <f t="shared" si="80"/>
        <v>19</v>
      </c>
      <c r="L892" s="604">
        <v>0.82430555555555562</v>
      </c>
      <c r="M892" s="605">
        <f t="shared" si="85"/>
        <v>0.82430555555555562</v>
      </c>
      <c r="N892" s="663">
        <v>0.82638888888888884</v>
      </c>
      <c r="P892" s="37" t="str">
        <f t="shared" si="81"/>
        <v>2005F0</v>
      </c>
      <c r="Q892" s="37" t="str">
        <f t="shared" si="82"/>
        <v>F019</v>
      </c>
      <c r="R892" s="37" t="str">
        <f t="shared" si="83"/>
        <v>JuneF0</v>
      </c>
    </row>
    <row r="893" spans="1:18">
      <c r="A893" s="616">
        <f t="shared" si="84"/>
        <v>889</v>
      </c>
      <c r="B893" s="617">
        <v>9</v>
      </c>
      <c r="C893" s="618">
        <v>38514</v>
      </c>
      <c r="D893" s="618" t="s">
        <v>178</v>
      </c>
      <c r="E893" s="633">
        <v>11</v>
      </c>
      <c r="F893" s="603">
        <v>2005</v>
      </c>
      <c r="G893" s="617" t="s">
        <v>144</v>
      </c>
      <c r="H893" s="620" t="s">
        <v>149</v>
      </c>
      <c r="I893" s="621">
        <v>50</v>
      </c>
      <c r="J893" s="621">
        <v>0.5</v>
      </c>
      <c r="K893" s="603">
        <f t="shared" si="80"/>
        <v>17</v>
      </c>
      <c r="L893" s="604">
        <v>0.73611111111111116</v>
      </c>
      <c r="M893" s="605">
        <f t="shared" si="85"/>
        <v>0.73611111111111116</v>
      </c>
      <c r="N893" s="663">
        <v>0.74305555555555547</v>
      </c>
      <c r="P893" s="37" t="str">
        <f t="shared" si="81"/>
        <v>2005F0</v>
      </c>
      <c r="Q893" s="37" t="str">
        <f t="shared" si="82"/>
        <v>F017</v>
      </c>
      <c r="R893" s="37" t="str">
        <f t="shared" si="83"/>
        <v>JuneF0</v>
      </c>
    </row>
    <row r="894" spans="1:18">
      <c r="A894" s="616">
        <f t="shared" si="84"/>
        <v>890</v>
      </c>
      <c r="B894" s="617">
        <v>10</v>
      </c>
      <c r="C894" s="618">
        <v>38514</v>
      </c>
      <c r="D894" s="618" t="s">
        <v>178</v>
      </c>
      <c r="E894" s="633">
        <v>11</v>
      </c>
      <c r="F894" s="603">
        <v>2005</v>
      </c>
      <c r="G894" s="617" t="s">
        <v>144</v>
      </c>
      <c r="H894" s="620" t="s">
        <v>149</v>
      </c>
      <c r="I894" s="621">
        <v>25</v>
      </c>
      <c r="J894" s="621">
        <v>0.1</v>
      </c>
      <c r="K894" s="603">
        <f t="shared" si="80"/>
        <v>18</v>
      </c>
      <c r="L894" s="604">
        <v>0.76944444444444438</v>
      </c>
      <c r="M894" s="605">
        <f t="shared" si="85"/>
        <v>0.76944444444444438</v>
      </c>
      <c r="N894" s="663">
        <v>0.77013888888888893</v>
      </c>
      <c r="P894" s="37" t="str">
        <f t="shared" si="81"/>
        <v>2005F0</v>
      </c>
      <c r="Q894" s="37" t="str">
        <f t="shared" si="82"/>
        <v>F018</v>
      </c>
      <c r="R894" s="37" t="str">
        <f t="shared" si="83"/>
        <v>JuneF0</v>
      </c>
    </row>
    <row r="895" spans="1:18">
      <c r="A895" s="616">
        <f t="shared" si="84"/>
        <v>891</v>
      </c>
      <c r="B895" s="617">
        <v>11</v>
      </c>
      <c r="C895" s="618">
        <v>38514</v>
      </c>
      <c r="D895" s="618" t="s">
        <v>178</v>
      </c>
      <c r="E895" s="633">
        <v>11</v>
      </c>
      <c r="F895" s="603">
        <v>2005</v>
      </c>
      <c r="G895" s="617" t="s">
        <v>146</v>
      </c>
      <c r="H895" s="620" t="s">
        <v>149</v>
      </c>
      <c r="I895" s="621">
        <v>25</v>
      </c>
      <c r="J895" s="621">
        <v>0.2</v>
      </c>
      <c r="K895" s="603">
        <f t="shared" si="80"/>
        <v>18</v>
      </c>
      <c r="L895" s="604">
        <v>0.77083333333333337</v>
      </c>
      <c r="M895" s="605">
        <f t="shared" si="85"/>
        <v>0.77083333333333337</v>
      </c>
      <c r="N895" s="663">
        <v>0.77430555555555547</v>
      </c>
      <c r="P895" s="37" t="str">
        <f t="shared" si="81"/>
        <v>2005F0</v>
      </c>
      <c r="Q895" s="37" t="str">
        <f t="shared" si="82"/>
        <v>F018</v>
      </c>
      <c r="R895" s="37" t="str">
        <f t="shared" si="83"/>
        <v>JuneF0</v>
      </c>
    </row>
    <row r="896" spans="1:18">
      <c r="A896" s="616">
        <f t="shared" si="84"/>
        <v>892</v>
      </c>
      <c r="B896" s="617">
        <v>12</v>
      </c>
      <c r="C896" s="618">
        <v>38514</v>
      </c>
      <c r="D896" s="618" t="s">
        <v>178</v>
      </c>
      <c r="E896" s="633">
        <v>11</v>
      </c>
      <c r="F896" s="603">
        <v>2005</v>
      </c>
      <c r="G896" s="617" t="s">
        <v>146</v>
      </c>
      <c r="H896" s="620" t="s">
        <v>149</v>
      </c>
      <c r="I896" s="621">
        <v>25</v>
      </c>
      <c r="J896" s="621">
        <v>0.1</v>
      </c>
      <c r="K896" s="603">
        <f t="shared" si="80"/>
        <v>18</v>
      </c>
      <c r="L896" s="604">
        <v>0.77500000000000002</v>
      </c>
      <c r="M896" s="605">
        <f t="shared" si="85"/>
        <v>0.77500000000000002</v>
      </c>
      <c r="N896" s="663">
        <v>0.77638888888888891</v>
      </c>
      <c r="P896" s="37" t="str">
        <f t="shared" si="81"/>
        <v>2005F0</v>
      </c>
      <c r="Q896" s="37" t="str">
        <f t="shared" si="82"/>
        <v>F018</v>
      </c>
      <c r="R896" s="37" t="str">
        <f t="shared" si="83"/>
        <v>JuneF0</v>
      </c>
    </row>
    <row r="897" spans="1:18">
      <c r="A897" s="616">
        <f t="shared" si="84"/>
        <v>893</v>
      </c>
      <c r="B897" s="617">
        <v>13</v>
      </c>
      <c r="C897" s="618">
        <v>38514</v>
      </c>
      <c r="D897" s="618" t="s">
        <v>178</v>
      </c>
      <c r="E897" s="633">
        <v>11</v>
      </c>
      <c r="F897" s="603">
        <v>2005</v>
      </c>
      <c r="G897" s="617" t="s">
        <v>146</v>
      </c>
      <c r="H897" s="620" t="s">
        <v>149</v>
      </c>
      <c r="I897" s="621">
        <v>25</v>
      </c>
      <c r="J897" s="621">
        <v>0.1</v>
      </c>
      <c r="K897" s="603">
        <f t="shared" si="80"/>
        <v>18</v>
      </c>
      <c r="L897" s="604">
        <v>0.7895833333333333</v>
      </c>
      <c r="M897" s="605">
        <f t="shared" si="85"/>
        <v>0.7895833333333333</v>
      </c>
      <c r="N897" s="663">
        <v>0.79166666666666663</v>
      </c>
      <c r="P897" s="37" t="str">
        <f t="shared" si="81"/>
        <v>2005F0</v>
      </c>
      <c r="Q897" s="37" t="str">
        <f t="shared" si="82"/>
        <v>F018</v>
      </c>
      <c r="R897" s="37" t="str">
        <f t="shared" si="83"/>
        <v>JuneF0</v>
      </c>
    </row>
    <row r="898" spans="1:18">
      <c r="A898" s="616">
        <f t="shared" si="84"/>
        <v>894</v>
      </c>
      <c r="B898" s="617">
        <v>14</v>
      </c>
      <c r="C898" s="618">
        <v>38514</v>
      </c>
      <c r="D898" s="618" t="s">
        <v>178</v>
      </c>
      <c r="E898" s="633">
        <v>11</v>
      </c>
      <c r="F898" s="603">
        <v>2005</v>
      </c>
      <c r="G898" s="617" t="s">
        <v>146</v>
      </c>
      <c r="H898" s="620" t="s">
        <v>149</v>
      </c>
      <c r="I898" s="621">
        <v>25</v>
      </c>
      <c r="J898" s="621">
        <v>0.2</v>
      </c>
      <c r="K898" s="603">
        <f t="shared" si="80"/>
        <v>19</v>
      </c>
      <c r="L898" s="604">
        <v>0.79305555555555562</v>
      </c>
      <c r="M898" s="605">
        <f t="shared" si="85"/>
        <v>0.79305555555555562</v>
      </c>
      <c r="N898" s="663">
        <v>0.7944444444444444</v>
      </c>
      <c r="P898" s="37" t="str">
        <f t="shared" si="81"/>
        <v>2005F0</v>
      </c>
      <c r="Q898" s="37" t="str">
        <f t="shared" si="82"/>
        <v>F019</v>
      </c>
      <c r="R898" s="37" t="str">
        <f t="shared" si="83"/>
        <v>JuneF0</v>
      </c>
    </row>
    <row r="899" spans="1:18">
      <c r="A899" s="616">
        <f t="shared" si="84"/>
        <v>895</v>
      </c>
      <c r="B899" s="617">
        <v>15</v>
      </c>
      <c r="C899" s="618">
        <v>38539</v>
      </c>
      <c r="D899" s="618" t="s">
        <v>179</v>
      </c>
      <c r="E899" s="633">
        <v>6</v>
      </c>
      <c r="F899" s="603">
        <v>2005</v>
      </c>
      <c r="G899" s="617" t="s">
        <v>134</v>
      </c>
      <c r="H899" s="620" t="s">
        <v>149</v>
      </c>
      <c r="I899" s="621">
        <v>25</v>
      </c>
      <c r="J899" s="621">
        <v>0.1</v>
      </c>
      <c r="K899" s="603">
        <f t="shared" ref="K899:K955" si="86">HOUR(M899)</f>
        <v>19</v>
      </c>
      <c r="L899" s="604">
        <v>0.82777777777777783</v>
      </c>
      <c r="M899" s="605">
        <f t="shared" si="85"/>
        <v>0.82777777777777783</v>
      </c>
      <c r="N899" s="663">
        <v>0.82847222222222217</v>
      </c>
      <c r="P899" s="37" t="str">
        <f t="shared" si="81"/>
        <v>2005F0</v>
      </c>
      <c r="Q899" s="37" t="str">
        <f t="shared" si="82"/>
        <v>F019</v>
      </c>
      <c r="R899" s="37" t="str">
        <f t="shared" si="83"/>
        <v>JulyF0</v>
      </c>
    </row>
    <row r="900" spans="1:18">
      <c r="A900" s="616">
        <f t="shared" si="84"/>
        <v>896</v>
      </c>
      <c r="B900" s="617">
        <v>1</v>
      </c>
      <c r="C900" s="618">
        <v>38886</v>
      </c>
      <c r="D900" s="618" t="s">
        <v>178</v>
      </c>
      <c r="E900" s="633">
        <v>18</v>
      </c>
      <c r="F900" s="603">
        <v>2006</v>
      </c>
      <c r="G900" s="617" t="s">
        <v>128</v>
      </c>
      <c r="H900" s="620" t="s">
        <v>149</v>
      </c>
      <c r="I900" s="621">
        <v>100</v>
      </c>
      <c r="J900" s="621">
        <v>1</v>
      </c>
      <c r="K900" s="603">
        <f t="shared" si="86"/>
        <v>19</v>
      </c>
      <c r="L900" s="604">
        <v>0.8125</v>
      </c>
      <c r="M900" s="605">
        <f t="shared" si="85"/>
        <v>0.8125</v>
      </c>
      <c r="N900" s="663">
        <v>0.81388888888888899</v>
      </c>
      <c r="P900" s="37" t="str">
        <f t="shared" si="81"/>
        <v>2006F0</v>
      </c>
      <c r="Q900" s="37" t="str">
        <f t="shared" si="82"/>
        <v>F019</v>
      </c>
      <c r="R900" s="37" t="str">
        <f t="shared" si="83"/>
        <v>JuneF0</v>
      </c>
    </row>
    <row r="901" spans="1:18">
      <c r="A901" s="616">
        <f t="shared" si="84"/>
        <v>897</v>
      </c>
      <c r="B901" s="617">
        <f t="shared" ref="B901:B912" si="87">+B900+1</f>
        <v>2</v>
      </c>
      <c r="C901" s="618">
        <v>38889</v>
      </c>
      <c r="D901" s="618" t="s">
        <v>178</v>
      </c>
      <c r="E901" s="633">
        <v>21</v>
      </c>
      <c r="F901" s="603">
        <v>2006</v>
      </c>
      <c r="G901" s="617" t="s">
        <v>144</v>
      </c>
      <c r="H901" s="620" t="s">
        <v>149</v>
      </c>
      <c r="I901" s="621">
        <v>25</v>
      </c>
      <c r="J901" s="621">
        <v>0.1</v>
      </c>
      <c r="K901" s="603">
        <f t="shared" si="86"/>
        <v>14</v>
      </c>
      <c r="L901" s="604">
        <v>0.61458333333333337</v>
      </c>
      <c r="M901" s="605">
        <f t="shared" si="85"/>
        <v>0.61458333333333337</v>
      </c>
      <c r="N901" s="663">
        <v>0.61805555555555558</v>
      </c>
      <c r="P901" s="37" t="str">
        <f t="shared" si="81"/>
        <v>2006F0</v>
      </c>
      <c r="Q901" s="37" t="str">
        <f t="shared" si="82"/>
        <v>F014</v>
      </c>
      <c r="R901" s="37" t="str">
        <f t="shared" si="83"/>
        <v>JuneF0</v>
      </c>
    </row>
    <row r="902" spans="1:18">
      <c r="A902" s="616">
        <f t="shared" si="84"/>
        <v>898</v>
      </c>
      <c r="B902" s="617">
        <f t="shared" si="87"/>
        <v>3</v>
      </c>
      <c r="C902" s="618">
        <v>38889</v>
      </c>
      <c r="D902" s="618" t="s">
        <v>178</v>
      </c>
      <c r="E902" s="633">
        <v>21</v>
      </c>
      <c r="F902" s="603">
        <v>2006</v>
      </c>
      <c r="G902" s="617" t="s">
        <v>131</v>
      </c>
      <c r="H902" s="620" t="s">
        <v>149</v>
      </c>
      <c r="I902" s="621">
        <v>50</v>
      </c>
      <c r="J902" s="621">
        <v>0.2</v>
      </c>
      <c r="K902" s="603">
        <f t="shared" si="86"/>
        <v>16</v>
      </c>
      <c r="L902" s="604">
        <v>0.6875</v>
      </c>
      <c r="M902" s="605">
        <f t="shared" si="85"/>
        <v>0.6875</v>
      </c>
      <c r="N902" s="663">
        <v>0.69097222222222221</v>
      </c>
      <c r="P902" s="37" t="str">
        <f t="shared" ref="P902:P965" si="88">CONCATENATE(F902,H902)</f>
        <v>2006F0</v>
      </c>
      <c r="Q902" s="37" t="str">
        <f t="shared" ref="Q902:Q965" si="89">CONCATENATE(H902,K902)</f>
        <v>F016</v>
      </c>
      <c r="R902" s="37" t="str">
        <f t="shared" ref="R902:R965" si="90">CONCATENATE(D902,H902)</f>
        <v>JuneF0</v>
      </c>
    </row>
    <row r="903" spans="1:18">
      <c r="A903" s="616">
        <f t="shared" ref="A903:A966" si="91">+A902+1</f>
        <v>899</v>
      </c>
      <c r="B903" s="617">
        <f t="shared" si="87"/>
        <v>4</v>
      </c>
      <c r="C903" s="618">
        <v>38889</v>
      </c>
      <c r="D903" s="618" t="s">
        <v>178</v>
      </c>
      <c r="E903" s="633">
        <v>21</v>
      </c>
      <c r="F903" s="603">
        <v>2006</v>
      </c>
      <c r="G903" s="617" t="s">
        <v>131</v>
      </c>
      <c r="H903" s="620" t="s">
        <v>149</v>
      </c>
      <c r="I903" s="621">
        <v>50</v>
      </c>
      <c r="J903" s="621">
        <v>0.2</v>
      </c>
      <c r="K903" s="603">
        <f t="shared" si="86"/>
        <v>16</v>
      </c>
      <c r="L903" s="604">
        <v>0.69305555555555554</v>
      </c>
      <c r="M903" s="605">
        <f t="shared" si="85"/>
        <v>0.69305555555555554</v>
      </c>
      <c r="N903" s="663">
        <v>0.69791666666666663</v>
      </c>
      <c r="P903" s="37" t="str">
        <f t="shared" si="88"/>
        <v>2006F0</v>
      </c>
      <c r="Q903" s="37" t="str">
        <f t="shared" si="89"/>
        <v>F016</v>
      </c>
      <c r="R903" s="37" t="str">
        <f t="shared" si="90"/>
        <v>JuneF0</v>
      </c>
    </row>
    <row r="904" spans="1:18">
      <c r="A904" s="616">
        <f t="shared" si="91"/>
        <v>900</v>
      </c>
      <c r="B904" s="617">
        <f t="shared" si="87"/>
        <v>5</v>
      </c>
      <c r="C904" s="618">
        <v>38889</v>
      </c>
      <c r="D904" s="618" t="s">
        <v>178</v>
      </c>
      <c r="E904" s="633">
        <v>21</v>
      </c>
      <c r="F904" s="603">
        <v>2006</v>
      </c>
      <c r="G904" s="617" t="s">
        <v>127</v>
      </c>
      <c r="H904" s="620" t="s">
        <v>149</v>
      </c>
      <c r="I904" s="621">
        <v>50</v>
      </c>
      <c r="J904" s="621">
        <v>0.2</v>
      </c>
      <c r="K904" s="603">
        <f t="shared" si="86"/>
        <v>17</v>
      </c>
      <c r="L904" s="604">
        <v>0.72499999999999998</v>
      </c>
      <c r="M904" s="605">
        <f t="shared" si="85"/>
        <v>0.72499999999999998</v>
      </c>
      <c r="N904" s="663">
        <v>0.72986111111111107</v>
      </c>
      <c r="P904" s="37" t="str">
        <f t="shared" si="88"/>
        <v>2006F0</v>
      </c>
      <c r="Q904" s="37" t="str">
        <f t="shared" si="89"/>
        <v>F017</v>
      </c>
      <c r="R904" s="37" t="str">
        <f t="shared" si="90"/>
        <v>JuneF0</v>
      </c>
    </row>
    <row r="905" spans="1:18">
      <c r="A905" s="616">
        <f t="shared" si="91"/>
        <v>901</v>
      </c>
      <c r="B905" s="617">
        <f t="shared" si="87"/>
        <v>6</v>
      </c>
      <c r="C905" s="618">
        <v>38889</v>
      </c>
      <c r="D905" s="618" t="s">
        <v>178</v>
      </c>
      <c r="E905" s="633">
        <v>21</v>
      </c>
      <c r="F905" s="603">
        <v>2006</v>
      </c>
      <c r="G905" s="617" t="s">
        <v>128</v>
      </c>
      <c r="H905" s="620" t="s">
        <v>149</v>
      </c>
      <c r="I905" s="621">
        <v>50</v>
      </c>
      <c r="J905" s="621">
        <v>0.1</v>
      </c>
      <c r="K905" s="603">
        <f t="shared" si="86"/>
        <v>17</v>
      </c>
      <c r="L905" s="604">
        <v>0.7270833333333333</v>
      </c>
      <c r="M905" s="605">
        <f t="shared" si="85"/>
        <v>0.7270833333333333</v>
      </c>
      <c r="N905" s="663">
        <v>0.73263888888888884</v>
      </c>
      <c r="P905" s="37" t="str">
        <f t="shared" si="88"/>
        <v>2006F0</v>
      </c>
      <c r="Q905" s="37" t="str">
        <f t="shared" si="89"/>
        <v>F017</v>
      </c>
      <c r="R905" s="37" t="str">
        <f t="shared" si="90"/>
        <v>JuneF0</v>
      </c>
    </row>
    <row r="906" spans="1:18">
      <c r="A906" s="616">
        <f t="shared" si="91"/>
        <v>902</v>
      </c>
      <c r="B906" s="617">
        <f t="shared" si="87"/>
        <v>7</v>
      </c>
      <c r="C906" s="618">
        <v>38889</v>
      </c>
      <c r="D906" s="618" t="s">
        <v>178</v>
      </c>
      <c r="E906" s="633">
        <v>21</v>
      </c>
      <c r="F906" s="603">
        <v>2006</v>
      </c>
      <c r="G906" s="617" t="s">
        <v>128</v>
      </c>
      <c r="H906" s="620" t="s">
        <v>149</v>
      </c>
      <c r="I906" s="621">
        <v>50</v>
      </c>
      <c r="J906" s="621">
        <v>0.1</v>
      </c>
      <c r="K906" s="603">
        <f t="shared" si="86"/>
        <v>17</v>
      </c>
      <c r="L906" s="604">
        <v>0.7270833333333333</v>
      </c>
      <c r="M906" s="605">
        <f t="shared" si="85"/>
        <v>0.7270833333333333</v>
      </c>
      <c r="N906" s="663">
        <v>0.73263888888888884</v>
      </c>
      <c r="P906" s="37" t="str">
        <f t="shared" si="88"/>
        <v>2006F0</v>
      </c>
      <c r="Q906" s="37" t="str">
        <f t="shared" si="89"/>
        <v>F017</v>
      </c>
      <c r="R906" s="37" t="str">
        <f t="shared" si="90"/>
        <v>JuneF0</v>
      </c>
    </row>
    <row r="907" spans="1:18">
      <c r="A907" s="616">
        <f t="shared" si="91"/>
        <v>903</v>
      </c>
      <c r="B907" s="617">
        <f t="shared" si="87"/>
        <v>8</v>
      </c>
      <c r="C907" s="618">
        <v>38889</v>
      </c>
      <c r="D907" s="618" t="s">
        <v>178</v>
      </c>
      <c r="E907" s="633">
        <v>21</v>
      </c>
      <c r="F907" s="603">
        <v>2006</v>
      </c>
      <c r="G907" s="617" t="s">
        <v>127</v>
      </c>
      <c r="H907" s="620" t="s">
        <v>150</v>
      </c>
      <c r="I907" s="621">
        <v>300</v>
      </c>
      <c r="J907" s="621">
        <v>2</v>
      </c>
      <c r="K907" s="603">
        <f t="shared" si="86"/>
        <v>17</v>
      </c>
      <c r="L907" s="604">
        <v>0.7402777777777777</v>
      </c>
      <c r="M907" s="605">
        <f t="shared" si="85"/>
        <v>0.7402777777777777</v>
      </c>
      <c r="N907" s="663">
        <v>0.74722222222222223</v>
      </c>
      <c r="P907" s="37" t="str">
        <f t="shared" si="88"/>
        <v>2006F1</v>
      </c>
      <c r="Q907" s="37" t="str">
        <f t="shared" si="89"/>
        <v>F117</v>
      </c>
      <c r="R907" s="37" t="str">
        <f t="shared" si="90"/>
        <v>JuneF1</v>
      </c>
    </row>
    <row r="908" spans="1:18">
      <c r="A908" s="616">
        <f t="shared" si="91"/>
        <v>904</v>
      </c>
      <c r="B908" s="617">
        <f t="shared" si="87"/>
        <v>9</v>
      </c>
      <c r="C908" s="618">
        <v>38889</v>
      </c>
      <c r="D908" s="618" t="s">
        <v>178</v>
      </c>
      <c r="E908" s="633">
        <v>21</v>
      </c>
      <c r="F908" s="603">
        <v>2006</v>
      </c>
      <c r="G908" s="617" t="s">
        <v>130</v>
      </c>
      <c r="H908" s="620" t="s">
        <v>149</v>
      </c>
      <c r="I908" s="621">
        <v>25</v>
      </c>
      <c r="J908" s="621">
        <v>0.1</v>
      </c>
      <c r="K908" s="603">
        <f t="shared" si="86"/>
        <v>18</v>
      </c>
      <c r="L908" s="604">
        <v>0.75555555555555554</v>
      </c>
      <c r="M908" s="605">
        <f t="shared" si="85"/>
        <v>0.75555555555555554</v>
      </c>
      <c r="N908" s="663">
        <v>0.75694444444444453</v>
      </c>
      <c r="P908" s="37" t="str">
        <f t="shared" si="88"/>
        <v>2006F0</v>
      </c>
      <c r="Q908" s="37" t="str">
        <f t="shared" si="89"/>
        <v>F018</v>
      </c>
      <c r="R908" s="37" t="str">
        <f t="shared" si="90"/>
        <v>JuneF0</v>
      </c>
    </row>
    <row r="909" spans="1:18">
      <c r="A909" s="616">
        <f t="shared" si="91"/>
        <v>905</v>
      </c>
      <c r="B909" s="617">
        <f t="shared" si="87"/>
        <v>10</v>
      </c>
      <c r="C909" s="618">
        <v>38889</v>
      </c>
      <c r="D909" s="618" t="s">
        <v>178</v>
      </c>
      <c r="E909" s="633">
        <v>21</v>
      </c>
      <c r="F909" s="603">
        <v>2006</v>
      </c>
      <c r="G909" s="617" t="s">
        <v>131</v>
      </c>
      <c r="H909" s="620" t="s">
        <v>149</v>
      </c>
      <c r="I909" s="621">
        <v>50</v>
      </c>
      <c r="J909" s="621">
        <v>0.2</v>
      </c>
      <c r="K909" s="603">
        <f t="shared" si="86"/>
        <v>18</v>
      </c>
      <c r="L909" s="604">
        <v>0.75694444444444453</v>
      </c>
      <c r="M909" s="605">
        <f t="shared" si="85"/>
        <v>0.75694444444444453</v>
      </c>
      <c r="N909" s="663">
        <v>0.76388888888888884</v>
      </c>
      <c r="P909" s="37" t="str">
        <f t="shared" si="88"/>
        <v>2006F0</v>
      </c>
      <c r="Q909" s="37" t="str">
        <f t="shared" si="89"/>
        <v>F018</v>
      </c>
      <c r="R909" s="37" t="str">
        <f t="shared" si="90"/>
        <v>JuneF0</v>
      </c>
    </row>
    <row r="910" spans="1:18">
      <c r="A910" s="616">
        <f t="shared" si="91"/>
        <v>906</v>
      </c>
      <c r="B910" s="617">
        <f t="shared" si="87"/>
        <v>11</v>
      </c>
      <c r="C910" s="618">
        <v>38893</v>
      </c>
      <c r="D910" s="618" t="s">
        <v>178</v>
      </c>
      <c r="E910" s="633">
        <v>25</v>
      </c>
      <c r="F910" s="603">
        <v>2006</v>
      </c>
      <c r="G910" s="617" t="s">
        <v>129</v>
      </c>
      <c r="H910" s="620" t="s">
        <v>149</v>
      </c>
      <c r="I910" s="621">
        <v>25</v>
      </c>
      <c r="J910" s="621">
        <v>0.1</v>
      </c>
      <c r="K910" s="603">
        <f t="shared" si="86"/>
        <v>16</v>
      </c>
      <c r="L910" s="604">
        <v>0.7</v>
      </c>
      <c r="M910" s="605">
        <f t="shared" si="85"/>
        <v>0.7</v>
      </c>
      <c r="N910" s="663">
        <v>0.7</v>
      </c>
      <c r="P910" s="37" t="str">
        <f t="shared" si="88"/>
        <v>2006F0</v>
      </c>
      <c r="Q910" s="37" t="str">
        <f t="shared" si="89"/>
        <v>F016</v>
      </c>
      <c r="R910" s="37" t="str">
        <f t="shared" si="90"/>
        <v>JuneF0</v>
      </c>
    </row>
    <row r="911" spans="1:18">
      <c r="A911" s="616">
        <f t="shared" si="91"/>
        <v>907</v>
      </c>
      <c r="B911" s="617">
        <f t="shared" si="87"/>
        <v>12</v>
      </c>
      <c r="C911" s="618">
        <v>38926</v>
      </c>
      <c r="D911" s="618" t="s">
        <v>179</v>
      </c>
      <c r="E911" s="633">
        <v>28</v>
      </c>
      <c r="F911" s="603">
        <v>2006</v>
      </c>
      <c r="G911" s="617" t="s">
        <v>144</v>
      </c>
      <c r="H911" s="620" t="s">
        <v>149</v>
      </c>
      <c r="I911" s="621">
        <v>25</v>
      </c>
      <c r="J911" s="621">
        <v>3</v>
      </c>
      <c r="K911" s="603">
        <f t="shared" si="86"/>
        <v>18</v>
      </c>
      <c r="L911" s="604">
        <v>0.77569444444444446</v>
      </c>
      <c r="M911" s="605">
        <f t="shared" si="85"/>
        <v>0.77569444444444446</v>
      </c>
      <c r="N911" s="663">
        <v>0.77777777777777779</v>
      </c>
      <c r="P911" s="37" t="str">
        <f t="shared" si="88"/>
        <v>2006F0</v>
      </c>
      <c r="Q911" s="37" t="str">
        <f t="shared" si="89"/>
        <v>F018</v>
      </c>
      <c r="R911" s="37" t="str">
        <f t="shared" si="90"/>
        <v>JulyF0</v>
      </c>
    </row>
    <row r="912" spans="1:18">
      <c r="A912" s="616">
        <f t="shared" si="91"/>
        <v>908</v>
      </c>
      <c r="B912" s="617">
        <f t="shared" si="87"/>
        <v>13</v>
      </c>
      <c r="C912" s="618">
        <v>38956</v>
      </c>
      <c r="D912" s="618" t="s">
        <v>180</v>
      </c>
      <c r="E912" s="633">
        <v>27</v>
      </c>
      <c r="F912" s="603">
        <v>2006</v>
      </c>
      <c r="G912" s="617" t="s">
        <v>136</v>
      </c>
      <c r="H912" s="620" t="s">
        <v>149</v>
      </c>
      <c r="I912" s="621">
        <v>25</v>
      </c>
      <c r="J912" s="621">
        <v>1.5</v>
      </c>
      <c r="K912" s="603">
        <f t="shared" si="86"/>
        <v>19</v>
      </c>
      <c r="L912" s="604">
        <v>0.8208333333333333</v>
      </c>
      <c r="M912" s="605">
        <f t="shared" si="85"/>
        <v>0.8208333333333333</v>
      </c>
      <c r="N912" s="663">
        <v>0.82361111111111107</v>
      </c>
      <c r="P912" s="37" t="str">
        <f t="shared" si="88"/>
        <v>2006F0</v>
      </c>
      <c r="Q912" s="37" t="str">
        <f t="shared" si="89"/>
        <v>F019</v>
      </c>
      <c r="R912" s="37" t="str">
        <f t="shared" si="90"/>
        <v>AugustF0</v>
      </c>
    </row>
    <row r="913" spans="1:18">
      <c r="A913" s="616">
        <f t="shared" si="91"/>
        <v>909</v>
      </c>
      <c r="B913" s="617">
        <v>1</v>
      </c>
      <c r="C913" s="618">
        <v>39136</v>
      </c>
      <c r="D913" s="618" t="s">
        <v>174</v>
      </c>
      <c r="E913" s="633">
        <v>23</v>
      </c>
      <c r="F913" s="603">
        <v>2007</v>
      </c>
      <c r="G913" s="617" t="s">
        <v>142</v>
      </c>
      <c r="H913" s="620" t="s">
        <v>190</v>
      </c>
      <c r="I913" s="621">
        <v>25</v>
      </c>
      <c r="J913" s="621">
        <v>0.1</v>
      </c>
      <c r="K913" s="603">
        <f t="shared" si="86"/>
        <v>18</v>
      </c>
      <c r="L913" s="604">
        <v>0.75694444444444453</v>
      </c>
      <c r="M913" s="605">
        <f t="shared" si="85"/>
        <v>0.75694444444444453</v>
      </c>
      <c r="N913" s="663">
        <v>0.75763888888888886</v>
      </c>
      <c r="P913" s="37" t="str">
        <f t="shared" si="88"/>
        <v>2007EF0</v>
      </c>
      <c r="Q913" s="37" t="str">
        <f t="shared" si="89"/>
        <v>EF018</v>
      </c>
      <c r="R913" s="37" t="str">
        <f t="shared" si="90"/>
        <v>FebruaryEF0</v>
      </c>
    </row>
    <row r="914" spans="1:18">
      <c r="A914" s="616">
        <f t="shared" si="91"/>
        <v>910</v>
      </c>
      <c r="B914" s="617">
        <f t="shared" ref="B914:B945" si="92">+B913+1</f>
        <v>2</v>
      </c>
      <c r="C914" s="618">
        <v>39164</v>
      </c>
      <c r="D914" s="618" t="s">
        <v>175</v>
      </c>
      <c r="E914" s="633">
        <v>23</v>
      </c>
      <c r="F914" s="603">
        <v>2007</v>
      </c>
      <c r="G914" s="617" t="s">
        <v>127</v>
      </c>
      <c r="H914" s="620" t="s">
        <v>190</v>
      </c>
      <c r="I914" s="621">
        <v>440</v>
      </c>
      <c r="J914" s="621">
        <v>1.38</v>
      </c>
      <c r="K914" s="603">
        <f t="shared" si="86"/>
        <v>16</v>
      </c>
      <c r="L914" s="604">
        <v>0.6743055555555556</v>
      </c>
      <c r="M914" s="605">
        <f t="shared" si="85"/>
        <v>0.6743055555555556</v>
      </c>
      <c r="N914" s="663">
        <v>0.67638888888888893</v>
      </c>
      <c r="P914" s="37" t="str">
        <f t="shared" si="88"/>
        <v>2007EF0</v>
      </c>
      <c r="Q914" s="37" t="str">
        <f t="shared" si="89"/>
        <v>EF016</v>
      </c>
      <c r="R914" s="37" t="str">
        <f t="shared" si="90"/>
        <v>MarchEF0</v>
      </c>
    </row>
    <row r="915" spans="1:18">
      <c r="A915" s="616">
        <f t="shared" si="91"/>
        <v>911</v>
      </c>
      <c r="B915" s="617">
        <f t="shared" si="92"/>
        <v>3</v>
      </c>
      <c r="C915" s="618">
        <v>39165</v>
      </c>
      <c r="D915" s="618" t="s">
        <v>175</v>
      </c>
      <c r="E915" s="633">
        <v>24</v>
      </c>
      <c r="F915" s="603">
        <v>2007</v>
      </c>
      <c r="G915" s="617" t="s">
        <v>142</v>
      </c>
      <c r="H915" s="620" t="s">
        <v>191</v>
      </c>
      <c r="I915" s="621">
        <v>50</v>
      </c>
      <c r="J915" s="633">
        <v>2</v>
      </c>
      <c r="K915" s="603">
        <f t="shared" si="86"/>
        <v>2</v>
      </c>
      <c r="L915" s="604">
        <v>0.12430555555555556</v>
      </c>
      <c r="M915" s="605">
        <f t="shared" si="85"/>
        <v>0.12430555555555556</v>
      </c>
      <c r="N915" s="663">
        <v>0.12638888888888888</v>
      </c>
      <c r="P915" s="37" t="str">
        <f t="shared" si="88"/>
        <v>2007EF1</v>
      </c>
      <c r="Q915" s="37" t="str">
        <f t="shared" si="89"/>
        <v>EF12</v>
      </c>
      <c r="R915" s="37" t="str">
        <f t="shared" si="90"/>
        <v>MarchEF1</v>
      </c>
    </row>
    <row r="916" spans="1:18">
      <c r="A916" s="616">
        <f t="shared" si="91"/>
        <v>912</v>
      </c>
      <c r="B916" s="617">
        <f t="shared" si="92"/>
        <v>4</v>
      </c>
      <c r="C916" s="618">
        <v>39169</v>
      </c>
      <c r="D916" s="618" t="s">
        <v>175</v>
      </c>
      <c r="E916" s="633">
        <v>28</v>
      </c>
      <c r="F916" s="603">
        <v>2007</v>
      </c>
      <c r="G916" s="617" t="s">
        <v>147</v>
      </c>
      <c r="H916" s="620" t="s">
        <v>190</v>
      </c>
      <c r="I916" s="621">
        <v>100</v>
      </c>
      <c r="J916" s="633">
        <v>1</v>
      </c>
      <c r="K916" s="603">
        <f t="shared" si="86"/>
        <v>17</v>
      </c>
      <c r="L916" s="604">
        <v>0.73611111111111116</v>
      </c>
      <c r="M916" s="605">
        <f t="shared" si="85"/>
        <v>0.73611111111111116</v>
      </c>
      <c r="N916" s="663">
        <v>0.74305555555555547</v>
      </c>
      <c r="P916" s="37" t="str">
        <f t="shared" si="88"/>
        <v>2007EF0</v>
      </c>
      <c r="Q916" s="37" t="str">
        <f t="shared" si="89"/>
        <v>EF017</v>
      </c>
      <c r="R916" s="37" t="str">
        <f t="shared" si="90"/>
        <v>MarchEF0</v>
      </c>
    </row>
    <row r="917" spans="1:18">
      <c r="A917" s="616">
        <f t="shared" si="91"/>
        <v>913</v>
      </c>
      <c r="B917" s="617">
        <f t="shared" si="92"/>
        <v>5</v>
      </c>
      <c r="C917" s="618">
        <v>39169</v>
      </c>
      <c r="D917" s="618" t="s">
        <v>175</v>
      </c>
      <c r="E917" s="633">
        <v>28</v>
      </c>
      <c r="F917" s="603">
        <v>2007</v>
      </c>
      <c r="G917" s="617" t="s">
        <v>147</v>
      </c>
      <c r="H917" s="620" t="s">
        <v>191</v>
      </c>
      <c r="I917" s="621">
        <v>150</v>
      </c>
      <c r="J917" s="621">
        <v>7.27</v>
      </c>
      <c r="K917" s="603">
        <f t="shared" si="86"/>
        <v>17</v>
      </c>
      <c r="L917" s="604">
        <v>0.74652777777777779</v>
      </c>
      <c r="M917" s="605">
        <f t="shared" si="85"/>
        <v>0.74652777777777779</v>
      </c>
      <c r="N917" s="663">
        <v>0.75763888888888886</v>
      </c>
      <c r="P917" s="37" t="str">
        <f t="shared" si="88"/>
        <v>2007EF1</v>
      </c>
      <c r="Q917" s="37" t="str">
        <f t="shared" si="89"/>
        <v>EF117</v>
      </c>
      <c r="R917" s="37" t="str">
        <f t="shared" si="90"/>
        <v>MarchEF1</v>
      </c>
    </row>
    <row r="918" spans="1:18">
      <c r="A918" s="616">
        <f t="shared" si="91"/>
        <v>914</v>
      </c>
      <c r="B918" s="617">
        <f t="shared" si="92"/>
        <v>6</v>
      </c>
      <c r="C918" s="618">
        <v>39169</v>
      </c>
      <c r="D918" s="618" t="s">
        <v>175</v>
      </c>
      <c r="E918" s="633">
        <v>28</v>
      </c>
      <c r="F918" s="603">
        <v>2007</v>
      </c>
      <c r="G918" s="617" t="s">
        <v>147</v>
      </c>
      <c r="H918" s="620" t="s">
        <v>190</v>
      </c>
      <c r="I918" s="621">
        <v>200</v>
      </c>
      <c r="J918" s="621">
        <v>1</v>
      </c>
      <c r="K918" s="603">
        <f t="shared" si="86"/>
        <v>18</v>
      </c>
      <c r="L918" s="604">
        <v>0.75347222222222221</v>
      </c>
      <c r="M918" s="605">
        <f t="shared" si="85"/>
        <v>0.75347222222222221</v>
      </c>
      <c r="N918" s="663">
        <v>0.75624999999999998</v>
      </c>
      <c r="P918" s="37" t="str">
        <f t="shared" si="88"/>
        <v>2007EF0</v>
      </c>
      <c r="Q918" s="37" t="str">
        <f t="shared" si="89"/>
        <v>EF018</v>
      </c>
      <c r="R918" s="37" t="str">
        <f t="shared" si="90"/>
        <v>MarchEF0</v>
      </c>
    </row>
    <row r="919" spans="1:18">
      <c r="A919" s="616">
        <f t="shared" si="91"/>
        <v>915</v>
      </c>
      <c r="B919" s="617">
        <f t="shared" si="92"/>
        <v>7</v>
      </c>
      <c r="C919" s="618">
        <v>39169</v>
      </c>
      <c r="D919" s="618" t="s">
        <v>175</v>
      </c>
      <c r="E919" s="633">
        <v>28</v>
      </c>
      <c r="F919" s="603">
        <v>2007</v>
      </c>
      <c r="G919" s="617" t="s">
        <v>133</v>
      </c>
      <c r="H919" s="620" t="s">
        <v>189</v>
      </c>
      <c r="I919" s="621">
        <v>150</v>
      </c>
      <c r="J919" s="621">
        <v>22</v>
      </c>
      <c r="K919" s="603">
        <f t="shared" si="86"/>
        <v>18</v>
      </c>
      <c r="L919" s="604">
        <v>0.76111111111111107</v>
      </c>
      <c r="M919" s="605">
        <f t="shared" si="85"/>
        <v>0.76111111111111107</v>
      </c>
      <c r="N919" s="663">
        <v>0.78749999999999998</v>
      </c>
      <c r="P919" s="37" t="str">
        <f t="shared" si="88"/>
        <v>2007EF2</v>
      </c>
      <c r="Q919" s="37" t="str">
        <f t="shared" si="89"/>
        <v>EF218</v>
      </c>
      <c r="R919" s="37" t="str">
        <f t="shared" si="90"/>
        <v>MarchEF2</v>
      </c>
    </row>
    <row r="920" spans="1:18">
      <c r="A920" s="616">
        <f t="shared" si="91"/>
        <v>916</v>
      </c>
      <c r="B920" s="617">
        <f t="shared" si="92"/>
        <v>8</v>
      </c>
      <c r="C920" s="618">
        <v>39169</v>
      </c>
      <c r="D920" s="618" t="s">
        <v>175</v>
      </c>
      <c r="E920" s="633">
        <v>28</v>
      </c>
      <c r="F920" s="603">
        <v>2007</v>
      </c>
      <c r="G920" s="617" t="s">
        <v>147</v>
      </c>
      <c r="H920" s="620" t="s">
        <v>192</v>
      </c>
      <c r="I920" s="621">
        <v>600</v>
      </c>
      <c r="J920" s="621">
        <v>6.35</v>
      </c>
      <c r="K920" s="603">
        <f t="shared" si="86"/>
        <v>18</v>
      </c>
      <c r="L920" s="604">
        <v>0.77708333333333324</v>
      </c>
      <c r="M920" s="605">
        <f t="shared" si="85"/>
        <v>0.77708333333333324</v>
      </c>
      <c r="N920" s="663">
        <v>0.78749999999999998</v>
      </c>
      <c r="P920" s="37" t="str">
        <f t="shared" si="88"/>
        <v>2007EF3</v>
      </c>
      <c r="Q920" s="37" t="str">
        <f t="shared" si="89"/>
        <v>EF318</v>
      </c>
      <c r="R920" s="37" t="str">
        <f t="shared" si="90"/>
        <v>MarchEF3</v>
      </c>
    </row>
    <row r="921" spans="1:18">
      <c r="A921" s="616">
        <f t="shared" si="91"/>
        <v>917</v>
      </c>
      <c r="B921" s="617">
        <f t="shared" si="92"/>
        <v>9</v>
      </c>
      <c r="C921" s="618">
        <v>39169</v>
      </c>
      <c r="D921" s="618" t="s">
        <v>175</v>
      </c>
      <c r="E921" s="633">
        <v>28</v>
      </c>
      <c r="F921" s="603">
        <v>2007</v>
      </c>
      <c r="G921" s="617" t="s">
        <v>147</v>
      </c>
      <c r="H921" s="620" t="s">
        <v>189</v>
      </c>
      <c r="I921" s="621">
        <v>528</v>
      </c>
      <c r="J921" s="621">
        <v>4.1500000000000004</v>
      </c>
      <c r="K921" s="603">
        <f t="shared" si="86"/>
        <v>18</v>
      </c>
      <c r="L921" s="604">
        <v>0.78194444444444444</v>
      </c>
      <c r="M921" s="605">
        <f t="shared" si="85"/>
        <v>0.78194444444444444</v>
      </c>
      <c r="N921" s="663">
        <v>0.78819444444444453</v>
      </c>
      <c r="P921" s="37" t="str">
        <f t="shared" si="88"/>
        <v>2007EF2</v>
      </c>
      <c r="Q921" s="37" t="str">
        <f t="shared" si="89"/>
        <v>EF218</v>
      </c>
      <c r="R921" s="37" t="str">
        <f t="shared" si="90"/>
        <v>MarchEF2</v>
      </c>
    </row>
    <row r="922" spans="1:18">
      <c r="A922" s="616">
        <f t="shared" si="91"/>
        <v>918</v>
      </c>
      <c r="B922" s="617">
        <f t="shared" si="92"/>
        <v>10</v>
      </c>
      <c r="C922" s="618">
        <v>39169</v>
      </c>
      <c r="D922" s="618" t="s">
        <v>175</v>
      </c>
      <c r="E922" s="633">
        <v>28</v>
      </c>
      <c r="F922" s="603">
        <v>2007</v>
      </c>
      <c r="G922" s="617" t="s">
        <v>147</v>
      </c>
      <c r="H922" s="620" t="s">
        <v>190</v>
      </c>
      <c r="I922" s="621">
        <v>50</v>
      </c>
      <c r="J922" s="621">
        <v>0.25</v>
      </c>
      <c r="K922" s="603">
        <f t="shared" si="86"/>
        <v>19</v>
      </c>
      <c r="L922" s="604">
        <v>0.79305555555555562</v>
      </c>
      <c r="M922" s="605">
        <f t="shared" si="85"/>
        <v>0.79305555555555562</v>
      </c>
      <c r="N922" s="663">
        <v>0.7944444444444444</v>
      </c>
      <c r="P922" s="37" t="str">
        <f t="shared" si="88"/>
        <v>2007EF0</v>
      </c>
      <c r="Q922" s="37" t="str">
        <f t="shared" si="89"/>
        <v>EF019</v>
      </c>
      <c r="R922" s="37" t="str">
        <f t="shared" si="90"/>
        <v>MarchEF0</v>
      </c>
    </row>
    <row r="923" spans="1:18">
      <c r="A923" s="616">
        <f t="shared" si="91"/>
        <v>919</v>
      </c>
      <c r="B923" s="617">
        <f t="shared" si="92"/>
        <v>11</v>
      </c>
      <c r="C923" s="618">
        <v>39169</v>
      </c>
      <c r="D923" s="618" t="s">
        <v>175</v>
      </c>
      <c r="E923" s="633">
        <v>28</v>
      </c>
      <c r="F923" s="603">
        <v>2007</v>
      </c>
      <c r="G923" s="617" t="s">
        <v>128</v>
      </c>
      <c r="H923" s="620" t="s">
        <v>189</v>
      </c>
      <c r="I923" s="621">
        <v>100</v>
      </c>
      <c r="J923" s="621">
        <v>6</v>
      </c>
      <c r="K923" s="603">
        <f t="shared" si="86"/>
        <v>19</v>
      </c>
      <c r="L923" s="604">
        <v>0.7944444444444444</v>
      </c>
      <c r="M923" s="605">
        <f t="shared" si="85"/>
        <v>0.7944444444444444</v>
      </c>
      <c r="N923" s="663">
        <v>0.80625000000000002</v>
      </c>
      <c r="P923" s="37" t="str">
        <f t="shared" si="88"/>
        <v>2007EF2</v>
      </c>
      <c r="Q923" s="37" t="str">
        <f t="shared" si="89"/>
        <v>EF219</v>
      </c>
      <c r="R923" s="37" t="str">
        <f t="shared" si="90"/>
        <v>MarchEF2</v>
      </c>
    </row>
    <row r="924" spans="1:18">
      <c r="A924" s="616">
        <f t="shared" si="91"/>
        <v>920</v>
      </c>
      <c r="B924" s="617">
        <f t="shared" si="92"/>
        <v>12</v>
      </c>
      <c r="C924" s="618">
        <v>39169</v>
      </c>
      <c r="D924" s="618" t="s">
        <v>175</v>
      </c>
      <c r="E924" s="633">
        <v>28</v>
      </c>
      <c r="F924" s="603">
        <v>2007</v>
      </c>
      <c r="G924" s="617" t="s">
        <v>147</v>
      </c>
      <c r="H924" s="620" t="s">
        <v>189</v>
      </c>
      <c r="I924" s="621">
        <v>200</v>
      </c>
      <c r="J924" s="621">
        <v>4.53</v>
      </c>
      <c r="K924" s="603">
        <f t="shared" si="86"/>
        <v>19</v>
      </c>
      <c r="L924" s="604">
        <v>0.80069444444444438</v>
      </c>
      <c r="M924" s="605">
        <f t="shared" si="85"/>
        <v>0.80069444444444438</v>
      </c>
      <c r="N924" s="663">
        <v>0.80833333333333324</v>
      </c>
      <c r="P924" s="37" t="str">
        <f t="shared" si="88"/>
        <v>2007EF2</v>
      </c>
      <c r="Q924" s="37" t="str">
        <f t="shared" si="89"/>
        <v>EF219</v>
      </c>
      <c r="R924" s="37" t="str">
        <f t="shared" si="90"/>
        <v>MarchEF2</v>
      </c>
    </row>
    <row r="925" spans="1:18">
      <c r="A925" s="616">
        <f t="shared" si="91"/>
        <v>921</v>
      </c>
      <c r="B925" s="617">
        <f t="shared" si="92"/>
        <v>13</v>
      </c>
      <c r="C925" s="618">
        <v>39169</v>
      </c>
      <c r="D925" s="618" t="s">
        <v>175</v>
      </c>
      <c r="E925" s="633">
        <v>28</v>
      </c>
      <c r="F925" s="603">
        <v>2007</v>
      </c>
      <c r="G925" s="617" t="s">
        <v>147</v>
      </c>
      <c r="H925" s="620" t="s">
        <v>190</v>
      </c>
      <c r="I925" s="621">
        <v>50</v>
      </c>
      <c r="J925" s="621">
        <v>1</v>
      </c>
      <c r="K925" s="603">
        <f t="shared" si="86"/>
        <v>19</v>
      </c>
      <c r="L925" s="604">
        <v>0.80208333333333337</v>
      </c>
      <c r="M925" s="605">
        <f t="shared" si="85"/>
        <v>0.80208333333333337</v>
      </c>
      <c r="N925" s="663">
        <v>0.8041666666666667</v>
      </c>
      <c r="P925" s="37" t="str">
        <f t="shared" si="88"/>
        <v>2007EF0</v>
      </c>
      <c r="Q925" s="37" t="str">
        <f t="shared" si="89"/>
        <v>EF019</v>
      </c>
      <c r="R925" s="37" t="str">
        <f t="shared" si="90"/>
        <v>MarchEF0</v>
      </c>
    </row>
    <row r="926" spans="1:18">
      <c r="A926" s="616">
        <f t="shared" si="91"/>
        <v>922</v>
      </c>
      <c r="B926" s="617">
        <f t="shared" si="92"/>
        <v>14</v>
      </c>
      <c r="C926" s="618">
        <v>39169</v>
      </c>
      <c r="D926" s="618" t="s">
        <v>175</v>
      </c>
      <c r="E926" s="633">
        <v>28</v>
      </c>
      <c r="F926" s="603">
        <v>2007</v>
      </c>
      <c r="G926" s="617" t="s">
        <v>142</v>
      </c>
      <c r="H926" s="620" t="s">
        <v>189</v>
      </c>
      <c r="I926" s="621">
        <v>200</v>
      </c>
      <c r="J926" s="621">
        <v>3.61</v>
      </c>
      <c r="K926" s="603">
        <f t="shared" si="86"/>
        <v>19</v>
      </c>
      <c r="L926" s="604">
        <v>0.80763888888888891</v>
      </c>
      <c r="M926" s="605">
        <f t="shared" si="85"/>
        <v>0.80763888888888891</v>
      </c>
      <c r="N926" s="663">
        <v>0.81805555555555554</v>
      </c>
      <c r="P926" s="37" t="str">
        <f t="shared" si="88"/>
        <v>2007EF2</v>
      </c>
      <c r="Q926" s="37" t="str">
        <f t="shared" si="89"/>
        <v>EF219</v>
      </c>
      <c r="R926" s="37" t="str">
        <f t="shared" si="90"/>
        <v>MarchEF2</v>
      </c>
    </row>
    <row r="927" spans="1:18">
      <c r="A927" s="616">
        <f t="shared" si="91"/>
        <v>923</v>
      </c>
      <c r="B927" s="617">
        <f t="shared" si="92"/>
        <v>15</v>
      </c>
      <c r="C927" s="618">
        <v>39169</v>
      </c>
      <c r="D927" s="618" t="s">
        <v>175</v>
      </c>
      <c r="E927" s="633">
        <v>28</v>
      </c>
      <c r="F927" s="603">
        <v>2007</v>
      </c>
      <c r="G927" s="617" t="s">
        <v>142</v>
      </c>
      <c r="H927" s="620" t="s">
        <v>190</v>
      </c>
      <c r="I927" s="621">
        <v>50</v>
      </c>
      <c r="J927" s="621">
        <v>0.25</v>
      </c>
      <c r="K927" s="603">
        <f t="shared" si="86"/>
        <v>19</v>
      </c>
      <c r="L927" s="604">
        <v>0.8125</v>
      </c>
      <c r="M927" s="605">
        <f t="shared" si="85"/>
        <v>0.8125</v>
      </c>
      <c r="N927" s="663">
        <v>0.8125</v>
      </c>
      <c r="P927" s="37" t="str">
        <f t="shared" si="88"/>
        <v>2007EF0</v>
      </c>
      <c r="Q927" s="37" t="str">
        <f t="shared" si="89"/>
        <v>EF019</v>
      </c>
      <c r="R927" s="37" t="str">
        <f t="shared" si="90"/>
        <v>MarchEF0</v>
      </c>
    </row>
    <row r="928" spans="1:18">
      <c r="A928" s="616">
        <f t="shared" si="91"/>
        <v>924</v>
      </c>
      <c r="B928" s="617">
        <f t="shared" si="92"/>
        <v>16</v>
      </c>
      <c r="C928" s="618">
        <v>39169</v>
      </c>
      <c r="D928" s="618" t="s">
        <v>175</v>
      </c>
      <c r="E928" s="633">
        <v>28</v>
      </c>
      <c r="F928" s="603">
        <v>2007</v>
      </c>
      <c r="G928" s="617" t="s">
        <v>142</v>
      </c>
      <c r="H928" s="620" t="s">
        <v>191</v>
      </c>
      <c r="I928" s="621">
        <v>50</v>
      </c>
      <c r="J928" s="621">
        <v>0.25</v>
      </c>
      <c r="K928" s="603">
        <f t="shared" si="86"/>
        <v>19</v>
      </c>
      <c r="L928" s="604">
        <v>0.81666666666666676</v>
      </c>
      <c r="M928" s="605">
        <f t="shared" si="85"/>
        <v>0.81666666666666676</v>
      </c>
      <c r="N928" s="663">
        <v>0.81736111111111109</v>
      </c>
      <c r="P928" s="37" t="str">
        <f t="shared" si="88"/>
        <v>2007EF1</v>
      </c>
      <c r="Q928" s="37" t="str">
        <f t="shared" si="89"/>
        <v>EF119</v>
      </c>
      <c r="R928" s="37" t="str">
        <f t="shared" si="90"/>
        <v>MarchEF1</v>
      </c>
    </row>
    <row r="929" spans="1:18">
      <c r="A929" s="616">
        <f t="shared" si="91"/>
        <v>925</v>
      </c>
      <c r="B929" s="617">
        <f t="shared" si="92"/>
        <v>17</v>
      </c>
      <c r="C929" s="618">
        <v>39169</v>
      </c>
      <c r="D929" s="618" t="s">
        <v>175</v>
      </c>
      <c r="E929" s="633">
        <v>28</v>
      </c>
      <c r="F929" s="603">
        <v>2007</v>
      </c>
      <c r="G929" s="617" t="s">
        <v>142</v>
      </c>
      <c r="H929" s="620" t="s">
        <v>192</v>
      </c>
      <c r="I929" s="621">
        <v>1760</v>
      </c>
      <c r="J929" s="621">
        <v>7.99</v>
      </c>
      <c r="K929" s="603">
        <f t="shared" si="86"/>
        <v>19</v>
      </c>
      <c r="L929" s="604">
        <v>0.82291666666666663</v>
      </c>
      <c r="M929" s="605">
        <f t="shared" si="85"/>
        <v>0.82291666666666663</v>
      </c>
      <c r="N929" s="663">
        <v>0.83333333333333337</v>
      </c>
      <c r="P929" s="37" t="str">
        <f t="shared" si="88"/>
        <v>2007EF3</v>
      </c>
      <c r="Q929" s="37" t="str">
        <f t="shared" si="89"/>
        <v>EF319</v>
      </c>
      <c r="R929" s="37" t="str">
        <f t="shared" si="90"/>
        <v>MarchEF3</v>
      </c>
    </row>
    <row r="930" spans="1:18">
      <c r="A930" s="616">
        <f t="shared" si="91"/>
        <v>926</v>
      </c>
      <c r="B930" s="617">
        <f t="shared" si="92"/>
        <v>18</v>
      </c>
      <c r="C930" s="618">
        <v>39169</v>
      </c>
      <c r="D930" s="618" t="s">
        <v>175</v>
      </c>
      <c r="E930" s="633">
        <v>28</v>
      </c>
      <c r="F930" s="603">
        <v>2007</v>
      </c>
      <c r="G930" s="617" t="s">
        <v>138</v>
      </c>
      <c r="H930" s="620" t="s">
        <v>192</v>
      </c>
      <c r="I930" s="621">
        <v>1408</v>
      </c>
      <c r="J930" s="621">
        <v>7.77</v>
      </c>
      <c r="K930" s="603">
        <f t="shared" si="86"/>
        <v>20</v>
      </c>
      <c r="L930" s="604">
        <v>0.85416666666666663</v>
      </c>
      <c r="M930" s="605">
        <f t="shared" si="85"/>
        <v>0.85416666666666663</v>
      </c>
      <c r="N930" s="663">
        <v>0.87152777777777779</v>
      </c>
      <c r="P930" s="37" t="str">
        <f t="shared" si="88"/>
        <v>2007EF3</v>
      </c>
      <c r="Q930" s="37" t="str">
        <f t="shared" si="89"/>
        <v>EF320</v>
      </c>
      <c r="R930" s="37" t="str">
        <f t="shared" si="90"/>
        <v>MarchEF3</v>
      </c>
    </row>
    <row r="931" spans="1:18">
      <c r="A931" s="616">
        <f t="shared" si="91"/>
        <v>927</v>
      </c>
      <c r="B931" s="617">
        <f t="shared" si="92"/>
        <v>19</v>
      </c>
      <c r="C931" s="618">
        <v>39193</v>
      </c>
      <c r="D931" s="618" t="s">
        <v>176</v>
      </c>
      <c r="E931" s="633">
        <v>21</v>
      </c>
      <c r="F931" s="603">
        <v>2007</v>
      </c>
      <c r="G931" s="617" t="s">
        <v>139</v>
      </c>
      <c r="H931" s="620" t="s">
        <v>191</v>
      </c>
      <c r="I931" s="621">
        <v>880</v>
      </c>
      <c r="J931" s="621">
        <v>17.13</v>
      </c>
      <c r="K931" s="603">
        <f t="shared" si="86"/>
        <v>17</v>
      </c>
      <c r="L931" s="604">
        <v>0.74375000000000002</v>
      </c>
      <c r="M931" s="605">
        <f t="shared" si="85"/>
        <v>0.74375000000000002</v>
      </c>
      <c r="N931" s="663">
        <v>0.76875000000000004</v>
      </c>
      <c r="P931" s="37" t="str">
        <f t="shared" si="88"/>
        <v>2007EF1</v>
      </c>
      <c r="Q931" s="37" t="str">
        <f t="shared" si="89"/>
        <v>EF117</v>
      </c>
      <c r="R931" s="37" t="str">
        <f t="shared" si="90"/>
        <v>AprilEF1</v>
      </c>
    </row>
    <row r="932" spans="1:18">
      <c r="A932" s="616">
        <f t="shared" si="91"/>
        <v>928</v>
      </c>
      <c r="B932" s="617">
        <f t="shared" si="92"/>
        <v>20</v>
      </c>
      <c r="C932" s="618">
        <v>39193</v>
      </c>
      <c r="D932" s="618" t="s">
        <v>176</v>
      </c>
      <c r="E932" s="633">
        <v>21</v>
      </c>
      <c r="F932" s="603">
        <v>2007</v>
      </c>
      <c r="G932" s="617" t="s">
        <v>135</v>
      </c>
      <c r="H932" s="620" t="s">
        <v>189</v>
      </c>
      <c r="I932" s="621">
        <v>1320</v>
      </c>
      <c r="J932" s="621">
        <v>26.72</v>
      </c>
      <c r="K932" s="603">
        <f t="shared" si="86"/>
        <v>18</v>
      </c>
      <c r="L932" s="604">
        <v>0.76111111111111107</v>
      </c>
      <c r="M932" s="605">
        <f t="shared" si="85"/>
        <v>0.76111111111111107</v>
      </c>
      <c r="N932" s="663">
        <v>0.78611111111111109</v>
      </c>
      <c r="P932" s="37" t="str">
        <f t="shared" si="88"/>
        <v>2007EF2</v>
      </c>
      <c r="Q932" s="37" t="str">
        <f t="shared" si="89"/>
        <v>EF218</v>
      </c>
      <c r="R932" s="37" t="str">
        <f t="shared" si="90"/>
        <v>AprilEF2</v>
      </c>
    </row>
    <row r="933" spans="1:18">
      <c r="A933" s="616">
        <f t="shared" si="91"/>
        <v>929</v>
      </c>
      <c r="B933" s="617">
        <f t="shared" si="92"/>
        <v>21</v>
      </c>
      <c r="C933" s="618">
        <v>39193</v>
      </c>
      <c r="D933" s="618" t="s">
        <v>176</v>
      </c>
      <c r="E933" s="633">
        <v>21</v>
      </c>
      <c r="F933" s="603">
        <v>2007</v>
      </c>
      <c r="G933" s="617" t="s">
        <v>135</v>
      </c>
      <c r="H933" s="620" t="s">
        <v>189</v>
      </c>
      <c r="I933" s="621">
        <v>704</v>
      </c>
      <c r="J933" s="621">
        <v>11.93</v>
      </c>
      <c r="K933" s="603">
        <f t="shared" si="86"/>
        <v>18</v>
      </c>
      <c r="L933" s="604">
        <v>0.78472222222222221</v>
      </c>
      <c r="M933" s="605">
        <f t="shared" si="85"/>
        <v>0.78472222222222221</v>
      </c>
      <c r="N933" s="663">
        <v>0.80208333333333337</v>
      </c>
      <c r="P933" s="37" t="str">
        <f t="shared" si="88"/>
        <v>2007EF2</v>
      </c>
      <c r="Q933" s="37" t="str">
        <f t="shared" si="89"/>
        <v>EF218</v>
      </c>
      <c r="R933" s="37" t="str">
        <f t="shared" si="90"/>
        <v>AprilEF2</v>
      </c>
    </row>
    <row r="934" spans="1:18">
      <c r="A934" s="616">
        <f t="shared" si="91"/>
        <v>930</v>
      </c>
      <c r="B934" s="617">
        <f t="shared" si="92"/>
        <v>22</v>
      </c>
      <c r="C934" s="618">
        <v>39193</v>
      </c>
      <c r="D934" s="618" t="s">
        <v>176</v>
      </c>
      <c r="E934" s="633">
        <v>21</v>
      </c>
      <c r="F934" s="603">
        <v>2007</v>
      </c>
      <c r="G934" s="617" t="s">
        <v>135</v>
      </c>
      <c r="H934" s="620" t="s">
        <v>190</v>
      </c>
      <c r="I934" s="621">
        <v>50</v>
      </c>
      <c r="J934" s="621">
        <v>1</v>
      </c>
      <c r="K934" s="603">
        <f t="shared" si="86"/>
        <v>19</v>
      </c>
      <c r="L934" s="604">
        <v>0.79583333333333339</v>
      </c>
      <c r="M934" s="605">
        <f t="shared" si="85"/>
        <v>0.79583333333333339</v>
      </c>
      <c r="N934" s="663">
        <v>0.79722222222222217</v>
      </c>
      <c r="P934" s="37" t="str">
        <f t="shared" si="88"/>
        <v>2007EF0</v>
      </c>
      <c r="Q934" s="37" t="str">
        <f t="shared" si="89"/>
        <v>EF019</v>
      </c>
      <c r="R934" s="37" t="str">
        <f t="shared" si="90"/>
        <v>AprilEF0</v>
      </c>
    </row>
    <row r="935" spans="1:18">
      <c r="A935" s="616">
        <f t="shared" si="91"/>
        <v>931</v>
      </c>
      <c r="B935" s="617">
        <f t="shared" si="92"/>
        <v>23</v>
      </c>
      <c r="C935" s="618">
        <v>39193</v>
      </c>
      <c r="D935" s="618" t="s">
        <v>176</v>
      </c>
      <c r="E935" s="633">
        <v>21</v>
      </c>
      <c r="F935" s="603">
        <v>2007</v>
      </c>
      <c r="G935" s="617" t="s">
        <v>135</v>
      </c>
      <c r="H935" s="620" t="s">
        <v>190</v>
      </c>
      <c r="I935" s="621">
        <v>100</v>
      </c>
      <c r="J935" s="621">
        <v>1.53</v>
      </c>
      <c r="K935" s="603">
        <f t="shared" si="86"/>
        <v>19</v>
      </c>
      <c r="L935" s="604">
        <v>0.80486111111111114</v>
      </c>
      <c r="M935" s="605">
        <f t="shared" si="85"/>
        <v>0.80486111111111114</v>
      </c>
      <c r="N935" s="663">
        <v>0.80763888888888891</v>
      </c>
      <c r="P935" s="37" t="str">
        <f t="shared" si="88"/>
        <v>2007EF0</v>
      </c>
      <c r="Q935" s="37" t="str">
        <f t="shared" si="89"/>
        <v>EF019</v>
      </c>
      <c r="R935" s="37" t="str">
        <f t="shared" si="90"/>
        <v>AprilEF0</v>
      </c>
    </row>
    <row r="936" spans="1:18">
      <c r="A936" s="616">
        <f t="shared" si="91"/>
        <v>932</v>
      </c>
      <c r="B936" s="617">
        <f t="shared" si="92"/>
        <v>24</v>
      </c>
      <c r="C936" s="618">
        <v>39193</v>
      </c>
      <c r="D936" s="618" t="s">
        <v>176</v>
      </c>
      <c r="E936" s="633">
        <v>21</v>
      </c>
      <c r="F936" s="603">
        <v>2007</v>
      </c>
      <c r="G936" s="617" t="s">
        <v>135</v>
      </c>
      <c r="H936" s="620" t="s">
        <v>191</v>
      </c>
      <c r="I936" s="621">
        <v>1320</v>
      </c>
      <c r="J936" s="621">
        <v>9.31</v>
      </c>
      <c r="K936" s="603">
        <f t="shared" si="86"/>
        <v>19</v>
      </c>
      <c r="L936" s="604">
        <v>0.81666666666666676</v>
      </c>
      <c r="M936" s="605">
        <f t="shared" si="85"/>
        <v>0.81666666666666676</v>
      </c>
      <c r="N936" s="663">
        <v>0.82638888888888884</v>
      </c>
      <c r="P936" s="37" t="str">
        <f t="shared" si="88"/>
        <v>2007EF1</v>
      </c>
      <c r="Q936" s="37" t="str">
        <f t="shared" si="89"/>
        <v>EF119</v>
      </c>
      <c r="R936" s="37" t="str">
        <f t="shared" si="90"/>
        <v>AprilEF1</v>
      </c>
    </row>
    <row r="937" spans="1:18">
      <c r="A937" s="616">
        <f t="shared" si="91"/>
        <v>933</v>
      </c>
      <c r="B937" s="617">
        <f t="shared" si="92"/>
        <v>25</v>
      </c>
      <c r="C937" s="618">
        <v>39193</v>
      </c>
      <c r="D937" s="618" t="s">
        <v>176</v>
      </c>
      <c r="E937" s="633">
        <v>21</v>
      </c>
      <c r="F937" s="603">
        <v>2007</v>
      </c>
      <c r="G937" s="617" t="s">
        <v>146</v>
      </c>
      <c r="H937" s="620" t="s">
        <v>191</v>
      </c>
      <c r="I937" s="621">
        <v>440</v>
      </c>
      <c r="J937" s="621">
        <v>3.33</v>
      </c>
      <c r="K937" s="603">
        <f t="shared" si="86"/>
        <v>19</v>
      </c>
      <c r="L937" s="604">
        <v>0.82291666666666663</v>
      </c>
      <c r="M937" s="605">
        <f t="shared" ref="M937:M994" si="93">+L937</f>
        <v>0.82291666666666663</v>
      </c>
      <c r="N937" s="663">
        <v>0.82986111111111116</v>
      </c>
      <c r="P937" s="37" t="str">
        <f t="shared" si="88"/>
        <v>2007EF1</v>
      </c>
      <c r="Q937" s="37" t="str">
        <f t="shared" si="89"/>
        <v>EF119</v>
      </c>
      <c r="R937" s="37" t="str">
        <f t="shared" si="90"/>
        <v>AprilEF1</v>
      </c>
    </row>
    <row r="938" spans="1:18">
      <c r="A938" s="616">
        <f t="shared" si="91"/>
        <v>934</v>
      </c>
      <c r="B938" s="617">
        <f t="shared" si="92"/>
        <v>26</v>
      </c>
      <c r="C938" s="618">
        <v>39193</v>
      </c>
      <c r="D938" s="618" t="s">
        <v>176</v>
      </c>
      <c r="E938" s="633">
        <v>21</v>
      </c>
      <c r="F938" s="603">
        <v>2007</v>
      </c>
      <c r="G938" s="617" t="s">
        <v>135</v>
      </c>
      <c r="H938" s="620" t="s">
        <v>191</v>
      </c>
      <c r="I938" s="621">
        <v>440</v>
      </c>
      <c r="J938" s="621">
        <v>12.23</v>
      </c>
      <c r="K938" s="603">
        <f t="shared" si="86"/>
        <v>19</v>
      </c>
      <c r="L938" s="604">
        <v>0.82291666666666663</v>
      </c>
      <c r="M938" s="605">
        <f t="shared" si="93"/>
        <v>0.82291666666666663</v>
      </c>
      <c r="N938" s="663">
        <v>0.83333333333333337</v>
      </c>
      <c r="P938" s="37" t="str">
        <f t="shared" si="88"/>
        <v>2007EF1</v>
      </c>
      <c r="Q938" s="37" t="str">
        <f t="shared" si="89"/>
        <v>EF119</v>
      </c>
      <c r="R938" s="37" t="str">
        <f t="shared" si="90"/>
        <v>AprilEF1</v>
      </c>
    </row>
    <row r="939" spans="1:18">
      <c r="A939" s="616">
        <f t="shared" si="91"/>
        <v>935</v>
      </c>
      <c r="B939" s="617">
        <f t="shared" si="92"/>
        <v>27</v>
      </c>
      <c r="C939" s="618">
        <v>39193</v>
      </c>
      <c r="D939" s="618" t="s">
        <v>176</v>
      </c>
      <c r="E939" s="633">
        <v>21</v>
      </c>
      <c r="F939" s="603">
        <v>2007</v>
      </c>
      <c r="G939" s="617" t="s">
        <v>130</v>
      </c>
      <c r="H939" s="620" t="s">
        <v>190</v>
      </c>
      <c r="I939" s="621">
        <v>700</v>
      </c>
      <c r="J939" s="621">
        <v>7.97</v>
      </c>
      <c r="K939" s="603">
        <f t="shared" si="86"/>
        <v>19</v>
      </c>
      <c r="L939" s="604">
        <v>0.83194444444444438</v>
      </c>
      <c r="M939" s="605">
        <f t="shared" si="93"/>
        <v>0.83194444444444438</v>
      </c>
      <c r="N939" s="663">
        <v>0.84166666666666667</v>
      </c>
      <c r="P939" s="37" t="str">
        <f t="shared" si="88"/>
        <v>2007EF0</v>
      </c>
      <c r="Q939" s="37" t="str">
        <f t="shared" si="89"/>
        <v>EF019</v>
      </c>
      <c r="R939" s="37" t="str">
        <f t="shared" si="90"/>
        <v>AprilEF0</v>
      </c>
    </row>
    <row r="940" spans="1:18">
      <c r="A940" s="616">
        <f t="shared" si="91"/>
        <v>936</v>
      </c>
      <c r="B940" s="617">
        <f t="shared" si="92"/>
        <v>28</v>
      </c>
      <c r="C940" s="618">
        <v>39193</v>
      </c>
      <c r="D940" s="618" t="s">
        <v>176</v>
      </c>
      <c r="E940" s="633">
        <v>21</v>
      </c>
      <c r="F940" s="603">
        <v>2007</v>
      </c>
      <c r="G940" s="617" t="s">
        <v>135</v>
      </c>
      <c r="H940" s="620" t="s">
        <v>191</v>
      </c>
      <c r="I940" s="621">
        <v>704</v>
      </c>
      <c r="J940" s="621">
        <v>2</v>
      </c>
      <c r="K940" s="603">
        <f t="shared" si="86"/>
        <v>19</v>
      </c>
      <c r="L940" s="604">
        <v>0.83263888888888893</v>
      </c>
      <c r="M940" s="605">
        <f t="shared" si="93"/>
        <v>0.83263888888888893</v>
      </c>
      <c r="N940" s="663">
        <v>0.83472222222222225</v>
      </c>
      <c r="P940" s="37" t="str">
        <f t="shared" si="88"/>
        <v>2007EF1</v>
      </c>
      <c r="Q940" s="37" t="str">
        <f t="shared" si="89"/>
        <v>EF119</v>
      </c>
      <c r="R940" s="37" t="str">
        <f t="shared" si="90"/>
        <v>AprilEF1</v>
      </c>
    </row>
    <row r="941" spans="1:18">
      <c r="A941" s="616">
        <f t="shared" si="91"/>
        <v>937</v>
      </c>
      <c r="B941" s="617">
        <f t="shared" si="92"/>
        <v>29</v>
      </c>
      <c r="C941" s="618">
        <v>39193</v>
      </c>
      <c r="D941" s="618" t="s">
        <v>176</v>
      </c>
      <c r="E941" s="633">
        <v>21</v>
      </c>
      <c r="F941" s="603">
        <v>2007</v>
      </c>
      <c r="G941" s="617" t="s">
        <v>145</v>
      </c>
      <c r="H941" s="620" t="s">
        <v>191</v>
      </c>
      <c r="I941" s="621">
        <v>880</v>
      </c>
      <c r="J941" s="621">
        <v>10.7</v>
      </c>
      <c r="K941" s="603">
        <f t="shared" si="86"/>
        <v>20</v>
      </c>
      <c r="L941" s="604">
        <v>0.83333333333333337</v>
      </c>
      <c r="M941" s="605">
        <f t="shared" si="93"/>
        <v>0.83333333333333337</v>
      </c>
      <c r="N941" s="663">
        <v>0.84375</v>
      </c>
      <c r="P941" s="37" t="str">
        <f t="shared" si="88"/>
        <v>2007EF1</v>
      </c>
      <c r="Q941" s="37" t="str">
        <f t="shared" si="89"/>
        <v>EF120</v>
      </c>
      <c r="R941" s="37" t="str">
        <f t="shared" si="90"/>
        <v>AprilEF1</v>
      </c>
    </row>
    <row r="942" spans="1:18">
      <c r="A942" s="616">
        <f t="shared" si="91"/>
        <v>938</v>
      </c>
      <c r="B942" s="617">
        <f t="shared" si="92"/>
        <v>30</v>
      </c>
      <c r="C942" s="618">
        <v>39193</v>
      </c>
      <c r="D942" s="618" t="s">
        <v>176</v>
      </c>
      <c r="E942" s="633">
        <v>21</v>
      </c>
      <c r="F942" s="603">
        <v>2007</v>
      </c>
      <c r="G942" s="617" t="s">
        <v>146</v>
      </c>
      <c r="H942" s="620" t="s">
        <v>189</v>
      </c>
      <c r="I942" s="621">
        <v>440</v>
      </c>
      <c r="J942" s="621">
        <v>12.88</v>
      </c>
      <c r="K942" s="603">
        <f t="shared" si="86"/>
        <v>20</v>
      </c>
      <c r="L942" s="604">
        <v>0.85763888888888884</v>
      </c>
      <c r="M942" s="605">
        <f t="shared" si="93"/>
        <v>0.85763888888888884</v>
      </c>
      <c r="N942" s="663">
        <v>0.88194444444444453</v>
      </c>
      <c r="P942" s="37" t="str">
        <f t="shared" si="88"/>
        <v>2007EF2</v>
      </c>
      <c r="Q942" s="37" t="str">
        <f t="shared" si="89"/>
        <v>EF220</v>
      </c>
      <c r="R942" s="37" t="str">
        <f t="shared" si="90"/>
        <v>AprilEF2</v>
      </c>
    </row>
    <row r="943" spans="1:18">
      <c r="A943" s="616">
        <f t="shared" si="91"/>
        <v>939</v>
      </c>
      <c r="B943" s="617">
        <f t="shared" si="92"/>
        <v>31</v>
      </c>
      <c r="C943" s="618">
        <v>39193</v>
      </c>
      <c r="D943" s="618" t="s">
        <v>176</v>
      </c>
      <c r="E943" s="633">
        <v>21</v>
      </c>
      <c r="F943" s="603">
        <v>2007</v>
      </c>
      <c r="G943" s="617" t="s">
        <v>146</v>
      </c>
      <c r="H943" s="620" t="s">
        <v>190</v>
      </c>
      <c r="I943" s="621">
        <v>50</v>
      </c>
      <c r="J943" s="621">
        <v>4.21</v>
      </c>
      <c r="K943" s="603">
        <f t="shared" si="86"/>
        <v>20</v>
      </c>
      <c r="L943" s="604">
        <v>0.86111111111111116</v>
      </c>
      <c r="M943" s="605">
        <f t="shared" si="93"/>
        <v>0.86111111111111116</v>
      </c>
      <c r="N943" s="663">
        <v>0.86458333333333337</v>
      </c>
      <c r="P943" s="37" t="str">
        <f t="shared" si="88"/>
        <v>2007EF0</v>
      </c>
      <c r="Q943" s="37" t="str">
        <f t="shared" si="89"/>
        <v>EF020</v>
      </c>
      <c r="R943" s="37" t="str">
        <f t="shared" si="90"/>
        <v>AprilEF0</v>
      </c>
    </row>
    <row r="944" spans="1:18">
      <c r="A944" s="616">
        <f t="shared" si="91"/>
        <v>940</v>
      </c>
      <c r="B944" s="617">
        <f t="shared" si="92"/>
        <v>32</v>
      </c>
      <c r="C944" s="618">
        <v>39193</v>
      </c>
      <c r="D944" s="618" t="s">
        <v>176</v>
      </c>
      <c r="E944" s="633">
        <v>21</v>
      </c>
      <c r="F944" s="603">
        <v>2007</v>
      </c>
      <c r="G944" s="617" t="s">
        <v>142</v>
      </c>
      <c r="H944" s="620" t="s">
        <v>191</v>
      </c>
      <c r="I944" s="621">
        <v>50</v>
      </c>
      <c r="J944" s="621">
        <v>12.7</v>
      </c>
      <c r="K944" s="603">
        <f t="shared" si="86"/>
        <v>20</v>
      </c>
      <c r="L944" s="604">
        <v>0.86805555555555547</v>
      </c>
      <c r="M944" s="605">
        <f t="shared" si="93"/>
        <v>0.86805555555555547</v>
      </c>
      <c r="N944" s="663">
        <v>0.88194444444444453</v>
      </c>
      <c r="P944" s="37" t="str">
        <f t="shared" si="88"/>
        <v>2007EF1</v>
      </c>
      <c r="Q944" s="37" t="str">
        <f t="shared" si="89"/>
        <v>EF120</v>
      </c>
      <c r="R944" s="37" t="str">
        <f t="shared" si="90"/>
        <v>AprilEF1</v>
      </c>
    </row>
    <row r="945" spans="1:18">
      <c r="A945" s="616">
        <f t="shared" si="91"/>
        <v>941</v>
      </c>
      <c r="B945" s="617">
        <f t="shared" si="92"/>
        <v>33</v>
      </c>
      <c r="C945" s="642">
        <v>39207</v>
      </c>
      <c r="D945" s="618" t="s">
        <v>177</v>
      </c>
      <c r="E945" s="633">
        <v>5</v>
      </c>
      <c r="F945" s="603">
        <v>2007</v>
      </c>
      <c r="G945" s="617" t="s">
        <v>148</v>
      </c>
      <c r="H945" s="620" t="s">
        <v>190</v>
      </c>
      <c r="I945" s="621">
        <v>100</v>
      </c>
      <c r="J945" s="621">
        <v>2.78</v>
      </c>
      <c r="K945" s="603">
        <f t="shared" si="86"/>
        <v>18</v>
      </c>
      <c r="L945" s="604">
        <v>0.76388888888888884</v>
      </c>
      <c r="M945" s="605">
        <f t="shared" si="93"/>
        <v>0.76388888888888884</v>
      </c>
      <c r="N945" s="663">
        <v>0.76597222222222217</v>
      </c>
      <c r="P945" s="37" t="str">
        <f t="shared" si="88"/>
        <v>2007EF0</v>
      </c>
      <c r="Q945" s="37" t="str">
        <f t="shared" si="89"/>
        <v>EF018</v>
      </c>
      <c r="R945" s="37" t="str">
        <f t="shared" si="90"/>
        <v>MayEF0</v>
      </c>
    </row>
    <row r="946" spans="1:18">
      <c r="A946" s="616">
        <f t="shared" si="91"/>
        <v>942</v>
      </c>
      <c r="B946" s="617">
        <f t="shared" ref="B946:B970" si="94">+B945+1</f>
        <v>34</v>
      </c>
      <c r="C946" s="642">
        <v>39207</v>
      </c>
      <c r="D946" s="618" t="s">
        <v>177</v>
      </c>
      <c r="E946" s="633">
        <v>5</v>
      </c>
      <c r="F946" s="603">
        <v>2007</v>
      </c>
      <c r="G946" s="617" t="s">
        <v>148</v>
      </c>
      <c r="H946" s="620" t="s">
        <v>191</v>
      </c>
      <c r="I946" s="621">
        <v>200</v>
      </c>
      <c r="J946" s="621">
        <v>6.99</v>
      </c>
      <c r="K946" s="603">
        <f t="shared" si="86"/>
        <v>18</v>
      </c>
      <c r="L946" s="604">
        <v>0.76875000000000004</v>
      </c>
      <c r="M946" s="605">
        <f t="shared" si="93"/>
        <v>0.76875000000000004</v>
      </c>
      <c r="N946" s="663">
        <v>0.77500000000000002</v>
      </c>
      <c r="P946" s="37" t="str">
        <f t="shared" si="88"/>
        <v>2007EF1</v>
      </c>
      <c r="Q946" s="37" t="str">
        <f t="shared" si="89"/>
        <v>EF118</v>
      </c>
      <c r="R946" s="37" t="str">
        <f t="shared" si="90"/>
        <v>MayEF1</v>
      </c>
    </row>
    <row r="947" spans="1:18">
      <c r="A947" s="616">
        <f t="shared" si="91"/>
        <v>943</v>
      </c>
      <c r="B947" s="617">
        <f t="shared" si="94"/>
        <v>35</v>
      </c>
      <c r="C947" s="642">
        <v>39207</v>
      </c>
      <c r="D947" s="618" t="s">
        <v>177</v>
      </c>
      <c r="E947" s="633">
        <v>5</v>
      </c>
      <c r="F947" s="603">
        <v>2007</v>
      </c>
      <c r="G947" s="617" t="s">
        <v>142</v>
      </c>
      <c r="H947" s="620" t="s">
        <v>190</v>
      </c>
      <c r="I947" s="621">
        <v>300</v>
      </c>
      <c r="J947" s="621">
        <v>2</v>
      </c>
      <c r="K947" s="603">
        <f t="shared" si="86"/>
        <v>22</v>
      </c>
      <c r="L947" s="604">
        <v>0.94444444444444453</v>
      </c>
      <c r="M947" s="605">
        <f t="shared" si="93"/>
        <v>0.94444444444444453</v>
      </c>
      <c r="N947" s="663">
        <v>0.94861111111111107</v>
      </c>
      <c r="P947" s="37" t="str">
        <f t="shared" si="88"/>
        <v>2007EF0</v>
      </c>
      <c r="Q947" s="37" t="str">
        <f t="shared" si="89"/>
        <v>EF022</v>
      </c>
      <c r="R947" s="37" t="str">
        <f t="shared" si="90"/>
        <v>MayEF0</v>
      </c>
    </row>
    <row r="948" spans="1:18">
      <c r="A948" s="616">
        <f t="shared" si="91"/>
        <v>944</v>
      </c>
      <c r="B948" s="617">
        <f t="shared" si="94"/>
        <v>36</v>
      </c>
      <c r="C948" s="618">
        <v>39225</v>
      </c>
      <c r="D948" s="618" t="s">
        <v>177</v>
      </c>
      <c r="E948" s="633">
        <v>23</v>
      </c>
      <c r="F948" s="603">
        <v>2007</v>
      </c>
      <c r="G948" s="617" t="s">
        <v>137</v>
      </c>
      <c r="H948" s="620" t="s">
        <v>190</v>
      </c>
      <c r="I948" s="621">
        <v>25</v>
      </c>
      <c r="J948" s="621">
        <v>0.2</v>
      </c>
      <c r="K948" s="603">
        <f t="shared" si="86"/>
        <v>15</v>
      </c>
      <c r="L948" s="604">
        <v>0.64444444444444449</v>
      </c>
      <c r="M948" s="605">
        <f t="shared" si="93"/>
        <v>0.64444444444444449</v>
      </c>
      <c r="N948" s="663">
        <v>0.64444444444444449</v>
      </c>
      <c r="P948" s="37" t="str">
        <f t="shared" si="88"/>
        <v>2007EF0</v>
      </c>
      <c r="Q948" s="37" t="str">
        <f t="shared" si="89"/>
        <v>EF015</v>
      </c>
      <c r="R948" s="37" t="str">
        <f t="shared" si="90"/>
        <v>MayEF0</v>
      </c>
    </row>
    <row r="949" spans="1:18">
      <c r="A949" s="616">
        <f t="shared" si="91"/>
        <v>945</v>
      </c>
      <c r="B949" s="617">
        <f t="shared" si="94"/>
        <v>37</v>
      </c>
      <c r="C949" s="618">
        <v>39225</v>
      </c>
      <c r="D949" s="618" t="s">
        <v>177</v>
      </c>
      <c r="E949" s="633">
        <v>23</v>
      </c>
      <c r="F949" s="603">
        <v>2007</v>
      </c>
      <c r="G949" s="617" t="s">
        <v>132</v>
      </c>
      <c r="H949" s="620" t="s">
        <v>190</v>
      </c>
      <c r="I949" s="621">
        <v>50</v>
      </c>
      <c r="J949" s="621">
        <v>1</v>
      </c>
      <c r="K949" s="603">
        <f t="shared" si="86"/>
        <v>16</v>
      </c>
      <c r="L949" s="604">
        <v>0.68402777777777779</v>
      </c>
      <c r="M949" s="605">
        <f t="shared" si="93"/>
        <v>0.68402777777777779</v>
      </c>
      <c r="N949" s="663">
        <v>0.68541666666666667</v>
      </c>
      <c r="P949" s="37" t="str">
        <f t="shared" si="88"/>
        <v>2007EF0</v>
      </c>
      <c r="Q949" s="37" t="str">
        <f t="shared" si="89"/>
        <v>EF016</v>
      </c>
      <c r="R949" s="37" t="str">
        <f t="shared" si="90"/>
        <v>MayEF0</v>
      </c>
    </row>
    <row r="950" spans="1:18">
      <c r="A950" s="616">
        <f t="shared" si="91"/>
        <v>946</v>
      </c>
      <c r="B950" s="617">
        <f t="shared" si="94"/>
        <v>38</v>
      </c>
      <c r="C950" s="618">
        <v>39225</v>
      </c>
      <c r="D950" s="618" t="s">
        <v>177</v>
      </c>
      <c r="E950" s="633">
        <v>23</v>
      </c>
      <c r="F950" s="603">
        <v>2007</v>
      </c>
      <c r="G950" s="617" t="s">
        <v>132</v>
      </c>
      <c r="H950" s="620" t="s">
        <v>190</v>
      </c>
      <c r="I950" s="621">
        <v>50</v>
      </c>
      <c r="J950" s="621">
        <v>1</v>
      </c>
      <c r="K950" s="603">
        <f t="shared" si="86"/>
        <v>16</v>
      </c>
      <c r="L950" s="604">
        <v>0.69374999999999998</v>
      </c>
      <c r="M950" s="605">
        <f t="shared" si="93"/>
        <v>0.69374999999999998</v>
      </c>
      <c r="N950" s="663">
        <v>0.69513888888888886</v>
      </c>
      <c r="P950" s="37" t="str">
        <f t="shared" si="88"/>
        <v>2007EF0</v>
      </c>
      <c r="Q950" s="37" t="str">
        <f t="shared" si="89"/>
        <v>EF016</v>
      </c>
      <c r="R950" s="37" t="str">
        <f t="shared" si="90"/>
        <v>MayEF0</v>
      </c>
    </row>
    <row r="951" spans="1:18">
      <c r="A951" s="616">
        <f t="shared" si="91"/>
        <v>947</v>
      </c>
      <c r="B951" s="617">
        <f t="shared" si="94"/>
        <v>39</v>
      </c>
      <c r="C951" s="618">
        <v>39225</v>
      </c>
      <c r="D951" s="618" t="s">
        <v>177</v>
      </c>
      <c r="E951" s="633">
        <v>23</v>
      </c>
      <c r="F951" s="603">
        <v>2007</v>
      </c>
      <c r="G951" s="617" t="s">
        <v>133</v>
      </c>
      <c r="H951" s="620" t="s">
        <v>190</v>
      </c>
      <c r="I951" s="621">
        <v>50</v>
      </c>
      <c r="J951" s="621">
        <v>1</v>
      </c>
      <c r="K951" s="603">
        <f t="shared" si="86"/>
        <v>16</v>
      </c>
      <c r="L951" s="604">
        <v>0.7055555555555556</v>
      </c>
      <c r="M951" s="605">
        <f t="shared" si="93"/>
        <v>0.7055555555555556</v>
      </c>
      <c r="N951" s="663">
        <v>0.70625000000000004</v>
      </c>
      <c r="P951" s="37" t="str">
        <f t="shared" si="88"/>
        <v>2007EF0</v>
      </c>
      <c r="Q951" s="37" t="str">
        <f t="shared" si="89"/>
        <v>EF016</v>
      </c>
      <c r="R951" s="37" t="str">
        <f t="shared" si="90"/>
        <v>MayEF0</v>
      </c>
    </row>
    <row r="952" spans="1:18">
      <c r="A952" s="616">
        <f t="shared" si="91"/>
        <v>948</v>
      </c>
      <c r="B952" s="617">
        <f t="shared" si="94"/>
        <v>40</v>
      </c>
      <c r="C952" s="618">
        <v>39225</v>
      </c>
      <c r="D952" s="618" t="s">
        <v>177</v>
      </c>
      <c r="E952" s="633">
        <v>23</v>
      </c>
      <c r="F952" s="603">
        <v>2007</v>
      </c>
      <c r="G952" s="617" t="s">
        <v>132</v>
      </c>
      <c r="H952" s="620" t="s">
        <v>190</v>
      </c>
      <c r="I952" s="621">
        <v>50</v>
      </c>
      <c r="J952" s="621">
        <v>2</v>
      </c>
      <c r="K952" s="603">
        <f t="shared" si="86"/>
        <v>17</v>
      </c>
      <c r="L952" s="604">
        <v>0.71805555555555556</v>
      </c>
      <c r="M952" s="605">
        <f t="shared" si="93"/>
        <v>0.71805555555555556</v>
      </c>
      <c r="N952" s="663">
        <v>0.71875</v>
      </c>
      <c r="P952" s="37" t="str">
        <f t="shared" si="88"/>
        <v>2007EF0</v>
      </c>
      <c r="Q952" s="37" t="str">
        <f t="shared" si="89"/>
        <v>EF017</v>
      </c>
      <c r="R952" s="37" t="str">
        <f t="shared" si="90"/>
        <v>MayEF0</v>
      </c>
    </row>
    <row r="953" spans="1:18">
      <c r="A953" s="616">
        <f t="shared" si="91"/>
        <v>949</v>
      </c>
      <c r="B953" s="617">
        <f t="shared" si="94"/>
        <v>41</v>
      </c>
      <c r="C953" s="618">
        <v>39225</v>
      </c>
      <c r="D953" s="618" t="s">
        <v>177</v>
      </c>
      <c r="E953" s="633">
        <v>23</v>
      </c>
      <c r="F953" s="603">
        <v>2007</v>
      </c>
      <c r="G953" s="617" t="s">
        <v>132</v>
      </c>
      <c r="H953" s="620" t="s">
        <v>190</v>
      </c>
      <c r="I953" s="621">
        <v>50</v>
      </c>
      <c r="J953" s="621">
        <v>2</v>
      </c>
      <c r="K953" s="603">
        <f t="shared" si="86"/>
        <v>17</v>
      </c>
      <c r="L953" s="604">
        <v>0.73611111111111116</v>
      </c>
      <c r="M953" s="605">
        <f t="shared" si="93"/>
        <v>0.73611111111111116</v>
      </c>
      <c r="N953" s="663">
        <v>0.74305555555555547</v>
      </c>
      <c r="P953" s="37" t="str">
        <f t="shared" si="88"/>
        <v>2007EF0</v>
      </c>
      <c r="Q953" s="37" t="str">
        <f t="shared" si="89"/>
        <v>EF017</v>
      </c>
      <c r="R953" s="37" t="str">
        <f t="shared" si="90"/>
        <v>MayEF0</v>
      </c>
    </row>
    <row r="954" spans="1:18">
      <c r="A954" s="616">
        <f t="shared" si="91"/>
        <v>950</v>
      </c>
      <c r="B954" s="617">
        <f t="shared" si="94"/>
        <v>42</v>
      </c>
      <c r="C954" s="618">
        <v>39225</v>
      </c>
      <c r="D954" s="618" t="s">
        <v>177</v>
      </c>
      <c r="E954" s="633">
        <v>23</v>
      </c>
      <c r="F954" s="603">
        <v>2007</v>
      </c>
      <c r="G954" s="617" t="s">
        <v>133</v>
      </c>
      <c r="H954" s="620" t="s">
        <v>190</v>
      </c>
      <c r="I954" s="621">
        <v>50</v>
      </c>
      <c r="J954" s="621">
        <v>2</v>
      </c>
      <c r="K954" s="603">
        <f t="shared" si="86"/>
        <v>18</v>
      </c>
      <c r="L954" s="604">
        <v>0.77708333333333324</v>
      </c>
      <c r="M954" s="605">
        <f t="shared" si="93"/>
        <v>0.77708333333333324</v>
      </c>
      <c r="N954" s="663">
        <v>0.78125</v>
      </c>
      <c r="P954" s="37" t="str">
        <f t="shared" si="88"/>
        <v>2007EF0</v>
      </c>
      <c r="Q954" s="37" t="str">
        <f t="shared" si="89"/>
        <v>EF018</v>
      </c>
      <c r="R954" s="37" t="str">
        <f t="shared" si="90"/>
        <v>MayEF0</v>
      </c>
    </row>
    <row r="955" spans="1:18">
      <c r="A955" s="616">
        <f t="shared" si="91"/>
        <v>951</v>
      </c>
      <c r="B955" s="617">
        <f t="shared" si="94"/>
        <v>43</v>
      </c>
      <c r="C955" s="618">
        <v>39225</v>
      </c>
      <c r="D955" s="618" t="s">
        <v>177</v>
      </c>
      <c r="E955" s="633">
        <v>23</v>
      </c>
      <c r="F955" s="603">
        <v>2007</v>
      </c>
      <c r="G955" s="617" t="s">
        <v>136</v>
      </c>
      <c r="H955" s="620" t="s">
        <v>190</v>
      </c>
      <c r="I955" s="621">
        <v>25</v>
      </c>
      <c r="J955" s="621">
        <v>0.1</v>
      </c>
      <c r="K955" s="603">
        <f t="shared" si="86"/>
        <v>19</v>
      </c>
      <c r="L955" s="604">
        <v>0.80208333333333337</v>
      </c>
      <c r="M955" s="605">
        <f t="shared" si="93"/>
        <v>0.80208333333333337</v>
      </c>
      <c r="N955" s="663">
        <v>0.80208333333333337</v>
      </c>
      <c r="P955" s="37" t="str">
        <f t="shared" si="88"/>
        <v>2007EF0</v>
      </c>
      <c r="Q955" s="37" t="str">
        <f t="shared" si="89"/>
        <v>EF019</v>
      </c>
      <c r="R955" s="37" t="str">
        <f t="shared" si="90"/>
        <v>MayEF0</v>
      </c>
    </row>
    <row r="956" spans="1:18">
      <c r="A956" s="616">
        <f t="shared" si="91"/>
        <v>952</v>
      </c>
      <c r="B956" s="617">
        <f t="shared" si="94"/>
        <v>44</v>
      </c>
      <c r="C956" s="618">
        <v>39225</v>
      </c>
      <c r="D956" s="618" t="s">
        <v>177</v>
      </c>
      <c r="E956" s="633">
        <v>23</v>
      </c>
      <c r="F956" s="603">
        <v>2007</v>
      </c>
      <c r="G956" s="617" t="s">
        <v>136</v>
      </c>
      <c r="H956" s="620" t="s">
        <v>190</v>
      </c>
      <c r="I956" s="621">
        <v>50</v>
      </c>
      <c r="J956" s="621">
        <v>0.1</v>
      </c>
      <c r="K956" s="603">
        <f t="shared" ref="K956:K994" si="95">HOUR(M956)</f>
        <v>19</v>
      </c>
      <c r="L956" s="604">
        <v>0.80347222222222225</v>
      </c>
      <c r="M956" s="605">
        <f t="shared" si="93"/>
        <v>0.80347222222222225</v>
      </c>
      <c r="N956" s="663">
        <v>0.80347222222222225</v>
      </c>
      <c r="P956" s="37" t="str">
        <f t="shared" si="88"/>
        <v>2007EF0</v>
      </c>
      <c r="Q956" s="37" t="str">
        <f t="shared" si="89"/>
        <v>EF019</v>
      </c>
      <c r="R956" s="37" t="str">
        <f t="shared" si="90"/>
        <v>MayEF0</v>
      </c>
    </row>
    <row r="957" spans="1:18">
      <c r="A957" s="616">
        <f t="shared" si="91"/>
        <v>953</v>
      </c>
      <c r="B957" s="617">
        <f t="shared" si="94"/>
        <v>45</v>
      </c>
      <c r="C957" s="618">
        <v>39225</v>
      </c>
      <c r="D957" s="618" t="s">
        <v>177</v>
      </c>
      <c r="E957" s="633">
        <v>23</v>
      </c>
      <c r="F957" s="603">
        <v>2007</v>
      </c>
      <c r="G957" s="617" t="s">
        <v>137</v>
      </c>
      <c r="H957" s="620" t="s">
        <v>190</v>
      </c>
      <c r="I957" s="621">
        <v>100</v>
      </c>
      <c r="J957" s="621">
        <v>2</v>
      </c>
      <c r="K957" s="603">
        <f t="shared" si="95"/>
        <v>20</v>
      </c>
      <c r="L957" s="604">
        <v>0.85277777777777775</v>
      </c>
      <c r="M957" s="605">
        <f t="shared" si="93"/>
        <v>0.85277777777777775</v>
      </c>
      <c r="N957" s="663">
        <v>0.85555555555555562</v>
      </c>
      <c r="P957" s="37" t="str">
        <f t="shared" si="88"/>
        <v>2007EF0</v>
      </c>
      <c r="Q957" s="37" t="str">
        <f t="shared" si="89"/>
        <v>EF020</v>
      </c>
      <c r="R957" s="37" t="str">
        <f t="shared" si="90"/>
        <v>MayEF0</v>
      </c>
    </row>
    <row r="958" spans="1:18">
      <c r="A958" s="616">
        <f t="shared" si="91"/>
        <v>954</v>
      </c>
      <c r="B958" s="617">
        <f t="shared" si="94"/>
        <v>46</v>
      </c>
      <c r="C958" s="618">
        <v>39225</v>
      </c>
      <c r="D958" s="618" t="s">
        <v>177</v>
      </c>
      <c r="E958" s="633">
        <v>23</v>
      </c>
      <c r="F958" s="603">
        <v>2007</v>
      </c>
      <c r="G958" s="617" t="s">
        <v>132</v>
      </c>
      <c r="H958" s="620" t="s">
        <v>191</v>
      </c>
      <c r="I958" s="621">
        <v>880</v>
      </c>
      <c r="J958" s="621">
        <v>3</v>
      </c>
      <c r="K958" s="603">
        <f t="shared" si="95"/>
        <v>20</v>
      </c>
      <c r="L958" s="604">
        <v>0.86319444444444438</v>
      </c>
      <c r="M958" s="605">
        <f t="shared" si="93"/>
        <v>0.86319444444444438</v>
      </c>
      <c r="N958" s="663">
        <v>0.86805555555555547</v>
      </c>
      <c r="P958" s="37" t="str">
        <f t="shared" si="88"/>
        <v>2007EF1</v>
      </c>
      <c r="Q958" s="37" t="str">
        <f t="shared" si="89"/>
        <v>EF120</v>
      </c>
      <c r="R958" s="37" t="str">
        <f t="shared" si="90"/>
        <v>MayEF1</v>
      </c>
    </row>
    <row r="959" spans="1:18">
      <c r="A959" s="616">
        <f t="shared" si="91"/>
        <v>955</v>
      </c>
      <c r="B959" s="617">
        <f t="shared" si="94"/>
        <v>47</v>
      </c>
      <c r="C959" s="618">
        <v>39225</v>
      </c>
      <c r="D959" s="618" t="s">
        <v>177</v>
      </c>
      <c r="E959" s="633">
        <v>23</v>
      </c>
      <c r="F959" s="603">
        <v>2007</v>
      </c>
      <c r="G959" s="617" t="s">
        <v>133</v>
      </c>
      <c r="H959" s="620" t="s">
        <v>189</v>
      </c>
      <c r="I959" s="621">
        <v>440</v>
      </c>
      <c r="J959" s="621">
        <v>7</v>
      </c>
      <c r="K959" s="603">
        <f t="shared" si="95"/>
        <v>21</v>
      </c>
      <c r="L959" s="604">
        <v>0.90277777777777779</v>
      </c>
      <c r="M959" s="605">
        <f t="shared" si="93"/>
        <v>0.90277777777777779</v>
      </c>
      <c r="N959" s="663">
        <v>0.90972222222222221</v>
      </c>
      <c r="P959" s="37" t="str">
        <f t="shared" si="88"/>
        <v>2007EF2</v>
      </c>
      <c r="Q959" s="37" t="str">
        <f t="shared" si="89"/>
        <v>EF221</v>
      </c>
      <c r="R959" s="37" t="str">
        <f t="shared" si="90"/>
        <v>MayEF2</v>
      </c>
    </row>
    <row r="960" spans="1:18">
      <c r="A960" s="616">
        <f t="shared" si="91"/>
        <v>956</v>
      </c>
      <c r="B960" s="617">
        <f t="shared" si="94"/>
        <v>48</v>
      </c>
      <c r="C960" s="618">
        <v>39225</v>
      </c>
      <c r="D960" s="618" t="s">
        <v>177</v>
      </c>
      <c r="E960" s="633">
        <v>23</v>
      </c>
      <c r="F960" s="603">
        <v>2007</v>
      </c>
      <c r="G960" s="617" t="s">
        <v>133</v>
      </c>
      <c r="H960" s="620" t="s">
        <v>191</v>
      </c>
      <c r="I960" s="621">
        <v>150</v>
      </c>
      <c r="J960" s="621">
        <v>4</v>
      </c>
      <c r="K960" s="603">
        <f t="shared" si="95"/>
        <v>21</v>
      </c>
      <c r="L960" s="604">
        <v>0.91319444444444453</v>
      </c>
      <c r="M960" s="605">
        <f t="shared" si="93"/>
        <v>0.91319444444444453</v>
      </c>
      <c r="N960" s="663">
        <v>0.92013888888888884</v>
      </c>
      <c r="P960" s="37" t="str">
        <f t="shared" si="88"/>
        <v>2007EF1</v>
      </c>
      <c r="Q960" s="37" t="str">
        <f t="shared" si="89"/>
        <v>EF121</v>
      </c>
      <c r="R960" s="37" t="str">
        <f t="shared" si="90"/>
        <v>MayEF1</v>
      </c>
    </row>
    <row r="961" spans="1:18">
      <c r="A961" s="616">
        <f t="shared" si="91"/>
        <v>957</v>
      </c>
      <c r="B961" s="617">
        <f t="shared" si="94"/>
        <v>49</v>
      </c>
      <c r="C961" s="618">
        <v>39225</v>
      </c>
      <c r="D961" s="618" t="s">
        <v>177</v>
      </c>
      <c r="E961" s="633">
        <v>23</v>
      </c>
      <c r="F961" s="603">
        <v>2007</v>
      </c>
      <c r="G961" s="617" t="s">
        <v>133</v>
      </c>
      <c r="H961" s="620" t="s">
        <v>189</v>
      </c>
      <c r="I961" s="621">
        <v>528</v>
      </c>
      <c r="J961" s="621">
        <v>8</v>
      </c>
      <c r="K961" s="603">
        <f t="shared" si="95"/>
        <v>22</v>
      </c>
      <c r="L961" s="604">
        <v>0.9243055555555556</v>
      </c>
      <c r="M961" s="605">
        <f t="shared" si="93"/>
        <v>0.9243055555555556</v>
      </c>
      <c r="N961" s="663">
        <v>0.93472222222222223</v>
      </c>
      <c r="P961" s="37" t="str">
        <f t="shared" si="88"/>
        <v>2007EF2</v>
      </c>
      <c r="Q961" s="37" t="str">
        <f t="shared" si="89"/>
        <v>EF222</v>
      </c>
      <c r="R961" s="37" t="str">
        <f t="shared" si="90"/>
        <v>MayEF2</v>
      </c>
    </row>
    <row r="962" spans="1:18">
      <c r="A962" s="616">
        <f t="shared" si="91"/>
        <v>958</v>
      </c>
      <c r="B962" s="617">
        <f t="shared" si="94"/>
        <v>50</v>
      </c>
      <c r="C962" s="618">
        <v>39233</v>
      </c>
      <c r="D962" s="618" t="s">
        <v>177</v>
      </c>
      <c r="E962" s="633">
        <v>31</v>
      </c>
      <c r="F962" s="603">
        <v>2007</v>
      </c>
      <c r="G962" s="617" t="s">
        <v>126</v>
      </c>
      <c r="H962" s="620" t="s">
        <v>190</v>
      </c>
      <c r="I962" s="621">
        <v>100</v>
      </c>
      <c r="J962" s="621">
        <v>0.1</v>
      </c>
      <c r="K962" s="603">
        <f t="shared" si="95"/>
        <v>17</v>
      </c>
      <c r="L962" s="604">
        <v>0.74652777777777779</v>
      </c>
      <c r="M962" s="605">
        <f t="shared" si="93"/>
        <v>0.74652777777777779</v>
      </c>
      <c r="N962" s="663">
        <v>0.74652777777777779</v>
      </c>
      <c r="P962" s="37" t="str">
        <f t="shared" si="88"/>
        <v>2007EF0</v>
      </c>
      <c r="Q962" s="37" t="str">
        <f t="shared" si="89"/>
        <v>EF017</v>
      </c>
      <c r="R962" s="37" t="str">
        <f t="shared" si="90"/>
        <v>MayEF0</v>
      </c>
    </row>
    <row r="963" spans="1:18">
      <c r="A963" s="616">
        <f t="shared" si="91"/>
        <v>959</v>
      </c>
      <c r="B963" s="617">
        <f t="shared" si="94"/>
        <v>51</v>
      </c>
      <c r="C963" s="618">
        <v>39233</v>
      </c>
      <c r="D963" s="618" t="s">
        <v>177</v>
      </c>
      <c r="E963" s="633">
        <v>31</v>
      </c>
      <c r="F963" s="603">
        <v>2007</v>
      </c>
      <c r="G963" s="617" t="s">
        <v>126</v>
      </c>
      <c r="H963" s="620" t="s">
        <v>190</v>
      </c>
      <c r="I963" s="621">
        <v>100</v>
      </c>
      <c r="J963" s="621">
        <v>0.3</v>
      </c>
      <c r="K963" s="603">
        <f t="shared" si="95"/>
        <v>18</v>
      </c>
      <c r="L963" s="604">
        <v>0.75763888888888886</v>
      </c>
      <c r="M963" s="605">
        <f t="shared" si="93"/>
        <v>0.75763888888888886</v>
      </c>
      <c r="N963" s="663">
        <v>0.7583333333333333</v>
      </c>
      <c r="P963" s="37" t="str">
        <f t="shared" si="88"/>
        <v>2007EF0</v>
      </c>
      <c r="Q963" s="37" t="str">
        <f t="shared" si="89"/>
        <v>EF018</v>
      </c>
      <c r="R963" s="37" t="str">
        <f t="shared" si="90"/>
        <v>MayEF0</v>
      </c>
    </row>
    <row r="964" spans="1:18">
      <c r="A964" s="616">
        <f t="shared" si="91"/>
        <v>960</v>
      </c>
      <c r="B964" s="617">
        <f t="shared" si="94"/>
        <v>52</v>
      </c>
      <c r="C964" s="618">
        <v>39233</v>
      </c>
      <c r="D964" s="618" t="s">
        <v>177</v>
      </c>
      <c r="E964" s="633">
        <v>31</v>
      </c>
      <c r="F964" s="603">
        <v>2007</v>
      </c>
      <c r="G964" s="617" t="s">
        <v>127</v>
      </c>
      <c r="H964" s="620" t="s">
        <v>190</v>
      </c>
      <c r="I964" s="621">
        <v>50</v>
      </c>
      <c r="J964" s="621">
        <v>0.1</v>
      </c>
      <c r="K964" s="603">
        <f t="shared" si="95"/>
        <v>18</v>
      </c>
      <c r="L964" s="604">
        <v>0.77916666666666667</v>
      </c>
      <c r="M964" s="605">
        <f t="shared" si="93"/>
        <v>0.77916666666666667</v>
      </c>
      <c r="N964" s="663">
        <v>0.77916666666666667</v>
      </c>
      <c r="P964" s="37" t="str">
        <f t="shared" si="88"/>
        <v>2007EF0</v>
      </c>
      <c r="Q964" s="37" t="str">
        <f t="shared" si="89"/>
        <v>EF018</v>
      </c>
      <c r="R964" s="37" t="str">
        <f t="shared" si="90"/>
        <v>MayEF0</v>
      </c>
    </row>
    <row r="965" spans="1:18">
      <c r="A965" s="616">
        <f t="shared" si="91"/>
        <v>961</v>
      </c>
      <c r="B965" s="617">
        <f t="shared" si="94"/>
        <v>53</v>
      </c>
      <c r="C965" s="618">
        <v>39233</v>
      </c>
      <c r="D965" s="618" t="s">
        <v>177</v>
      </c>
      <c r="E965" s="633">
        <v>31</v>
      </c>
      <c r="F965" s="603">
        <v>2007</v>
      </c>
      <c r="G965" s="617" t="s">
        <v>127</v>
      </c>
      <c r="H965" s="620" t="s">
        <v>190</v>
      </c>
      <c r="I965" s="621">
        <v>75</v>
      </c>
      <c r="J965" s="621">
        <v>0.1</v>
      </c>
      <c r="K965" s="603">
        <f t="shared" si="95"/>
        <v>18</v>
      </c>
      <c r="L965" s="604">
        <v>0.78402777777777777</v>
      </c>
      <c r="M965" s="605">
        <f t="shared" si="93"/>
        <v>0.78402777777777777</v>
      </c>
      <c r="N965" s="663">
        <v>0.78402777777777777</v>
      </c>
      <c r="P965" s="37" t="str">
        <f t="shared" si="88"/>
        <v>2007EF0</v>
      </c>
      <c r="Q965" s="37" t="str">
        <f t="shared" si="89"/>
        <v>EF018</v>
      </c>
      <c r="R965" s="37" t="str">
        <f t="shared" si="90"/>
        <v>MayEF0</v>
      </c>
    </row>
    <row r="966" spans="1:18">
      <c r="A966" s="616">
        <f t="shared" si="91"/>
        <v>962</v>
      </c>
      <c r="B966" s="617">
        <f t="shared" si="94"/>
        <v>54</v>
      </c>
      <c r="C966" s="618">
        <v>39233</v>
      </c>
      <c r="D966" s="618" t="s">
        <v>177</v>
      </c>
      <c r="E966" s="633">
        <v>31</v>
      </c>
      <c r="F966" s="603">
        <v>2007</v>
      </c>
      <c r="G966" s="617" t="s">
        <v>127</v>
      </c>
      <c r="H966" s="620" t="s">
        <v>190</v>
      </c>
      <c r="I966" s="621">
        <v>150</v>
      </c>
      <c r="J966" s="621">
        <v>0.5</v>
      </c>
      <c r="K966" s="603">
        <f t="shared" si="95"/>
        <v>18</v>
      </c>
      <c r="L966" s="604">
        <v>0.79027777777777775</v>
      </c>
      <c r="M966" s="605">
        <f t="shared" si="93"/>
        <v>0.79027777777777775</v>
      </c>
      <c r="N966" s="663">
        <v>0.79166666666666663</v>
      </c>
      <c r="P966" s="37" t="str">
        <f t="shared" ref="P966:P1029" si="96">CONCATENATE(F966,H966)</f>
        <v>2007EF0</v>
      </c>
      <c r="Q966" s="37" t="str">
        <f t="shared" ref="Q966:Q1029" si="97">CONCATENATE(H966,K966)</f>
        <v>EF018</v>
      </c>
      <c r="R966" s="37" t="str">
        <f t="shared" ref="R966:R1029" si="98">CONCATENATE(D966,H966)</f>
        <v>MayEF0</v>
      </c>
    </row>
    <row r="967" spans="1:18">
      <c r="A967" s="616">
        <f t="shared" ref="A967:A1030" si="99">+A966+1</f>
        <v>963</v>
      </c>
      <c r="B967" s="617">
        <f t="shared" si="94"/>
        <v>55</v>
      </c>
      <c r="C967" s="618">
        <v>39233</v>
      </c>
      <c r="D967" s="618" t="s">
        <v>177</v>
      </c>
      <c r="E967" s="633">
        <v>31</v>
      </c>
      <c r="F967" s="603">
        <v>2007</v>
      </c>
      <c r="G967" s="617" t="s">
        <v>127</v>
      </c>
      <c r="H967" s="620" t="s">
        <v>191</v>
      </c>
      <c r="I967" s="621">
        <v>300</v>
      </c>
      <c r="J967" s="621">
        <v>5.27</v>
      </c>
      <c r="K967" s="603">
        <f t="shared" si="95"/>
        <v>19</v>
      </c>
      <c r="L967" s="604">
        <v>0.79583333333333339</v>
      </c>
      <c r="M967" s="605">
        <f t="shared" si="93"/>
        <v>0.79583333333333339</v>
      </c>
      <c r="N967" s="663">
        <v>0.80347222222222225</v>
      </c>
      <c r="P967" s="37" t="str">
        <f t="shared" si="96"/>
        <v>2007EF1</v>
      </c>
      <c r="Q967" s="37" t="str">
        <f t="shared" si="97"/>
        <v>EF119</v>
      </c>
      <c r="R967" s="37" t="str">
        <f t="shared" si="98"/>
        <v>MayEF1</v>
      </c>
    </row>
    <row r="968" spans="1:18">
      <c r="A968" s="616">
        <f t="shared" si="99"/>
        <v>964</v>
      </c>
      <c r="B968" s="617">
        <f t="shared" si="94"/>
        <v>56</v>
      </c>
      <c r="C968" s="618">
        <v>39233</v>
      </c>
      <c r="D968" s="618" t="s">
        <v>177</v>
      </c>
      <c r="E968" s="633">
        <v>31</v>
      </c>
      <c r="F968" s="603">
        <v>2007</v>
      </c>
      <c r="G968" s="617" t="s">
        <v>127</v>
      </c>
      <c r="H968" s="620" t="s">
        <v>190</v>
      </c>
      <c r="I968" s="621">
        <v>75</v>
      </c>
      <c r="J968" s="621">
        <v>0.1</v>
      </c>
      <c r="K968" s="603">
        <f t="shared" si="95"/>
        <v>19</v>
      </c>
      <c r="L968" s="604">
        <v>0.80833333333333324</v>
      </c>
      <c r="M968" s="605">
        <f t="shared" si="93"/>
        <v>0.80833333333333324</v>
      </c>
      <c r="N968" s="663">
        <v>0.80902777777777779</v>
      </c>
      <c r="P968" s="37" t="str">
        <f t="shared" si="96"/>
        <v>2007EF0</v>
      </c>
      <c r="Q968" s="37" t="str">
        <f t="shared" si="97"/>
        <v>EF019</v>
      </c>
      <c r="R968" s="37" t="str">
        <f t="shared" si="98"/>
        <v>MayEF0</v>
      </c>
    </row>
    <row r="969" spans="1:18">
      <c r="A969" s="616">
        <f t="shared" si="99"/>
        <v>965</v>
      </c>
      <c r="B969" s="617">
        <f t="shared" si="94"/>
        <v>57</v>
      </c>
      <c r="C969" s="618">
        <v>39252</v>
      </c>
      <c r="D969" s="618" t="s">
        <v>178</v>
      </c>
      <c r="E969" s="633">
        <v>19</v>
      </c>
      <c r="F969" s="603">
        <v>2007</v>
      </c>
      <c r="G969" s="617" t="s">
        <v>127</v>
      </c>
      <c r="H969" s="620" t="s">
        <v>190</v>
      </c>
      <c r="I969" s="621">
        <v>50</v>
      </c>
      <c r="J969" s="621">
        <v>2.2400000000000002</v>
      </c>
      <c r="K969" s="603">
        <f t="shared" si="95"/>
        <v>20</v>
      </c>
      <c r="L969" s="604">
        <v>0.85972222222222217</v>
      </c>
      <c r="M969" s="605">
        <f t="shared" si="93"/>
        <v>0.85972222222222217</v>
      </c>
      <c r="N969" s="663">
        <v>0.86458333333333337</v>
      </c>
      <c r="P969" s="37" t="str">
        <f t="shared" si="96"/>
        <v>2007EF0</v>
      </c>
      <c r="Q969" s="37" t="str">
        <f t="shared" si="97"/>
        <v>EF020</v>
      </c>
      <c r="R969" s="37" t="str">
        <f t="shared" si="98"/>
        <v>JuneEF0</v>
      </c>
    </row>
    <row r="970" spans="1:18">
      <c r="A970" s="616">
        <f t="shared" si="99"/>
        <v>966</v>
      </c>
      <c r="B970" s="617">
        <f t="shared" si="94"/>
        <v>58</v>
      </c>
      <c r="C970" s="618">
        <v>39372</v>
      </c>
      <c r="D970" s="618" t="s">
        <v>182</v>
      </c>
      <c r="E970" s="633">
        <v>17</v>
      </c>
      <c r="F970" s="603">
        <v>2007</v>
      </c>
      <c r="G970" s="617" t="s">
        <v>145</v>
      </c>
      <c r="H970" s="620" t="s">
        <v>191</v>
      </c>
      <c r="I970" s="621">
        <v>300</v>
      </c>
      <c r="J970" s="621">
        <v>11.46</v>
      </c>
      <c r="K970" s="603">
        <f t="shared" si="95"/>
        <v>23</v>
      </c>
      <c r="L970" s="604">
        <v>0.96944444444444444</v>
      </c>
      <c r="M970" s="605">
        <f t="shared" si="93"/>
        <v>0.96944444444444444</v>
      </c>
      <c r="N970" s="663">
        <v>0.98263888888888884</v>
      </c>
      <c r="P970" s="37" t="str">
        <f t="shared" si="96"/>
        <v>2007EF1</v>
      </c>
      <c r="Q970" s="37" t="str">
        <f t="shared" si="97"/>
        <v>EF123</v>
      </c>
      <c r="R970" s="37" t="str">
        <f t="shared" si="98"/>
        <v>OctoberEF1</v>
      </c>
    </row>
    <row r="971" spans="1:18">
      <c r="A971" s="616">
        <f t="shared" si="99"/>
        <v>967</v>
      </c>
      <c r="B971" s="617">
        <v>1</v>
      </c>
      <c r="C971" s="618">
        <v>39564</v>
      </c>
      <c r="D971" s="618" t="s">
        <v>176</v>
      </c>
      <c r="E971" s="633">
        <v>26</v>
      </c>
      <c r="F971" s="603">
        <v>2008</v>
      </c>
      <c r="G971" s="617" t="s">
        <v>132</v>
      </c>
      <c r="H971" s="620" t="s">
        <v>190</v>
      </c>
      <c r="I971" s="621">
        <v>20</v>
      </c>
      <c r="J971" s="621">
        <v>0.1</v>
      </c>
      <c r="K971" s="603">
        <f t="shared" si="95"/>
        <v>13</v>
      </c>
      <c r="L971" s="604">
        <v>0.5625</v>
      </c>
      <c r="M971" s="605">
        <f t="shared" si="93"/>
        <v>0.5625</v>
      </c>
      <c r="N971" s="663">
        <v>0.56597222222222221</v>
      </c>
      <c r="P971" s="37" t="str">
        <f t="shared" si="96"/>
        <v>2008EF0</v>
      </c>
      <c r="Q971" s="37" t="str">
        <f t="shared" si="97"/>
        <v>EF013</v>
      </c>
      <c r="R971" s="37" t="str">
        <f t="shared" si="98"/>
        <v>AprilEF0</v>
      </c>
    </row>
    <row r="972" spans="1:18">
      <c r="A972" s="616">
        <f t="shared" si="99"/>
        <v>968</v>
      </c>
      <c r="B972" s="617">
        <v>2</v>
      </c>
      <c r="C972" s="618">
        <v>39593</v>
      </c>
      <c r="D972" s="618" t="s">
        <v>177</v>
      </c>
      <c r="E972" s="633">
        <v>25</v>
      </c>
      <c r="F972" s="603">
        <v>2008</v>
      </c>
      <c r="G972" s="617" t="s">
        <v>134</v>
      </c>
      <c r="H972" s="620" t="s">
        <v>190</v>
      </c>
      <c r="I972" s="621">
        <v>50</v>
      </c>
      <c r="J972" s="621">
        <v>1.73</v>
      </c>
      <c r="K972" s="603">
        <f t="shared" si="95"/>
        <v>14</v>
      </c>
      <c r="L972" s="604">
        <v>0.60347222222222219</v>
      </c>
      <c r="M972" s="605">
        <f t="shared" si="93"/>
        <v>0.60347222222222219</v>
      </c>
      <c r="N972" s="663">
        <v>0.60763888888888895</v>
      </c>
      <c r="P972" s="37" t="str">
        <f t="shared" si="96"/>
        <v>2008EF0</v>
      </c>
      <c r="Q972" s="37" t="str">
        <f t="shared" si="97"/>
        <v>EF014</v>
      </c>
      <c r="R972" s="37" t="str">
        <f t="shared" si="98"/>
        <v>MayEF0</v>
      </c>
    </row>
    <row r="973" spans="1:18">
      <c r="A973" s="616">
        <f t="shared" si="99"/>
        <v>969</v>
      </c>
      <c r="B973" s="617">
        <v>3</v>
      </c>
      <c r="C973" s="618">
        <v>39593</v>
      </c>
      <c r="D973" s="618" t="s">
        <v>177</v>
      </c>
      <c r="E973" s="633">
        <v>25</v>
      </c>
      <c r="F973" s="603">
        <v>2008</v>
      </c>
      <c r="G973" s="617" t="s">
        <v>134</v>
      </c>
      <c r="H973" s="620" t="s">
        <v>190</v>
      </c>
      <c r="I973" s="621">
        <v>75</v>
      </c>
      <c r="J973" s="621">
        <v>7.65</v>
      </c>
      <c r="K973" s="603">
        <f t="shared" si="95"/>
        <v>14</v>
      </c>
      <c r="L973" s="604">
        <v>0.60902777777777783</v>
      </c>
      <c r="M973" s="605">
        <f t="shared" si="93"/>
        <v>0.60902777777777783</v>
      </c>
      <c r="N973" s="663">
        <v>0.61736111111111114</v>
      </c>
      <c r="P973" s="37" t="str">
        <f t="shared" si="96"/>
        <v>2008EF0</v>
      </c>
      <c r="Q973" s="37" t="str">
        <f t="shared" si="97"/>
        <v>EF014</v>
      </c>
      <c r="R973" s="37" t="str">
        <f t="shared" si="98"/>
        <v>MayEF0</v>
      </c>
    </row>
    <row r="974" spans="1:18">
      <c r="A974" s="616">
        <f t="shared" si="99"/>
        <v>970</v>
      </c>
      <c r="B974" s="617">
        <v>4</v>
      </c>
      <c r="C974" s="618">
        <v>39593</v>
      </c>
      <c r="D974" s="618" t="s">
        <v>177</v>
      </c>
      <c r="E974" s="633">
        <v>25</v>
      </c>
      <c r="F974" s="603">
        <v>2008</v>
      </c>
      <c r="G974" s="617" t="s">
        <v>136</v>
      </c>
      <c r="H974" s="620" t="s">
        <v>190</v>
      </c>
      <c r="I974" s="621">
        <v>50</v>
      </c>
      <c r="J974" s="621">
        <v>0.5</v>
      </c>
      <c r="K974" s="603">
        <f t="shared" si="95"/>
        <v>15</v>
      </c>
      <c r="L974" s="604">
        <v>0.66180555555555554</v>
      </c>
      <c r="M974" s="605">
        <f t="shared" si="93"/>
        <v>0.66180555555555554</v>
      </c>
      <c r="N974" s="663">
        <v>0.66249999999999998</v>
      </c>
      <c r="P974" s="37" t="str">
        <f t="shared" si="96"/>
        <v>2008EF0</v>
      </c>
      <c r="Q974" s="37" t="str">
        <f t="shared" si="97"/>
        <v>EF015</v>
      </c>
      <c r="R974" s="37" t="str">
        <f t="shared" si="98"/>
        <v>MayEF0</v>
      </c>
    </row>
    <row r="975" spans="1:18">
      <c r="A975" s="616">
        <f t="shared" si="99"/>
        <v>971</v>
      </c>
      <c r="B975" s="617">
        <v>5</v>
      </c>
      <c r="C975" s="618">
        <v>39594</v>
      </c>
      <c r="D975" s="618" t="s">
        <v>177</v>
      </c>
      <c r="E975" s="633">
        <v>26</v>
      </c>
      <c r="F975" s="603">
        <v>2008</v>
      </c>
      <c r="G975" s="617" t="s">
        <v>148</v>
      </c>
      <c r="H975" s="620" t="s">
        <v>190</v>
      </c>
      <c r="I975" s="621">
        <v>25</v>
      </c>
      <c r="J975" s="621">
        <v>0.05</v>
      </c>
      <c r="K975" s="603">
        <f t="shared" si="95"/>
        <v>17</v>
      </c>
      <c r="L975" s="604">
        <v>0.72638888888888886</v>
      </c>
      <c r="M975" s="605">
        <f t="shared" si="93"/>
        <v>0.72638888888888886</v>
      </c>
      <c r="N975" s="663">
        <v>0.7270833333333333</v>
      </c>
      <c r="P975" s="37" t="str">
        <f t="shared" si="96"/>
        <v>2008EF0</v>
      </c>
      <c r="Q975" s="37" t="str">
        <f t="shared" si="97"/>
        <v>EF017</v>
      </c>
      <c r="R975" s="37" t="str">
        <f t="shared" si="98"/>
        <v>MayEF0</v>
      </c>
    </row>
    <row r="976" spans="1:18">
      <c r="A976" s="616">
        <f t="shared" si="99"/>
        <v>972</v>
      </c>
      <c r="B976" s="617">
        <v>6</v>
      </c>
      <c r="C976" s="618">
        <v>39594</v>
      </c>
      <c r="D976" s="618" t="s">
        <v>177</v>
      </c>
      <c r="E976" s="633">
        <v>26</v>
      </c>
      <c r="F976" s="603">
        <v>2008</v>
      </c>
      <c r="G976" s="617" t="s">
        <v>148</v>
      </c>
      <c r="H976" s="620" t="s">
        <v>190</v>
      </c>
      <c r="I976" s="621">
        <v>25</v>
      </c>
      <c r="J976" s="621">
        <v>0.04</v>
      </c>
      <c r="K976" s="603">
        <f t="shared" si="95"/>
        <v>17</v>
      </c>
      <c r="L976" s="604">
        <v>0.73819444444444438</v>
      </c>
      <c r="M976" s="605">
        <f t="shared" si="93"/>
        <v>0.73819444444444438</v>
      </c>
      <c r="N976" s="663">
        <v>0.73888888888888893</v>
      </c>
      <c r="P976" s="37" t="str">
        <f t="shared" si="96"/>
        <v>2008EF0</v>
      </c>
      <c r="Q976" s="37" t="str">
        <f t="shared" si="97"/>
        <v>EF017</v>
      </c>
      <c r="R976" s="37" t="str">
        <f t="shared" si="98"/>
        <v>MayEF0</v>
      </c>
    </row>
    <row r="977" spans="1:18">
      <c r="A977" s="616">
        <f t="shared" si="99"/>
        <v>973</v>
      </c>
      <c r="B977" s="617">
        <v>7</v>
      </c>
      <c r="C977" s="643">
        <v>39613</v>
      </c>
      <c r="D977" s="618" t="s">
        <v>178</v>
      </c>
      <c r="E977" s="633">
        <v>14</v>
      </c>
      <c r="F977" s="644">
        <v>2008</v>
      </c>
      <c r="G977" s="617" t="s">
        <v>146</v>
      </c>
      <c r="H977" s="645" t="s">
        <v>190</v>
      </c>
      <c r="I977" s="621">
        <v>20</v>
      </c>
      <c r="J977" s="621">
        <v>0.16</v>
      </c>
      <c r="K977" s="603">
        <f t="shared" si="95"/>
        <v>16</v>
      </c>
      <c r="L977" s="646">
        <v>0.69791666666666663</v>
      </c>
      <c r="M977" s="605">
        <f t="shared" si="93"/>
        <v>0.69791666666666663</v>
      </c>
      <c r="N977" s="663">
        <v>0.69861111111111107</v>
      </c>
      <c r="P977" s="37" t="str">
        <f t="shared" si="96"/>
        <v>2008EF0</v>
      </c>
      <c r="Q977" s="37" t="str">
        <f t="shared" si="97"/>
        <v>EF016</v>
      </c>
      <c r="R977" s="37" t="str">
        <f t="shared" si="98"/>
        <v>JuneEF0</v>
      </c>
    </row>
    <row r="978" spans="1:18">
      <c r="A978" s="616">
        <f t="shared" si="99"/>
        <v>974</v>
      </c>
      <c r="B978" s="617">
        <v>8</v>
      </c>
      <c r="C978" s="618">
        <v>39614</v>
      </c>
      <c r="D978" s="618" t="s">
        <v>178</v>
      </c>
      <c r="E978" s="633">
        <v>15</v>
      </c>
      <c r="F978" s="603">
        <v>2008</v>
      </c>
      <c r="G978" s="617" t="s">
        <v>128</v>
      </c>
      <c r="H978" s="620" t="s">
        <v>190</v>
      </c>
      <c r="I978" s="621">
        <v>50</v>
      </c>
      <c r="J978" s="621">
        <v>3.2</v>
      </c>
      <c r="K978" s="603">
        <f t="shared" si="95"/>
        <v>17</v>
      </c>
      <c r="L978" s="604">
        <v>0.73402777777777783</v>
      </c>
      <c r="M978" s="605">
        <f t="shared" si="93"/>
        <v>0.73402777777777783</v>
      </c>
      <c r="N978" s="663">
        <v>0.74861111111111101</v>
      </c>
      <c r="P978" s="37" t="str">
        <f t="shared" si="96"/>
        <v>2008EF0</v>
      </c>
      <c r="Q978" s="37" t="str">
        <f t="shared" si="97"/>
        <v>EF017</v>
      </c>
      <c r="R978" s="37" t="str">
        <f t="shared" si="98"/>
        <v>JuneEF0</v>
      </c>
    </row>
    <row r="979" spans="1:18">
      <c r="A979" s="616">
        <f t="shared" si="99"/>
        <v>975</v>
      </c>
      <c r="B979" s="617">
        <v>9</v>
      </c>
      <c r="C979" s="618">
        <v>39614</v>
      </c>
      <c r="D979" s="618" t="s">
        <v>178</v>
      </c>
      <c r="E979" s="633">
        <v>15</v>
      </c>
      <c r="F979" s="603">
        <v>2008</v>
      </c>
      <c r="G979" s="617" t="s">
        <v>132</v>
      </c>
      <c r="H979" s="620" t="s">
        <v>190</v>
      </c>
      <c r="I979" s="621">
        <v>50</v>
      </c>
      <c r="J979" s="621">
        <v>1.28</v>
      </c>
      <c r="K979" s="603">
        <f t="shared" si="95"/>
        <v>18</v>
      </c>
      <c r="L979" s="604">
        <v>0.75694444444444453</v>
      </c>
      <c r="M979" s="605">
        <f t="shared" si="93"/>
        <v>0.75694444444444453</v>
      </c>
      <c r="N979" s="663">
        <v>0.76041666666666663</v>
      </c>
      <c r="P979" s="37" t="str">
        <f t="shared" si="96"/>
        <v>2008EF0</v>
      </c>
      <c r="Q979" s="37" t="str">
        <f t="shared" si="97"/>
        <v>EF018</v>
      </c>
      <c r="R979" s="37" t="str">
        <f t="shared" si="98"/>
        <v>JuneEF0</v>
      </c>
    </row>
    <row r="980" spans="1:18">
      <c r="A980" s="616">
        <f t="shared" si="99"/>
        <v>976</v>
      </c>
      <c r="B980" s="617">
        <v>10</v>
      </c>
      <c r="C980" s="618">
        <v>39617</v>
      </c>
      <c r="D980" s="618" t="s">
        <v>178</v>
      </c>
      <c r="E980" s="633">
        <v>18</v>
      </c>
      <c r="F980" s="603">
        <v>2008</v>
      </c>
      <c r="G980" s="617" t="s">
        <v>128</v>
      </c>
      <c r="H980" s="620" t="s">
        <v>189</v>
      </c>
      <c r="I980" s="621">
        <v>200</v>
      </c>
      <c r="J980" s="621">
        <v>12.02</v>
      </c>
      <c r="K980" s="603">
        <f t="shared" si="95"/>
        <v>20</v>
      </c>
      <c r="L980" s="604">
        <v>0.83333333333333337</v>
      </c>
      <c r="M980" s="605">
        <f t="shared" si="93"/>
        <v>0.83333333333333337</v>
      </c>
      <c r="N980" s="663">
        <v>0.84375</v>
      </c>
      <c r="P980" s="37" t="str">
        <f t="shared" si="96"/>
        <v>2008EF2</v>
      </c>
      <c r="Q980" s="37" t="str">
        <f t="shared" si="97"/>
        <v>EF220</v>
      </c>
      <c r="R980" s="37" t="str">
        <f t="shared" si="98"/>
        <v>JuneEF2</v>
      </c>
    </row>
    <row r="981" spans="1:18">
      <c r="A981" s="616">
        <f t="shared" si="99"/>
        <v>977</v>
      </c>
      <c r="B981" s="617">
        <v>11</v>
      </c>
      <c r="C981" s="618">
        <v>39618</v>
      </c>
      <c r="D981" s="618" t="s">
        <v>178</v>
      </c>
      <c r="E981" s="633">
        <v>19</v>
      </c>
      <c r="F981" s="603">
        <v>2008</v>
      </c>
      <c r="G981" s="617" t="s">
        <v>126</v>
      </c>
      <c r="H981" s="620" t="s">
        <v>190</v>
      </c>
      <c r="I981" s="621">
        <v>25</v>
      </c>
      <c r="J981" s="621">
        <v>0.27</v>
      </c>
      <c r="K981" s="603">
        <f t="shared" si="95"/>
        <v>17</v>
      </c>
      <c r="L981" s="604">
        <v>0.72916666666666663</v>
      </c>
      <c r="M981" s="605">
        <f t="shared" si="93"/>
        <v>0.72916666666666663</v>
      </c>
      <c r="N981" s="663">
        <v>0.72986111111111107</v>
      </c>
      <c r="P981" s="37" t="str">
        <f t="shared" si="96"/>
        <v>2008EF0</v>
      </c>
      <c r="Q981" s="37" t="str">
        <f t="shared" si="97"/>
        <v>EF017</v>
      </c>
      <c r="R981" s="37" t="str">
        <f t="shared" si="98"/>
        <v>JuneEF0</v>
      </c>
    </row>
    <row r="982" spans="1:18">
      <c r="A982" s="616">
        <f t="shared" si="99"/>
        <v>978</v>
      </c>
      <c r="B982" s="617">
        <v>1</v>
      </c>
      <c r="C982" s="618">
        <v>39932</v>
      </c>
      <c r="D982" s="618" t="s">
        <v>176</v>
      </c>
      <c r="E982" s="633">
        <v>29</v>
      </c>
      <c r="F982" s="603">
        <v>2009</v>
      </c>
      <c r="G982" s="617" t="s">
        <v>141</v>
      </c>
      <c r="H982" s="620" t="s">
        <v>191</v>
      </c>
      <c r="I982" s="621">
        <v>25</v>
      </c>
      <c r="J982" s="621">
        <v>0.9</v>
      </c>
      <c r="K982" s="603">
        <f t="shared" si="95"/>
        <v>17</v>
      </c>
      <c r="L982" s="604">
        <v>0.72916666666666663</v>
      </c>
      <c r="M982" s="605">
        <f t="shared" si="93"/>
        <v>0.72916666666666663</v>
      </c>
      <c r="N982" s="663">
        <v>0.72986111111111107</v>
      </c>
      <c r="P982" s="37" t="str">
        <f t="shared" si="96"/>
        <v>2009EF1</v>
      </c>
      <c r="Q982" s="37" t="str">
        <f t="shared" si="97"/>
        <v>EF117</v>
      </c>
      <c r="R982" s="37" t="str">
        <f t="shared" si="98"/>
        <v>AprilEF1</v>
      </c>
    </row>
    <row r="983" spans="1:18">
      <c r="A983" s="616">
        <f t="shared" si="99"/>
        <v>979</v>
      </c>
      <c r="B983" s="617">
        <v>2</v>
      </c>
      <c r="C983" s="618">
        <v>39932</v>
      </c>
      <c r="D983" s="618" t="s">
        <v>176</v>
      </c>
      <c r="E983" s="633">
        <v>29</v>
      </c>
      <c r="F983" s="603">
        <v>2009</v>
      </c>
      <c r="G983" s="617" t="s">
        <v>141</v>
      </c>
      <c r="H983" s="620" t="s">
        <v>190</v>
      </c>
      <c r="I983" s="621">
        <v>25</v>
      </c>
      <c r="J983" s="621">
        <v>0.1</v>
      </c>
      <c r="K983" s="603">
        <f t="shared" si="95"/>
        <v>17</v>
      </c>
      <c r="L983" s="604">
        <v>0.73333333333333339</v>
      </c>
      <c r="M983" s="605">
        <f t="shared" si="93"/>
        <v>0.73333333333333339</v>
      </c>
      <c r="N983" s="663">
        <v>0.73333333333333339</v>
      </c>
      <c r="P983" s="37" t="str">
        <f t="shared" si="96"/>
        <v>2009EF0</v>
      </c>
      <c r="Q983" s="37" t="str">
        <f t="shared" si="97"/>
        <v>EF017</v>
      </c>
      <c r="R983" s="37" t="str">
        <f t="shared" si="98"/>
        <v>AprilEF0</v>
      </c>
    </row>
    <row r="984" spans="1:18">
      <c r="A984" s="616">
        <f t="shared" si="99"/>
        <v>980</v>
      </c>
      <c r="B984" s="617">
        <v>3</v>
      </c>
      <c r="C984" s="618">
        <v>39948</v>
      </c>
      <c r="D984" s="618" t="s">
        <v>177</v>
      </c>
      <c r="E984" s="633">
        <v>15</v>
      </c>
      <c r="F984" s="603">
        <v>2009</v>
      </c>
      <c r="G984" s="617" t="s">
        <v>137</v>
      </c>
      <c r="H984" s="620" t="s">
        <v>190</v>
      </c>
      <c r="I984" s="621">
        <v>100</v>
      </c>
      <c r="J984" s="621">
        <v>0.25</v>
      </c>
      <c r="K984" s="603">
        <f t="shared" si="95"/>
        <v>15</v>
      </c>
      <c r="L984" s="604">
        <v>0.65625</v>
      </c>
      <c r="M984" s="605">
        <f t="shared" si="93"/>
        <v>0.65625</v>
      </c>
      <c r="N984" s="663">
        <v>0.65694444444444444</v>
      </c>
      <c r="P984" s="37" t="str">
        <f t="shared" si="96"/>
        <v>2009EF0</v>
      </c>
      <c r="Q984" s="37" t="str">
        <f t="shared" si="97"/>
        <v>EF015</v>
      </c>
      <c r="R984" s="37" t="str">
        <f t="shared" si="98"/>
        <v>MayEF0</v>
      </c>
    </row>
    <row r="985" spans="1:18">
      <c r="A985" s="616">
        <f t="shared" si="99"/>
        <v>981</v>
      </c>
      <c r="B985" s="617">
        <v>4</v>
      </c>
      <c r="C985" s="618">
        <v>39948</v>
      </c>
      <c r="D985" s="618" t="s">
        <v>177</v>
      </c>
      <c r="E985" s="633">
        <v>15</v>
      </c>
      <c r="F985" s="603">
        <v>2009</v>
      </c>
      <c r="G985" s="617" t="s">
        <v>137</v>
      </c>
      <c r="H985" s="620" t="s">
        <v>190</v>
      </c>
      <c r="I985" s="621">
        <v>100</v>
      </c>
      <c r="J985" s="621">
        <v>0.5</v>
      </c>
      <c r="K985" s="603">
        <f t="shared" si="95"/>
        <v>15</v>
      </c>
      <c r="L985" s="604">
        <v>0.65763888888888888</v>
      </c>
      <c r="M985" s="605">
        <f t="shared" si="93"/>
        <v>0.65763888888888888</v>
      </c>
      <c r="N985" s="663">
        <v>0.65902777777777777</v>
      </c>
      <c r="P985" s="37" t="str">
        <f t="shared" si="96"/>
        <v>2009EF0</v>
      </c>
      <c r="Q985" s="37" t="str">
        <f t="shared" si="97"/>
        <v>EF015</v>
      </c>
      <c r="R985" s="37" t="str">
        <f t="shared" si="98"/>
        <v>MayEF0</v>
      </c>
    </row>
    <row r="986" spans="1:18">
      <c r="A986" s="616">
        <f t="shared" si="99"/>
        <v>982</v>
      </c>
      <c r="B986" s="617">
        <v>5</v>
      </c>
      <c r="C986" s="618">
        <v>39948</v>
      </c>
      <c r="D986" s="618" t="s">
        <v>177</v>
      </c>
      <c r="E986" s="633">
        <v>15</v>
      </c>
      <c r="F986" s="603">
        <v>2009</v>
      </c>
      <c r="G986" s="617" t="s">
        <v>142</v>
      </c>
      <c r="H986" s="620" t="s">
        <v>190</v>
      </c>
      <c r="I986" s="621">
        <v>440</v>
      </c>
      <c r="J986" s="621">
        <v>1</v>
      </c>
      <c r="K986" s="603">
        <f t="shared" si="95"/>
        <v>16</v>
      </c>
      <c r="L986" s="604">
        <v>0.66805555555555562</v>
      </c>
      <c r="M986" s="605">
        <f t="shared" si="93"/>
        <v>0.66805555555555562</v>
      </c>
      <c r="N986" s="663">
        <v>0.67083333333333339</v>
      </c>
      <c r="P986" s="37" t="str">
        <f t="shared" si="96"/>
        <v>2009EF0</v>
      </c>
      <c r="Q986" s="37" t="str">
        <f t="shared" si="97"/>
        <v>EF016</v>
      </c>
      <c r="R986" s="37" t="str">
        <f t="shared" si="98"/>
        <v>MayEF0</v>
      </c>
    </row>
    <row r="987" spans="1:18">
      <c r="A987" s="616">
        <f t="shared" si="99"/>
        <v>983</v>
      </c>
      <c r="B987" s="617">
        <v>6</v>
      </c>
      <c r="C987" s="618">
        <v>39948</v>
      </c>
      <c r="D987" s="618" t="s">
        <v>177</v>
      </c>
      <c r="E987" s="633">
        <v>15</v>
      </c>
      <c r="F987" s="603">
        <v>2009</v>
      </c>
      <c r="G987" s="617" t="s">
        <v>142</v>
      </c>
      <c r="H987" s="620" t="s">
        <v>189</v>
      </c>
      <c r="I987" s="621">
        <v>880</v>
      </c>
      <c r="J987" s="621">
        <v>3</v>
      </c>
      <c r="K987" s="603">
        <f t="shared" si="95"/>
        <v>16</v>
      </c>
      <c r="L987" s="604">
        <v>0.67291666666666661</v>
      </c>
      <c r="M987" s="605">
        <f t="shared" si="93"/>
        <v>0.67291666666666661</v>
      </c>
      <c r="N987" s="663">
        <v>0.67847222222222225</v>
      </c>
      <c r="P987" s="37" t="str">
        <f t="shared" si="96"/>
        <v>2009EF2</v>
      </c>
      <c r="Q987" s="37" t="str">
        <f t="shared" si="97"/>
        <v>EF216</v>
      </c>
      <c r="R987" s="37" t="str">
        <f t="shared" si="98"/>
        <v>MayEF2</v>
      </c>
    </row>
    <row r="988" spans="1:18">
      <c r="A988" s="616">
        <f t="shared" si="99"/>
        <v>984</v>
      </c>
      <c r="B988" s="617">
        <v>7</v>
      </c>
      <c r="C988" s="618">
        <v>39948</v>
      </c>
      <c r="D988" s="618" t="s">
        <v>177</v>
      </c>
      <c r="E988" s="633">
        <v>15</v>
      </c>
      <c r="F988" s="603">
        <v>2009</v>
      </c>
      <c r="G988" s="617" t="s">
        <v>142</v>
      </c>
      <c r="H988" s="620" t="s">
        <v>191</v>
      </c>
      <c r="I988" s="621">
        <v>440</v>
      </c>
      <c r="J988" s="621">
        <v>6</v>
      </c>
      <c r="K988" s="603">
        <f t="shared" si="95"/>
        <v>16</v>
      </c>
      <c r="L988" s="604">
        <v>0.68402777777777779</v>
      </c>
      <c r="M988" s="605">
        <f t="shared" si="93"/>
        <v>0.68402777777777779</v>
      </c>
      <c r="N988" s="663">
        <v>0.69791666666666663</v>
      </c>
      <c r="P988" s="37" t="str">
        <f t="shared" si="96"/>
        <v>2009EF1</v>
      </c>
      <c r="Q988" s="37" t="str">
        <f t="shared" si="97"/>
        <v>EF116</v>
      </c>
      <c r="R988" s="37" t="str">
        <f t="shared" si="98"/>
        <v>MayEF1</v>
      </c>
    </row>
    <row r="989" spans="1:18">
      <c r="A989" s="616">
        <f t="shared" si="99"/>
        <v>985</v>
      </c>
      <c r="B989" s="617">
        <v>8</v>
      </c>
      <c r="C989" s="618">
        <v>39968</v>
      </c>
      <c r="D989" s="618" t="s">
        <v>178</v>
      </c>
      <c r="E989" s="633">
        <v>4</v>
      </c>
      <c r="F989" s="603">
        <v>2009</v>
      </c>
      <c r="G989" s="617" t="s">
        <v>134</v>
      </c>
      <c r="H989" s="620" t="s">
        <v>190</v>
      </c>
      <c r="I989" s="621">
        <v>100</v>
      </c>
      <c r="J989" s="621">
        <v>0.52</v>
      </c>
      <c r="K989" s="603">
        <f t="shared" si="95"/>
        <v>15</v>
      </c>
      <c r="L989" s="604">
        <v>0.63680555555555551</v>
      </c>
      <c r="M989" s="605">
        <f t="shared" si="93"/>
        <v>0.63680555555555551</v>
      </c>
      <c r="N989" s="663">
        <v>0.6381944444444444</v>
      </c>
      <c r="P989" s="37" t="str">
        <f t="shared" si="96"/>
        <v>2009EF0</v>
      </c>
      <c r="Q989" s="37" t="str">
        <f t="shared" si="97"/>
        <v>EF015</v>
      </c>
      <c r="R989" s="37" t="str">
        <f t="shared" si="98"/>
        <v>JuneEF0</v>
      </c>
    </row>
    <row r="990" spans="1:18">
      <c r="A990" s="616">
        <f t="shared" si="99"/>
        <v>986</v>
      </c>
      <c r="B990" s="617">
        <v>9</v>
      </c>
      <c r="C990" s="618">
        <v>39968</v>
      </c>
      <c r="D990" s="618" t="s">
        <v>178</v>
      </c>
      <c r="E990" s="633">
        <v>4</v>
      </c>
      <c r="F990" s="603">
        <v>2009</v>
      </c>
      <c r="G990" s="617" t="s">
        <v>139</v>
      </c>
      <c r="H990" s="620" t="s">
        <v>190</v>
      </c>
      <c r="I990" s="621">
        <v>100</v>
      </c>
      <c r="J990" s="621">
        <v>1</v>
      </c>
      <c r="K990" s="603">
        <f t="shared" si="95"/>
        <v>17</v>
      </c>
      <c r="L990" s="604">
        <v>0.71388888888888891</v>
      </c>
      <c r="M990" s="605">
        <f t="shared" si="93"/>
        <v>0.71388888888888891</v>
      </c>
      <c r="N990" s="663">
        <v>0.71597222222222223</v>
      </c>
      <c r="P990" s="37" t="str">
        <f t="shared" si="96"/>
        <v>2009EF0</v>
      </c>
      <c r="Q990" s="37" t="str">
        <f t="shared" si="97"/>
        <v>EF017</v>
      </c>
      <c r="R990" s="37" t="str">
        <f t="shared" si="98"/>
        <v>JuneEF0</v>
      </c>
    </row>
    <row r="991" spans="1:18">
      <c r="A991" s="616">
        <f t="shared" si="99"/>
        <v>987</v>
      </c>
      <c r="B991" s="617">
        <v>10</v>
      </c>
      <c r="C991" s="618">
        <v>39968</v>
      </c>
      <c r="D991" s="618" t="s">
        <v>178</v>
      </c>
      <c r="E991" s="633">
        <v>4</v>
      </c>
      <c r="F991" s="603">
        <v>2009</v>
      </c>
      <c r="G991" s="617" t="s">
        <v>145</v>
      </c>
      <c r="H991" s="620" t="s">
        <v>190</v>
      </c>
      <c r="I991" s="621">
        <v>100</v>
      </c>
      <c r="J991" s="621">
        <v>0.13</v>
      </c>
      <c r="K991" s="603">
        <f t="shared" si="95"/>
        <v>17</v>
      </c>
      <c r="L991" s="604">
        <v>0.73125000000000007</v>
      </c>
      <c r="M991" s="605">
        <f t="shared" si="93"/>
        <v>0.73125000000000007</v>
      </c>
      <c r="N991" s="663">
        <v>0.73125000000000007</v>
      </c>
      <c r="P991" s="37" t="str">
        <f t="shared" si="96"/>
        <v>2009EF0</v>
      </c>
      <c r="Q991" s="37" t="str">
        <f t="shared" si="97"/>
        <v>EF017</v>
      </c>
      <c r="R991" s="37" t="str">
        <f t="shared" si="98"/>
        <v>JuneEF0</v>
      </c>
    </row>
    <row r="992" spans="1:18">
      <c r="A992" s="616">
        <f t="shared" si="99"/>
        <v>988</v>
      </c>
      <c r="B992" s="617">
        <v>11</v>
      </c>
      <c r="C992" s="618">
        <v>39968</v>
      </c>
      <c r="D992" s="618" t="s">
        <v>178</v>
      </c>
      <c r="E992" s="633">
        <v>4</v>
      </c>
      <c r="F992" s="603">
        <v>2009</v>
      </c>
      <c r="G992" s="617" t="s">
        <v>145</v>
      </c>
      <c r="H992" s="620" t="s">
        <v>190</v>
      </c>
      <c r="I992" s="621">
        <v>100</v>
      </c>
      <c r="J992" s="621">
        <v>0.75</v>
      </c>
      <c r="K992" s="603">
        <f t="shared" si="95"/>
        <v>17</v>
      </c>
      <c r="L992" s="604">
        <v>0.73611111111111116</v>
      </c>
      <c r="M992" s="605">
        <f t="shared" si="93"/>
        <v>0.73611111111111116</v>
      </c>
      <c r="N992" s="663">
        <v>0.73749999999999993</v>
      </c>
      <c r="P992" s="37" t="str">
        <f t="shared" si="96"/>
        <v>2009EF0</v>
      </c>
      <c r="Q992" s="37" t="str">
        <f t="shared" si="97"/>
        <v>EF017</v>
      </c>
      <c r="R992" s="37" t="str">
        <f t="shared" si="98"/>
        <v>JuneEF0</v>
      </c>
    </row>
    <row r="993" spans="1:18">
      <c r="A993" s="616">
        <f t="shared" si="99"/>
        <v>989</v>
      </c>
      <c r="B993" s="617">
        <v>12</v>
      </c>
      <c r="C993" s="618">
        <v>39969</v>
      </c>
      <c r="D993" s="618" t="s">
        <v>178</v>
      </c>
      <c r="E993" s="633">
        <v>5</v>
      </c>
      <c r="F993" s="603">
        <v>2009</v>
      </c>
      <c r="G993" s="617" t="s">
        <v>141</v>
      </c>
      <c r="H993" s="620" t="s">
        <v>190</v>
      </c>
      <c r="I993" s="621">
        <v>25</v>
      </c>
      <c r="J993" s="621">
        <v>1.29</v>
      </c>
      <c r="K993" s="603">
        <f t="shared" si="95"/>
        <v>20</v>
      </c>
      <c r="L993" s="604">
        <v>0.86041666666666661</v>
      </c>
      <c r="M993" s="605">
        <f t="shared" si="93"/>
        <v>0.86041666666666661</v>
      </c>
      <c r="N993" s="663">
        <v>0.8666666666666667</v>
      </c>
      <c r="P993" s="37" t="str">
        <f t="shared" si="96"/>
        <v>2009EF0</v>
      </c>
      <c r="Q993" s="37" t="str">
        <f t="shared" si="97"/>
        <v>EF020</v>
      </c>
      <c r="R993" s="37" t="str">
        <f t="shared" si="98"/>
        <v>JuneEF0</v>
      </c>
    </row>
    <row r="994" spans="1:18">
      <c r="A994" s="616">
        <f t="shared" si="99"/>
        <v>990</v>
      </c>
      <c r="B994" s="617">
        <v>13</v>
      </c>
      <c r="C994" s="618">
        <v>39979</v>
      </c>
      <c r="D994" s="618" t="s">
        <v>178</v>
      </c>
      <c r="E994" s="633">
        <v>15</v>
      </c>
      <c r="F994" s="603">
        <v>2009</v>
      </c>
      <c r="G994" s="617" t="s">
        <v>132</v>
      </c>
      <c r="H994" s="620" t="s">
        <v>190</v>
      </c>
      <c r="I994" s="621">
        <v>50</v>
      </c>
      <c r="J994" s="621">
        <v>0.25</v>
      </c>
      <c r="K994" s="603">
        <f t="shared" si="95"/>
        <v>17</v>
      </c>
      <c r="L994" s="604">
        <v>0.72430555555555554</v>
      </c>
      <c r="M994" s="605">
        <f t="shared" si="93"/>
        <v>0.72430555555555554</v>
      </c>
      <c r="N994" s="663">
        <v>0.7284722222222223</v>
      </c>
      <c r="P994" s="37" t="str">
        <f t="shared" si="96"/>
        <v>2009EF0</v>
      </c>
      <c r="Q994" s="37" t="str">
        <f t="shared" si="97"/>
        <v>EF017</v>
      </c>
      <c r="R994" s="37" t="str">
        <f t="shared" si="98"/>
        <v>JuneEF0</v>
      </c>
    </row>
    <row r="995" spans="1:18">
      <c r="A995" s="616">
        <f t="shared" si="99"/>
        <v>991</v>
      </c>
      <c r="B995" s="617">
        <v>1</v>
      </c>
      <c r="C995" s="618">
        <v>40288</v>
      </c>
      <c r="D995" s="734" t="s">
        <v>176</v>
      </c>
      <c r="E995" s="633">
        <v>20</v>
      </c>
      <c r="F995" s="603">
        <v>2010</v>
      </c>
      <c r="G995" s="635" t="s">
        <v>140</v>
      </c>
      <c r="H995" s="620" t="s">
        <v>190</v>
      </c>
      <c r="I995" s="621">
        <v>50</v>
      </c>
      <c r="J995" s="621">
        <v>1.05</v>
      </c>
      <c r="K995" s="603">
        <f t="shared" ref="K995:K1005" si="100">HOUR(M995)</f>
        <v>18</v>
      </c>
      <c r="L995" s="604">
        <v>0.75277777777777777</v>
      </c>
      <c r="M995" s="605">
        <f t="shared" ref="M995:M1003" si="101">+L995</f>
        <v>0.75277777777777777</v>
      </c>
      <c r="N995" s="663">
        <v>0.75624999999999998</v>
      </c>
      <c r="P995" s="37" t="str">
        <f t="shared" si="96"/>
        <v>2010EF0</v>
      </c>
      <c r="Q995" s="37" t="str">
        <f t="shared" si="97"/>
        <v>EF018</v>
      </c>
      <c r="R995" s="37" t="str">
        <f t="shared" si="98"/>
        <v>AprilEF0</v>
      </c>
    </row>
    <row r="996" spans="1:18">
      <c r="A996" s="616">
        <f t="shared" si="99"/>
        <v>992</v>
      </c>
      <c r="B996" s="617">
        <v>2</v>
      </c>
      <c r="C996" s="618">
        <v>40288</v>
      </c>
      <c r="D996" s="734" t="s">
        <v>176</v>
      </c>
      <c r="E996" s="633">
        <v>20</v>
      </c>
      <c r="F996" s="603">
        <v>2010</v>
      </c>
      <c r="G996" s="635" t="s">
        <v>145</v>
      </c>
      <c r="H996" s="620" t="s">
        <v>190</v>
      </c>
      <c r="I996" s="621">
        <v>50</v>
      </c>
      <c r="J996" s="621">
        <v>0.9</v>
      </c>
      <c r="K996" s="603">
        <f t="shared" si="100"/>
        <v>18</v>
      </c>
      <c r="L996" s="604">
        <v>0.78263888888888899</v>
      </c>
      <c r="M996" s="605">
        <f t="shared" si="101"/>
        <v>0.78263888888888899</v>
      </c>
      <c r="N996" s="663">
        <v>0.78402777777777777</v>
      </c>
      <c r="P996" s="37" t="str">
        <f t="shared" si="96"/>
        <v>2010EF0</v>
      </c>
      <c r="Q996" s="37" t="str">
        <f t="shared" si="97"/>
        <v>EF018</v>
      </c>
      <c r="R996" s="37" t="str">
        <f t="shared" si="98"/>
        <v>AprilEF0</v>
      </c>
    </row>
    <row r="997" spans="1:18">
      <c r="A997" s="616">
        <f t="shared" si="99"/>
        <v>993</v>
      </c>
      <c r="B997" s="617">
        <v>3</v>
      </c>
      <c r="C997" s="618">
        <v>40290</v>
      </c>
      <c r="D997" s="734" t="s">
        <v>176</v>
      </c>
      <c r="E997" s="633">
        <v>22</v>
      </c>
      <c r="F997" s="603">
        <v>2010</v>
      </c>
      <c r="G997" s="617" t="s">
        <v>146</v>
      </c>
      <c r="H997" s="620" t="s">
        <v>190</v>
      </c>
      <c r="I997" s="621">
        <v>50</v>
      </c>
      <c r="J997" s="621">
        <v>1.83</v>
      </c>
      <c r="K997" s="603">
        <f t="shared" si="100"/>
        <v>15</v>
      </c>
      <c r="L997" s="604">
        <v>0.66597222222222219</v>
      </c>
      <c r="M997" s="605">
        <f t="shared" si="101"/>
        <v>0.66597222222222219</v>
      </c>
      <c r="N997" s="663">
        <v>0.66805555555555562</v>
      </c>
      <c r="P997" s="37" t="str">
        <f t="shared" si="96"/>
        <v>2010EF0</v>
      </c>
      <c r="Q997" s="37" t="str">
        <f t="shared" si="97"/>
        <v>EF015</v>
      </c>
      <c r="R997" s="37" t="str">
        <f t="shared" si="98"/>
        <v>AprilEF0</v>
      </c>
    </row>
    <row r="998" spans="1:18">
      <c r="A998" s="616">
        <f t="shared" si="99"/>
        <v>994</v>
      </c>
      <c r="B998" s="724">
        <v>4</v>
      </c>
      <c r="C998" s="618">
        <v>40290</v>
      </c>
      <c r="D998" s="734" t="s">
        <v>176</v>
      </c>
      <c r="E998" s="633">
        <v>22</v>
      </c>
      <c r="F998" s="603">
        <v>2010</v>
      </c>
      <c r="G998" s="724" t="s">
        <v>147</v>
      </c>
      <c r="H998" s="645" t="s">
        <v>190</v>
      </c>
      <c r="I998" s="724">
        <v>100</v>
      </c>
      <c r="J998" s="724">
        <v>5.24</v>
      </c>
      <c r="K998" s="603">
        <f t="shared" si="100"/>
        <v>16</v>
      </c>
      <c r="L998" s="646">
        <v>0.67361111111111116</v>
      </c>
      <c r="M998" s="605">
        <f t="shared" si="101"/>
        <v>0.67361111111111116</v>
      </c>
      <c r="N998" s="663">
        <v>0.68472222222222223</v>
      </c>
      <c r="P998" s="37" t="str">
        <f t="shared" si="96"/>
        <v>2010EF0</v>
      </c>
      <c r="Q998" s="37" t="str">
        <f t="shared" si="97"/>
        <v>EF016</v>
      </c>
      <c r="R998" s="37" t="str">
        <f t="shared" si="98"/>
        <v>AprilEF0</v>
      </c>
    </row>
    <row r="999" spans="1:18">
      <c r="A999" s="616">
        <f t="shared" si="99"/>
        <v>995</v>
      </c>
      <c r="B999" s="724">
        <v>5</v>
      </c>
      <c r="C999" s="618">
        <v>40290</v>
      </c>
      <c r="D999" s="734" t="s">
        <v>176</v>
      </c>
      <c r="E999" s="633">
        <v>22</v>
      </c>
      <c r="F999" s="603">
        <v>2010</v>
      </c>
      <c r="G999" s="724" t="s">
        <v>146</v>
      </c>
      <c r="H999" s="645" t="s">
        <v>191</v>
      </c>
      <c r="I999" s="724">
        <v>100</v>
      </c>
      <c r="J999" s="724">
        <v>10.34</v>
      </c>
      <c r="K999" s="603">
        <f t="shared" si="100"/>
        <v>16</v>
      </c>
      <c r="L999" s="646">
        <v>0.68055555555555547</v>
      </c>
      <c r="M999" s="605">
        <f t="shared" si="101"/>
        <v>0.68055555555555547</v>
      </c>
      <c r="N999" s="663">
        <v>0.69652777777777775</v>
      </c>
      <c r="P999" s="37" t="str">
        <f t="shared" si="96"/>
        <v>2010EF1</v>
      </c>
      <c r="Q999" s="37" t="str">
        <f t="shared" si="97"/>
        <v>EF116</v>
      </c>
      <c r="R999" s="37" t="str">
        <f t="shared" si="98"/>
        <v>AprilEF1</v>
      </c>
    </row>
    <row r="1000" spans="1:18">
      <c r="A1000" s="616">
        <f t="shared" si="99"/>
        <v>996</v>
      </c>
      <c r="B1000" s="724">
        <v>6</v>
      </c>
      <c r="C1000" s="618">
        <v>40290</v>
      </c>
      <c r="D1000" s="734" t="s">
        <v>176</v>
      </c>
      <c r="E1000" s="633">
        <v>22</v>
      </c>
      <c r="F1000" s="603">
        <v>2010</v>
      </c>
      <c r="G1000" s="724" t="s">
        <v>128</v>
      </c>
      <c r="H1000" s="645" t="s">
        <v>190</v>
      </c>
      <c r="I1000" s="724">
        <v>25</v>
      </c>
      <c r="J1000" s="724">
        <v>0.23</v>
      </c>
      <c r="K1000" s="603">
        <f t="shared" si="100"/>
        <v>16</v>
      </c>
      <c r="L1000" s="646">
        <v>0.70208333333333339</v>
      </c>
      <c r="M1000" s="605">
        <f t="shared" si="101"/>
        <v>0.70208333333333339</v>
      </c>
      <c r="N1000" s="663">
        <v>0.70277777777777783</v>
      </c>
      <c r="P1000" s="37" t="str">
        <f t="shared" si="96"/>
        <v>2010EF0</v>
      </c>
      <c r="Q1000" s="37" t="str">
        <f t="shared" si="97"/>
        <v>EF016</v>
      </c>
      <c r="R1000" s="37" t="str">
        <f t="shared" si="98"/>
        <v>AprilEF0</v>
      </c>
    </row>
    <row r="1001" spans="1:18">
      <c r="A1001" s="616">
        <f t="shared" si="99"/>
        <v>997</v>
      </c>
      <c r="B1001" s="728">
        <v>7</v>
      </c>
      <c r="C1001" s="618">
        <v>40290</v>
      </c>
      <c r="D1001" s="734" t="s">
        <v>176</v>
      </c>
      <c r="E1001" s="633">
        <v>22</v>
      </c>
      <c r="F1001" s="603">
        <v>2010</v>
      </c>
      <c r="G1001" s="728" t="s">
        <v>142</v>
      </c>
      <c r="H1001" s="729" t="s">
        <v>190</v>
      </c>
      <c r="I1001" s="728">
        <v>25</v>
      </c>
      <c r="J1001" s="728">
        <v>0.49</v>
      </c>
      <c r="K1001" s="730">
        <f t="shared" si="100"/>
        <v>16</v>
      </c>
      <c r="L1001" s="731">
        <v>0.69305555555555554</v>
      </c>
      <c r="M1001" s="732">
        <f t="shared" si="101"/>
        <v>0.69305555555555554</v>
      </c>
      <c r="N1001" s="663">
        <v>0.69444444444444453</v>
      </c>
      <c r="P1001" s="37" t="str">
        <f t="shared" si="96"/>
        <v>2010EF0</v>
      </c>
      <c r="Q1001" s="37" t="str">
        <f t="shared" si="97"/>
        <v>EF016</v>
      </c>
      <c r="R1001" s="37" t="str">
        <f t="shared" si="98"/>
        <v>AprilEF0</v>
      </c>
    </row>
    <row r="1002" spans="1:18">
      <c r="A1002" s="616">
        <f t="shared" si="99"/>
        <v>998</v>
      </c>
      <c r="B1002" s="728">
        <v>8</v>
      </c>
      <c r="C1002" s="618">
        <v>40290</v>
      </c>
      <c r="D1002" s="734" t="s">
        <v>176</v>
      </c>
      <c r="E1002" s="633">
        <v>22</v>
      </c>
      <c r="F1002" s="603">
        <v>2010</v>
      </c>
      <c r="G1002" s="728" t="s">
        <v>147</v>
      </c>
      <c r="H1002" s="729" t="s">
        <v>190</v>
      </c>
      <c r="I1002" s="728">
        <v>25</v>
      </c>
      <c r="J1002" s="728">
        <v>0.59</v>
      </c>
      <c r="K1002" s="730">
        <f t="shared" si="100"/>
        <v>17</v>
      </c>
      <c r="L1002" s="731">
        <v>0.71319444444444446</v>
      </c>
      <c r="M1002" s="732">
        <f t="shared" si="101"/>
        <v>0.71319444444444446</v>
      </c>
      <c r="N1002" s="663">
        <v>0.71458333333333324</v>
      </c>
      <c r="P1002" s="37" t="str">
        <f t="shared" si="96"/>
        <v>2010EF0</v>
      </c>
      <c r="Q1002" s="37" t="str">
        <f t="shared" si="97"/>
        <v>EF017</v>
      </c>
      <c r="R1002" s="37" t="str">
        <f t="shared" si="98"/>
        <v>AprilEF0</v>
      </c>
    </row>
    <row r="1003" spans="1:18">
      <c r="A1003" s="616">
        <f t="shared" si="99"/>
        <v>999</v>
      </c>
      <c r="B1003" s="724">
        <v>9</v>
      </c>
      <c r="C1003" s="618">
        <v>40290</v>
      </c>
      <c r="D1003" s="734" t="s">
        <v>176</v>
      </c>
      <c r="E1003" s="633">
        <v>22</v>
      </c>
      <c r="F1003" s="603">
        <v>2010</v>
      </c>
      <c r="G1003" s="724" t="s">
        <v>142</v>
      </c>
      <c r="H1003" s="645" t="s">
        <v>190</v>
      </c>
      <c r="I1003" s="724">
        <v>440</v>
      </c>
      <c r="J1003" s="724">
        <v>4.01</v>
      </c>
      <c r="K1003" s="603">
        <f t="shared" si="100"/>
        <v>17</v>
      </c>
      <c r="L1003" s="646">
        <v>0.72916666666666663</v>
      </c>
      <c r="M1003" s="605">
        <f t="shared" si="101"/>
        <v>0.72916666666666663</v>
      </c>
      <c r="N1003" s="663">
        <v>0.74444444444444446</v>
      </c>
      <c r="P1003" s="37" t="str">
        <f t="shared" si="96"/>
        <v>2010EF0</v>
      </c>
      <c r="Q1003" s="37" t="str">
        <f t="shared" si="97"/>
        <v>EF017</v>
      </c>
      <c r="R1003" s="37" t="str">
        <f t="shared" si="98"/>
        <v>AprilEF0</v>
      </c>
    </row>
    <row r="1004" spans="1:18">
      <c r="A1004" s="616">
        <f t="shared" si="99"/>
        <v>1000</v>
      </c>
      <c r="B1004" s="617">
        <v>10</v>
      </c>
      <c r="C1004" s="618">
        <v>40290</v>
      </c>
      <c r="D1004" s="734" t="s">
        <v>176</v>
      </c>
      <c r="E1004" s="633">
        <v>22</v>
      </c>
      <c r="F1004" s="603">
        <v>2010</v>
      </c>
      <c r="G1004" s="617" t="s">
        <v>142</v>
      </c>
      <c r="H1004" s="620" t="s">
        <v>190</v>
      </c>
      <c r="I1004" s="621">
        <v>100</v>
      </c>
      <c r="J1004" s="621">
        <v>4.47</v>
      </c>
      <c r="K1004" s="603">
        <f t="shared" si="100"/>
        <v>17</v>
      </c>
      <c r="L1004" s="604">
        <v>0.23611111111111113</v>
      </c>
      <c r="M1004" s="605">
        <v>0.73611111111111116</v>
      </c>
      <c r="N1004" s="663">
        <v>0.74305555555555547</v>
      </c>
      <c r="P1004" s="37" t="str">
        <f t="shared" si="96"/>
        <v>2010EF0</v>
      </c>
      <c r="Q1004" s="37" t="str">
        <f t="shared" si="97"/>
        <v>EF017</v>
      </c>
      <c r="R1004" s="37" t="str">
        <f t="shared" si="98"/>
        <v>AprilEF0</v>
      </c>
    </row>
    <row r="1005" spans="1:18">
      <c r="A1005" s="616">
        <f t="shared" si="99"/>
        <v>1001</v>
      </c>
      <c r="B1005" s="617">
        <v>11</v>
      </c>
      <c r="C1005" s="618">
        <v>40316</v>
      </c>
      <c r="D1005" s="734" t="s">
        <v>177</v>
      </c>
      <c r="E1005" s="633">
        <v>18</v>
      </c>
      <c r="F1005" s="603">
        <v>2010</v>
      </c>
      <c r="G1005" s="617" t="s">
        <v>134</v>
      </c>
      <c r="H1005" s="620" t="s">
        <v>190</v>
      </c>
      <c r="I1005" s="621">
        <v>50</v>
      </c>
      <c r="J1005" s="621">
        <v>1.0900000000000001</v>
      </c>
      <c r="K1005" s="603">
        <f t="shared" si="100"/>
        <v>16</v>
      </c>
      <c r="L1005" s="604">
        <v>0.68888888888888899</v>
      </c>
      <c r="M1005" s="605">
        <f t="shared" ref="M1005:M1036" si="102">+L1005</f>
        <v>0.68888888888888899</v>
      </c>
      <c r="N1005" s="663">
        <v>0.69166666666666676</v>
      </c>
      <c r="P1005" s="37" t="str">
        <f t="shared" si="96"/>
        <v>2010EF0</v>
      </c>
      <c r="Q1005" s="37" t="str">
        <f t="shared" si="97"/>
        <v>EF016</v>
      </c>
      <c r="R1005" s="37" t="str">
        <f t="shared" si="98"/>
        <v>MayEF0</v>
      </c>
    </row>
    <row r="1006" spans="1:18">
      <c r="A1006" s="616">
        <f t="shared" si="99"/>
        <v>1002</v>
      </c>
      <c r="B1006" s="617">
        <v>12</v>
      </c>
      <c r="C1006" s="618">
        <v>40316</v>
      </c>
      <c r="D1006" s="734" t="s">
        <v>177</v>
      </c>
      <c r="E1006" s="633">
        <v>18</v>
      </c>
      <c r="F1006" s="603">
        <v>2010</v>
      </c>
      <c r="G1006" s="617" t="s">
        <v>134</v>
      </c>
      <c r="H1006" s="620" t="s">
        <v>190</v>
      </c>
      <c r="I1006" s="621">
        <v>100</v>
      </c>
      <c r="J1006" s="621">
        <v>1.01</v>
      </c>
      <c r="K1006" s="603">
        <f t="shared" ref="K1006:K1036" si="103">HOUR(M1006)</f>
        <v>16</v>
      </c>
      <c r="L1006" s="604">
        <v>0.69513888888888886</v>
      </c>
      <c r="M1006" s="605">
        <f t="shared" si="102"/>
        <v>0.69513888888888886</v>
      </c>
      <c r="N1006" s="663">
        <v>0.6972222222222223</v>
      </c>
      <c r="P1006" s="37" t="str">
        <f t="shared" si="96"/>
        <v>2010EF0</v>
      </c>
      <c r="Q1006" s="37" t="str">
        <f t="shared" si="97"/>
        <v>EF016</v>
      </c>
      <c r="R1006" s="37" t="str">
        <f t="shared" si="98"/>
        <v>MayEF0</v>
      </c>
    </row>
    <row r="1007" spans="1:18">
      <c r="A1007" s="616">
        <f t="shared" si="99"/>
        <v>1003</v>
      </c>
      <c r="B1007" s="617">
        <v>13</v>
      </c>
      <c r="C1007" s="618">
        <v>40316</v>
      </c>
      <c r="D1007" s="734" t="s">
        <v>177</v>
      </c>
      <c r="E1007" s="633">
        <v>18</v>
      </c>
      <c r="F1007" s="603">
        <v>2010</v>
      </c>
      <c r="G1007" s="617" t="s">
        <v>135</v>
      </c>
      <c r="H1007" s="620" t="s">
        <v>190</v>
      </c>
      <c r="I1007" s="621">
        <v>25</v>
      </c>
      <c r="J1007" s="621">
        <v>0.53</v>
      </c>
      <c r="K1007" s="603">
        <f t="shared" si="103"/>
        <v>16</v>
      </c>
      <c r="L1007" s="604">
        <v>0.70486111111111116</v>
      </c>
      <c r="M1007" s="605">
        <f t="shared" si="102"/>
        <v>0.70486111111111116</v>
      </c>
      <c r="N1007" s="663">
        <v>0.70624999999999993</v>
      </c>
      <c r="P1007" s="37" t="str">
        <f t="shared" si="96"/>
        <v>2010EF0</v>
      </c>
      <c r="Q1007" s="37" t="str">
        <f t="shared" si="97"/>
        <v>EF016</v>
      </c>
      <c r="R1007" s="37" t="str">
        <f t="shared" si="98"/>
        <v>MayEF0</v>
      </c>
    </row>
    <row r="1008" spans="1:18">
      <c r="A1008" s="616">
        <f t="shared" si="99"/>
        <v>1004</v>
      </c>
      <c r="B1008" s="617">
        <v>14</v>
      </c>
      <c r="C1008" s="618">
        <v>40316</v>
      </c>
      <c r="D1008" s="734" t="s">
        <v>177</v>
      </c>
      <c r="E1008" s="633">
        <v>18</v>
      </c>
      <c r="F1008" s="603">
        <v>2010</v>
      </c>
      <c r="G1008" s="617" t="s">
        <v>135</v>
      </c>
      <c r="H1008" s="620" t="s">
        <v>190</v>
      </c>
      <c r="I1008" s="621">
        <v>25</v>
      </c>
      <c r="J1008" s="621">
        <v>2.2200000000000002</v>
      </c>
      <c r="K1008" s="603">
        <f t="shared" si="103"/>
        <v>17</v>
      </c>
      <c r="L1008" s="604">
        <v>0.72777777777777775</v>
      </c>
      <c r="M1008" s="605">
        <f t="shared" si="102"/>
        <v>0.72777777777777775</v>
      </c>
      <c r="N1008" s="663">
        <v>0.72916666666666663</v>
      </c>
      <c r="P1008" s="37" t="str">
        <f t="shared" si="96"/>
        <v>2010EF0</v>
      </c>
      <c r="Q1008" s="37" t="str">
        <f t="shared" si="97"/>
        <v>EF017</v>
      </c>
      <c r="R1008" s="37" t="str">
        <f t="shared" si="98"/>
        <v>MayEF0</v>
      </c>
    </row>
    <row r="1009" spans="1:18">
      <c r="A1009" s="616">
        <f t="shared" si="99"/>
        <v>1005</v>
      </c>
      <c r="B1009" s="617">
        <v>15</v>
      </c>
      <c r="C1009" s="618">
        <v>40316</v>
      </c>
      <c r="D1009" s="734" t="s">
        <v>177</v>
      </c>
      <c r="E1009" s="633">
        <v>18</v>
      </c>
      <c r="F1009" s="603">
        <v>2010</v>
      </c>
      <c r="G1009" s="617" t="s">
        <v>135</v>
      </c>
      <c r="H1009" s="620" t="s">
        <v>190</v>
      </c>
      <c r="I1009" s="621">
        <v>200</v>
      </c>
      <c r="J1009" s="621">
        <v>1.23</v>
      </c>
      <c r="K1009" s="603">
        <f t="shared" si="103"/>
        <v>17</v>
      </c>
      <c r="L1009" s="604">
        <v>0.73749999999999993</v>
      </c>
      <c r="M1009" s="605">
        <f t="shared" si="102"/>
        <v>0.73749999999999993</v>
      </c>
      <c r="N1009" s="663">
        <v>0.73958333333333337</v>
      </c>
      <c r="P1009" s="37" t="str">
        <f t="shared" si="96"/>
        <v>2010EF0</v>
      </c>
      <c r="Q1009" s="37" t="str">
        <f t="shared" si="97"/>
        <v>EF017</v>
      </c>
      <c r="R1009" s="37" t="str">
        <f t="shared" si="98"/>
        <v>MayEF0</v>
      </c>
    </row>
    <row r="1010" spans="1:18">
      <c r="A1010" s="616">
        <f t="shared" si="99"/>
        <v>1006</v>
      </c>
      <c r="B1010" s="617">
        <v>16</v>
      </c>
      <c r="C1010" s="618">
        <v>40316</v>
      </c>
      <c r="D1010" s="734" t="s">
        <v>177</v>
      </c>
      <c r="E1010" s="633">
        <v>18</v>
      </c>
      <c r="F1010" s="603">
        <v>2010</v>
      </c>
      <c r="G1010" s="617" t="s">
        <v>136</v>
      </c>
      <c r="H1010" s="620" t="s">
        <v>189</v>
      </c>
      <c r="I1010" s="621">
        <v>300</v>
      </c>
      <c r="J1010" s="621">
        <v>4.99</v>
      </c>
      <c r="K1010" s="603">
        <f t="shared" si="103"/>
        <v>18</v>
      </c>
      <c r="L1010" s="604">
        <v>0.78055555555555556</v>
      </c>
      <c r="M1010" s="605">
        <f t="shared" si="102"/>
        <v>0.78055555555555556</v>
      </c>
      <c r="N1010" s="663">
        <v>0.79166666666666663</v>
      </c>
      <c r="P1010" s="37" t="str">
        <f t="shared" si="96"/>
        <v>2010EF2</v>
      </c>
      <c r="Q1010" s="37" t="str">
        <f t="shared" si="97"/>
        <v>EF218</v>
      </c>
      <c r="R1010" s="37" t="str">
        <f t="shared" si="98"/>
        <v>MayEF2</v>
      </c>
    </row>
    <row r="1011" spans="1:18">
      <c r="A1011" s="616">
        <f t="shared" si="99"/>
        <v>1007</v>
      </c>
      <c r="B1011" s="617">
        <v>17</v>
      </c>
      <c r="C1011" s="618">
        <v>40316</v>
      </c>
      <c r="D1011" s="734" t="s">
        <v>177</v>
      </c>
      <c r="E1011" s="633">
        <v>18</v>
      </c>
      <c r="F1011" s="603">
        <v>2010</v>
      </c>
      <c r="G1011" s="617" t="s">
        <v>127</v>
      </c>
      <c r="H1011" s="620" t="s">
        <v>190</v>
      </c>
      <c r="I1011" s="621">
        <v>25</v>
      </c>
      <c r="J1011" s="621">
        <v>0.55000000000000004</v>
      </c>
      <c r="K1011" s="603">
        <f t="shared" si="103"/>
        <v>18</v>
      </c>
      <c r="L1011" s="604">
        <v>0.78055555555555556</v>
      </c>
      <c r="M1011" s="605">
        <f t="shared" si="102"/>
        <v>0.78055555555555556</v>
      </c>
      <c r="N1011" s="663">
        <v>0.78194444444444444</v>
      </c>
      <c r="P1011" s="37" t="str">
        <f t="shared" si="96"/>
        <v>2010EF0</v>
      </c>
      <c r="Q1011" s="37" t="str">
        <f t="shared" si="97"/>
        <v>EF018</v>
      </c>
      <c r="R1011" s="37" t="str">
        <f t="shared" si="98"/>
        <v>MayEF0</v>
      </c>
    </row>
    <row r="1012" spans="1:18">
      <c r="A1012" s="616">
        <f t="shared" si="99"/>
        <v>1008</v>
      </c>
      <c r="B1012" s="617">
        <v>18</v>
      </c>
      <c r="C1012" s="618">
        <v>40316</v>
      </c>
      <c r="D1012" s="734" t="s">
        <v>177</v>
      </c>
      <c r="E1012" s="633">
        <v>18</v>
      </c>
      <c r="F1012" s="603">
        <v>2010</v>
      </c>
      <c r="G1012" s="617" t="s">
        <v>129</v>
      </c>
      <c r="H1012" s="620" t="s">
        <v>190</v>
      </c>
      <c r="I1012" s="621">
        <v>25</v>
      </c>
      <c r="J1012" s="621">
        <v>0.52</v>
      </c>
      <c r="K1012" s="603">
        <f t="shared" si="103"/>
        <v>19</v>
      </c>
      <c r="L1012" s="604">
        <v>0.82777777777777783</v>
      </c>
      <c r="M1012" s="605">
        <f t="shared" si="102"/>
        <v>0.82777777777777783</v>
      </c>
      <c r="N1012" s="663">
        <v>0.82847222222222217</v>
      </c>
      <c r="P1012" s="37" t="str">
        <f t="shared" si="96"/>
        <v>2010EF0</v>
      </c>
      <c r="Q1012" s="37" t="str">
        <f t="shared" si="97"/>
        <v>EF019</v>
      </c>
      <c r="R1012" s="37" t="str">
        <f t="shared" si="98"/>
        <v>MayEF0</v>
      </c>
    </row>
    <row r="1013" spans="1:18">
      <c r="A1013" s="616">
        <f t="shared" si="99"/>
        <v>1009</v>
      </c>
      <c r="B1013" s="617">
        <v>19</v>
      </c>
      <c r="C1013" s="618">
        <v>40316</v>
      </c>
      <c r="D1013" s="734" t="s">
        <v>177</v>
      </c>
      <c r="E1013" s="633">
        <v>18</v>
      </c>
      <c r="F1013" s="603">
        <v>2010</v>
      </c>
      <c r="G1013" s="617" t="s">
        <v>129</v>
      </c>
      <c r="H1013" s="620" t="s">
        <v>190</v>
      </c>
      <c r="I1013" s="621">
        <v>25</v>
      </c>
      <c r="J1013" s="621">
        <v>4.08</v>
      </c>
      <c r="K1013" s="603">
        <f t="shared" si="103"/>
        <v>20</v>
      </c>
      <c r="L1013" s="604">
        <v>0.85416666666666663</v>
      </c>
      <c r="M1013" s="605">
        <f t="shared" si="102"/>
        <v>0.85416666666666663</v>
      </c>
      <c r="N1013" s="663">
        <v>0.86249999999999993</v>
      </c>
      <c r="P1013" s="37" t="str">
        <f t="shared" si="96"/>
        <v>2010EF0</v>
      </c>
      <c r="Q1013" s="37" t="str">
        <f t="shared" si="97"/>
        <v>EF020</v>
      </c>
      <c r="R1013" s="37" t="str">
        <f t="shared" si="98"/>
        <v>MayEF0</v>
      </c>
    </row>
    <row r="1014" spans="1:18">
      <c r="A1014" s="616">
        <f t="shared" si="99"/>
        <v>1010</v>
      </c>
      <c r="B1014" s="617">
        <v>20</v>
      </c>
      <c r="C1014" s="618">
        <v>40316</v>
      </c>
      <c r="D1014" s="734" t="s">
        <v>177</v>
      </c>
      <c r="E1014" s="633">
        <v>18</v>
      </c>
      <c r="F1014" s="603">
        <v>2010</v>
      </c>
      <c r="G1014" s="617" t="s">
        <v>130</v>
      </c>
      <c r="H1014" s="620" t="s">
        <v>190</v>
      </c>
      <c r="I1014" s="621">
        <v>50</v>
      </c>
      <c r="J1014" s="621">
        <v>1.06</v>
      </c>
      <c r="K1014" s="603">
        <f t="shared" si="103"/>
        <v>21</v>
      </c>
      <c r="L1014" s="604">
        <v>0.90277777777777779</v>
      </c>
      <c r="M1014" s="605">
        <f t="shared" si="102"/>
        <v>0.90277777777777779</v>
      </c>
      <c r="N1014" s="663">
        <v>0.90486111111111101</v>
      </c>
      <c r="P1014" s="37" t="str">
        <f t="shared" si="96"/>
        <v>2010EF0</v>
      </c>
      <c r="Q1014" s="37" t="str">
        <f t="shared" si="97"/>
        <v>EF021</v>
      </c>
      <c r="R1014" s="37" t="str">
        <f t="shared" si="98"/>
        <v>MayEF0</v>
      </c>
    </row>
    <row r="1015" spans="1:18">
      <c r="A1015" s="616">
        <f t="shared" si="99"/>
        <v>1011</v>
      </c>
      <c r="B1015" s="617">
        <v>21</v>
      </c>
      <c r="C1015" s="618">
        <v>40316</v>
      </c>
      <c r="D1015" s="734" t="s">
        <v>177</v>
      </c>
      <c r="E1015" s="633">
        <v>18</v>
      </c>
      <c r="F1015" s="603">
        <v>2010</v>
      </c>
      <c r="G1015" s="617" t="s">
        <v>130</v>
      </c>
      <c r="H1015" s="620" t="s">
        <v>190</v>
      </c>
      <c r="I1015" s="621">
        <v>880</v>
      </c>
      <c r="J1015" s="621">
        <v>1.4</v>
      </c>
      <c r="K1015" s="603">
        <f t="shared" si="103"/>
        <v>22</v>
      </c>
      <c r="L1015" s="604">
        <v>0.93541666666666667</v>
      </c>
      <c r="M1015" s="605">
        <f t="shared" si="102"/>
        <v>0.93541666666666667</v>
      </c>
      <c r="N1015" s="663">
        <v>0.93819444444444444</v>
      </c>
      <c r="P1015" s="37" t="str">
        <f t="shared" si="96"/>
        <v>2010EF0</v>
      </c>
      <c r="Q1015" s="37" t="str">
        <f t="shared" si="97"/>
        <v>EF022</v>
      </c>
      <c r="R1015" s="37" t="str">
        <f t="shared" si="98"/>
        <v>MayEF0</v>
      </c>
    </row>
    <row r="1016" spans="1:18">
      <c r="A1016" s="616">
        <f t="shared" si="99"/>
        <v>1012</v>
      </c>
      <c r="B1016" s="617">
        <v>22</v>
      </c>
      <c r="C1016" s="618">
        <v>40316</v>
      </c>
      <c r="D1016" s="734" t="s">
        <v>177</v>
      </c>
      <c r="E1016" s="633">
        <v>18</v>
      </c>
      <c r="F1016" s="603">
        <v>2010</v>
      </c>
      <c r="G1016" s="617" t="s">
        <v>131</v>
      </c>
      <c r="H1016" s="620" t="s">
        <v>190</v>
      </c>
      <c r="I1016" s="621">
        <v>25</v>
      </c>
      <c r="J1016" s="621">
        <v>0.55000000000000004</v>
      </c>
      <c r="K1016" s="603">
        <f t="shared" si="103"/>
        <v>23</v>
      </c>
      <c r="L1016" s="604">
        <v>0.96666666666666667</v>
      </c>
      <c r="M1016" s="605">
        <f t="shared" si="102"/>
        <v>0.96666666666666667</v>
      </c>
      <c r="N1016" s="663">
        <v>0.96805555555555556</v>
      </c>
      <c r="P1016" s="37" t="str">
        <f t="shared" si="96"/>
        <v>2010EF0</v>
      </c>
      <c r="Q1016" s="37" t="str">
        <f t="shared" si="97"/>
        <v>EF023</v>
      </c>
      <c r="R1016" s="37" t="str">
        <f t="shared" si="98"/>
        <v>MayEF0</v>
      </c>
    </row>
    <row r="1017" spans="1:18">
      <c r="A1017" s="616">
        <f t="shared" si="99"/>
        <v>1013</v>
      </c>
      <c r="B1017" s="617">
        <v>23</v>
      </c>
      <c r="C1017" s="618">
        <v>40317</v>
      </c>
      <c r="D1017" s="734" t="s">
        <v>177</v>
      </c>
      <c r="E1017" s="633">
        <v>19</v>
      </c>
      <c r="F1017" s="603">
        <v>2010</v>
      </c>
      <c r="G1017" s="617" t="s">
        <v>136</v>
      </c>
      <c r="H1017" s="620" t="s">
        <v>191</v>
      </c>
      <c r="I1017" s="621">
        <v>100</v>
      </c>
      <c r="J1017" s="621">
        <v>0.44</v>
      </c>
      <c r="K1017" s="603">
        <f t="shared" si="103"/>
        <v>0</v>
      </c>
      <c r="L1017" s="604">
        <v>3.888888888888889E-2</v>
      </c>
      <c r="M1017" s="605">
        <f t="shared" si="102"/>
        <v>3.888888888888889E-2</v>
      </c>
      <c r="N1017" s="663">
        <v>3.9583333333333331E-2</v>
      </c>
      <c r="P1017" s="37" t="str">
        <f t="shared" si="96"/>
        <v>2010EF1</v>
      </c>
      <c r="Q1017" s="37" t="str">
        <f t="shared" si="97"/>
        <v>EF10</v>
      </c>
      <c r="R1017" s="37" t="str">
        <f t="shared" si="98"/>
        <v>MayEF1</v>
      </c>
    </row>
    <row r="1018" spans="1:18">
      <c r="A1018" s="616">
        <f t="shared" si="99"/>
        <v>1014</v>
      </c>
      <c r="B1018" s="617">
        <v>24</v>
      </c>
      <c r="C1018" s="618">
        <v>40317</v>
      </c>
      <c r="D1018" s="734" t="s">
        <v>177</v>
      </c>
      <c r="E1018" s="633">
        <v>19</v>
      </c>
      <c r="F1018" s="603">
        <v>2010</v>
      </c>
      <c r="G1018" s="617" t="s">
        <v>132</v>
      </c>
      <c r="H1018" s="620" t="s">
        <v>190</v>
      </c>
      <c r="I1018" s="621">
        <v>50</v>
      </c>
      <c r="J1018" s="621">
        <v>1.1200000000000001</v>
      </c>
      <c r="K1018" s="603">
        <f t="shared" si="103"/>
        <v>2</v>
      </c>
      <c r="L1018" s="604">
        <v>0.10555555555555556</v>
      </c>
      <c r="M1018" s="605">
        <f t="shared" si="102"/>
        <v>0.10555555555555556</v>
      </c>
      <c r="N1018" s="663">
        <v>0.10694444444444444</v>
      </c>
      <c r="P1018" s="37" t="str">
        <f t="shared" si="96"/>
        <v>2010EF0</v>
      </c>
      <c r="Q1018" s="37" t="str">
        <f t="shared" si="97"/>
        <v>EF02</v>
      </c>
      <c r="R1018" s="37" t="str">
        <f t="shared" si="98"/>
        <v>MayEF0</v>
      </c>
    </row>
    <row r="1019" spans="1:18">
      <c r="A1019" s="616">
        <f t="shared" si="99"/>
        <v>1015</v>
      </c>
      <c r="B1019" s="617">
        <v>25</v>
      </c>
      <c r="C1019" s="618">
        <v>40321</v>
      </c>
      <c r="D1019" s="734" t="s">
        <v>177</v>
      </c>
      <c r="E1019" s="633">
        <v>23</v>
      </c>
      <c r="F1019" s="603">
        <v>2010</v>
      </c>
      <c r="G1019" s="617" t="s">
        <v>126</v>
      </c>
      <c r="H1019" s="620" t="s">
        <v>190</v>
      </c>
      <c r="I1019" s="621">
        <v>25</v>
      </c>
      <c r="J1019" s="621">
        <v>2.0499999999999998</v>
      </c>
      <c r="K1019" s="603">
        <f>HOUR(M1019)</f>
        <v>19</v>
      </c>
      <c r="L1019" s="604">
        <v>0.8125</v>
      </c>
      <c r="M1019" s="605">
        <f>+L1019</f>
        <v>0.8125</v>
      </c>
      <c r="N1019" s="663">
        <v>0.81597222222222221</v>
      </c>
      <c r="P1019" s="37" t="str">
        <f t="shared" si="96"/>
        <v>2010EF0</v>
      </c>
      <c r="Q1019" s="37" t="str">
        <f t="shared" si="97"/>
        <v>EF019</v>
      </c>
      <c r="R1019" s="37" t="str">
        <f t="shared" si="98"/>
        <v>MayEF0</v>
      </c>
    </row>
    <row r="1020" spans="1:18">
      <c r="A1020" s="616">
        <f t="shared" si="99"/>
        <v>1016</v>
      </c>
      <c r="B1020" s="617">
        <v>26</v>
      </c>
      <c r="C1020" s="618">
        <v>40321</v>
      </c>
      <c r="D1020" s="734" t="s">
        <v>177</v>
      </c>
      <c r="E1020" s="633">
        <v>23</v>
      </c>
      <c r="F1020" s="603">
        <v>2010</v>
      </c>
      <c r="G1020" s="617" t="s">
        <v>126</v>
      </c>
      <c r="H1020" s="620" t="s">
        <v>191</v>
      </c>
      <c r="I1020" s="621">
        <v>440</v>
      </c>
      <c r="J1020" s="621">
        <v>6.01</v>
      </c>
      <c r="K1020" s="603">
        <f t="shared" si="103"/>
        <v>20</v>
      </c>
      <c r="L1020" s="604">
        <v>0.85763888888888884</v>
      </c>
      <c r="M1020" s="605">
        <f t="shared" si="102"/>
        <v>0.85763888888888884</v>
      </c>
      <c r="N1020" s="663">
        <v>0.86597222222222225</v>
      </c>
      <c r="P1020" s="37" t="str">
        <f t="shared" si="96"/>
        <v>2010EF1</v>
      </c>
      <c r="Q1020" s="37" t="str">
        <f t="shared" si="97"/>
        <v>EF120</v>
      </c>
      <c r="R1020" s="37" t="str">
        <f t="shared" si="98"/>
        <v>MayEF1</v>
      </c>
    </row>
    <row r="1021" spans="1:18">
      <c r="A1021" s="616">
        <f t="shared" si="99"/>
        <v>1017</v>
      </c>
      <c r="B1021" s="617">
        <v>27</v>
      </c>
      <c r="C1021" s="618">
        <v>40322</v>
      </c>
      <c r="D1021" s="734" t="s">
        <v>177</v>
      </c>
      <c r="E1021" s="633">
        <v>24</v>
      </c>
      <c r="F1021" s="603">
        <v>2010</v>
      </c>
      <c r="G1021" s="617" t="s">
        <v>131</v>
      </c>
      <c r="H1021" s="620" t="s">
        <v>190</v>
      </c>
      <c r="I1021" s="621">
        <v>100</v>
      </c>
      <c r="J1021" s="621">
        <v>3.06</v>
      </c>
      <c r="K1021" s="603">
        <f t="shared" si="103"/>
        <v>19</v>
      </c>
      <c r="L1021" s="604">
        <v>0.81180555555555556</v>
      </c>
      <c r="M1021" s="605">
        <f t="shared" si="102"/>
        <v>0.81180555555555556</v>
      </c>
      <c r="N1021" s="663">
        <v>0.8208333333333333</v>
      </c>
      <c r="P1021" s="37" t="str">
        <f t="shared" si="96"/>
        <v>2010EF0</v>
      </c>
      <c r="Q1021" s="37" t="str">
        <f t="shared" si="97"/>
        <v>EF019</v>
      </c>
      <c r="R1021" s="37" t="str">
        <f t="shared" si="98"/>
        <v>MayEF0</v>
      </c>
    </row>
    <row r="1022" spans="1:18">
      <c r="A1022" s="616">
        <f t="shared" si="99"/>
        <v>1018</v>
      </c>
      <c r="B1022" s="617">
        <v>28</v>
      </c>
      <c r="C1022" s="618">
        <v>40322</v>
      </c>
      <c r="D1022" s="734" t="s">
        <v>177</v>
      </c>
      <c r="E1022" s="633">
        <v>24</v>
      </c>
      <c r="F1022" s="603">
        <v>2010</v>
      </c>
      <c r="G1022" s="617" t="s">
        <v>131</v>
      </c>
      <c r="H1022" s="620" t="s">
        <v>190</v>
      </c>
      <c r="I1022" s="621">
        <v>25</v>
      </c>
      <c r="J1022" s="621">
        <v>0.21</v>
      </c>
      <c r="K1022" s="603">
        <f t="shared" si="103"/>
        <v>19</v>
      </c>
      <c r="L1022" s="604">
        <v>0.81736111111111109</v>
      </c>
      <c r="M1022" s="605">
        <f t="shared" si="102"/>
        <v>0.81736111111111109</v>
      </c>
      <c r="N1022" s="663">
        <v>0.81805555555555554</v>
      </c>
      <c r="P1022" s="37" t="str">
        <f t="shared" si="96"/>
        <v>2010EF0</v>
      </c>
      <c r="Q1022" s="37" t="str">
        <f t="shared" si="97"/>
        <v>EF019</v>
      </c>
      <c r="R1022" s="37" t="str">
        <f t="shared" si="98"/>
        <v>MayEF0</v>
      </c>
    </row>
    <row r="1023" spans="1:18">
      <c r="A1023" s="616">
        <f t="shared" si="99"/>
        <v>1019</v>
      </c>
      <c r="B1023" s="617">
        <v>29</v>
      </c>
      <c r="C1023" s="618">
        <v>40322</v>
      </c>
      <c r="D1023" s="734" t="s">
        <v>177</v>
      </c>
      <c r="E1023" s="633">
        <v>24</v>
      </c>
      <c r="F1023" s="603">
        <v>2010</v>
      </c>
      <c r="G1023" s="617" t="s">
        <v>131</v>
      </c>
      <c r="H1023" s="620" t="s">
        <v>190</v>
      </c>
      <c r="I1023" s="621">
        <v>25</v>
      </c>
      <c r="J1023" s="621">
        <v>0.38</v>
      </c>
      <c r="K1023" s="603">
        <f t="shared" si="103"/>
        <v>19</v>
      </c>
      <c r="L1023" s="604">
        <v>0.82430555555555562</v>
      </c>
      <c r="M1023" s="605">
        <f t="shared" si="102"/>
        <v>0.82430555555555562</v>
      </c>
      <c r="N1023" s="663">
        <v>0.8256944444444444</v>
      </c>
      <c r="P1023" s="37" t="str">
        <f t="shared" si="96"/>
        <v>2010EF0</v>
      </c>
      <c r="Q1023" s="37" t="str">
        <f t="shared" si="97"/>
        <v>EF019</v>
      </c>
      <c r="R1023" s="37" t="str">
        <f t="shared" si="98"/>
        <v>MayEF0</v>
      </c>
    </row>
    <row r="1024" spans="1:18">
      <c r="A1024" s="616">
        <f t="shared" si="99"/>
        <v>1020</v>
      </c>
      <c r="B1024" s="617">
        <v>30</v>
      </c>
      <c r="C1024" s="618">
        <v>40322</v>
      </c>
      <c r="D1024" s="734" t="s">
        <v>177</v>
      </c>
      <c r="E1024" s="633">
        <v>24</v>
      </c>
      <c r="F1024" s="603">
        <v>2010</v>
      </c>
      <c r="G1024" s="617" t="s">
        <v>131</v>
      </c>
      <c r="H1024" s="620" t="s">
        <v>190</v>
      </c>
      <c r="I1024" s="621">
        <v>25</v>
      </c>
      <c r="J1024" s="621">
        <v>0.14000000000000001</v>
      </c>
      <c r="K1024" s="603">
        <f t="shared" si="103"/>
        <v>19</v>
      </c>
      <c r="L1024" s="604">
        <v>0.8305555555555556</v>
      </c>
      <c r="M1024" s="605">
        <f t="shared" si="102"/>
        <v>0.8305555555555556</v>
      </c>
      <c r="N1024" s="663">
        <v>0.83194444444444438</v>
      </c>
      <c r="P1024" s="37" t="str">
        <f t="shared" si="96"/>
        <v>2010EF0</v>
      </c>
      <c r="Q1024" s="37" t="str">
        <f t="shared" si="97"/>
        <v>EF019</v>
      </c>
      <c r="R1024" s="37" t="str">
        <f t="shared" si="98"/>
        <v>MayEF0</v>
      </c>
    </row>
    <row r="1025" spans="1:18">
      <c r="A1025" s="616">
        <f t="shared" si="99"/>
        <v>1021</v>
      </c>
      <c r="B1025" s="617">
        <v>31</v>
      </c>
      <c r="C1025" s="618">
        <v>40329</v>
      </c>
      <c r="D1025" s="734" t="s">
        <v>177</v>
      </c>
      <c r="E1025" s="633">
        <v>31</v>
      </c>
      <c r="F1025" s="603">
        <v>2010</v>
      </c>
      <c r="G1025" s="617" t="s">
        <v>126</v>
      </c>
      <c r="H1025" s="620" t="s">
        <v>190</v>
      </c>
      <c r="I1025" s="621">
        <v>25</v>
      </c>
      <c r="J1025" s="621">
        <v>1.75</v>
      </c>
      <c r="K1025" s="603">
        <f t="shared" si="103"/>
        <v>18</v>
      </c>
      <c r="L1025" s="604">
        <v>0.79027777777777775</v>
      </c>
      <c r="M1025" s="605">
        <f t="shared" si="102"/>
        <v>0.79027777777777775</v>
      </c>
      <c r="N1025" s="663">
        <v>0.79166666666666663</v>
      </c>
      <c r="P1025" s="37" t="str">
        <f t="shared" si="96"/>
        <v>2010EF0</v>
      </c>
      <c r="Q1025" s="37" t="str">
        <f t="shared" si="97"/>
        <v>EF018</v>
      </c>
      <c r="R1025" s="37" t="str">
        <f t="shared" si="98"/>
        <v>MayEF0</v>
      </c>
    </row>
    <row r="1026" spans="1:18">
      <c r="A1026" s="616">
        <f t="shared" si="99"/>
        <v>1022</v>
      </c>
      <c r="B1026" s="617">
        <v>32</v>
      </c>
      <c r="C1026" s="618">
        <v>40329</v>
      </c>
      <c r="D1026" s="734" t="s">
        <v>177</v>
      </c>
      <c r="E1026" s="633">
        <v>31</v>
      </c>
      <c r="F1026" s="603">
        <v>2010</v>
      </c>
      <c r="G1026" s="617" t="s">
        <v>127</v>
      </c>
      <c r="H1026" s="620" t="s">
        <v>190</v>
      </c>
      <c r="I1026" s="621">
        <v>25</v>
      </c>
      <c r="J1026" s="621">
        <v>1.7</v>
      </c>
      <c r="K1026" s="603">
        <f t="shared" si="103"/>
        <v>19</v>
      </c>
      <c r="L1026" s="604">
        <v>0.82708333333333339</v>
      </c>
      <c r="M1026" s="605">
        <f t="shared" si="102"/>
        <v>0.82708333333333339</v>
      </c>
      <c r="N1026" s="663">
        <v>0.82847222222222217</v>
      </c>
      <c r="P1026" s="37" t="str">
        <f t="shared" si="96"/>
        <v>2010EF0</v>
      </c>
      <c r="Q1026" s="37" t="str">
        <f t="shared" si="97"/>
        <v>EF019</v>
      </c>
      <c r="R1026" s="37" t="str">
        <f t="shared" si="98"/>
        <v>MayEF0</v>
      </c>
    </row>
    <row r="1027" spans="1:18">
      <c r="A1027" s="616">
        <f t="shared" si="99"/>
        <v>1023</v>
      </c>
      <c r="B1027" s="617">
        <v>33</v>
      </c>
      <c r="C1027" s="618">
        <v>40341</v>
      </c>
      <c r="D1027" s="618" t="s">
        <v>178</v>
      </c>
      <c r="E1027" s="633">
        <v>12</v>
      </c>
      <c r="F1027" s="603">
        <v>2010</v>
      </c>
      <c r="G1027" s="617" t="s">
        <v>135</v>
      </c>
      <c r="H1027" s="620" t="s">
        <v>190</v>
      </c>
      <c r="I1027" s="621">
        <v>25</v>
      </c>
      <c r="J1027" s="621">
        <v>0.56000000000000005</v>
      </c>
      <c r="K1027" s="603">
        <f t="shared" si="103"/>
        <v>14</v>
      </c>
      <c r="L1027" s="604">
        <v>0.59305555555555556</v>
      </c>
      <c r="M1027" s="605">
        <f t="shared" si="102"/>
        <v>0.59305555555555556</v>
      </c>
      <c r="N1027" s="663">
        <v>0.59444444444444444</v>
      </c>
      <c r="P1027" s="37" t="str">
        <f t="shared" si="96"/>
        <v>2010EF0</v>
      </c>
      <c r="Q1027" s="37" t="str">
        <f t="shared" si="97"/>
        <v>EF014</v>
      </c>
      <c r="R1027" s="37" t="str">
        <f t="shared" si="98"/>
        <v>JuneEF0</v>
      </c>
    </row>
    <row r="1028" spans="1:18">
      <c r="A1028" s="616">
        <f t="shared" si="99"/>
        <v>1024</v>
      </c>
      <c r="B1028" s="617">
        <v>34</v>
      </c>
      <c r="C1028" s="618">
        <v>40342</v>
      </c>
      <c r="D1028" s="618" t="s">
        <v>178</v>
      </c>
      <c r="E1028" s="633">
        <v>13</v>
      </c>
      <c r="F1028" s="603">
        <v>2010</v>
      </c>
      <c r="G1028" s="617" t="s">
        <v>128</v>
      </c>
      <c r="H1028" s="620" t="s">
        <v>190</v>
      </c>
      <c r="I1028" s="621">
        <v>25</v>
      </c>
      <c r="J1028" s="621">
        <v>5.1100000000000003</v>
      </c>
      <c r="K1028" s="603">
        <f t="shared" si="103"/>
        <v>14</v>
      </c>
      <c r="L1028" s="604">
        <v>0.61944444444444446</v>
      </c>
      <c r="M1028" s="605">
        <f t="shared" si="102"/>
        <v>0.61944444444444446</v>
      </c>
      <c r="N1028" s="663">
        <v>0.62361111111111112</v>
      </c>
      <c r="P1028" s="37" t="str">
        <f t="shared" si="96"/>
        <v>2010EF0</v>
      </c>
      <c r="Q1028" s="37" t="str">
        <f t="shared" si="97"/>
        <v>EF014</v>
      </c>
      <c r="R1028" s="37" t="str">
        <f t="shared" si="98"/>
        <v>JuneEF0</v>
      </c>
    </row>
    <row r="1029" spans="1:18">
      <c r="A1029" s="616">
        <f t="shared" si="99"/>
        <v>1025</v>
      </c>
      <c r="B1029" s="617">
        <v>35</v>
      </c>
      <c r="C1029" s="618">
        <v>40342</v>
      </c>
      <c r="D1029" s="618" t="s">
        <v>178</v>
      </c>
      <c r="E1029" s="633">
        <v>13</v>
      </c>
      <c r="F1029" s="603">
        <v>2010</v>
      </c>
      <c r="G1029" s="617" t="s">
        <v>128</v>
      </c>
      <c r="H1029" s="620" t="s">
        <v>190</v>
      </c>
      <c r="I1029" s="621">
        <v>25</v>
      </c>
      <c r="J1029" s="621">
        <v>3.07</v>
      </c>
      <c r="K1029" s="603">
        <f t="shared" si="103"/>
        <v>15</v>
      </c>
      <c r="L1029" s="604">
        <v>0.63680555555555551</v>
      </c>
      <c r="M1029" s="605">
        <f t="shared" si="102"/>
        <v>0.63680555555555551</v>
      </c>
      <c r="N1029" s="663">
        <v>0.64027777777777783</v>
      </c>
      <c r="P1029" s="37" t="str">
        <f t="shared" si="96"/>
        <v>2010EF0</v>
      </c>
      <c r="Q1029" s="37" t="str">
        <f t="shared" si="97"/>
        <v>EF015</v>
      </c>
      <c r="R1029" s="37" t="str">
        <f t="shared" si="98"/>
        <v>JuneEF0</v>
      </c>
    </row>
    <row r="1030" spans="1:18">
      <c r="A1030" s="616">
        <f t="shared" si="99"/>
        <v>1026</v>
      </c>
      <c r="B1030" s="617">
        <v>36</v>
      </c>
      <c r="C1030" s="618">
        <v>40342</v>
      </c>
      <c r="D1030" s="618" t="s">
        <v>178</v>
      </c>
      <c r="E1030" s="633">
        <v>13</v>
      </c>
      <c r="F1030" s="603">
        <v>2010</v>
      </c>
      <c r="G1030" s="617" t="s">
        <v>128</v>
      </c>
      <c r="H1030" s="620" t="s">
        <v>190</v>
      </c>
      <c r="I1030" s="621">
        <v>25</v>
      </c>
      <c r="J1030" s="621">
        <v>2.5099999999999998</v>
      </c>
      <c r="K1030" s="603">
        <f t="shared" si="103"/>
        <v>15</v>
      </c>
      <c r="L1030" s="604">
        <v>0.64027777777777783</v>
      </c>
      <c r="M1030" s="605">
        <f t="shared" si="102"/>
        <v>0.64027777777777783</v>
      </c>
      <c r="N1030" s="663">
        <v>0.64374999999999993</v>
      </c>
      <c r="P1030" s="37" t="str">
        <f t="shared" ref="P1030:P1090" si="104">CONCATENATE(F1030,H1030)</f>
        <v>2010EF0</v>
      </c>
      <c r="Q1030" s="37" t="str">
        <f>CONCATENATE(H1030,K1030)</f>
        <v>EF015</v>
      </c>
      <c r="R1030" s="37" t="str">
        <f t="shared" ref="R1030:R1090" si="105">CONCATENATE(D1030,H1030)</f>
        <v>JuneEF0</v>
      </c>
    </row>
    <row r="1031" spans="1:18">
      <c r="A1031" s="616">
        <f t="shared" ref="A1031:A1094" si="106">+A1030+1</f>
        <v>1027</v>
      </c>
      <c r="B1031" s="617">
        <v>37</v>
      </c>
      <c r="C1031" s="618">
        <v>40342</v>
      </c>
      <c r="D1031" s="618" t="s">
        <v>178</v>
      </c>
      <c r="E1031" s="633">
        <v>13</v>
      </c>
      <c r="F1031" s="603">
        <v>2010</v>
      </c>
      <c r="G1031" s="617" t="s">
        <v>128</v>
      </c>
      <c r="H1031" s="620" t="s">
        <v>190</v>
      </c>
      <c r="I1031" s="621">
        <v>25</v>
      </c>
      <c r="J1031" s="621">
        <v>2.79</v>
      </c>
      <c r="K1031" s="603">
        <f t="shared" si="103"/>
        <v>15</v>
      </c>
      <c r="L1031" s="604">
        <v>0.65347222222222223</v>
      </c>
      <c r="M1031" s="605">
        <f t="shared" si="102"/>
        <v>0.65347222222222223</v>
      </c>
      <c r="N1031" s="663">
        <v>0.65694444444444444</v>
      </c>
      <c r="P1031" s="37" t="str">
        <f t="shared" si="104"/>
        <v>2010EF0</v>
      </c>
      <c r="Q1031" s="37" t="str">
        <f>CONCATENATE(H1031,K1031)</f>
        <v>EF015</v>
      </c>
      <c r="R1031" s="37" t="str">
        <f t="shared" si="105"/>
        <v>JuneEF0</v>
      </c>
    </row>
    <row r="1032" spans="1:18">
      <c r="A1032" s="616">
        <f t="shared" si="106"/>
        <v>1028</v>
      </c>
      <c r="B1032" s="617">
        <v>38</v>
      </c>
      <c r="C1032" s="618">
        <v>40342</v>
      </c>
      <c r="D1032" s="618" t="s">
        <v>178</v>
      </c>
      <c r="E1032" s="633">
        <v>13</v>
      </c>
      <c r="F1032" s="603">
        <v>2010</v>
      </c>
      <c r="G1032" s="617" t="s">
        <v>133</v>
      </c>
      <c r="H1032" s="620" t="s">
        <v>190</v>
      </c>
      <c r="I1032" s="617">
        <v>25</v>
      </c>
      <c r="J1032" s="617">
        <v>0.32</v>
      </c>
      <c r="K1032" s="603">
        <f t="shared" si="103"/>
        <v>16</v>
      </c>
      <c r="L1032" s="604">
        <v>0.68333333333333324</v>
      </c>
      <c r="M1032" s="605">
        <f t="shared" si="102"/>
        <v>0.68333333333333324</v>
      </c>
      <c r="N1032" s="663">
        <v>0.68472222222222223</v>
      </c>
      <c r="P1032" s="37" t="str">
        <f t="shared" si="104"/>
        <v>2010EF0</v>
      </c>
      <c r="Q1032" s="37" t="str">
        <f>CONCATENATE(H1032,K1032)</f>
        <v>EF016</v>
      </c>
      <c r="R1032" s="37" t="str">
        <f t="shared" si="105"/>
        <v>JuneEF0</v>
      </c>
    </row>
    <row r="1033" spans="1:18">
      <c r="A1033" s="616">
        <f t="shared" si="106"/>
        <v>1029</v>
      </c>
      <c r="B1033" s="617">
        <v>1</v>
      </c>
      <c r="C1033" s="618">
        <v>40705</v>
      </c>
      <c r="D1033" s="618" t="s">
        <v>178</v>
      </c>
      <c r="E1033" s="633">
        <v>11</v>
      </c>
      <c r="F1033" s="603">
        <v>2011</v>
      </c>
      <c r="G1033" s="617" t="s">
        <v>133</v>
      </c>
      <c r="H1033" s="620" t="s">
        <v>190</v>
      </c>
      <c r="I1033" s="617">
        <v>50</v>
      </c>
      <c r="J1033" s="617">
        <v>0.51</v>
      </c>
      <c r="K1033" s="603">
        <f t="shared" si="103"/>
        <v>17</v>
      </c>
      <c r="L1033" s="604">
        <v>0.74236111111111114</v>
      </c>
      <c r="M1033" s="605">
        <f t="shared" si="102"/>
        <v>0.74236111111111114</v>
      </c>
      <c r="N1033" s="663">
        <v>0.74375000000000002</v>
      </c>
      <c r="P1033" s="37" t="str">
        <f t="shared" si="104"/>
        <v>2011EF0</v>
      </c>
      <c r="Q1033" s="37" t="str">
        <f t="shared" ref="Q1033:Q1090" si="107">CONCATENATE(H1033,K1033)</f>
        <v>EF017</v>
      </c>
      <c r="R1033" s="37" t="str">
        <f t="shared" si="105"/>
        <v>JuneEF0</v>
      </c>
    </row>
    <row r="1034" spans="1:18">
      <c r="A1034" s="616">
        <f t="shared" si="106"/>
        <v>1030</v>
      </c>
      <c r="B1034" s="617">
        <v>2</v>
      </c>
      <c r="C1034" s="618">
        <v>40705</v>
      </c>
      <c r="D1034" s="618" t="s">
        <v>178</v>
      </c>
      <c r="E1034" s="633">
        <v>11</v>
      </c>
      <c r="F1034" s="603">
        <v>2011</v>
      </c>
      <c r="G1034" s="617" t="s">
        <v>127</v>
      </c>
      <c r="H1034" s="620" t="s">
        <v>190</v>
      </c>
      <c r="I1034" s="617">
        <v>50</v>
      </c>
      <c r="J1034" s="617">
        <v>2.1</v>
      </c>
      <c r="K1034" s="603">
        <f t="shared" si="103"/>
        <v>18</v>
      </c>
      <c r="L1034" s="604">
        <v>0.75763888888888886</v>
      </c>
      <c r="M1034" s="605">
        <f t="shared" si="102"/>
        <v>0.75763888888888886</v>
      </c>
      <c r="N1034" s="663">
        <v>0.76736111111111116</v>
      </c>
      <c r="P1034" s="37" t="str">
        <f t="shared" si="104"/>
        <v>2011EF0</v>
      </c>
      <c r="Q1034" s="37" t="str">
        <f t="shared" si="107"/>
        <v>EF018</v>
      </c>
      <c r="R1034" s="37" t="str">
        <f t="shared" si="105"/>
        <v>JuneEF0</v>
      </c>
    </row>
    <row r="1035" spans="1:18">
      <c r="A1035" s="616">
        <f t="shared" si="106"/>
        <v>1031</v>
      </c>
      <c r="B1035" s="617">
        <v>3</v>
      </c>
      <c r="C1035" s="618">
        <v>40705</v>
      </c>
      <c r="D1035" s="618" t="s">
        <v>178</v>
      </c>
      <c r="E1035" s="633">
        <v>11</v>
      </c>
      <c r="F1035" s="603">
        <v>2011</v>
      </c>
      <c r="G1035" s="617" t="s">
        <v>128</v>
      </c>
      <c r="H1035" s="620" t="s">
        <v>190</v>
      </c>
      <c r="I1035" s="617">
        <v>25</v>
      </c>
      <c r="J1035" s="617">
        <v>0.1</v>
      </c>
      <c r="K1035" s="603">
        <f t="shared" si="103"/>
        <v>18</v>
      </c>
      <c r="L1035" s="604">
        <v>0.78472222222222221</v>
      </c>
      <c r="M1035" s="605">
        <f t="shared" si="102"/>
        <v>0.78472222222222221</v>
      </c>
      <c r="N1035" s="663">
        <v>0.78611111111111109</v>
      </c>
      <c r="P1035" s="37" t="str">
        <f t="shared" si="104"/>
        <v>2011EF0</v>
      </c>
      <c r="Q1035" s="37" t="str">
        <f t="shared" si="107"/>
        <v>EF018</v>
      </c>
      <c r="R1035" s="37" t="str">
        <f t="shared" si="105"/>
        <v>JuneEF0</v>
      </c>
    </row>
    <row r="1036" spans="1:18">
      <c r="A1036" s="616">
        <f t="shared" si="106"/>
        <v>1032</v>
      </c>
      <c r="B1036" s="854">
        <v>4</v>
      </c>
      <c r="C1036" s="855">
        <v>40705</v>
      </c>
      <c r="D1036" s="855" t="s">
        <v>178</v>
      </c>
      <c r="E1036" s="856">
        <v>11</v>
      </c>
      <c r="F1036" s="857">
        <v>2011</v>
      </c>
      <c r="G1036" s="854" t="s">
        <v>133</v>
      </c>
      <c r="H1036" s="858" t="s">
        <v>190</v>
      </c>
      <c r="I1036" s="854">
        <v>50</v>
      </c>
      <c r="J1036" s="854">
        <v>0.17</v>
      </c>
      <c r="K1036" s="857">
        <f t="shared" si="103"/>
        <v>18</v>
      </c>
      <c r="L1036" s="604">
        <v>0.78472222222222221</v>
      </c>
      <c r="M1036" s="605">
        <f t="shared" si="102"/>
        <v>0.78472222222222221</v>
      </c>
      <c r="N1036" s="663">
        <v>0.78611111111111109</v>
      </c>
      <c r="P1036" s="37" t="str">
        <f t="shared" si="104"/>
        <v>2011EF0</v>
      </c>
      <c r="Q1036" s="37" t="str">
        <f t="shared" si="107"/>
        <v>EF018</v>
      </c>
      <c r="R1036" s="37" t="str">
        <f t="shared" si="105"/>
        <v>JuneEF0</v>
      </c>
    </row>
    <row r="1037" spans="1:18">
      <c r="A1037" s="616">
        <f t="shared" si="106"/>
        <v>1033</v>
      </c>
      <c r="B1037" s="854">
        <v>1</v>
      </c>
      <c r="C1037" s="855">
        <v>40942</v>
      </c>
      <c r="D1037" s="855" t="s">
        <v>174</v>
      </c>
      <c r="E1037" s="856">
        <v>3</v>
      </c>
      <c r="F1037" s="857">
        <v>2012</v>
      </c>
      <c r="G1037" s="854" t="s">
        <v>142</v>
      </c>
      <c r="H1037" s="858" t="s">
        <v>191</v>
      </c>
      <c r="I1037" s="854">
        <v>100</v>
      </c>
      <c r="J1037" s="854">
        <v>12.67</v>
      </c>
      <c r="K1037" s="857">
        <f t="shared" ref="K1037:K1096" si="108">HOUR(M1037)</f>
        <v>0</v>
      </c>
      <c r="L1037" s="859">
        <v>2.9166666666666664E-2</v>
      </c>
      <c r="M1037" s="605">
        <f t="shared" ref="M1037:M1098" si="109">+L1037</f>
        <v>2.9166666666666664E-2</v>
      </c>
      <c r="N1037" s="663">
        <v>4.3750000000000004E-2</v>
      </c>
      <c r="P1037" s="37" t="str">
        <f t="shared" si="104"/>
        <v>2012EF1</v>
      </c>
      <c r="Q1037" s="37" t="str">
        <f t="shared" si="107"/>
        <v>EF10</v>
      </c>
      <c r="R1037" s="37" t="str">
        <f t="shared" si="105"/>
        <v>FebruaryEF1</v>
      </c>
    </row>
    <row r="1038" spans="1:18">
      <c r="A1038" s="616">
        <f t="shared" si="106"/>
        <v>1034</v>
      </c>
      <c r="B1038" s="854">
        <v>2</v>
      </c>
      <c r="C1038" s="862">
        <v>41029</v>
      </c>
      <c r="D1038" s="862" t="s">
        <v>176</v>
      </c>
      <c r="E1038" s="863">
        <v>30</v>
      </c>
      <c r="F1038" s="864">
        <v>2012</v>
      </c>
      <c r="G1038" s="861" t="s">
        <v>148</v>
      </c>
      <c r="H1038" s="865" t="s">
        <v>190</v>
      </c>
      <c r="I1038" s="861">
        <v>150</v>
      </c>
      <c r="J1038" s="861">
        <v>1.26</v>
      </c>
      <c r="K1038" s="857">
        <f t="shared" si="108"/>
        <v>19</v>
      </c>
      <c r="L1038" s="859">
        <v>0.8125</v>
      </c>
      <c r="M1038" s="605">
        <f t="shared" si="109"/>
        <v>0.8125</v>
      </c>
      <c r="N1038" s="663">
        <v>0.81458333333333333</v>
      </c>
      <c r="P1038" s="37" t="str">
        <f t="shared" si="104"/>
        <v>2012EF0</v>
      </c>
      <c r="Q1038" s="37" t="str">
        <f t="shared" si="107"/>
        <v>EF019</v>
      </c>
      <c r="R1038" s="37" t="str">
        <f t="shared" si="105"/>
        <v>AprilEF0</v>
      </c>
    </row>
    <row r="1039" spans="1:18">
      <c r="A1039" s="616">
        <f t="shared" si="106"/>
        <v>1035</v>
      </c>
      <c r="B1039" s="854">
        <v>3</v>
      </c>
      <c r="C1039" s="862">
        <v>41050</v>
      </c>
      <c r="D1039" s="862" t="s">
        <v>177</v>
      </c>
      <c r="E1039" s="863">
        <v>21</v>
      </c>
      <c r="F1039" s="864">
        <v>2012</v>
      </c>
      <c r="G1039" s="861" t="s">
        <v>139</v>
      </c>
      <c r="H1039" s="865" t="s">
        <v>190</v>
      </c>
      <c r="I1039" s="861">
        <v>100</v>
      </c>
      <c r="J1039" s="861">
        <v>0.56999999999999995</v>
      </c>
      <c r="K1039" s="857">
        <f t="shared" si="108"/>
        <v>19</v>
      </c>
      <c r="L1039" s="859">
        <v>0.81736111111111109</v>
      </c>
      <c r="M1039" s="605">
        <f t="shared" si="109"/>
        <v>0.81736111111111109</v>
      </c>
      <c r="N1039" s="663">
        <v>0.81944444444444453</v>
      </c>
      <c r="P1039" s="37" t="str">
        <f t="shared" si="104"/>
        <v>2012EF0</v>
      </c>
      <c r="Q1039" s="37" t="str">
        <f t="shared" si="107"/>
        <v>EF019</v>
      </c>
      <c r="R1039" s="37" t="str">
        <f t="shared" si="105"/>
        <v>MayEF0</v>
      </c>
    </row>
    <row r="1040" spans="1:18">
      <c r="A1040" s="616">
        <f t="shared" si="106"/>
        <v>1036</v>
      </c>
      <c r="B1040" s="854">
        <v>4</v>
      </c>
      <c r="C1040" s="862">
        <v>41257</v>
      </c>
      <c r="D1040" s="862" t="s">
        <v>184</v>
      </c>
      <c r="E1040" s="863">
        <v>14</v>
      </c>
      <c r="F1040" s="864">
        <v>2012</v>
      </c>
      <c r="G1040" s="861" t="s">
        <v>141</v>
      </c>
      <c r="H1040" s="865" t="s">
        <v>190</v>
      </c>
      <c r="I1040" s="861">
        <v>200</v>
      </c>
      <c r="J1040" s="861">
        <v>3</v>
      </c>
      <c r="K1040" s="857">
        <f t="shared" si="108"/>
        <v>16</v>
      </c>
      <c r="L1040" s="859">
        <v>0.67847222222222225</v>
      </c>
      <c r="M1040" s="605">
        <f t="shared" si="109"/>
        <v>0.67847222222222225</v>
      </c>
      <c r="N1040" s="663">
        <v>0.68194444444444446</v>
      </c>
      <c r="P1040" s="37" t="str">
        <f t="shared" si="104"/>
        <v>2012EF0</v>
      </c>
      <c r="Q1040" s="37" t="str">
        <f t="shared" si="107"/>
        <v>EF016</v>
      </c>
      <c r="R1040" s="37" t="str">
        <f t="shared" si="105"/>
        <v>DecemberEF0</v>
      </c>
    </row>
    <row r="1041" spans="1:18">
      <c r="A1041" s="616">
        <f t="shared" si="106"/>
        <v>1037</v>
      </c>
      <c r="B1041" s="861">
        <v>5</v>
      </c>
      <c r="C1041" s="862">
        <v>41257</v>
      </c>
      <c r="D1041" s="862" t="s">
        <v>184</v>
      </c>
      <c r="E1041" s="863">
        <v>14</v>
      </c>
      <c r="F1041" s="864">
        <v>2012</v>
      </c>
      <c r="G1041" s="861" t="s">
        <v>147</v>
      </c>
      <c r="H1041" s="865" t="s">
        <v>190</v>
      </c>
      <c r="I1041" s="861">
        <v>50</v>
      </c>
      <c r="J1041" s="861">
        <v>0.75</v>
      </c>
      <c r="K1041" s="857">
        <f t="shared" si="108"/>
        <v>16</v>
      </c>
      <c r="L1041" s="859">
        <v>0.70347222222222217</v>
      </c>
      <c r="M1041" s="605">
        <f t="shared" si="109"/>
        <v>0.70347222222222217</v>
      </c>
      <c r="N1041" s="663">
        <v>0.70347222222222217</v>
      </c>
      <c r="P1041" s="37" t="str">
        <f t="shared" si="104"/>
        <v>2012EF0</v>
      </c>
      <c r="Q1041" s="37" t="str">
        <f t="shared" si="107"/>
        <v>EF016</v>
      </c>
      <c r="R1041" s="37" t="str">
        <f t="shared" si="105"/>
        <v>DecemberEF0</v>
      </c>
    </row>
    <row r="1042" spans="1:18">
      <c r="A1042" s="616">
        <f t="shared" si="106"/>
        <v>1038</v>
      </c>
      <c r="B1042" s="861">
        <v>6</v>
      </c>
      <c r="C1042" s="862">
        <v>41257</v>
      </c>
      <c r="D1042" s="862" t="s">
        <v>184</v>
      </c>
      <c r="E1042" s="863">
        <v>14</v>
      </c>
      <c r="F1042" s="864">
        <v>2012</v>
      </c>
      <c r="G1042" s="861" t="s">
        <v>147</v>
      </c>
      <c r="H1042" s="865" t="s">
        <v>190</v>
      </c>
      <c r="I1042" s="861">
        <v>50</v>
      </c>
      <c r="J1042" s="861">
        <v>0.3</v>
      </c>
      <c r="K1042" s="857">
        <f t="shared" si="108"/>
        <v>16</v>
      </c>
      <c r="L1042" s="859">
        <v>0.70694444444444438</v>
      </c>
      <c r="M1042" s="605">
        <f t="shared" si="109"/>
        <v>0.70694444444444438</v>
      </c>
      <c r="N1042" s="663">
        <v>0.70763888888888893</v>
      </c>
      <c r="P1042" s="37" t="str">
        <f t="shared" si="104"/>
        <v>2012EF0</v>
      </c>
      <c r="Q1042" s="37" t="str">
        <f t="shared" si="107"/>
        <v>EF016</v>
      </c>
      <c r="R1042" s="37" t="str">
        <f t="shared" si="105"/>
        <v>DecemberEF0</v>
      </c>
    </row>
    <row r="1043" spans="1:18">
      <c r="A1043" s="616">
        <f t="shared" si="106"/>
        <v>1039</v>
      </c>
      <c r="B1043" s="724">
        <v>1</v>
      </c>
      <c r="C1043" s="903">
        <v>41422</v>
      </c>
      <c r="D1043" s="903" t="s">
        <v>177</v>
      </c>
      <c r="E1043" s="904">
        <v>28</v>
      </c>
      <c r="F1043" s="644">
        <v>2013</v>
      </c>
      <c r="G1043" s="724" t="s">
        <v>128</v>
      </c>
      <c r="H1043" s="645" t="s">
        <v>190</v>
      </c>
      <c r="I1043" s="724">
        <v>25</v>
      </c>
      <c r="J1043" s="724">
        <v>0.82</v>
      </c>
      <c r="K1043" s="603">
        <f t="shared" si="108"/>
        <v>14</v>
      </c>
      <c r="L1043" s="604">
        <v>0.58888888888888891</v>
      </c>
      <c r="M1043" s="605">
        <f t="shared" si="109"/>
        <v>0.58888888888888891</v>
      </c>
      <c r="N1043" s="663">
        <v>0.59097222222222223</v>
      </c>
      <c r="P1043" s="37" t="str">
        <f t="shared" si="104"/>
        <v>2013EF0</v>
      </c>
      <c r="Q1043" s="37" t="str">
        <f t="shared" si="107"/>
        <v>EF014</v>
      </c>
      <c r="R1043" s="37" t="str">
        <f t="shared" si="105"/>
        <v>MayEF0</v>
      </c>
    </row>
    <row r="1044" spans="1:18">
      <c r="A1044" s="616">
        <f t="shared" si="106"/>
        <v>1040</v>
      </c>
      <c r="B1044" s="724">
        <v>2</v>
      </c>
      <c r="C1044" s="903">
        <v>41422</v>
      </c>
      <c r="D1044" s="903" t="s">
        <v>177</v>
      </c>
      <c r="E1044" s="904">
        <v>28</v>
      </c>
      <c r="F1044" s="644">
        <v>2013</v>
      </c>
      <c r="G1044" s="724" t="s">
        <v>128</v>
      </c>
      <c r="H1044" s="645" t="s">
        <v>190</v>
      </c>
      <c r="I1044" s="724">
        <v>25</v>
      </c>
      <c r="J1044" s="724">
        <v>1.77</v>
      </c>
      <c r="K1044" s="603">
        <f t="shared" si="108"/>
        <v>14</v>
      </c>
      <c r="L1044" s="604">
        <v>0.60347222222222219</v>
      </c>
      <c r="M1044" s="605">
        <f t="shared" si="109"/>
        <v>0.60347222222222219</v>
      </c>
      <c r="N1044" s="663">
        <v>0.61111111111111105</v>
      </c>
      <c r="P1044" s="37" t="str">
        <f t="shared" si="104"/>
        <v>2013EF0</v>
      </c>
      <c r="Q1044" s="37" t="str">
        <f t="shared" si="107"/>
        <v>EF014</v>
      </c>
      <c r="R1044" s="37" t="str">
        <f t="shared" si="105"/>
        <v>MayEF0</v>
      </c>
    </row>
    <row r="1045" spans="1:18">
      <c r="A1045" s="616">
        <f t="shared" si="106"/>
        <v>1041</v>
      </c>
      <c r="B1045" s="724">
        <v>3</v>
      </c>
      <c r="C1045" s="903">
        <v>41422</v>
      </c>
      <c r="D1045" s="903" t="s">
        <v>177</v>
      </c>
      <c r="E1045" s="904">
        <v>28</v>
      </c>
      <c r="F1045" s="644">
        <v>2013</v>
      </c>
      <c r="G1045" s="724" t="s">
        <v>144</v>
      </c>
      <c r="H1045" s="645" t="s">
        <v>190</v>
      </c>
      <c r="I1045" s="724">
        <v>75</v>
      </c>
      <c r="J1045" s="724">
        <v>2.14</v>
      </c>
      <c r="K1045" s="603">
        <f t="shared" si="108"/>
        <v>17</v>
      </c>
      <c r="L1045" s="604">
        <v>0.73958333333333337</v>
      </c>
      <c r="M1045" s="605">
        <f t="shared" si="109"/>
        <v>0.73958333333333337</v>
      </c>
      <c r="N1045" s="663">
        <v>0.74305555555555547</v>
      </c>
      <c r="P1045" s="37" t="str">
        <f t="shared" si="104"/>
        <v>2013EF0</v>
      </c>
      <c r="Q1045" s="37" t="str">
        <f t="shared" si="107"/>
        <v>EF017</v>
      </c>
      <c r="R1045" s="37" t="str">
        <f t="shared" si="105"/>
        <v>MayEF0</v>
      </c>
    </row>
    <row r="1046" spans="1:18">
      <c r="A1046" s="616">
        <f t="shared" si="106"/>
        <v>1042</v>
      </c>
      <c r="B1046" s="724">
        <v>4</v>
      </c>
      <c r="C1046" s="903">
        <v>41422</v>
      </c>
      <c r="D1046" s="903" t="s">
        <v>177</v>
      </c>
      <c r="E1046" s="904">
        <v>28</v>
      </c>
      <c r="F1046" s="644">
        <v>2013</v>
      </c>
      <c r="G1046" s="724" t="s">
        <v>144</v>
      </c>
      <c r="H1046" s="645" t="s">
        <v>190</v>
      </c>
      <c r="I1046" s="724">
        <v>150</v>
      </c>
      <c r="J1046" s="724">
        <v>2.06</v>
      </c>
      <c r="K1046" s="603">
        <f t="shared" si="108"/>
        <v>20</v>
      </c>
      <c r="L1046" s="604">
        <v>0.83750000000000002</v>
      </c>
      <c r="M1046" s="605">
        <f t="shared" si="109"/>
        <v>0.83750000000000002</v>
      </c>
      <c r="N1046" s="663">
        <v>0.84097222222222223</v>
      </c>
      <c r="P1046" s="37" t="str">
        <f t="shared" si="104"/>
        <v>2013EF0</v>
      </c>
      <c r="Q1046" s="37" t="str">
        <f t="shared" si="107"/>
        <v>EF020</v>
      </c>
      <c r="R1046" s="37" t="str">
        <f t="shared" si="105"/>
        <v>MayEF0</v>
      </c>
    </row>
    <row r="1047" spans="1:18">
      <c r="A1047" s="616">
        <f t="shared" si="106"/>
        <v>1043</v>
      </c>
      <c r="B1047" s="724">
        <v>5</v>
      </c>
      <c r="C1047" s="903">
        <v>41493</v>
      </c>
      <c r="D1047" s="903" t="s">
        <v>180</v>
      </c>
      <c r="E1047" s="904">
        <v>7</v>
      </c>
      <c r="F1047" s="644">
        <v>2013</v>
      </c>
      <c r="G1047" s="724" t="s">
        <v>128</v>
      </c>
      <c r="H1047" s="645" t="s">
        <v>190</v>
      </c>
      <c r="I1047" s="724">
        <v>25</v>
      </c>
      <c r="J1047" s="724">
        <v>0.11</v>
      </c>
      <c r="K1047" s="603">
        <f t="shared" si="108"/>
        <v>18</v>
      </c>
      <c r="L1047" s="604">
        <v>0.77500000000000002</v>
      </c>
      <c r="M1047" s="605">
        <f t="shared" si="109"/>
        <v>0.77500000000000002</v>
      </c>
      <c r="N1047" s="663">
        <v>0.77916666666666667</v>
      </c>
      <c r="P1047" s="37" t="str">
        <f t="shared" si="104"/>
        <v>2013EF0</v>
      </c>
      <c r="Q1047" s="37" t="str">
        <f t="shared" si="107"/>
        <v>EF018</v>
      </c>
      <c r="R1047" s="37" t="str">
        <f t="shared" si="105"/>
        <v>AugustEF0</v>
      </c>
    </row>
    <row r="1048" spans="1:18">
      <c r="A1048" s="616">
        <f t="shared" si="106"/>
        <v>1044</v>
      </c>
      <c r="B1048" s="724">
        <v>6</v>
      </c>
      <c r="C1048" s="903">
        <v>41500</v>
      </c>
      <c r="D1048" s="903" t="s">
        <v>180</v>
      </c>
      <c r="E1048" s="904">
        <v>14</v>
      </c>
      <c r="F1048" s="644">
        <v>2013</v>
      </c>
      <c r="G1048" s="724" t="s">
        <v>130</v>
      </c>
      <c r="H1048" s="645" t="s">
        <v>190</v>
      </c>
      <c r="I1048" s="724">
        <v>50</v>
      </c>
      <c r="J1048" s="724">
        <v>1</v>
      </c>
      <c r="K1048" s="603">
        <f t="shared" si="108"/>
        <v>16</v>
      </c>
      <c r="L1048" s="604">
        <v>0.69791666666666663</v>
      </c>
      <c r="M1048" s="605">
        <f t="shared" si="109"/>
        <v>0.69791666666666663</v>
      </c>
      <c r="N1048" s="663">
        <v>0.70000000000000007</v>
      </c>
      <c r="P1048" s="37" t="str">
        <f t="shared" si="104"/>
        <v>2013EF0</v>
      </c>
      <c r="Q1048" s="37" t="str">
        <f t="shared" si="107"/>
        <v>EF016</v>
      </c>
      <c r="R1048" s="37" t="str">
        <f t="shared" si="105"/>
        <v>AugustEF0</v>
      </c>
    </row>
    <row r="1049" spans="1:18">
      <c r="A1049" s="616">
        <f t="shared" si="106"/>
        <v>1045</v>
      </c>
      <c r="B1049" s="724">
        <v>7</v>
      </c>
      <c r="C1049" s="903">
        <v>41500</v>
      </c>
      <c r="D1049" s="903" t="s">
        <v>180</v>
      </c>
      <c r="E1049" s="904">
        <v>14</v>
      </c>
      <c r="F1049" s="644">
        <v>2013</v>
      </c>
      <c r="G1049" s="724" t="s">
        <v>136</v>
      </c>
      <c r="H1049" s="645" t="s">
        <v>190</v>
      </c>
      <c r="I1049" s="724">
        <v>40</v>
      </c>
      <c r="J1049" s="724">
        <v>0.11</v>
      </c>
      <c r="K1049" s="603">
        <f t="shared" si="108"/>
        <v>17</v>
      </c>
      <c r="L1049" s="604">
        <v>0.73611111111111116</v>
      </c>
      <c r="M1049" s="605">
        <f t="shared" si="109"/>
        <v>0.73611111111111116</v>
      </c>
      <c r="N1049" s="663">
        <v>0.7368055555555556</v>
      </c>
      <c r="P1049" s="37" t="str">
        <f t="shared" si="104"/>
        <v>2013EF0</v>
      </c>
      <c r="Q1049" s="37" t="str">
        <f t="shared" si="107"/>
        <v>EF017</v>
      </c>
      <c r="R1049" s="37" t="str">
        <f t="shared" si="105"/>
        <v>AugustEF0</v>
      </c>
    </row>
    <row r="1050" spans="1:18">
      <c r="A1050" s="616">
        <f t="shared" si="106"/>
        <v>1046</v>
      </c>
      <c r="B1050" s="724">
        <v>1</v>
      </c>
      <c r="C1050" s="903">
        <v>41796</v>
      </c>
      <c r="D1050" s="903" t="s">
        <v>178</v>
      </c>
      <c r="E1050" s="904">
        <v>6</v>
      </c>
      <c r="F1050" s="644">
        <v>2014</v>
      </c>
      <c r="G1050" s="724" t="s">
        <v>134</v>
      </c>
      <c r="H1050" s="645" t="s">
        <v>190</v>
      </c>
      <c r="I1050" s="724">
        <v>25</v>
      </c>
      <c r="J1050" s="724">
        <v>2.46</v>
      </c>
      <c r="K1050" s="603">
        <f t="shared" si="108"/>
        <v>18</v>
      </c>
      <c r="L1050" s="604">
        <v>0.76041666666666663</v>
      </c>
      <c r="M1050" s="605">
        <f t="shared" si="109"/>
        <v>0.76041666666666663</v>
      </c>
      <c r="N1050" s="663">
        <v>0.76388888888888884</v>
      </c>
      <c r="P1050" s="37" t="str">
        <f t="shared" si="104"/>
        <v>2014EF0</v>
      </c>
      <c r="Q1050" s="37" t="str">
        <f t="shared" si="107"/>
        <v>EF018</v>
      </c>
      <c r="R1050" s="37" t="str">
        <f t="shared" si="105"/>
        <v>JuneEF0</v>
      </c>
    </row>
    <row r="1051" spans="1:18">
      <c r="A1051" s="616">
        <f t="shared" si="106"/>
        <v>1047</v>
      </c>
      <c r="B1051" s="724">
        <v>2</v>
      </c>
      <c r="C1051" s="903">
        <v>41796</v>
      </c>
      <c r="D1051" s="903" t="s">
        <v>178</v>
      </c>
      <c r="E1051" s="904">
        <v>6</v>
      </c>
      <c r="F1051" s="644">
        <v>2014</v>
      </c>
      <c r="G1051" s="724" t="s">
        <v>132</v>
      </c>
      <c r="H1051" s="645" t="s">
        <v>190</v>
      </c>
      <c r="I1051" s="724">
        <v>70</v>
      </c>
      <c r="J1051" s="724">
        <v>1.65</v>
      </c>
      <c r="K1051" s="603">
        <f t="shared" si="108"/>
        <v>18</v>
      </c>
      <c r="L1051" s="604">
        <v>0.78611111111111109</v>
      </c>
      <c r="M1051" s="605">
        <f t="shared" si="109"/>
        <v>0.78611111111111109</v>
      </c>
      <c r="N1051" s="663">
        <v>0.79166666666666663</v>
      </c>
      <c r="P1051" s="37" t="str">
        <f t="shared" si="104"/>
        <v>2014EF0</v>
      </c>
      <c r="Q1051" s="37" t="str">
        <f t="shared" si="107"/>
        <v>EF018</v>
      </c>
      <c r="R1051" s="37" t="str">
        <f t="shared" si="105"/>
        <v>JuneEF0</v>
      </c>
    </row>
    <row r="1052" spans="1:18">
      <c r="A1052" s="616">
        <f t="shared" si="106"/>
        <v>1048</v>
      </c>
      <c r="B1052" s="724">
        <v>3</v>
      </c>
      <c r="C1052" s="903">
        <v>41812</v>
      </c>
      <c r="D1052" s="903" t="s">
        <v>178</v>
      </c>
      <c r="E1052" s="904">
        <v>22</v>
      </c>
      <c r="F1052" s="644">
        <v>2014</v>
      </c>
      <c r="G1052" s="724" t="s">
        <v>128</v>
      </c>
      <c r="H1052" s="645" t="s">
        <v>190</v>
      </c>
      <c r="I1052" s="724">
        <v>100</v>
      </c>
      <c r="J1052" s="724">
        <v>2.0099999999999998</v>
      </c>
      <c r="K1052" s="603">
        <f t="shared" si="108"/>
        <v>16</v>
      </c>
      <c r="L1052" s="604">
        <v>0.6958333333333333</v>
      </c>
      <c r="M1052" s="605">
        <f t="shared" si="109"/>
        <v>0.6958333333333333</v>
      </c>
      <c r="N1052" s="663">
        <v>0.70138888888888884</v>
      </c>
      <c r="P1052" s="37" t="str">
        <f t="shared" si="104"/>
        <v>2014EF0</v>
      </c>
      <c r="Q1052" s="37" t="str">
        <f t="shared" si="107"/>
        <v>EF016</v>
      </c>
      <c r="R1052" s="37" t="str">
        <f t="shared" si="105"/>
        <v>JuneEF0</v>
      </c>
    </row>
    <row r="1053" spans="1:18">
      <c r="A1053" s="616">
        <f t="shared" si="106"/>
        <v>1049</v>
      </c>
      <c r="B1053" s="724">
        <v>4</v>
      </c>
      <c r="C1053" s="903">
        <v>41812</v>
      </c>
      <c r="D1053" s="903" t="s">
        <v>178</v>
      </c>
      <c r="E1053" s="904">
        <v>22</v>
      </c>
      <c r="F1053" s="644">
        <v>2014</v>
      </c>
      <c r="G1053" s="724" t="s">
        <v>128</v>
      </c>
      <c r="H1053" s="645" t="s">
        <v>191</v>
      </c>
      <c r="I1053" s="724">
        <v>150</v>
      </c>
      <c r="J1053" s="724">
        <v>3.77</v>
      </c>
      <c r="K1053" s="603">
        <f t="shared" si="108"/>
        <v>17</v>
      </c>
      <c r="L1053" s="604">
        <v>0.7104166666666667</v>
      </c>
      <c r="M1053" s="605">
        <v>0.7104166666666667</v>
      </c>
      <c r="N1053" s="663">
        <v>0.71736111111111101</v>
      </c>
      <c r="P1053" s="37" t="str">
        <f t="shared" si="104"/>
        <v>2014EF1</v>
      </c>
      <c r="Q1053" s="37" t="str">
        <f t="shared" si="107"/>
        <v>EF117</v>
      </c>
      <c r="R1053" s="37" t="str">
        <f t="shared" si="105"/>
        <v>JuneEF1</v>
      </c>
    </row>
    <row r="1054" spans="1:18">
      <c r="A1054" s="616">
        <f t="shared" si="106"/>
        <v>1050</v>
      </c>
      <c r="B1054" s="724">
        <v>5</v>
      </c>
      <c r="C1054" s="903">
        <v>41812</v>
      </c>
      <c r="D1054" s="903" t="s">
        <v>178</v>
      </c>
      <c r="E1054" s="904">
        <v>22</v>
      </c>
      <c r="F1054" s="644">
        <v>2014</v>
      </c>
      <c r="G1054" s="724" t="s">
        <v>128</v>
      </c>
      <c r="H1054" s="645" t="s">
        <v>190</v>
      </c>
      <c r="I1054" s="724">
        <v>50</v>
      </c>
      <c r="J1054" s="724">
        <v>0.44</v>
      </c>
      <c r="K1054" s="603">
        <f t="shared" si="108"/>
        <v>17</v>
      </c>
      <c r="L1054" s="604">
        <v>0.72986111111111107</v>
      </c>
      <c r="M1054" s="605">
        <f t="shared" si="109"/>
        <v>0.72986111111111107</v>
      </c>
      <c r="N1054" s="663">
        <v>0.73055555555555562</v>
      </c>
      <c r="P1054" s="37" t="str">
        <f t="shared" si="104"/>
        <v>2014EF0</v>
      </c>
      <c r="Q1054" s="37" t="str">
        <f t="shared" si="107"/>
        <v>EF017</v>
      </c>
      <c r="R1054" s="37" t="str">
        <f t="shared" si="105"/>
        <v>JuneEF0</v>
      </c>
    </row>
    <row r="1055" spans="1:18">
      <c r="A1055" s="616">
        <f t="shared" si="106"/>
        <v>1051</v>
      </c>
      <c r="B1055" s="724">
        <v>6</v>
      </c>
      <c r="C1055" s="903">
        <v>41812</v>
      </c>
      <c r="D1055" s="903" t="s">
        <v>178</v>
      </c>
      <c r="E1055" s="904">
        <v>22</v>
      </c>
      <c r="F1055" s="644">
        <v>2014</v>
      </c>
      <c r="G1055" s="724" t="s">
        <v>133</v>
      </c>
      <c r="H1055" s="645" t="s">
        <v>190</v>
      </c>
      <c r="I1055" s="724">
        <v>50</v>
      </c>
      <c r="J1055" s="724">
        <v>2</v>
      </c>
      <c r="K1055" s="603">
        <f t="shared" si="108"/>
        <v>17</v>
      </c>
      <c r="L1055" s="604">
        <v>0.74791666666666667</v>
      </c>
      <c r="M1055" s="605">
        <f t="shared" si="109"/>
        <v>0.74791666666666667</v>
      </c>
      <c r="N1055" s="663">
        <v>0.75208333333333333</v>
      </c>
      <c r="P1055" s="37" t="str">
        <f t="shared" si="104"/>
        <v>2014EF0</v>
      </c>
      <c r="Q1055" s="37" t="str">
        <f t="shared" si="107"/>
        <v>EF017</v>
      </c>
      <c r="R1055" s="37" t="str">
        <f t="shared" si="105"/>
        <v>JuneEF0</v>
      </c>
    </row>
    <row r="1056" spans="1:18">
      <c r="A1056" s="616">
        <f t="shared" si="106"/>
        <v>1052</v>
      </c>
      <c r="B1056" s="724">
        <v>7</v>
      </c>
      <c r="C1056" s="903">
        <v>41812</v>
      </c>
      <c r="D1056" s="903" t="s">
        <v>178</v>
      </c>
      <c r="E1056" s="904">
        <v>22</v>
      </c>
      <c r="F1056" s="644">
        <v>2014</v>
      </c>
      <c r="G1056" s="724" t="s">
        <v>133</v>
      </c>
      <c r="H1056" s="645" t="s">
        <v>190</v>
      </c>
      <c r="I1056" s="724">
        <v>75</v>
      </c>
      <c r="J1056" s="724">
        <v>1</v>
      </c>
      <c r="K1056" s="603">
        <f t="shared" si="108"/>
        <v>18</v>
      </c>
      <c r="L1056" s="604">
        <v>0.76527777777777783</v>
      </c>
      <c r="M1056" s="605">
        <f t="shared" si="109"/>
        <v>0.76527777777777783</v>
      </c>
      <c r="N1056" s="663">
        <v>0.76597222222222217</v>
      </c>
      <c r="P1056" s="37" t="str">
        <f t="shared" si="104"/>
        <v>2014EF0</v>
      </c>
      <c r="Q1056" s="37" t="str">
        <f t="shared" si="107"/>
        <v>EF018</v>
      </c>
      <c r="R1056" s="37" t="str">
        <f t="shared" si="105"/>
        <v>JuneEF0</v>
      </c>
    </row>
    <row r="1057" spans="1:18">
      <c r="A1057" s="616">
        <f t="shared" si="106"/>
        <v>1053</v>
      </c>
      <c r="B1057" s="724">
        <v>8</v>
      </c>
      <c r="C1057" s="903">
        <v>41812</v>
      </c>
      <c r="D1057" s="903" t="s">
        <v>178</v>
      </c>
      <c r="E1057" s="904">
        <v>22</v>
      </c>
      <c r="F1057" s="644">
        <v>2014</v>
      </c>
      <c r="G1057" s="724" t="s">
        <v>138</v>
      </c>
      <c r="H1057" s="645" t="s">
        <v>191</v>
      </c>
      <c r="I1057" s="724">
        <v>100</v>
      </c>
      <c r="J1057" s="724">
        <v>1.86</v>
      </c>
      <c r="K1057" s="603">
        <f t="shared" si="108"/>
        <v>20</v>
      </c>
      <c r="L1057" s="604">
        <v>0.86805555555555547</v>
      </c>
      <c r="M1057" s="605">
        <f t="shared" si="109"/>
        <v>0.86805555555555547</v>
      </c>
      <c r="N1057" s="663">
        <v>0.87152777777777779</v>
      </c>
      <c r="P1057" s="37" t="str">
        <f t="shared" si="104"/>
        <v>2014EF1</v>
      </c>
      <c r="Q1057" s="37" t="str">
        <f t="shared" si="107"/>
        <v>EF120</v>
      </c>
      <c r="R1057" s="37" t="str">
        <f t="shared" si="105"/>
        <v>JuneEF1</v>
      </c>
    </row>
    <row r="1058" spans="1:18">
      <c r="A1058" s="616">
        <f t="shared" si="106"/>
        <v>1054</v>
      </c>
      <c r="B1058" s="724">
        <v>9</v>
      </c>
      <c r="C1058" s="903">
        <v>41836</v>
      </c>
      <c r="D1058" s="903" t="s">
        <v>179</v>
      </c>
      <c r="E1058" s="904">
        <v>16</v>
      </c>
      <c r="F1058" s="644">
        <v>2014</v>
      </c>
      <c r="G1058" s="724" t="s">
        <v>130</v>
      </c>
      <c r="H1058" s="645" t="s">
        <v>190</v>
      </c>
      <c r="I1058" s="724">
        <v>50</v>
      </c>
      <c r="J1058" s="724">
        <v>0.01</v>
      </c>
      <c r="K1058" s="603">
        <f t="shared" si="108"/>
        <v>18</v>
      </c>
      <c r="L1058" s="604">
        <v>0.75555555555555554</v>
      </c>
      <c r="M1058" s="605">
        <f t="shared" si="109"/>
        <v>0.75555555555555554</v>
      </c>
      <c r="N1058" s="663">
        <v>0.75624999999999998</v>
      </c>
      <c r="P1058" s="37" t="str">
        <f t="shared" si="104"/>
        <v>2014EF0</v>
      </c>
      <c r="Q1058" s="37" t="str">
        <f t="shared" si="107"/>
        <v>EF018</v>
      </c>
      <c r="R1058" s="37" t="str">
        <f t="shared" si="105"/>
        <v>JulyEF0</v>
      </c>
    </row>
    <row r="1059" spans="1:18">
      <c r="A1059" s="616">
        <f t="shared" si="106"/>
        <v>1055</v>
      </c>
      <c r="B1059" s="724">
        <v>10</v>
      </c>
      <c r="C1059" s="903">
        <v>41836</v>
      </c>
      <c r="D1059" s="903" t="s">
        <v>179</v>
      </c>
      <c r="E1059" s="904">
        <v>16</v>
      </c>
      <c r="F1059" s="644">
        <v>2014</v>
      </c>
      <c r="G1059" s="724" t="s">
        <v>130</v>
      </c>
      <c r="H1059" s="645" t="s">
        <v>190</v>
      </c>
      <c r="I1059" s="724">
        <v>100</v>
      </c>
      <c r="J1059" s="724">
        <v>1.34</v>
      </c>
      <c r="K1059" s="603">
        <f t="shared" si="108"/>
        <v>18</v>
      </c>
      <c r="L1059" s="604">
        <v>0.7680555555555556</v>
      </c>
      <c r="M1059" s="605">
        <f t="shared" si="109"/>
        <v>0.7680555555555556</v>
      </c>
      <c r="N1059" s="663">
        <v>0.7729166666666667</v>
      </c>
      <c r="P1059" s="37" t="str">
        <f t="shared" si="104"/>
        <v>2014EF0</v>
      </c>
      <c r="Q1059" s="37" t="str">
        <f t="shared" si="107"/>
        <v>EF018</v>
      </c>
      <c r="R1059" s="37" t="str">
        <f t="shared" si="105"/>
        <v>JulyEF0</v>
      </c>
    </row>
    <row r="1060" spans="1:18">
      <c r="A1060" s="616">
        <f t="shared" si="106"/>
        <v>1056</v>
      </c>
      <c r="B1060" s="724">
        <v>11</v>
      </c>
      <c r="C1060" s="903">
        <v>41836</v>
      </c>
      <c r="D1060" s="903" t="s">
        <v>179</v>
      </c>
      <c r="E1060" s="904">
        <v>16</v>
      </c>
      <c r="F1060" s="644">
        <v>2014</v>
      </c>
      <c r="G1060" s="724" t="s">
        <v>135</v>
      </c>
      <c r="H1060" s="645" t="s">
        <v>190</v>
      </c>
      <c r="I1060" s="724">
        <v>100</v>
      </c>
      <c r="J1060" s="724">
        <v>3.07</v>
      </c>
      <c r="K1060" s="603">
        <f t="shared" si="108"/>
        <v>19</v>
      </c>
      <c r="L1060" s="604">
        <v>0.80763888888888891</v>
      </c>
      <c r="M1060" s="605">
        <f t="shared" si="109"/>
        <v>0.80763888888888891</v>
      </c>
      <c r="N1060" s="663">
        <v>0.8125</v>
      </c>
      <c r="P1060" s="37" t="str">
        <f t="shared" si="104"/>
        <v>2014EF0</v>
      </c>
      <c r="Q1060" s="37" t="str">
        <f t="shared" si="107"/>
        <v>EF019</v>
      </c>
      <c r="R1060" s="37" t="str">
        <f t="shared" si="105"/>
        <v>JulyEF0</v>
      </c>
    </row>
    <row r="1061" spans="1:18">
      <c r="A1061" s="616">
        <f t="shared" si="106"/>
        <v>1057</v>
      </c>
      <c r="B1061" s="724">
        <v>12</v>
      </c>
      <c r="C1061" s="903">
        <v>41921</v>
      </c>
      <c r="D1061" s="903" t="s">
        <v>182</v>
      </c>
      <c r="E1061" s="904">
        <v>9</v>
      </c>
      <c r="F1061" s="644">
        <v>2014</v>
      </c>
      <c r="G1061" s="724" t="s">
        <v>142</v>
      </c>
      <c r="H1061" s="645" t="s">
        <v>191</v>
      </c>
      <c r="I1061" s="724">
        <v>125</v>
      </c>
      <c r="J1061" s="724">
        <v>7.03</v>
      </c>
      <c r="K1061" s="603">
        <f t="shared" si="108"/>
        <v>20</v>
      </c>
      <c r="L1061" s="604">
        <v>0.84027777777777779</v>
      </c>
      <c r="M1061" s="605">
        <f t="shared" si="109"/>
        <v>0.84027777777777779</v>
      </c>
      <c r="N1061" s="663">
        <v>0.84861111111111109</v>
      </c>
      <c r="P1061" s="37" t="str">
        <f t="shared" si="104"/>
        <v>2014EF1</v>
      </c>
      <c r="Q1061" s="37" t="str">
        <f t="shared" si="107"/>
        <v>EF120</v>
      </c>
      <c r="R1061" s="37" t="str">
        <f t="shared" si="105"/>
        <v>OctoberEF1</v>
      </c>
    </row>
    <row r="1062" spans="1:18">
      <c r="A1062" s="616">
        <f t="shared" si="106"/>
        <v>1058</v>
      </c>
      <c r="B1062" s="724">
        <v>1</v>
      </c>
      <c r="C1062" s="949">
        <v>42105</v>
      </c>
      <c r="D1062" s="1013" t="s">
        <v>176</v>
      </c>
      <c r="E1062" s="904">
        <v>11</v>
      </c>
      <c r="F1062" s="644">
        <v>2015</v>
      </c>
      <c r="G1062" s="964" t="s">
        <v>140</v>
      </c>
      <c r="H1062" s="965" t="s">
        <v>190</v>
      </c>
      <c r="I1062" s="948">
        <v>30</v>
      </c>
      <c r="J1062" s="948">
        <v>2.84</v>
      </c>
      <c r="K1062" s="603">
        <f t="shared" si="108"/>
        <v>17</v>
      </c>
      <c r="L1062" s="646">
        <v>0.73333333333333339</v>
      </c>
      <c r="M1062" s="605">
        <f t="shared" si="109"/>
        <v>0.73333333333333339</v>
      </c>
      <c r="N1062" s="663">
        <v>0.73749999999999993</v>
      </c>
      <c r="P1062" s="37" t="str">
        <f t="shared" si="104"/>
        <v>2015EF0</v>
      </c>
      <c r="Q1062" s="37" t="str">
        <f t="shared" si="107"/>
        <v>EF017</v>
      </c>
      <c r="R1062" s="37" t="str">
        <f t="shared" si="105"/>
        <v>AprilEF0</v>
      </c>
    </row>
    <row r="1063" spans="1:18">
      <c r="A1063" s="616">
        <f t="shared" si="106"/>
        <v>1059</v>
      </c>
      <c r="B1063" s="724">
        <v>2</v>
      </c>
      <c r="C1063" s="949">
        <v>42110</v>
      </c>
      <c r="D1063" s="1013" t="s">
        <v>176</v>
      </c>
      <c r="E1063" s="904">
        <v>16</v>
      </c>
      <c r="F1063" s="644">
        <v>2015</v>
      </c>
      <c r="G1063" s="948" t="s">
        <v>141</v>
      </c>
      <c r="H1063" s="645" t="s">
        <v>190</v>
      </c>
      <c r="I1063" s="948">
        <v>50</v>
      </c>
      <c r="J1063" s="948">
        <v>2.25</v>
      </c>
      <c r="K1063" s="603">
        <f t="shared" si="108"/>
        <v>14</v>
      </c>
      <c r="L1063" s="935">
        <v>0.62361111111111112</v>
      </c>
      <c r="M1063" s="605">
        <f t="shared" si="109"/>
        <v>0.62361111111111112</v>
      </c>
      <c r="N1063" s="663">
        <v>0.62708333333333333</v>
      </c>
      <c r="P1063" s="37" t="str">
        <f t="shared" si="104"/>
        <v>2015EF0</v>
      </c>
      <c r="Q1063" s="37" t="str">
        <f t="shared" si="107"/>
        <v>EF014</v>
      </c>
      <c r="R1063" s="37" t="str">
        <f t="shared" si="105"/>
        <v>AprilEF0</v>
      </c>
    </row>
    <row r="1064" spans="1:18">
      <c r="A1064" s="616">
        <f t="shared" si="106"/>
        <v>1060</v>
      </c>
      <c r="B1064" s="724">
        <v>3</v>
      </c>
      <c r="C1064" s="949">
        <v>42110</v>
      </c>
      <c r="D1064" s="1013" t="s">
        <v>176</v>
      </c>
      <c r="E1064" s="904">
        <v>16</v>
      </c>
      <c r="F1064" s="644">
        <v>2015</v>
      </c>
      <c r="G1064" s="948" t="s">
        <v>142</v>
      </c>
      <c r="H1064" s="645" t="s">
        <v>190</v>
      </c>
      <c r="I1064" s="948">
        <v>30</v>
      </c>
      <c r="J1064" s="948">
        <v>2.34</v>
      </c>
      <c r="K1064" s="603">
        <f t="shared" si="108"/>
        <v>15</v>
      </c>
      <c r="L1064" s="935">
        <v>0.66527777777777775</v>
      </c>
      <c r="M1064" s="605">
        <f t="shared" si="109"/>
        <v>0.66527777777777775</v>
      </c>
      <c r="N1064" s="663">
        <v>0.6694444444444444</v>
      </c>
      <c r="P1064" s="37" t="str">
        <f t="shared" si="104"/>
        <v>2015EF0</v>
      </c>
      <c r="Q1064" s="37" t="str">
        <f t="shared" si="107"/>
        <v>EF015</v>
      </c>
      <c r="R1064" s="37" t="str">
        <f t="shared" si="105"/>
        <v>AprilEF0</v>
      </c>
    </row>
    <row r="1065" spans="1:18">
      <c r="A1065" s="616">
        <f t="shared" si="106"/>
        <v>1061</v>
      </c>
      <c r="B1065" s="724">
        <v>4</v>
      </c>
      <c r="C1065" s="949">
        <v>42110</v>
      </c>
      <c r="D1065" s="1013" t="s">
        <v>176</v>
      </c>
      <c r="E1065" s="904">
        <v>16</v>
      </c>
      <c r="F1065" s="644">
        <v>2015</v>
      </c>
      <c r="G1065" s="948" t="s">
        <v>138</v>
      </c>
      <c r="H1065" s="645" t="s">
        <v>190</v>
      </c>
      <c r="I1065" s="948">
        <v>75</v>
      </c>
      <c r="J1065" s="948">
        <v>7.17</v>
      </c>
      <c r="K1065" s="603">
        <f t="shared" si="108"/>
        <v>16</v>
      </c>
      <c r="L1065" s="935">
        <v>0.68055555555555547</v>
      </c>
      <c r="M1065" s="605">
        <f t="shared" si="109"/>
        <v>0.68055555555555547</v>
      </c>
      <c r="N1065" s="663">
        <v>0.70208333333333339</v>
      </c>
      <c r="P1065" s="37" t="str">
        <f t="shared" si="104"/>
        <v>2015EF0</v>
      </c>
      <c r="Q1065" s="37" t="str">
        <f t="shared" si="107"/>
        <v>EF016</v>
      </c>
      <c r="R1065" s="37" t="str">
        <f t="shared" si="105"/>
        <v>AprilEF0</v>
      </c>
    </row>
    <row r="1066" spans="1:18">
      <c r="A1066" s="616">
        <f t="shared" si="106"/>
        <v>1062</v>
      </c>
      <c r="B1066" s="724">
        <v>5</v>
      </c>
      <c r="C1066" s="949">
        <v>42110</v>
      </c>
      <c r="D1066" s="1013" t="s">
        <v>176</v>
      </c>
      <c r="E1066" s="904">
        <v>16</v>
      </c>
      <c r="F1066" s="644">
        <v>2015</v>
      </c>
      <c r="G1066" s="948" t="s">
        <v>137</v>
      </c>
      <c r="H1066" s="645" t="s">
        <v>190</v>
      </c>
      <c r="I1066" s="948">
        <v>50</v>
      </c>
      <c r="J1066" s="948">
        <v>4.38</v>
      </c>
      <c r="K1066" s="603">
        <f t="shared" si="108"/>
        <v>16</v>
      </c>
      <c r="L1066" s="935">
        <v>0.69097222222222221</v>
      </c>
      <c r="M1066" s="605">
        <f t="shared" si="109"/>
        <v>0.69097222222222221</v>
      </c>
      <c r="N1066" s="663">
        <v>0.6972222222222223</v>
      </c>
      <c r="P1066" s="37" t="str">
        <f t="shared" si="104"/>
        <v>2015EF0</v>
      </c>
      <c r="Q1066" s="37" t="str">
        <f t="shared" si="107"/>
        <v>EF016</v>
      </c>
      <c r="R1066" s="37" t="str">
        <f t="shared" si="105"/>
        <v>AprilEF0</v>
      </c>
    </row>
    <row r="1067" spans="1:18">
      <c r="A1067" s="616">
        <f t="shared" si="106"/>
        <v>1063</v>
      </c>
      <c r="B1067" s="724">
        <v>6</v>
      </c>
      <c r="C1067" s="949">
        <v>42110</v>
      </c>
      <c r="D1067" s="1013" t="s">
        <v>176</v>
      </c>
      <c r="E1067" s="904">
        <v>16</v>
      </c>
      <c r="F1067" s="644">
        <v>2015</v>
      </c>
      <c r="G1067" s="948" t="s">
        <v>143</v>
      </c>
      <c r="H1067" s="645" t="s">
        <v>190</v>
      </c>
      <c r="I1067" s="948">
        <v>50</v>
      </c>
      <c r="J1067" s="948">
        <v>14.05</v>
      </c>
      <c r="K1067" s="603">
        <f t="shared" si="108"/>
        <v>17</v>
      </c>
      <c r="L1067" s="935">
        <v>0.72222222222222221</v>
      </c>
      <c r="M1067" s="605">
        <f t="shared" si="109"/>
        <v>0.72222222222222221</v>
      </c>
      <c r="N1067" s="663">
        <v>0.74652777777777779</v>
      </c>
      <c r="P1067" s="37" t="str">
        <f t="shared" si="104"/>
        <v>2015EF0</v>
      </c>
      <c r="Q1067" s="37" t="str">
        <f t="shared" si="107"/>
        <v>EF017</v>
      </c>
      <c r="R1067" s="37" t="str">
        <f t="shared" si="105"/>
        <v>AprilEF0</v>
      </c>
    </row>
    <row r="1068" spans="1:18">
      <c r="A1068" s="616">
        <f t="shared" si="106"/>
        <v>1064</v>
      </c>
      <c r="B1068" s="724">
        <v>7</v>
      </c>
      <c r="C1068" s="949">
        <v>42110</v>
      </c>
      <c r="D1068" s="1013" t="s">
        <v>176</v>
      </c>
      <c r="E1068" s="904">
        <v>16</v>
      </c>
      <c r="F1068" s="644">
        <v>2015</v>
      </c>
      <c r="G1068" s="948" t="s">
        <v>143</v>
      </c>
      <c r="H1068" s="645" t="s">
        <v>190</v>
      </c>
      <c r="I1068" s="948">
        <v>70</v>
      </c>
      <c r="J1068" s="948">
        <v>4.92</v>
      </c>
      <c r="K1068" s="603">
        <f t="shared" si="108"/>
        <v>17</v>
      </c>
      <c r="L1068" s="935">
        <v>0.72361111111111109</v>
      </c>
      <c r="M1068" s="605">
        <f t="shared" si="109"/>
        <v>0.72361111111111109</v>
      </c>
      <c r="N1068" s="663">
        <v>0.73263888888888884</v>
      </c>
      <c r="P1068" s="37" t="str">
        <f t="shared" si="104"/>
        <v>2015EF0</v>
      </c>
      <c r="Q1068" s="37" t="str">
        <f t="shared" si="107"/>
        <v>EF017</v>
      </c>
      <c r="R1068" s="37" t="str">
        <f t="shared" si="105"/>
        <v>AprilEF0</v>
      </c>
    </row>
    <row r="1069" spans="1:18">
      <c r="A1069" s="616">
        <f t="shared" si="106"/>
        <v>1065</v>
      </c>
      <c r="B1069" s="724">
        <v>8</v>
      </c>
      <c r="C1069" s="949">
        <v>42140</v>
      </c>
      <c r="D1069" s="949" t="s">
        <v>177</v>
      </c>
      <c r="E1069" s="904">
        <v>16</v>
      </c>
      <c r="F1069" s="644">
        <v>2015</v>
      </c>
      <c r="G1069" s="948" t="s">
        <v>147</v>
      </c>
      <c r="H1069" s="645" t="s">
        <v>191</v>
      </c>
      <c r="I1069" s="948">
        <v>150</v>
      </c>
      <c r="J1069" s="948">
        <v>8.59</v>
      </c>
      <c r="K1069" s="603">
        <f t="shared" si="108"/>
        <v>13</v>
      </c>
      <c r="L1069" s="935">
        <v>0.55555555555555558</v>
      </c>
      <c r="M1069" s="605">
        <f t="shared" si="109"/>
        <v>0.55555555555555558</v>
      </c>
      <c r="N1069" s="663">
        <v>0.56805555555555554</v>
      </c>
      <c r="P1069" s="37" t="str">
        <f t="shared" si="104"/>
        <v>2015EF1</v>
      </c>
      <c r="Q1069" s="37" t="str">
        <f t="shared" si="107"/>
        <v>EF113</v>
      </c>
      <c r="R1069" s="37" t="str">
        <f t="shared" si="105"/>
        <v>MayEF1</v>
      </c>
    </row>
    <row r="1070" spans="1:18">
      <c r="A1070" s="616">
        <f t="shared" si="106"/>
        <v>1066</v>
      </c>
      <c r="B1070" s="1023">
        <v>9</v>
      </c>
      <c r="C1070" s="949">
        <v>42140</v>
      </c>
      <c r="D1070" s="949" t="s">
        <v>177</v>
      </c>
      <c r="E1070" s="904">
        <v>16</v>
      </c>
      <c r="F1070" s="644">
        <v>2015</v>
      </c>
      <c r="G1070" s="948" t="s">
        <v>147</v>
      </c>
      <c r="H1070" s="645" t="s">
        <v>191</v>
      </c>
      <c r="I1070" s="948">
        <v>100</v>
      </c>
      <c r="J1070" s="948">
        <v>22.48</v>
      </c>
      <c r="K1070" s="603">
        <f t="shared" si="108"/>
        <v>13</v>
      </c>
      <c r="L1070" s="935">
        <v>0.56944444444444442</v>
      </c>
      <c r="M1070" s="605">
        <f t="shared" si="109"/>
        <v>0.56944444444444442</v>
      </c>
      <c r="N1070" s="663">
        <v>0.58819444444444446</v>
      </c>
      <c r="P1070" s="37" t="str">
        <f t="shared" si="104"/>
        <v>2015EF1</v>
      </c>
      <c r="Q1070" s="37" t="str">
        <f t="shared" si="107"/>
        <v>EF113</v>
      </c>
      <c r="R1070" s="37" t="str">
        <f t="shared" si="105"/>
        <v>MayEF1</v>
      </c>
    </row>
    <row r="1071" spans="1:18">
      <c r="A1071" s="616">
        <f t="shared" si="106"/>
        <v>1067</v>
      </c>
      <c r="B1071" s="1023">
        <v>10</v>
      </c>
      <c r="C1071" s="949">
        <v>42140</v>
      </c>
      <c r="D1071" s="949" t="s">
        <v>177</v>
      </c>
      <c r="E1071" s="904">
        <v>16</v>
      </c>
      <c r="F1071" s="644">
        <v>2015</v>
      </c>
      <c r="G1071" s="948" t="s">
        <v>143</v>
      </c>
      <c r="H1071" s="645" t="s">
        <v>190</v>
      </c>
      <c r="I1071" s="948">
        <v>30</v>
      </c>
      <c r="J1071" s="948">
        <v>5.49</v>
      </c>
      <c r="K1071" s="603">
        <f t="shared" si="108"/>
        <v>14</v>
      </c>
      <c r="L1071" s="935">
        <v>0.59305555555555556</v>
      </c>
      <c r="M1071" s="605">
        <f t="shared" si="109"/>
        <v>0.59305555555555556</v>
      </c>
      <c r="N1071" s="663">
        <v>0.60069444444444442</v>
      </c>
      <c r="O1071" s="725"/>
      <c r="P1071" s="37" t="str">
        <f t="shared" si="104"/>
        <v>2015EF0</v>
      </c>
      <c r="Q1071" s="37" t="str">
        <f t="shared" si="107"/>
        <v>EF014</v>
      </c>
      <c r="R1071" s="37" t="str">
        <f t="shared" si="105"/>
        <v>MayEF0</v>
      </c>
    </row>
    <row r="1072" spans="1:18">
      <c r="A1072" s="616">
        <f t="shared" si="106"/>
        <v>1068</v>
      </c>
      <c r="B1072" s="1023">
        <v>11</v>
      </c>
      <c r="C1072" s="949">
        <v>42151</v>
      </c>
      <c r="D1072" s="949" t="s">
        <v>177</v>
      </c>
      <c r="E1072" s="904">
        <v>27</v>
      </c>
      <c r="F1072" s="644">
        <v>2015</v>
      </c>
      <c r="G1072" s="948" t="s">
        <v>138</v>
      </c>
      <c r="H1072" s="645" t="s">
        <v>189</v>
      </c>
      <c r="I1072" s="948">
        <v>1200</v>
      </c>
      <c r="J1072" s="948">
        <v>1.39</v>
      </c>
      <c r="K1072" s="603">
        <f t="shared" si="108"/>
        <v>15</v>
      </c>
      <c r="L1072" s="935">
        <v>0.66527777777777775</v>
      </c>
      <c r="M1072" s="605">
        <f t="shared" si="109"/>
        <v>0.66527777777777775</v>
      </c>
      <c r="N1072" s="663">
        <v>0.67499999999999993</v>
      </c>
      <c r="O1072" s="725"/>
      <c r="P1072" s="37" t="str">
        <f t="shared" si="104"/>
        <v>2015EF2</v>
      </c>
      <c r="Q1072" s="37" t="str">
        <f t="shared" si="107"/>
        <v>EF215</v>
      </c>
      <c r="R1072" s="37" t="str">
        <f t="shared" si="105"/>
        <v>MayEF2</v>
      </c>
    </row>
    <row r="1073" spans="1:18">
      <c r="A1073" s="616">
        <f t="shared" si="106"/>
        <v>1069</v>
      </c>
      <c r="B1073" s="1023">
        <v>12</v>
      </c>
      <c r="C1073" s="949">
        <v>42151</v>
      </c>
      <c r="D1073" s="949" t="s">
        <v>177</v>
      </c>
      <c r="E1073" s="904">
        <v>27</v>
      </c>
      <c r="F1073" s="644">
        <v>2015</v>
      </c>
      <c r="G1073" s="948" t="s">
        <v>138</v>
      </c>
      <c r="H1073" s="1014" t="s">
        <v>191</v>
      </c>
      <c r="I1073" s="1015">
        <v>600</v>
      </c>
      <c r="J1073" s="1015">
        <v>1.1200000000000001</v>
      </c>
      <c r="K1073" s="603">
        <f t="shared" si="108"/>
        <v>17</v>
      </c>
      <c r="L1073" s="1016">
        <v>0.70972222222222225</v>
      </c>
      <c r="M1073" s="605">
        <f t="shared" si="109"/>
        <v>0.70972222222222225</v>
      </c>
      <c r="N1073" s="663">
        <v>0.7104166666666667</v>
      </c>
      <c r="O1073" s="969"/>
      <c r="P1073" s="37" t="str">
        <f t="shared" si="104"/>
        <v>2015EF1</v>
      </c>
      <c r="Q1073" s="37" t="str">
        <f t="shared" si="107"/>
        <v>EF117</v>
      </c>
      <c r="R1073" s="37" t="str">
        <f t="shared" si="105"/>
        <v>MayEF1</v>
      </c>
    </row>
    <row r="1074" spans="1:18">
      <c r="A1074" s="616">
        <f t="shared" si="106"/>
        <v>1070</v>
      </c>
      <c r="B1074" s="1023">
        <v>13</v>
      </c>
      <c r="C1074" s="949">
        <v>42151</v>
      </c>
      <c r="D1074" s="1013" t="s">
        <v>177</v>
      </c>
      <c r="E1074" s="1018">
        <v>27</v>
      </c>
      <c r="F1074" s="967">
        <v>2015</v>
      </c>
      <c r="G1074" s="964" t="s">
        <v>138</v>
      </c>
      <c r="H1074" s="1014" t="s">
        <v>190</v>
      </c>
      <c r="I1074" s="1015">
        <v>400</v>
      </c>
      <c r="J1074" s="1015">
        <v>0.53</v>
      </c>
      <c r="K1074" s="603">
        <f t="shared" si="108"/>
        <v>17</v>
      </c>
      <c r="L1074" s="1016">
        <v>0.71180555555555547</v>
      </c>
      <c r="M1074" s="605">
        <f t="shared" si="109"/>
        <v>0.71180555555555547</v>
      </c>
      <c r="N1074" s="663">
        <v>0.71388888888888891</v>
      </c>
      <c r="O1074" s="969"/>
      <c r="P1074" s="37" t="str">
        <f t="shared" si="104"/>
        <v>2015EF0</v>
      </c>
      <c r="Q1074" s="37" t="str">
        <f t="shared" si="107"/>
        <v>EF017</v>
      </c>
      <c r="R1074" s="37" t="str">
        <f t="shared" si="105"/>
        <v>MayEF0</v>
      </c>
    </row>
    <row r="1075" spans="1:18">
      <c r="A1075" s="616">
        <f t="shared" si="106"/>
        <v>1071</v>
      </c>
      <c r="B1075" s="1023">
        <v>14</v>
      </c>
      <c r="C1075" s="949">
        <v>42151</v>
      </c>
      <c r="D1075" s="1013" t="s">
        <v>177</v>
      </c>
      <c r="E1075" s="1018">
        <v>27</v>
      </c>
      <c r="F1075" s="967">
        <v>2015</v>
      </c>
      <c r="G1075" s="964" t="s">
        <v>138</v>
      </c>
      <c r="H1075" s="1014" t="s">
        <v>190</v>
      </c>
      <c r="I1075" s="1015">
        <v>400</v>
      </c>
      <c r="J1075" s="1015">
        <v>0.9</v>
      </c>
      <c r="K1075" s="603">
        <f t="shared" si="108"/>
        <v>18</v>
      </c>
      <c r="L1075" s="1016">
        <v>0.77638888888888891</v>
      </c>
      <c r="M1075" s="605">
        <f t="shared" si="109"/>
        <v>0.77638888888888891</v>
      </c>
      <c r="N1075" s="663">
        <v>0.77916666666666667</v>
      </c>
      <c r="O1075" s="969"/>
      <c r="P1075" s="37" t="str">
        <f t="shared" si="104"/>
        <v>2015EF0</v>
      </c>
      <c r="Q1075" s="37" t="str">
        <f t="shared" si="107"/>
        <v>EF018</v>
      </c>
      <c r="R1075" s="37" t="str">
        <f t="shared" si="105"/>
        <v>MayEF0</v>
      </c>
    </row>
    <row r="1076" spans="1:18">
      <c r="A1076" s="616">
        <f t="shared" si="106"/>
        <v>1072</v>
      </c>
      <c r="B1076" s="1023">
        <v>15</v>
      </c>
      <c r="C1076" s="949">
        <v>42167</v>
      </c>
      <c r="D1076" s="1015" t="s">
        <v>178</v>
      </c>
      <c r="E1076" s="1020">
        <v>12</v>
      </c>
      <c r="F1076" s="967">
        <v>2015</v>
      </c>
      <c r="G1076" s="1015" t="s">
        <v>144</v>
      </c>
      <c r="H1076" s="1014" t="s">
        <v>190</v>
      </c>
      <c r="I1076" s="1015">
        <v>50</v>
      </c>
      <c r="J1076" s="1015">
        <v>0.2</v>
      </c>
      <c r="K1076" s="603">
        <f t="shared" si="108"/>
        <v>14</v>
      </c>
      <c r="L1076" s="1016">
        <v>0.59583333333333333</v>
      </c>
      <c r="M1076" s="605">
        <f t="shared" si="109"/>
        <v>0.59583333333333333</v>
      </c>
      <c r="N1076" s="663">
        <v>0.59791666666666665</v>
      </c>
      <c r="O1076" s="969"/>
      <c r="P1076" s="37" t="str">
        <f t="shared" si="104"/>
        <v>2015EF0</v>
      </c>
      <c r="Q1076" s="37" t="str">
        <f t="shared" si="107"/>
        <v>EF014</v>
      </c>
      <c r="R1076" s="37" t="str">
        <f t="shared" si="105"/>
        <v>JuneEF0</v>
      </c>
    </row>
    <row r="1077" spans="1:18">
      <c r="A1077" s="616">
        <f t="shared" si="106"/>
        <v>1073</v>
      </c>
      <c r="B1077" s="1023">
        <v>16</v>
      </c>
      <c r="C1077" s="949">
        <v>42324</v>
      </c>
      <c r="D1077" s="1015" t="s">
        <v>183</v>
      </c>
      <c r="E1077" s="1020">
        <v>16</v>
      </c>
      <c r="F1077" s="967">
        <v>2015</v>
      </c>
      <c r="G1077" s="1015" t="s">
        <v>146</v>
      </c>
      <c r="H1077" s="1014" t="s">
        <v>190</v>
      </c>
      <c r="I1077" s="1015">
        <v>50</v>
      </c>
      <c r="J1077" s="1015">
        <v>0.4</v>
      </c>
      <c r="K1077" s="603">
        <f t="shared" si="108"/>
        <v>17</v>
      </c>
      <c r="L1077" s="1016">
        <v>0.73888888888888893</v>
      </c>
      <c r="M1077" s="605">
        <f t="shared" si="109"/>
        <v>0.73888888888888893</v>
      </c>
      <c r="N1077" s="663">
        <v>0.73958333333333337</v>
      </c>
      <c r="O1077" s="969"/>
      <c r="P1077" s="37" t="str">
        <f t="shared" si="104"/>
        <v>2015EF0</v>
      </c>
      <c r="Q1077" s="37" t="str">
        <f t="shared" si="107"/>
        <v>EF017</v>
      </c>
      <c r="R1077" s="37" t="str">
        <f t="shared" si="105"/>
        <v>NovemberEF0</v>
      </c>
    </row>
    <row r="1078" spans="1:18">
      <c r="A1078" s="616">
        <f t="shared" si="106"/>
        <v>1074</v>
      </c>
      <c r="B1078" s="1023">
        <v>17</v>
      </c>
      <c r="C1078" s="949">
        <v>42324</v>
      </c>
      <c r="D1078" s="1015" t="s">
        <v>183</v>
      </c>
      <c r="E1078" s="1020">
        <v>16</v>
      </c>
      <c r="F1078" s="967">
        <v>2015</v>
      </c>
      <c r="G1078" s="1015" t="s">
        <v>137</v>
      </c>
      <c r="H1078" s="1014" t="s">
        <v>190</v>
      </c>
      <c r="I1078" s="1015">
        <v>50</v>
      </c>
      <c r="J1078" s="1015">
        <v>0.11</v>
      </c>
      <c r="K1078" s="603">
        <f t="shared" si="108"/>
        <v>17</v>
      </c>
      <c r="L1078" s="1016">
        <v>0.73888888888888893</v>
      </c>
      <c r="M1078" s="605">
        <f t="shared" si="109"/>
        <v>0.73888888888888893</v>
      </c>
      <c r="N1078" s="663">
        <v>0.73958333333333337</v>
      </c>
      <c r="O1078" s="969"/>
      <c r="P1078" s="37" t="str">
        <f t="shared" si="104"/>
        <v>2015EF0</v>
      </c>
      <c r="Q1078" s="37" t="str">
        <f t="shared" si="107"/>
        <v>EF017</v>
      </c>
      <c r="R1078" s="37" t="str">
        <f t="shared" si="105"/>
        <v>NovemberEF0</v>
      </c>
    </row>
    <row r="1079" spans="1:18">
      <c r="A1079" s="616">
        <f t="shared" si="106"/>
        <v>1075</v>
      </c>
      <c r="B1079" s="1023">
        <v>18</v>
      </c>
      <c r="C1079" s="949">
        <v>42324</v>
      </c>
      <c r="D1079" s="1015" t="s">
        <v>183</v>
      </c>
      <c r="E1079" s="1020">
        <v>16</v>
      </c>
      <c r="F1079" s="967">
        <v>2015</v>
      </c>
      <c r="G1079" s="1015" t="s">
        <v>137</v>
      </c>
      <c r="H1079" s="1014" t="s">
        <v>190</v>
      </c>
      <c r="I1079" s="1015">
        <v>50</v>
      </c>
      <c r="J1079" s="1015">
        <v>0.26</v>
      </c>
      <c r="K1079" s="603">
        <f t="shared" si="108"/>
        <v>18</v>
      </c>
      <c r="L1079" s="1016">
        <v>0.75347222222222221</v>
      </c>
      <c r="M1079" s="605">
        <f t="shared" si="109"/>
        <v>0.75347222222222221</v>
      </c>
      <c r="N1079" s="663">
        <v>0.76041666666666663</v>
      </c>
      <c r="O1079" s="969"/>
      <c r="P1079" s="37" t="str">
        <f t="shared" si="104"/>
        <v>2015EF0</v>
      </c>
      <c r="Q1079" s="37" t="str">
        <f t="shared" si="107"/>
        <v>EF018</v>
      </c>
      <c r="R1079" s="37" t="str">
        <f t="shared" si="105"/>
        <v>NovemberEF0</v>
      </c>
    </row>
    <row r="1080" spans="1:18">
      <c r="A1080" s="616">
        <f t="shared" si="106"/>
        <v>1076</v>
      </c>
      <c r="B1080" s="1023">
        <v>19</v>
      </c>
      <c r="C1080" s="949">
        <v>42324</v>
      </c>
      <c r="D1080" s="1015" t="s">
        <v>183</v>
      </c>
      <c r="E1080" s="1020">
        <v>16</v>
      </c>
      <c r="F1080" s="967">
        <v>2015</v>
      </c>
      <c r="G1080" s="1015" t="s">
        <v>141</v>
      </c>
      <c r="H1080" s="1014" t="s">
        <v>190</v>
      </c>
      <c r="I1080" s="1015">
        <v>50</v>
      </c>
      <c r="J1080" s="1015">
        <v>0.22</v>
      </c>
      <c r="K1080" s="603">
        <f t="shared" si="108"/>
        <v>18</v>
      </c>
      <c r="L1080" s="1016">
        <v>0.75624999999999998</v>
      </c>
      <c r="M1080" s="605">
        <f t="shared" si="109"/>
        <v>0.75624999999999998</v>
      </c>
      <c r="N1080" s="663">
        <v>0.75694444444444453</v>
      </c>
      <c r="O1080" s="969"/>
      <c r="P1080" s="37" t="str">
        <f t="shared" si="104"/>
        <v>2015EF0</v>
      </c>
      <c r="Q1080" s="37" t="str">
        <f t="shared" si="107"/>
        <v>EF018</v>
      </c>
      <c r="R1080" s="37" t="str">
        <f t="shared" si="105"/>
        <v>NovemberEF0</v>
      </c>
    </row>
    <row r="1081" spans="1:18">
      <c r="A1081" s="616">
        <f t="shared" si="106"/>
        <v>1077</v>
      </c>
      <c r="B1081" s="1023">
        <v>20</v>
      </c>
      <c r="C1081" s="949">
        <v>42324</v>
      </c>
      <c r="D1081" s="1015" t="s">
        <v>183</v>
      </c>
      <c r="E1081" s="1020">
        <v>16</v>
      </c>
      <c r="F1081" s="967">
        <v>2015</v>
      </c>
      <c r="G1081" s="1015" t="s">
        <v>142</v>
      </c>
      <c r="H1081" s="1014" t="s">
        <v>192</v>
      </c>
      <c r="I1081" s="1015">
        <v>750</v>
      </c>
      <c r="J1081" s="1015">
        <v>31.86</v>
      </c>
      <c r="K1081" s="603">
        <f t="shared" si="108"/>
        <v>18</v>
      </c>
      <c r="L1081" s="1016">
        <v>0.76388888888888884</v>
      </c>
      <c r="M1081" s="605">
        <f t="shared" si="109"/>
        <v>0.76388888888888884</v>
      </c>
      <c r="N1081" s="663">
        <v>0.80555555555555547</v>
      </c>
      <c r="O1081" s="969"/>
      <c r="P1081" s="37" t="str">
        <f t="shared" si="104"/>
        <v>2015EF3</v>
      </c>
      <c r="Q1081" s="37" t="str">
        <f t="shared" si="107"/>
        <v>EF318</v>
      </c>
      <c r="R1081" s="37" t="str">
        <f t="shared" si="105"/>
        <v>NovemberEF3</v>
      </c>
    </row>
    <row r="1082" spans="1:18">
      <c r="A1082" s="616">
        <f t="shared" si="106"/>
        <v>1078</v>
      </c>
      <c r="B1082" s="1023">
        <v>21</v>
      </c>
      <c r="C1082" s="949">
        <v>42324</v>
      </c>
      <c r="D1082" s="1015" t="s">
        <v>183</v>
      </c>
      <c r="E1082" s="1020">
        <v>16</v>
      </c>
      <c r="F1082" s="967">
        <v>2015</v>
      </c>
      <c r="G1082" s="1015" t="s">
        <v>141</v>
      </c>
      <c r="H1082" s="1014" t="s">
        <v>189</v>
      </c>
      <c r="I1082" s="1015">
        <v>175</v>
      </c>
      <c r="J1082" s="1015">
        <v>10.42</v>
      </c>
      <c r="K1082" s="603">
        <f t="shared" si="108"/>
        <v>18</v>
      </c>
      <c r="L1082" s="1016">
        <v>0.77916666666666667</v>
      </c>
      <c r="M1082" s="605">
        <f t="shared" si="109"/>
        <v>0.77916666666666667</v>
      </c>
      <c r="N1082" s="663">
        <v>0.78819444444444453</v>
      </c>
      <c r="O1082" s="969"/>
      <c r="P1082" s="37" t="str">
        <f t="shared" si="104"/>
        <v>2015EF2</v>
      </c>
      <c r="Q1082" s="37" t="str">
        <f t="shared" si="107"/>
        <v>EF218</v>
      </c>
      <c r="R1082" s="37" t="str">
        <f t="shared" si="105"/>
        <v>NovemberEF2</v>
      </c>
    </row>
    <row r="1083" spans="1:18">
      <c r="A1083" s="616">
        <f t="shared" si="106"/>
        <v>1079</v>
      </c>
      <c r="B1083" s="1023">
        <v>22</v>
      </c>
      <c r="C1083" s="949">
        <v>42324</v>
      </c>
      <c r="D1083" s="1015" t="s">
        <v>183</v>
      </c>
      <c r="E1083" s="1020">
        <v>16</v>
      </c>
      <c r="F1083" s="967">
        <v>2015</v>
      </c>
      <c r="G1083" s="1015" t="s">
        <v>132</v>
      </c>
      <c r="H1083" s="1014" t="s">
        <v>190</v>
      </c>
      <c r="I1083" s="1015">
        <v>100</v>
      </c>
      <c r="J1083" s="1015">
        <v>3.66</v>
      </c>
      <c r="K1083" s="603">
        <f t="shared" si="108"/>
        <v>18</v>
      </c>
      <c r="L1083" s="1016">
        <v>0.78055555555555556</v>
      </c>
      <c r="M1083" s="605">
        <f t="shared" si="109"/>
        <v>0.78055555555555556</v>
      </c>
      <c r="N1083" s="663">
        <v>0.78472222222222221</v>
      </c>
      <c r="O1083" s="969"/>
      <c r="P1083" s="37" t="str">
        <f t="shared" si="104"/>
        <v>2015EF0</v>
      </c>
      <c r="Q1083" s="37" t="str">
        <f t="shared" si="107"/>
        <v>EF018</v>
      </c>
      <c r="R1083" s="37" t="str">
        <f t="shared" si="105"/>
        <v>NovemberEF0</v>
      </c>
    </row>
    <row r="1084" spans="1:18">
      <c r="A1084" s="616">
        <f t="shared" si="106"/>
        <v>1080</v>
      </c>
      <c r="B1084" s="1023">
        <v>23</v>
      </c>
      <c r="C1084" s="949">
        <v>42324</v>
      </c>
      <c r="D1084" s="1015" t="s">
        <v>183</v>
      </c>
      <c r="E1084" s="1020">
        <v>16</v>
      </c>
      <c r="F1084" s="967">
        <v>2015</v>
      </c>
      <c r="G1084" s="1015" t="s">
        <v>132</v>
      </c>
      <c r="H1084" s="1014" t="s">
        <v>191</v>
      </c>
      <c r="I1084" s="1015">
        <v>200</v>
      </c>
      <c r="J1084" s="1015">
        <v>5.78</v>
      </c>
      <c r="K1084" s="603">
        <f t="shared" si="108"/>
        <v>18</v>
      </c>
      <c r="L1084" s="1016">
        <v>0.78611111111111109</v>
      </c>
      <c r="M1084" s="605">
        <f t="shared" si="109"/>
        <v>0.78611111111111109</v>
      </c>
      <c r="N1084" s="663">
        <v>0.7909722222222223</v>
      </c>
      <c r="O1084" s="969"/>
      <c r="P1084" s="37" t="str">
        <f t="shared" si="104"/>
        <v>2015EF1</v>
      </c>
      <c r="Q1084" s="37" t="str">
        <f t="shared" si="107"/>
        <v>EF118</v>
      </c>
      <c r="R1084" s="37" t="str">
        <f t="shared" si="105"/>
        <v>NovemberEF1</v>
      </c>
    </row>
    <row r="1085" spans="1:18">
      <c r="A1085" s="616">
        <f t="shared" si="106"/>
        <v>1081</v>
      </c>
      <c r="B1085" s="1023">
        <v>24</v>
      </c>
      <c r="C1085" s="949">
        <v>42324</v>
      </c>
      <c r="D1085" s="1015" t="s">
        <v>183</v>
      </c>
      <c r="E1085" s="1020">
        <v>16</v>
      </c>
      <c r="F1085" s="967">
        <v>2015</v>
      </c>
      <c r="G1085" s="1015" t="s">
        <v>132</v>
      </c>
      <c r="H1085" s="1014" t="s">
        <v>191</v>
      </c>
      <c r="I1085" s="1015">
        <v>400</v>
      </c>
      <c r="J1085" s="1015">
        <v>5.18</v>
      </c>
      <c r="K1085" s="603">
        <f t="shared" si="108"/>
        <v>19</v>
      </c>
      <c r="L1085" s="1016">
        <v>0.79166666666666663</v>
      </c>
      <c r="M1085" s="605">
        <f t="shared" si="109"/>
        <v>0.79166666666666663</v>
      </c>
      <c r="N1085" s="663">
        <v>0.79722222222222217</v>
      </c>
      <c r="O1085" s="969"/>
      <c r="P1085" s="37" t="str">
        <f t="shared" si="104"/>
        <v>2015EF1</v>
      </c>
      <c r="Q1085" s="37" t="str">
        <f t="shared" si="107"/>
        <v>EF119</v>
      </c>
      <c r="R1085" s="37" t="str">
        <f t="shared" si="105"/>
        <v>NovemberEF1</v>
      </c>
    </row>
    <row r="1086" spans="1:18">
      <c r="A1086" s="616">
        <f t="shared" si="106"/>
        <v>1082</v>
      </c>
      <c r="B1086" s="1023">
        <v>25</v>
      </c>
      <c r="C1086" s="949">
        <v>42324</v>
      </c>
      <c r="D1086" s="1015" t="s">
        <v>183</v>
      </c>
      <c r="E1086" s="1020">
        <v>16</v>
      </c>
      <c r="F1086" s="967">
        <v>2015</v>
      </c>
      <c r="G1086" s="1015" t="s">
        <v>142</v>
      </c>
      <c r="H1086" s="1014" t="s">
        <v>192</v>
      </c>
      <c r="I1086" s="1015">
        <v>500</v>
      </c>
      <c r="J1086" s="1015">
        <v>10.92</v>
      </c>
      <c r="K1086" s="603">
        <f t="shared" si="108"/>
        <v>19</v>
      </c>
      <c r="L1086" s="1016">
        <v>0.79583333333333339</v>
      </c>
      <c r="M1086" s="605">
        <f t="shared" si="109"/>
        <v>0.79583333333333339</v>
      </c>
      <c r="N1086" s="663">
        <v>0.80486111111111114</v>
      </c>
      <c r="O1086" s="969"/>
      <c r="P1086" s="37" t="str">
        <f t="shared" si="104"/>
        <v>2015EF3</v>
      </c>
      <c r="Q1086" s="37" t="str">
        <f t="shared" si="107"/>
        <v>EF319</v>
      </c>
      <c r="R1086" s="37" t="str">
        <f t="shared" si="105"/>
        <v>NovemberEF3</v>
      </c>
    </row>
    <row r="1087" spans="1:18">
      <c r="A1087" s="616">
        <f t="shared" si="106"/>
        <v>1083</v>
      </c>
      <c r="B1087" s="1023">
        <v>26</v>
      </c>
      <c r="C1087" s="949">
        <v>42324</v>
      </c>
      <c r="D1087" s="1015" t="s">
        <v>183</v>
      </c>
      <c r="E1087" s="1020">
        <v>16</v>
      </c>
      <c r="F1087" s="967">
        <v>2015</v>
      </c>
      <c r="G1087" s="1015" t="s">
        <v>128</v>
      </c>
      <c r="H1087" s="1014" t="s">
        <v>190</v>
      </c>
      <c r="I1087" s="1015">
        <v>100</v>
      </c>
      <c r="J1087" s="1015">
        <v>4.22</v>
      </c>
      <c r="K1087" s="603">
        <f t="shared" si="108"/>
        <v>19</v>
      </c>
      <c r="L1087" s="1016">
        <v>0.79861111111111116</v>
      </c>
      <c r="M1087" s="605">
        <f t="shared" si="109"/>
        <v>0.79861111111111116</v>
      </c>
      <c r="N1087" s="663">
        <v>0.8041666666666667</v>
      </c>
      <c r="P1087" s="37" t="str">
        <f t="shared" si="104"/>
        <v>2015EF0</v>
      </c>
      <c r="Q1087" s="37" t="str">
        <f t="shared" si="107"/>
        <v>EF019</v>
      </c>
      <c r="R1087" s="37" t="str">
        <f t="shared" si="105"/>
        <v>NovemberEF0</v>
      </c>
    </row>
    <row r="1088" spans="1:18">
      <c r="A1088" s="616">
        <f t="shared" si="106"/>
        <v>1084</v>
      </c>
      <c r="B1088" s="1023">
        <v>27</v>
      </c>
      <c r="C1088" s="949">
        <v>42324</v>
      </c>
      <c r="D1088" s="1015" t="s">
        <v>183</v>
      </c>
      <c r="E1088" s="1020">
        <v>16</v>
      </c>
      <c r="F1088" s="967">
        <v>2015</v>
      </c>
      <c r="G1088" s="1015" t="s">
        <v>142</v>
      </c>
      <c r="H1088" s="1014" t="s">
        <v>191</v>
      </c>
      <c r="I1088" s="1015">
        <v>300</v>
      </c>
      <c r="J1088" s="1015">
        <v>16</v>
      </c>
      <c r="K1088" s="603">
        <f t="shared" si="108"/>
        <v>19</v>
      </c>
      <c r="L1088" s="1024">
        <v>0.80694444444444446</v>
      </c>
      <c r="M1088" s="605">
        <f t="shared" si="109"/>
        <v>0.80694444444444446</v>
      </c>
      <c r="N1088" s="663">
        <v>0.8222222222222223</v>
      </c>
      <c r="P1088" s="37" t="str">
        <f t="shared" si="104"/>
        <v>2015EF1</v>
      </c>
      <c r="Q1088" s="37" t="str">
        <f t="shared" si="107"/>
        <v>EF119</v>
      </c>
      <c r="R1088" s="37" t="str">
        <f t="shared" si="105"/>
        <v>NovemberEF1</v>
      </c>
    </row>
    <row r="1089" spans="1:18">
      <c r="A1089" s="616">
        <f t="shared" si="106"/>
        <v>1085</v>
      </c>
      <c r="B1089" s="1023">
        <v>28</v>
      </c>
      <c r="C1089" s="949">
        <v>42324</v>
      </c>
      <c r="D1089" s="1015" t="s">
        <v>183</v>
      </c>
      <c r="E1089" s="1020">
        <v>16</v>
      </c>
      <c r="F1089" s="967">
        <v>2015</v>
      </c>
      <c r="G1089" s="1015" t="s">
        <v>136</v>
      </c>
      <c r="H1089" s="1014" t="s">
        <v>190</v>
      </c>
      <c r="I1089" s="1015">
        <v>50</v>
      </c>
      <c r="J1089" s="1015">
        <v>0.56000000000000005</v>
      </c>
      <c r="K1089" s="603">
        <f t="shared" si="108"/>
        <v>19</v>
      </c>
      <c r="L1089" s="1016">
        <v>0.82152777777777775</v>
      </c>
      <c r="M1089" s="605">
        <f t="shared" si="109"/>
        <v>0.82152777777777775</v>
      </c>
      <c r="N1089" s="663">
        <v>0.8222222222222223</v>
      </c>
      <c r="P1089" s="37" t="str">
        <f t="shared" si="104"/>
        <v>2015EF0</v>
      </c>
      <c r="Q1089" s="37" t="str">
        <f t="shared" si="107"/>
        <v>EF019</v>
      </c>
      <c r="R1089" s="37" t="str">
        <f t="shared" si="105"/>
        <v>NovemberEF0</v>
      </c>
    </row>
    <row r="1090" spans="1:18">
      <c r="A1090" s="616">
        <f t="shared" si="106"/>
        <v>1086</v>
      </c>
      <c r="B1090" s="1023">
        <v>29</v>
      </c>
      <c r="C1090" s="949">
        <v>42324</v>
      </c>
      <c r="D1090" s="1015" t="s">
        <v>183</v>
      </c>
      <c r="E1090" s="1020">
        <v>16</v>
      </c>
      <c r="F1090" s="967">
        <v>2015</v>
      </c>
      <c r="G1090" s="1015" t="s">
        <v>137</v>
      </c>
      <c r="H1090" s="1014" t="s">
        <v>190</v>
      </c>
      <c r="I1090" s="1015">
        <v>50</v>
      </c>
      <c r="J1090" s="1015">
        <v>7.21</v>
      </c>
      <c r="K1090" s="603">
        <f t="shared" si="108"/>
        <v>19</v>
      </c>
      <c r="L1090" s="1016">
        <v>0.82291666666666663</v>
      </c>
      <c r="M1090" s="605">
        <f t="shared" si="109"/>
        <v>0.82291666666666663</v>
      </c>
      <c r="N1090" s="663">
        <v>0.82986111111111116</v>
      </c>
      <c r="P1090" s="37" t="str">
        <f t="shared" si="104"/>
        <v>2015EF0</v>
      </c>
      <c r="Q1090" s="37" t="str">
        <f t="shared" si="107"/>
        <v>EF019</v>
      </c>
      <c r="R1090" s="37" t="str">
        <f t="shared" si="105"/>
        <v>NovemberEF0</v>
      </c>
    </row>
    <row r="1091" spans="1:18">
      <c r="A1091" s="616">
        <f t="shared" si="106"/>
        <v>1087</v>
      </c>
      <c r="B1091" s="1023">
        <v>30</v>
      </c>
      <c r="C1091" s="949">
        <v>42324</v>
      </c>
      <c r="D1091" s="1015" t="s">
        <v>183</v>
      </c>
      <c r="E1091" s="1020">
        <v>16</v>
      </c>
      <c r="F1091" s="967">
        <v>2015</v>
      </c>
      <c r="G1091" s="1015" t="s">
        <v>140</v>
      </c>
      <c r="H1091" s="1014" t="s">
        <v>190</v>
      </c>
      <c r="I1091" s="1015">
        <v>50</v>
      </c>
      <c r="J1091" s="1015">
        <v>0.38</v>
      </c>
      <c r="K1091" s="603">
        <f t="shared" si="108"/>
        <v>19</v>
      </c>
      <c r="L1091" s="1016">
        <v>0.83194444444444438</v>
      </c>
      <c r="M1091" s="605">
        <f t="shared" si="109"/>
        <v>0.83194444444444438</v>
      </c>
      <c r="N1091" s="663">
        <v>0.83263888888888893</v>
      </c>
      <c r="P1091" s="37" t="str">
        <f t="shared" ref="P1091:P1154" si="110">CONCATENATE(F1091,H1091)</f>
        <v>2015EF0</v>
      </c>
      <c r="Q1091" s="37" t="str">
        <f t="shared" ref="Q1091:Q1154" si="111">CONCATENATE(H1091,K1091)</f>
        <v>EF019</v>
      </c>
      <c r="R1091" s="37" t="str">
        <f t="shared" ref="R1091:R1154" si="112">CONCATENATE(D1091,H1091)</f>
        <v>NovemberEF0</v>
      </c>
    </row>
    <row r="1092" spans="1:18">
      <c r="A1092" s="616">
        <f t="shared" si="106"/>
        <v>1088</v>
      </c>
      <c r="B1092" s="1023">
        <v>31</v>
      </c>
      <c r="C1092" s="949">
        <v>42324</v>
      </c>
      <c r="D1092" s="1015" t="s">
        <v>183</v>
      </c>
      <c r="E1092" s="1020">
        <v>16</v>
      </c>
      <c r="F1092" s="967">
        <v>2015</v>
      </c>
      <c r="G1092" s="1015" t="s">
        <v>138</v>
      </c>
      <c r="H1092" s="1014" t="s">
        <v>191</v>
      </c>
      <c r="I1092" s="1015">
        <v>50</v>
      </c>
      <c r="J1092" s="1015">
        <v>26.03</v>
      </c>
      <c r="K1092" s="603">
        <f t="shared" si="108"/>
        <v>20</v>
      </c>
      <c r="L1092" s="1016">
        <v>0.84722222222222221</v>
      </c>
      <c r="M1092" s="605">
        <f t="shared" si="109"/>
        <v>0.84722222222222221</v>
      </c>
      <c r="N1092" s="663">
        <v>0.86875000000000002</v>
      </c>
      <c r="P1092" s="37" t="str">
        <f t="shared" si="110"/>
        <v>2015EF1</v>
      </c>
      <c r="Q1092" s="37" t="str">
        <f t="shared" si="111"/>
        <v>EF120</v>
      </c>
      <c r="R1092" s="37" t="str">
        <f t="shared" si="112"/>
        <v>NovemberEF1</v>
      </c>
    </row>
    <row r="1093" spans="1:18">
      <c r="A1093" s="616">
        <f t="shared" si="106"/>
        <v>1089</v>
      </c>
      <c r="B1093" s="1023">
        <v>32</v>
      </c>
      <c r="C1093" s="949">
        <v>42324</v>
      </c>
      <c r="D1093" s="1015" t="s">
        <v>183</v>
      </c>
      <c r="E1093" s="1020">
        <v>16</v>
      </c>
      <c r="F1093" s="967">
        <v>2015</v>
      </c>
      <c r="G1093" s="1015" t="s">
        <v>132</v>
      </c>
      <c r="H1093" s="1014" t="s">
        <v>191</v>
      </c>
      <c r="I1093" s="1015">
        <v>70</v>
      </c>
      <c r="J1093" s="1015">
        <v>14.59</v>
      </c>
      <c r="K1093" s="603">
        <f t="shared" si="108"/>
        <v>20</v>
      </c>
      <c r="L1093" s="1016">
        <v>0.85138888888888886</v>
      </c>
      <c r="M1093" s="605">
        <f t="shared" si="109"/>
        <v>0.85138888888888886</v>
      </c>
      <c r="N1093" s="663">
        <v>0.86875000000000002</v>
      </c>
      <c r="O1093" s="969"/>
      <c r="P1093" s="37" t="str">
        <f t="shared" si="110"/>
        <v>2015EF1</v>
      </c>
      <c r="Q1093" s="37" t="str">
        <f t="shared" si="111"/>
        <v>EF120</v>
      </c>
      <c r="R1093" s="37" t="str">
        <f t="shared" si="112"/>
        <v>NovemberEF1</v>
      </c>
    </row>
    <row r="1094" spans="1:18">
      <c r="A1094" s="616">
        <f t="shared" si="106"/>
        <v>1090</v>
      </c>
      <c r="B1094" s="1023">
        <v>33</v>
      </c>
      <c r="C1094" s="949">
        <v>42324</v>
      </c>
      <c r="D1094" s="1015" t="s">
        <v>183</v>
      </c>
      <c r="E1094" s="1020">
        <v>16</v>
      </c>
      <c r="F1094" s="967">
        <v>2015</v>
      </c>
      <c r="G1094" s="1015" t="s">
        <v>133</v>
      </c>
      <c r="H1094" s="1014" t="s">
        <v>190</v>
      </c>
      <c r="I1094" s="1015">
        <v>100</v>
      </c>
      <c r="J1094" s="1015">
        <v>4.6900000000000004</v>
      </c>
      <c r="K1094" s="603">
        <f t="shared" si="108"/>
        <v>20</v>
      </c>
      <c r="L1094" s="1016">
        <v>0.87430555555555556</v>
      </c>
      <c r="M1094" s="605">
        <f t="shared" si="109"/>
        <v>0.87430555555555556</v>
      </c>
      <c r="N1094" s="663">
        <v>0.87986111111111109</v>
      </c>
      <c r="O1094" s="969"/>
      <c r="P1094" s="37" t="str">
        <f t="shared" si="110"/>
        <v>2015EF0</v>
      </c>
      <c r="Q1094" s="37" t="str">
        <f t="shared" si="111"/>
        <v>EF020</v>
      </c>
      <c r="R1094" s="37" t="str">
        <f t="shared" si="112"/>
        <v>NovemberEF0</v>
      </c>
    </row>
    <row r="1095" spans="1:18">
      <c r="A1095" s="616">
        <f t="shared" ref="A1095:A1158" si="113">+A1094+1</f>
        <v>1091</v>
      </c>
      <c r="B1095" s="1023">
        <v>34</v>
      </c>
      <c r="C1095" s="949">
        <v>42324</v>
      </c>
      <c r="D1095" s="1015" t="s">
        <v>183</v>
      </c>
      <c r="E1095" s="1020">
        <v>16</v>
      </c>
      <c r="F1095" s="967">
        <v>2015</v>
      </c>
      <c r="G1095" s="1015" t="s">
        <v>128</v>
      </c>
      <c r="H1095" s="1014" t="s">
        <v>191</v>
      </c>
      <c r="I1095" s="1015">
        <v>500</v>
      </c>
      <c r="J1095" s="1015">
        <v>8.93</v>
      </c>
      <c r="K1095" s="603">
        <f t="shared" si="108"/>
        <v>21</v>
      </c>
      <c r="L1095" s="1016">
        <v>0.89166666666666661</v>
      </c>
      <c r="M1095" s="605">
        <f t="shared" si="109"/>
        <v>0.89166666666666661</v>
      </c>
      <c r="N1095" s="663">
        <v>0.90069444444444446</v>
      </c>
      <c r="O1095" s="969"/>
      <c r="P1095" s="37" t="str">
        <f t="shared" si="110"/>
        <v>2015EF1</v>
      </c>
      <c r="Q1095" s="37" t="str">
        <f t="shared" si="111"/>
        <v>EF121</v>
      </c>
      <c r="R1095" s="37" t="str">
        <f t="shared" si="112"/>
        <v>NovemberEF1</v>
      </c>
    </row>
    <row r="1096" spans="1:18">
      <c r="A1096" s="616">
        <f t="shared" si="113"/>
        <v>1092</v>
      </c>
      <c r="B1096" s="1023">
        <v>35</v>
      </c>
      <c r="C1096" s="949">
        <v>42350</v>
      </c>
      <c r="D1096" s="1015" t="s">
        <v>184</v>
      </c>
      <c r="E1096" s="1020">
        <v>12</v>
      </c>
      <c r="F1096" s="967">
        <v>2015</v>
      </c>
      <c r="G1096" s="1015" t="s">
        <v>142</v>
      </c>
      <c r="H1096" s="1014" t="s">
        <v>190</v>
      </c>
      <c r="I1096" s="1015">
        <v>50</v>
      </c>
      <c r="J1096" s="1015">
        <v>0.04</v>
      </c>
      <c r="K1096" s="603">
        <f t="shared" si="108"/>
        <v>17</v>
      </c>
      <c r="L1096" s="1016">
        <v>0.74513888888888891</v>
      </c>
      <c r="M1096" s="605">
        <f t="shared" si="109"/>
        <v>0.74513888888888891</v>
      </c>
      <c r="N1096" s="663">
        <v>0.74583333333333324</v>
      </c>
      <c r="O1096" s="969"/>
      <c r="P1096" s="37" t="str">
        <f t="shared" si="110"/>
        <v>2015EF0</v>
      </c>
      <c r="Q1096" s="37" t="str">
        <f t="shared" si="111"/>
        <v>EF017</v>
      </c>
      <c r="R1096" s="37" t="str">
        <f t="shared" si="112"/>
        <v>DecemberEF0</v>
      </c>
    </row>
    <row r="1097" spans="1:18">
      <c r="A1097" s="616">
        <f t="shared" si="113"/>
        <v>1093</v>
      </c>
      <c r="B1097" s="103"/>
      <c r="C1097" s="103"/>
      <c r="D1097" s="103"/>
      <c r="E1097" s="170"/>
      <c r="F1097" s="171"/>
      <c r="G1097" s="103"/>
      <c r="H1097" s="172"/>
      <c r="I1097" s="103"/>
      <c r="J1097" s="103"/>
      <c r="K1097" s="104"/>
      <c r="L1097" s="103"/>
      <c r="M1097" s="105">
        <f t="shared" si="109"/>
        <v>0</v>
      </c>
      <c r="N1097" s="986"/>
      <c r="P1097" s="37" t="str">
        <f t="shared" si="110"/>
        <v/>
      </c>
      <c r="Q1097" s="37" t="str">
        <f t="shared" si="111"/>
        <v/>
      </c>
      <c r="R1097" s="37" t="str">
        <f t="shared" si="112"/>
        <v/>
      </c>
    </row>
    <row r="1098" spans="1:18">
      <c r="A1098" s="616">
        <f t="shared" si="113"/>
        <v>1094</v>
      </c>
      <c r="B1098" s="103"/>
      <c r="C1098" s="103"/>
      <c r="D1098" s="103"/>
      <c r="E1098" s="170"/>
      <c r="F1098" s="171"/>
      <c r="G1098" s="103"/>
      <c r="H1098" s="172"/>
      <c r="I1098" s="103"/>
      <c r="J1098" s="103"/>
      <c r="K1098" s="104"/>
      <c r="L1098" s="103"/>
      <c r="M1098" s="105">
        <f t="shared" si="109"/>
        <v>0</v>
      </c>
      <c r="N1098" s="986"/>
      <c r="P1098" s="37" t="str">
        <f t="shared" si="110"/>
        <v/>
      </c>
      <c r="Q1098" s="37" t="str">
        <f t="shared" si="111"/>
        <v/>
      </c>
      <c r="R1098" s="37" t="str">
        <f t="shared" si="112"/>
        <v/>
      </c>
    </row>
    <row r="1099" spans="1:18">
      <c r="A1099" s="616">
        <f t="shared" si="113"/>
        <v>1095</v>
      </c>
      <c r="B1099" s="103"/>
      <c r="C1099" s="103"/>
      <c r="D1099" s="103"/>
      <c r="E1099" s="170"/>
      <c r="F1099" s="171"/>
      <c r="G1099" s="103"/>
      <c r="H1099" s="172"/>
      <c r="I1099" s="103"/>
      <c r="J1099" s="103"/>
      <c r="K1099" s="104"/>
      <c r="L1099" s="103"/>
      <c r="M1099" s="105">
        <f t="shared" ref="M1099:M1162" si="114">+L1099</f>
        <v>0</v>
      </c>
      <c r="N1099" s="986"/>
      <c r="P1099" s="37" t="str">
        <f t="shared" si="110"/>
        <v/>
      </c>
      <c r="Q1099" s="37" t="str">
        <f t="shared" si="111"/>
        <v/>
      </c>
      <c r="R1099" s="37" t="str">
        <f t="shared" si="112"/>
        <v/>
      </c>
    </row>
    <row r="1100" spans="1:18">
      <c r="A1100" s="616">
        <f t="shared" si="113"/>
        <v>1096</v>
      </c>
      <c r="B1100" s="103"/>
      <c r="C1100" s="103"/>
      <c r="D1100" s="103"/>
      <c r="E1100" s="170"/>
      <c r="F1100" s="171"/>
      <c r="G1100" s="103"/>
      <c r="H1100" s="172"/>
      <c r="I1100" s="103"/>
      <c r="J1100" s="103"/>
      <c r="K1100" s="104"/>
      <c r="L1100" s="103"/>
      <c r="M1100" s="105">
        <f t="shared" si="114"/>
        <v>0</v>
      </c>
      <c r="N1100" s="986"/>
      <c r="P1100" s="37" t="str">
        <f t="shared" si="110"/>
        <v/>
      </c>
      <c r="Q1100" s="37" t="str">
        <f t="shared" si="111"/>
        <v/>
      </c>
      <c r="R1100" s="37" t="str">
        <f t="shared" si="112"/>
        <v/>
      </c>
    </row>
    <row r="1101" spans="1:18">
      <c r="A1101" s="616">
        <f t="shared" si="113"/>
        <v>1097</v>
      </c>
      <c r="B1101" s="103"/>
      <c r="C1101" s="103"/>
      <c r="D1101" s="103"/>
      <c r="E1101" s="170"/>
      <c r="F1101" s="171"/>
      <c r="G1101" s="103"/>
      <c r="H1101" s="172"/>
      <c r="I1101" s="103"/>
      <c r="J1101" s="103"/>
      <c r="K1101" s="104"/>
      <c r="L1101" s="103"/>
      <c r="M1101" s="105">
        <f t="shared" si="114"/>
        <v>0</v>
      </c>
      <c r="N1101" s="986"/>
      <c r="P1101" s="37" t="str">
        <f t="shared" si="110"/>
        <v/>
      </c>
      <c r="Q1101" s="37" t="str">
        <f t="shared" si="111"/>
        <v/>
      </c>
      <c r="R1101" s="37" t="str">
        <f t="shared" si="112"/>
        <v/>
      </c>
    </row>
    <row r="1102" spans="1:18">
      <c r="A1102" s="616">
        <f t="shared" si="113"/>
        <v>1098</v>
      </c>
      <c r="B1102" s="103"/>
      <c r="C1102" s="103"/>
      <c r="D1102" s="103"/>
      <c r="E1102" s="170"/>
      <c r="F1102" s="171"/>
      <c r="G1102" s="103"/>
      <c r="H1102" s="172"/>
      <c r="I1102" s="103"/>
      <c r="J1102" s="103"/>
      <c r="K1102" s="104"/>
      <c r="L1102" s="103"/>
      <c r="M1102" s="105">
        <f t="shared" si="114"/>
        <v>0</v>
      </c>
      <c r="N1102" s="986"/>
      <c r="P1102" s="37" t="str">
        <f t="shared" si="110"/>
        <v/>
      </c>
      <c r="Q1102" s="37" t="str">
        <f t="shared" si="111"/>
        <v/>
      </c>
      <c r="R1102" s="37" t="str">
        <f t="shared" si="112"/>
        <v/>
      </c>
    </row>
    <row r="1103" spans="1:18">
      <c r="A1103" s="616">
        <f t="shared" si="113"/>
        <v>1099</v>
      </c>
      <c r="B1103" s="103"/>
      <c r="C1103" s="103"/>
      <c r="D1103" s="103"/>
      <c r="E1103" s="170"/>
      <c r="F1103" s="171"/>
      <c r="G1103" s="103"/>
      <c r="H1103" s="172"/>
      <c r="I1103" s="103"/>
      <c r="J1103" s="103"/>
      <c r="K1103" s="104"/>
      <c r="L1103" s="103"/>
      <c r="M1103" s="105">
        <f t="shared" si="114"/>
        <v>0</v>
      </c>
      <c r="N1103" s="986"/>
      <c r="P1103" s="37" t="str">
        <f t="shared" si="110"/>
        <v/>
      </c>
      <c r="Q1103" s="37" t="str">
        <f t="shared" si="111"/>
        <v/>
      </c>
      <c r="R1103" s="37" t="str">
        <f t="shared" si="112"/>
        <v/>
      </c>
    </row>
    <row r="1104" spans="1:18">
      <c r="A1104" s="616">
        <f t="shared" si="113"/>
        <v>1100</v>
      </c>
      <c r="B1104" s="103"/>
      <c r="C1104" s="103"/>
      <c r="D1104" s="103"/>
      <c r="E1104" s="170"/>
      <c r="F1104" s="171"/>
      <c r="G1104" s="103"/>
      <c r="H1104" s="172"/>
      <c r="I1104" s="103"/>
      <c r="J1104" s="103"/>
      <c r="K1104" s="104"/>
      <c r="L1104" s="103"/>
      <c r="M1104" s="105">
        <f t="shared" si="114"/>
        <v>0</v>
      </c>
      <c r="N1104" s="986"/>
      <c r="P1104" s="37" t="str">
        <f t="shared" si="110"/>
        <v/>
      </c>
      <c r="Q1104" s="37" t="str">
        <f t="shared" si="111"/>
        <v/>
      </c>
      <c r="R1104" s="37" t="str">
        <f t="shared" si="112"/>
        <v/>
      </c>
    </row>
    <row r="1105" spans="1:18">
      <c r="A1105" s="616">
        <f t="shared" si="113"/>
        <v>1101</v>
      </c>
      <c r="B1105" s="103"/>
      <c r="C1105" s="103"/>
      <c r="D1105" s="103"/>
      <c r="E1105" s="170"/>
      <c r="F1105" s="171"/>
      <c r="G1105" s="103"/>
      <c r="H1105" s="172"/>
      <c r="I1105" s="103"/>
      <c r="J1105" s="103"/>
      <c r="K1105" s="104"/>
      <c r="L1105" s="103"/>
      <c r="M1105" s="105">
        <f t="shared" si="114"/>
        <v>0</v>
      </c>
      <c r="N1105" s="986"/>
      <c r="P1105" s="37" t="str">
        <f t="shared" si="110"/>
        <v/>
      </c>
      <c r="Q1105" s="37" t="str">
        <f t="shared" si="111"/>
        <v/>
      </c>
      <c r="R1105" s="37" t="str">
        <f t="shared" si="112"/>
        <v/>
      </c>
    </row>
    <row r="1106" spans="1:18">
      <c r="A1106" s="616">
        <f t="shared" si="113"/>
        <v>1102</v>
      </c>
      <c r="B1106" s="103"/>
      <c r="C1106" s="103"/>
      <c r="D1106" s="103"/>
      <c r="E1106" s="170"/>
      <c r="F1106" s="171"/>
      <c r="G1106" s="103"/>
      <c r="H1106" s="172"/>
      <c r="I1106" s="103"/>
      <c r="J1106" s="103"/>
      <c r="K1106" s="104"/>
      <c r="L1106" s="103"/>
      <c r="M1106" s="105">
        <f t="shared" si="114"/>
        <v>0</v>
      </c>
      <c r="N1106" s="986"/>
      <c r="P1106" s="37" t="str">
        <f t="shared" si="110"/>
        <v/>
      </c>
      <c r="Q1106" s="37" t="str">
        <f t="shared" si="111"/>
        <v/>
      </c>
      <c r="R1106" s="37" t="str">
        <f t="shared" si="112"/>
        <v/>
      </c>
    </row>
    <row r="1107" spans="1:18">
      <c r="A1107" s="616">
        <f t="shared" si="113"/>
        <v>1103</v>
      </c>
      <c r="B1107" s="103"/>
      <c r="C1107" s="103"/>
      <c r="D1107" s="103"/>
      <c r="E1107" s="170"/>
      <c r="F1107" s="171"/>
      <c r="G1107" s="103"/>
      <c r="H1107" s="172"/>
      <c r="I1107" s="103"/>
      <c r="J1107" s="103"/>
      <c r="K1107" s="104"/>
      <c r="L1107" s="103"/>
      <c r="M1107" s="105">
        <f t="shared" si="114"/>
        <v>0</v>
      </c>
      <c r="N1107" s="986"/>
      <c r="P1107" s="37" t="str">
        <f t="shared" si="110"/>
        <v/>
      </c>
      <c r="Q1107" s="37" t="str">
        <f t="shared" si="111"/>
        <v/>
      </c>
      <c r="R1107" s="37" t="str">
        <f t="shared" si="112"/>
        <v/>
      </c>
    </row>
    <row r="1108" spans="1:18">
      <c r="A1108" s="616">
        <f t="shared" si="113"/>
        <v>1104</v>
      </c>
      <c r="B1108" s="103"/>
      <c r="C1108" s="103"/>
      <c r="D1108" s="103"/>
      <c r="E1108" s="170"/>
      <c r="F1108" s="171"/>
      <c r="G1108" s="103"/>
      <c r="H1108" s="172"/>
      <c r="I1108" s="103"/>
      <c r="J1108" s="103"/>
      <c r="K1108" s="104"/>
      <c r="L1108" s="103"/>
      <c r="M1108" s="105">
        <f t="shared" si="114"/>
        <v>0</v>
      </c>
      <c r="N1108" s="986"/>
      <c r="P1108" s="37" t="str">
        <f t="shared" si="110"/>
        <v/>
      </c>
      <c r="Q1108" s="37" t="str">
        <f t="shared" si="111"/>
        <v/>
      </c>
      <c r="R1108" s="37" t="str">
        <f t="shared" si="112"/>
        <v/>
      </c>
    </row>
    <row r="1109" spans="1:18">
      <c r="A1109" s="616">
        <f t="shared" si="113"/>
        <v>1105</v>
      </c>
      <c r="B1109" s="103"/>
      <c r="C1109" s="103"/>
      <c r="D1109" s="103"/>
      <c r="E1109" s="170"/>
      <c r="F1109" s="171"/>
      <c r="G1109" s="103"/>
      <c r="H1109" s="172"/>
      <c r="I1109" s="103"/>
      <c r="J1109" s="103"/>
      <c r="K1109" s="104"/>
      <c r="L1109" s="103"/>
      <c r="M1109" s="105">
        <f t="shared" si="114"/>
        <v>0</v>
      </c>
      <c r="N1109" s="986"/>
      <c r="P1109" s="37" t="str">
        <f t="shared" si="110"/>
        <v/>
      </c>
      <c r="Q1109" s="37" t="str">
        <f t="shared" si="111"/>
        <v/>
      </c>
      <c r="R1109" s="37" t="str">
        <f t="shared" si="112"/>
        <v/>
      </c>
    </row>
    <row r="1110" spans="1:18">
      <c r="A1110" s="616">
        <f t="shared" si="113"/>
        <v>1106</v>
      </c>
      <c r="B1110" s="103"/>
      <c r="C1110" s="103"/>
      <c r="D1110" s="103"/>
      <c r="E1110" s="170"/>
      <c r="F1110" s="171"/>
      <c r="G1110" s="103"/>
      <c r="H1110" s="172"/>
      <c r="I1110" s="103"/>
      <c r="J1110" s="103"/>
      <c r="K1110" s="104"/>
      <c r="L1110" s="103"/>
      <c r="M1110" s="105">
        <f t="shared" si="114"/>
        <v>0</v>
      </c>
      <c r="N1110" s="986"/>
      <c r="P1110" s="37" t="str">
        <f t="shared" si="110"/>
        <v/>
      </c>
      <c r="Q1110" s="37" t="str">
        <f t="shared" si="111"/>
        <v/>
      </c>
      <c r="R1110" s="37" t="str">
        <f t="shared" si="112"/>
        <v/>
      </c>
    </row>
    <row r="1111" spans="1:18">
      <c r="A1111" s="616">
        <f t="shared" si="113"/>
        <v>1107</v>
      </c>
      <c r="B1111" s="103"/>
      <c r="C1111" s="103"/>
      <c r="D1111" s="103"/>
      <c r="E1111" s="170"/>
      <c r="F1111" s="171"/>
      <c r="G1111" s="103"/>
      <c r="H1111" s="172"/>
      <c r="I1111" s="103"/>
      <c r="J1111" s="103"/>
      <c r="K1111" s="104"/>
      <c r="L1111" s="103"/>
      <c r="M1111" s="105">
        <f t="shared" si="114"/>
        <v>0</v>
      </c>
      <c r="N1111" s="986"/>
      <c r="P1111" s="37" t="str">
        <f t="shared" si="110"/>
        <v/>
      </c>
      <c r="Q1111" s="37" t="str">
        <f t="shared" si="111"/>
        <v/>
      </c>
      <c r="R1111" s="37" t="str">
        <f t="shared" si="112"/>
        <v/>
      </c>
    </row>
    <row r="1112" spans="1:18">
      <c r="A1112" s="616">
        <f t="shared" si="113"/>
        <v>1108</v>
      </c>
      <c r="B1112" s="103"/>
      <c r="C1112" s="103"/>
      <c r="D1112" s="103"/>
      <c r="E1112" s="170"/>
      <c r="F1112" s="171"/>
      <c r="G1112" s="103"/>
      <c r="H1112" s="172"/>
      <c r="I1112" s="103"/>
      <c r="J1112" s="103"/>
      <c r="K1112" s="104"/>
      <c r="L1112" s="103"/>
      <c r="M1112" s="105">
        <f t="shared" si="114"/>
        <v>0</v>
      </c>
      <c r="N1112" s="986"/>
      <c r="P1112" s="37" t="str">
        <f t="shared" si="110"/>
        <v/>
      </c>
      <c r="Q1112" s="37" t="str">
        <f t="shared" si="111"/>
        <v/>
      </c>
      <c r="R1112" s="37" t="str">
        <f t="shared" si="112"/>
        <v/>
      </c>
    </row>
    <row r="1113" spans="1:18">
      <c r="A1113" s="616">
        <f t="shared" si="113"/>
        <v>1109</v>
      </c>
      <c r="B1113" s="103"/>
      <c r="C1113" s="103"/>
      <c r="D1113" s="103"/>
      <c r="E1113" s="170"/>
      <c r="F1113" s="171"/>
      <c r="G1113" s="103"/>
      <c r="H1113" s="172"/>
      <c r="I1113" s="103"/>
      <c r="J1113" s="103"/>
      <c r="K1113" s="104"/>
      <c r="L1113" s="103"/>
      <c r="M1113" s="105">
        <f t="shared" si="114"/>
        <v>0</v>
      </c>
      <c r="N1113" s="986"/>
      <c r="P1113" s="37" t="str">
        <f t="shared" si="110"/>
        <v/>
      </c>
      <c r="Q1113" s="37" t="str">
        <f t="shared" si="111"/>
        <v/>
      </c>
      <c r="R1113" s="37" t="str">
        <f t="shared" si="112"/>
        <v/>
      </c>
    </row>
    <row r="1114" spans="1:18">
      <c r="A1114" s="616">
        <f t="shared" si="113"/>
        <v>1110</v>
      </c>
      <c r="B1114" s="103"/>
      <c r="C1114" s="103"/>
      <c r="D1114" s="103"/>
      <c r="E1114" s="170"/>
      <c r="F1114" s="171"/>
      <c r="G1114" s="103"/>
      <c r="H1114" s="172"/>
      <c r="I1114" s="103"/>
      <c r="J1114" s="103"/>
      <c r="K1114" s="104"/>
      <c r="L1114" s="103"/>
      <c r="M1114" s="105">
        <f t="shared" si="114"/>
        <v>0</v>
      </c>
      <c r="N1114" s="986"/>
      <c r="P1114" s="37" t="str">
        <f t="shared" si="110"/>
        <v/>
      </c>
      <c r="Q1114" s="37" t="str">
        <f t="shared" si="111"/>
        <v/>
      </c>
      <c r="R1114" s="37" t="str">
        <f t="shared" si="112"/>
        <v/>
      </c>
    </row>
    <row r="1115" spans="1:18">
      <c r="A1115" s="616">
        <f t="shared" si="113"/>
        <v>1111</v>
      </c>
      <c r="B1115" s="103"/>
      <c r="C1115" s="103"/>
      <c r="D1115" s="103"/>
      <c r="E1115" s="170"/>
      <c r="F1115" s="171"/>
      <c r="G1115" s="103"/>
      <c r="H1115" s="172"/>
      <c r="I1115" s="103"/>
      <c r="J1115" s="103"/>
      <c r="K1115" s="104"/>
      <c r="L1115" s="103"/>
      <c r="M1115" s="105">
        <f t="shared" si="114"/>
        <v>0</v>
      </c>
      <c r="N1115" s="986"/>
      <c r="P1115" s="37" t="str">
        <f t="shared" si="110"/>
        <v/>
      </c>
      <c r="Q1115" s="37" t="str">
        <f t="shared" si="111"/>
        <v/>
      </c>
      <c r="R1115" s="37" t="str">
        <f t="shared" si="112"/>
        <v/>
      </c>
    </row>
    <row r="1116" spans="1:18">
      <c r="A1116" s="616">
        <f t="shared" si="113"/>
        <v>1112</v>
      </c>
      <c r="B1116" s="103"/>
      <c r="C1116" s="103"/>
      <c r="D1116" s="103"/>
      <c r="E1116" s="170"/>
      <c r="F1116" s="171"/>
      <c r="G1116" s="103"/>
      <c r="H1116" s="172"/>
      <c r="I1116" s="103"/>
      <c r="J1116" s="103"/>
      <c r="K1116" s="104"/>
      <c r="L1116" s="103"/>
      <c r="M1116" s="105">
        <f t="shared" si="114"/>
        <v>0</v>
      </c>
      <c r="N1116" s="986"/>
      <c r="P1116" s="37" t="str">
        <f t="shared" si="110"/>
        <v/>
      </c>
      <c r="Q1116" s="37" t="str">
        <f t="shared" si="111"/>
        <v/>
      </c>
      <c r="R1116" s="37" t="str">
        <f t="shared" si="112"/>
        <v/>
      </c>
    </row>
    <row r="1117" spans="1:18">
      <c r="A1117" s="616">
        <f t="shared" si="113"/>
        <v>1113</v>
      </c>
      <c r="B1117" s="103"/>
      <c r="C1117" s="103"/>
      <c r="D1117" s="103"/>
      <c r="E1117" s="170"/>
      <c r="F1117" s="171"/>
      <c r="G1117" s="103"/>
      <c r="H1117" s="172"/>
      <c r="I1117" s="103"/>
      <c r="J1117" s="103"/>
      <c r="K1117" s="104"/>
      <c r="L1117" s="103"/>
      <c r="M1117" s="105">
        <f t="shared" si="114"/>
        <v>0</v>
      </c>
      <c r="N1117" s="986"/>
      <c r="P1117" s="37" t="str">
        <f t="shared" si="110"/>
        <v/>
      </c>
      <c r="Q1117" s="37" t="str">
        <f t="shared" si="111"/>
        <v/>
      </c>
      <c r="R1117" s="37" t="str">
        <f t="shared" si="112"/>
        <v/>
      </c>
    </row>
    <row r="1118" spans="1:18">
      <c r="A1118" s="616">
        <f t="shared" si="113"/>
        <v>1114</v>
      </c>
      <c r="B1118" s="103"/>
      <c r="C1118" s="103"/>
      <c r="D1118" s="103"/>
      <c r="E1118" s="170"/>
      <c r="F1118" s="171"/>
      <c r="G1118" s="103"/>
      <c r="H1118" s="172"/>
      <c r="I1118" s="103"/>
      <c r="J1118" s="103"/>
      <c r="K1118" s="104"/>
      <c r="L1118" s="103"/>
      <c r="M1118" s="105">
        <f t="shared" si="114"/>
        <v>0</v>
      </c>
      <c r="N1118" s="986"/>
      <c r="P1118" s="37" t="str">
        <f t="shared" si="110"/>
        <v/>
      </c>
      <c r="Q1118" s="37" t="str">
        <f t="shared" si="111"/>
        <v/>
      </c>
      <c r="R1118" s="37" t="str">
        <f t="shared" si="112"/>
        <v/>
      </c>
    </row>
    <row r="1119" spans="1:18">
      <c r="A1119" s="616">
        <f t="shared" si="113"/>
        <v>1115</v>
      </c>
      <c r="B1119" s="103"/>
      <c r="C1119" s="103"/>
      <c r="D1119" s="103"/>
      <c r="E1119" s="170"/>
      <c r="F1119" s="171"/>
      <c r="G1119" s="103"/>
      <c r="H1119" s="172"/>
      <c r="I1119" s="103"/>
      <c r="J1119" s="103"/>
      <c r="K1119" s="104"/>
      <c r="L1119" s="103"/>
      <c r="M1119" s="105">
        <f t="shared" si="114"/>
        <v>0</v>
      </c>
      <c r="N1119" s="986"/>
      <c r="P1119" s="37" t="str">
        <f t="shared" si="110"/>
        <v/>
      </c>
      <c r="Q1119" s="37" t="str">
        <f t="shared" si="111"/>
        <v/>
      </c>
      <c r="R1119" s="37" t="str">
        <f t="shared" si="112"/>
        <v/>
      </c>
    </row>
    <row r="1120" spans="1:18">
      <c r="A1120" s="616">
        <f t="shared" si="113"/>
        <v>1116</v>
      </c>
      <c r="B1120" s="103"/>
      <c r="C1120" s="103"/>
      <c r="D1120" s="103"/>
      <c r="E1120" s="170"/>
      <c r="F1120" s="171"/>
      <c r="G1120" s="103"/>
      <c r="H1120" s="172"/>
      <c r="I1120" s="103"/>
      <c r="J1120" s="103"/>
      <c r="K1120" s="104"/>
      <c r="L1120" s="103"/>
      <c r="M1120" s="105">
        <f t="shared" si="114"/>
        <v>0</v>
      </c>
      <c r="N1120" s="986"/>
      <c r="P1120" s="37" t="str">
        <f t="shared" si="110"/>
        <v/>
      </c>
      <c r="Q1120" s="37" t="str">
        <f t="shared" si="111"/>
        <v/>
      </c>
      <c r="R1120" s="37" t="str">
        <f t="shared" si="112"/>
        <v/>
      </c>
    </row>
    <row r="1121" spans="1:18">
      <c r="A1121" s="616">
        <f t="shared" si="113"/>
        <v>1117</v>
      </c>
      <c r="B1121" s="103"/>
      <c r="C1121" s="103"/>
      <c r="D1121" s="103"/>
      <c r="E1121" s="170"/>
      <c r="F1121" s="171"/>
      <c r="G1121" s="103"/>
      <c r="H1121" s="172"/>
      <c r="I1121" s="103"/>
      <c r="J1121" s="103"/>
      <c r="K1121" s="104"/>
      <c r="L1121" s="103"/>
      <c r="M1121" s="105">
        <f t="shared" si="114"/>
        <v>0</v>
      </c>
      <c r="N1121" s="986"/>
      <c r="P1121" s="37" t="str">
        <f t="shared" si="110"/>
        <v/>
      </c>
      <c r="Q1121" s="37" t="str">
        <f t="shared" si="111"/>
        <v/>
      </c>
      <c r="R1121" s="37" t="str">
        <f t="shared" si="112"/>
        <v/>
      </c>
    </row>
    <row r="1122" spans="1:18">
      <c r="A1122" s="616">
        <f t="shared" si="113"/>
        <v>1118</v>
      </c>
      <c r="B1122" s="103"/>
      <c r="C1122" s="103"/>
      <c r="D1122" s="103"/>
      <c r="E1122" s="170"/>
      <c r="F1122" s="171"/>
      <c r="G1122" s="103"/>
      <c r="H1122" s="172"/>
      <c r="I1122" s="103"/>
      <c r="J1122" s="103"/>
      <c r="K1122" s="104"/>
      <c r="L1122" s="103"/>
      <c r="M1122" s="105">
        <f t="shared" si="114"/>
        <v>0</v>
      </c>
      <c r="N1122" s="986"/>
      <c r="P1122" s="37" t="str">
        <f t="shared" si="110"/>
        <v/>
      </c>
      <c r="Q1122" s="37" t="str">
        <f t="shared" si="111"/>
        <v/>
      </c>
      <c r="R1122" s="37" t="str">
        <f t="shared" si="112"/>
        <v/>
      </c>
    </row>
    <row r="1123" spans="1:18">
      <c r="A1123" s="616">
        <f t="shared" si="113"/>
        <v>1119</v>
      </c>
      <c r="B1123" s="103"/>
      <c r="C1123" s="103"/>
      <c r="D1123" s="103"/>
      <c r="E1123" s="170"/>
      <c r="F1123" s="171"/>
      <c r="G1123" s="103"/>
      <c r="H1123" s="172"/>
      <c r="I1123" s="103"/>
      <c r="J1123" s="103"/>
      <c r="K1123" s="104"/>
      <c r="L1123" s="103"/>
      <c r="M1123" s="105">
        <f t="shared" si="114"/>
        <v>0</v>
      </c>
      <c r="N1123" s="986"/>
      <c r="P1123" s="37" t="str">
        <f t="shared" si="110"/>
        <v/>
      </c>
      <c r="Q1123" s="37" t="str">
        <f t="shared" si="111"/>
        <v/>
      </c>
      <c r="R1123" s="37" t="str">
        <f t="shared" si="112"/>
        <v/>
      </c>
    </row>
    <row r="1124" spans="1:18">
      <c r="A1124" s="616">
        <f t="shared" si="113"/>
        <v>1120</v>
      </c>
      <c r="B1124" s="103"/>
      <c r="C1124" s="103"/>
      <c r="D1124" s="103"/>
      <c r="E1124" s="170"/>
      <c r="F1124" s="171"/>
      <c r="G1124" s="103"/>
      <c r="H1124" s="172"/>
      <c r="I1124" s="103"/>
      <c r="J1124" s="103"/>
      <c r="K1124" s="104"/>
      <c r="L1124" s="103"/>
      <c r="M1124" s="105">
        <f t="shared" si="114"/>
        <v>0</v>
      </c>
      <c r="N1124" s="986"/>
      <c r="P1124" s="37" t="str">
        <f t="shared" si="110"/>
        <v/>
      </c>
      <c r="Q1124" s="37" t="str">
        <f t="shared" si="111"/>
        <v/>
      </c>
      <c r="R1124" s="37" t="str">
        <f t="shared" si="112"/>
        <v/>
      </c>
    </row>
    <row r="1125" spans="1:18">
      <c r="A1125" s="616">
        <f t="shared" si="113"/>
        <v>1121</v>
      </c>
      <c r="B1125" s="103"/>
      <c r="C1125" s="103"/>
      <c r="D1125" s="103"/>
      <c r="E1125" s="170"/>
      <c r="F1125" s="171"/>
      <c r="G1125" s="103"/>
      <c r="H1125" s="172"/>
      <c r="I1125" s="103"/>
      <c r="J1125" s="103"/>
      <c r="K1125" s="104"/>
      <c r="L1125" s="103"/>
      <c r="M1125" s="105">
        <f t="shared" si="114"/>
        <v>0</v>
      </c>
      <c r="N1125" s="986"/>
      <c r="P1125" s="37" t="str">
        <f t="shared" si="110"/>
        <v/>
      </c>
      <c r="Q1125" s="37" t="str">
        <f t="shared" si="111"/>
        <v/>
      </c>
      <c r="R1125" s="37" t="str">
        <f t="shared" si="112"/>
        <v/>
      </c>
    </row>
    <row r="1126" spans="1:18">
      <c r="A1126" s="616">
        <f t="shared" si="113"/>
        <v>1122</v>
      </c>
      <c r="B1126" s="103"/>
      <c r="C1126" s="103"/>
      <c r="D1126" s="103"/>
      <c r="E1126" s="170"/>
      <c r="F1126" s="171"/>
      <c r="G1126" s="103"/>
      <c r="H1126" s="172"/>
      <c r="I1126" s="103"/>
      <c r="J1126" s="103"/>
      <c r="K1126" s="104"/>
      <c r="L1126" s="103"/>
      <c r="M1126" s="105">
        <f t="shared" si="114"/>
        <v>0</v>
      </c>
      <c r="N1126" s="986"/>
      <c r="P1126" s="37" t="str">
        <f t="shared" si="110"/>
        <v/>
      </c>
      <c r="Q1126" s="37" t="str">
        <f t="shared" si="111"/>
        <v/>
      </c>
      <c r="R1126" s="37" t="str">
        <f t="shared" si="112"/>
        <v/>
      </c>
    </row>
    <row r="1127" spans="1:18">
      <c r="A1127" s="616">
        <f t="shared" si="113"/>
        <v>1123</v>
      </c>
      <c r="B1127" s="103"/>
      <c r="C1127" s="103"/>
      <c r="D1127" s="103"/>
      <c r="E1127" s="170"/>
      <c r="F1127" s="171"/>
      <c r="G1127" s="103"/>
      <c r="H1127" s="172"/>
      <c r="I1127" s="103"/>
      <c r="J1127" s="103"/>
      <c r="K1127" s="104"/>
      <c r="L1127" s="103"/>
      <c r="M1127" s="105">
        <f t="shared" si="114"/>
        <v>0</v>
      </c>
      <c r="N1127" s="986"/>
      <c r="P1127" s="37" t="str">
        <f t="shared" si="110"/>
        <v/>
      </c>
      <c r="Q1127" s="37" t="str">
        <f t="shared" si="111"/>
        <v/>
      </c>
      <c r="R1127" s="37" t="str">
        <f t="shared" si="112"/>
        <v/>
      </c>
    </row>
    <row r="1128" spans="1:18">
      <c r="A1128" s="616">
        <f t="shared" si="113"/>
        <v>1124</v>
      </c>
      <c r="B1128" s="103"/>
      <c r="C1128" s="103"/>
      <c r="D1128" s="103"/>
      <c r="E1128" s="170"/>
      <c r="F1128" s="171"/>
      <c r="G1128" s="103"/>
      <c r="H1128" s="172"/>
      <c r="I1128" s="103"/>
      <c r="J1128" s="103"/>
      <c r="K1128" s="104"/>
      <c r="L1128" s="103"/>
      <c r="M1128" s="105">
        <f t="shared" si="114"/>
        <v>0</v>
      </c>
      <c r="N1128" s="986"/>
      <c r="P1128" s="37" t="str">
        <f t="shared" si="110"/>
        <v/>
      </c>
      <c r="Q1128" s="37" t="str">
        <f t="shared" si="111"/>
        <v/>
      </c>
      <c r="R1128" s="37" t="str">
        <f t="shared" si="112"/>
        <v/>
      </c>
    </row>
    <row r="1129" spans="1:18">
      <c r="A1129" s="616">
        <f t="shared" si="113"/>
        <v>1125</v>
      </c>
      <c r="B1129" s="103"/>
      <c r="C1129" s="103"/>
      <c r="D1129" s="103"/>
      <c r="E1129" s="170"/>
      <c r="F1129" s="171"/>
      <c r="G1129" s="103"/>
      <c r="H1129" s="172"/>
      <c r="I1129" s="103"/>
      <c r="J1129" s="103"/>
      <c r="K1129" s="104"/>
      <c r="L1129" s="103"/>
      <c r="M1129" s="105">
        <f t="shared" si="114"/>
        <v>0</v>
      </c>
      <c r="N1129" s="986"/>
      <c r="P1129" s="37" t="str">
        <f t="shared" si="110"/>
        <v/>
      </c>
      <c r="Q1129" s="37" t="str">
        <f t="shared" si="111"/>
        <v/>
      </c>
      <c r="R1129" s="37" t="str">
        <f t="shared" si="112"/>
        <v/>
      </c>
    </row>
    <row r="1130" spans="1:18">
      <c r="A1130" s="616">
        <f t="shared" si="113"/>
        <v>1126</v>
      </c>
      <c r="B1130" s="103"/>
      <c r="C1130" s="103"/>
      <c r="D1130" s="103"/>
      <c r="E1130" s="170"/>
      <c r="F1130" s="171"/>
      <c r="G1130" s="103"/>
      <c r="H1130" s="172"/>
      <c r="I1130" s="103"/>
      <c r="J1130" s="103"/>
      <c r="K1130" s="104"/>
      <c r="L1130" s="103"/>
      <c r="M1130" s="105">
        <f t="shared" si="114"/>
        <v>0</v>
      </c>
      <c r="N1130" s="986"/>
      <c r="P1130" s="37" t="str">
        <f t="shared" si="110"/>
        <v/>
      </c>
      <c r="Q1130" s="37" t="str">
        <f t="shared" si="111"/>
        <v/>
      </c>
      <c r="R1130" s="37" t="str">
        <f t="shared" si="112"/>
        <v/>
      </c>
    </row>
    <row r="1131" spans="1:18">
      <c r="A1131" s="616">
        <f t="shared" si="113"/>
        <v>1127</v>
      </c>
      <c r="B1131" s="103"/>
      <c r="C1131" s="103"/>
      <c r="D1131" s="103"/>
      <c r="E1131" s="170"/>
      <c r="F1131" s="171"/>
      <c r="G1131" s="103"/>
      <c r="H1131" s="172"/>
      <c r="I1131" s="103"/>
      <c r="J1131" s="103"/>
      <c r="K1131" s="104"/>
      <c r="L1131" s="103"/>
      <c r="M1131" s="105">
        <f t="shared" si="114"/>
        <v>0</v>
      </c>
      <c r="N1131" s="986"/>
      <c r="P1131" s="37" t="str">
        <f t="shared" si="110"/>
        <v/>
      </c>
      <c r="Q1131" s="37" t="str">
        <f t="shared" si="111"/>
        <v/>
      </c>
      <c r="R1131" s="37" t="str">
        <f t="shared" si="112"/>
        <v/>
      </c>
    </row>
    <row r="1132" spans="1:18">
      <c r="A1132" s="616">
        <f t="shared" si="113"/>
        <v>1128</v>
      </c>
      <c r="B1132" s="103"/>
      <c r="C1132" s="103"/>
      <c r="D1132" s="103"/>
      <c r="E1132" s="170"/>
      <c r="F1132" s="171"/>
      <c r="G1132" s="103"/>
      <c r="H1132" s="172"/>
      <c r="I1132" s="103"/>
      <c r="J1132" s="103"/>
      <c r="K1132" s="104"/>
      <c r="L1132" s="103"/>
      <c r="M1132" s="105">
        <f t="shared" si="114"/>
        <v>0</v>
      </c>
      <c r="N1132" s="986"/>
      <c r="P1132" s="37" t="str">
        <f t="shared" si="110"/>
        <v/>
      </c>
      <c r="Q1132" s="37" t="str">
        <f t="shared" si="111"/>
        <v/>
      </c>
      <c r="R1132" s="37" t="str">
        <f t="shared" si="112"/>
        <v/>
      </c>
    </row>
    <row r="1133" spans="1:18">
      <c r="A1133" s="616">
        <f t="shared" si="113"/>
        <v>1129</v>
      </c>
      <c r="B1133" s="103"/>
      <c r="C1133" s="103"/>
      <c r="D1133" s="103"/>
      <c r="E1133" s="170"/>
      <c r="F1133" s="171"/>
      <c r="G1133" s="103"/>
      <c r="H1133" s="172"/>
      <c r="I1133" s="103"/>
      <c r="J1133" s="103"/>
      <c r="K1133" s="104"/>
      <c r="L1133" s="103"/>
      <c r="M1133" s="105">
        <f t="shared" si="114"/>
        <v>0</v>
      </c>
      <c r="N1133" s="986"/>
      <c r="P1133" s="37" t="str">
        <f t="shared" si="110"/>
        <v/>
      </c>
      <c r="Q1133" s="37" t="str">
        <f t="shared" si="111"/>
        <v/>
      </c>
      <c r="R1133" s="37" t="str">
        <f t="shared" si="112"/>
        <v/>
      </c>
    </row>
    <row r="1134" spans="1:18">
      <c r="A1134" s="616">
        <f t="shared" si="113"/>
        <v>1130</v>
      </c>
      <c r="B1134" s="103"/>
      <c r="C1134" s="103"/>
      <c r="D1134" s="103"/>
      <c r="E1134" s="170"/>
      <c r="F1134" s="171"/>
      <c r="G1134" s="103"/>
      <c r="H1134" s="172"/>
      <c r="I1134" s="103"/>
      <c r="J1134" s="103"/>
      <c r="K1134" s="104"/>
      <c r="L1134" s="103"/>
      <c r="M1134" s="105">
        <f t="shared" si="114"/>
        <v>0</v>
      </c>
      <c r="N1134" s="986"/>
      <c r="P1134" s="37" t="str">
        <f t="shared" si="110"/>
        <v/>
      </c>
      <c r="Q1134" s="37" t="str">
        <f t="shared" si="111"/>
        <v/>
      </c>
      <c r="R1134" s="37" t="str">
        <f t="shared" si="112"/>
        <v/>
      </c>
    </row>
    <row r="1135" spans="1:18">
      <c r="A1135" s="616">
        <f t="shared" si="113"/>
        <v>1131</v>
      </c>
      <c r="B1135" s="103"/>
      <c r="C1135" s="103"/>
      <c r="D1135" s="103"/>
      <c r="E1135" s="170"/>
      <c r="F1135" s="171"/>
      <c r="G1135" s="103"/>
      <c r="H1135" s="172"/>
      <c r="I1135" s="103"/>
      <c r="J1135" s="103"/>
      <c r="K1135" s="104"/>
      <c r="L1135" s="103"/>
      <c r="M1135" s="105">
        <f t="shared" si="114"/>
        <v>0</v>
      </c>
      <c r="N1135" s="986"/>
      <c r="P1135" s="37" t="str">
        <f t="shared" si="110"/>
        <v/>
      </c>
      <c r="Q1135" s="37" t="str">
        <f t="shared" si="111"/>
        <v/>
      </c>
      <c r="R1135" s="37" t="str">
        <f t="shared" si="112"/>
        <v/>
      </c>
    </row>
    <row r="1136" spans="1:18">
      <c r="A1136" s="616">
        <f t="shared" si="113"/>
        <v>1132</v>
      </c>
      <c r="B1136" s="103"/>
      <c r="C1136" s="103"/>
      <c r="D1136" s="103"/>
      <c r="E1136" s="170"/>
      <c r="F1136" s="171"/>
      <c r="G1136" s="103"/>
      <c r="H1136" s="172"/>
      <c r="I1136" s="103"/>
      <c r="J1136" s="103"/>
      <c r="K1136" s="104"/>
      <c r="L1136" s="103"/>
      <c r="M1136" s="105">
        <f t="shared" si="114"/>
        <v>0</v>
      </c>
      <c r="N1136" s="986"/>
      <c r="P1136" s="37" t="str">
        <f t="shared" si="110"/>
        <v/>
      </c>
      <c r="Q1136" s="37" t="str">
        <f t="shared" si="111"/>
        <v/>
      </c>
      <c r="R1136" s="37" t="str">
        <f t="shared" si="112"/>
        <v/>
      </c>
    </row>
    <row r="1137" spans="1:18">
      <c r="A1137" s="616">
        <f t="shared" si="113"/>
        <v>1133</v>
      </c>
      <c r="B1137" s="103"/>
      <c r="C1137" s="103"/>
      <c r="D1137" s="103"/>
      <c r="E1137" s="170"/>
      <c r="F1137" s="171"/>
      <c r="G1137" s="103"/>
      <c r="H1137" s="172"/>
      <c r="I1137" s="103"/>
      <c r="J1137" s="103"/>
      <c r="K1137" s="104"/>
      <c r="L1137" s="103"/>
      <c r="M1137" s="105">
        <f t="shared" si="114"/>
        <v>0</v>
      </c>
      <c r="N1137" s="986"/>
      <c r="P1137" s="37" t="str">
        <f t="shared" si="110"/>
        <v/>
      </c>
      <c r="Q1137" s="37" t="str">
        <f t="shared" si="111"/>
        <v/>
      </c>
      <c r="R1137" s="37" t="str">
        <f t="shared" si="112"/>
        <v/>
      </c>
    </row>
    <row r="1138" spans="1:18">
      <c r="A1138" s="616">
        <f t="shared" si="113"/>
        <v>1134</v>
      </c>
      <c r="B1138" s="103"/>
      <c r="C1138" s="103"/>
      <c r="D1138" s="103"/>
      <c r="E1138" s="170"/>
      <c r="F1138" s="171"/>
      <c r="G1138" s="103"/>
      <c r="H1138" s="172"/>
      <c r="I1138" s="103"/>
      <c r="J1138" s="103"/>
      <c r="K1138" s="104"/>
      <c r="L1138" s="103"/>
      <c r="M1138" s="105">
        <f t="shared" si="114"/>
        <v>0</v>
      </c>
      <c r="N1138" s="986"/>
      <c r="P1138" s="37" t="str">
        <f t="shared" si="110"/>
        <v/>
      </c>
      <c r="Q1138" s="37" t="str">
        <f t="shared" si="111"/>
        <v/>
      </c>
      <c r="R1138" s="37" t="str">
        <f t="shared" si="112"/>
        <v/>
      </c>
    </row>
    <row r="1139" spans="1:18">
      <c r="A1139" s="616">
        <f t="shared" si="113"/>
        <v>1135</v>
      </c>
      <c r="B1139" s="103"/>
      <c r="C1139" s="103"/>
      <c r="D1139" s="103"/>
      <c r="E1139" s="170"/>
      <c r="F1139" s="171"/>
      <c r="G1139" s="103"/>
      <c r="H1139" s="172"/>
      <c r="I1139" s="103"/>
      <c r="J1139" s="103"/>
      <c r="K1139" s="104"/>
      <c r="L1139" s="103"/>
      <c r="M1139" s="105">
        <f t="shared" si="114"/>
        <v>0</v>
      </c>
      <c r="N1139" s="986"/>
      <c r="P1139" s="37" t="str">
        <f t="shared" si="110"/>
        <v/>
      </c>
      <c r="Q1139" s="37" t="str">
        <f t="shared" si="111"/>
        <v/>
      </c>
      <c r="R1139" s="37" t="str">
        <f t="shared" si="112"/>
        <v/>
      </c>
    </row>
    <row r="1140" spans="1:18">
      <c r="A1140" s="616">
        <f t="shared" si="113"/>
        <v>1136</v>
      </c>
      <c r="B1140" s="103"/>
      <c r="C1140" s="103"/>
      <c r="D1140" s="103"/>
      <c r="E1140" s="170"/>
      <c r="F1140" s="171"/>
      <c r="G1140" s="103"/>
      <c r="H1140" s="172"/>
      <c r="I1140" s="103"/>
      <c r="J1140" s="103"/>
      <c r="K1140" s="104"/>
      <c r="L1140" s="103"/>
      <c r="M1140" s="105">
        <f t="shared" si="114"/>
        <v>0</v>
      </c>
      <c r="N1140" s="986"/>
      <c r="P1140" s="37" t="str">
        <f t="shared" si="110"/>
        <v/>
      </c>
      <c r="Q1140" s="37" t="str">
        <f t="shared" si="111"/>
        <v/>
      </c>
      <c r="R1140" s="37" t="str">
        <f t="shared" si="112"/>
        <v/>
      </c>
    </row>
    <row r="1141" spans="1:18">
      <c r="A1141" s="616">
        <f t="shared" si="113"/>
        <v>1137</v>
      </c>
      <c r="B1141" s="103"/>
      <c r="C1141" s="103"/>
      <c r="D1141" s="103"/>
      <c r="E1141" s="170"/>
      <c r="F1141" s="171"/>
      <c r="G1141" s="103"/>
      <c r="H1141" s="172"/>
      <c r="I1141" s="103"/>
      <c r="J1141" s="103"/>
      <c r="K1141" s="104"/>
      <c r="L1141" s="103"/>
      <c r="M1141" s="105">
        <f t="shared" si="114"/>
        <v>0</v>
      </c>
      <c r="N1141" s="986"/>
      <c r="P1141" s="37" t="str">
        <f t="shared" si="110"/>
        <v/>
      </c>
      <c r="Q1141" s="37" t="str">
        <f t="shared" si="111"/>
        <v/>
      </c>
      <c r="R1141" s="37" t="str">
        <f t="shared" si="112"/>
        <v/>
      </c>
    </row>
    <row r="1142" spans="1:18">
      <c r="A1142" s="616">
        <f t="shared" si="113"/>
        <v>1138</v>
      </c>
      <c r="B1142" s="103"/>
      <c r="C1142" s="103"/>
      <c r="D1142" s="103"/>
      <c r="E1142" s="170"/>
      <c r="F1142" s="171"/>
      <c r="G1142" s="103"/>
      <c r="H1142" s="172"/>
      <c r="I1142" s="103"/>
      <c r="J1142" s="103"/>
      <c r="K1142" s="104"/>
      <c r="L1142" s="103"/>
      <c r="M1142" s="105">
        <f t="shared" si="114"/>
        <v>0</v>
      </c>
      <c r="N1142" s="986"/>
      <c r="P1142" s="37" t="str">
        <f t="shared" si="110"/>
        <v/>
      </c>
      <c r="Q1142" s="37" t="str">
        <f t="shared" si="111"/>
        <v/>
      </c>
      <c r="R1142" s="37" t="str">
        <f t="shared" si="112"/>
        <v/>
      </c>
    </row>
    <row r="1143" spans="1:18">
      <c r="A1143" s="616">
        <f t="shared" si="113"/>
        <v>1139</v>
      </c>
      <c r="B1143" s="103"/>
      <c r="C1143" s="103"/>
      <c r="D1143" s="103"/>
      <c r="E1143" s="170"/>
      <c r="F1143" s="171"/>
      <c r="G1143" s="103"/>
      <c r="H1143" s="172"/>
      <c r="I1143" s="103"/>
      <c r="J1143" s="103"/>
      <c r="K1143" s="104"/>
      <c r="L1143" s="103"/>
      <c r="M1143" s="105">
        <f t="shared" si="114"/>
        <v>0</v>
      </c>
      <c r="N1143" s="986"/>
      <c r="P1143" s="37" t="str">
        <f t="shared" si="110"/>
        <v/>
      </c>
      <c r="Q1143" s="37" t="str">
        <f t="shared" si="111"/>
        <v/>
      </c>
      <c r="R1143" s="37" t="str">
        <f t="shared" si="112"/>
        <v/>
      </c>
    </row>
    <row r="1144" spans="1:18">
      <c r="A1144" s="616">
        <f t="shared" si="113"/>
        <v>1140</v>
      </c>
      <c r="B1144" s="103"/>
      <c r="C1144" s="103"/>
      <c r="D1144" s="103"/>
      <c r="E1144" s="170"/>
      <c r="F1144" s="171"/>
      <c r="G1144" s="103"/>
      <c r="H1144" s="172"/>
      <c r="I1144" s="103"/>
      <c r="J1144" s="103"/>
      <c r="K1144" s="104"/>
      <c r="L1144" s="103"/>
      <c r="M1144" s="105">
        <f t="shared" si="114"/>
        <v>0</v>
      </c>
      <c r="N1144" s="986"/>
      <c r="P1144" s="37" t="str">
        <f t="shared" si="110"/>
        <v/>
      </c>
      <c r="Q1144" s="37" t="str">
        <f t="shared" si="111"/>
        <v/>
      </c>
      <c r="R1144" s="37" t="str">
        <f t="shared" si="112"/>
        <v/>
      </c>
    </row>
    <row r="1145" spans="1:18">
      <c r="A1145" s="616">
        <f t="shared" si="113"/>
        <v>1141</v>
      </c>
      <c r="B1145" s="103"/>
      <c r="C1145" s="103"/>
      <c r="D1145" s="103"/>
      <c r="E1145" s="170"/>
      <c r="F1145" s="171"/>
      <c r="G1145" s="103"/>
      <c r="H1145" s="172"/>
      <c r="I1145" s="103"/>
      <c r="J1145" s="103"/>
      <c r="K1145" s="104"/>
      <c r="L1145" s="103"/>
      <c r="M1145" s="105">
        <f t="shared" si="114"/>
        <v>0</v>
      </c>
      <c r="N1145" s="986"/>
      <c r="P1145" s="37" t="str">
        <f t="shared" si="110"/>
        <v/>
      </c>
      <c r="Q1145" s="37" t="str">
        <f t="shared" si="111"/>
        <v/>
      </c>
      <c r="R1145" s="37" t="str">
        <f t="shared" si="112"/>
        <v/>
      </c>
    </row>
    <row r="1146" spans="1:18">
      <c r="A1146" s="616">
        <f t="shared" si="113"/>
        <v>1142</v>
      </c>
      <c r="B1146" s="103"/>
      <c r="C1146" s="103"/>
      <c r="D1146" s="103"/>
      <c r="E1146" s="170"/>
      <c r="F1146" s="171"/>
      <c r="G1146" s="103"/>
      <c r="H1146" s="172"/>
      <c r="I1146" s="103"/>
      <c r="J1146" s="103"/>
      <c r="K1146" s="104"/>
      <c r="L1146" s="103"/>
      <c r="M1146" s="105">
        <f t="shared" si="114"/>
        <v>0</v>
      </c>
      <c r="N1146" s="986"/>
      <c r="P1146" s="37" t="str">
        <f t="shared" si="110"/>
        <v/>
      </c>
      <c r="Q1146" s="37" t="str">
        <f t="shared" si="111"/>
        <v/>
      </c>
      <c r="R1146" s="37" t="str">
        <f t="shared" si="112"/>
        <v/>
      </c>
    </row>
    <row r="1147" spans="1:18">
      <c r="A1147" s="616">
        <f t="shared" si="113"/>
        <v>1143</v>
      </c>
      <c r="B1147" s="103"/>
      <c r="C1147" s="103"/>
      <c r="D1147" s="103"/>
      <c r="E1147" s="170"/>
      <c r="F1147" s="171"/>
      <c r="G1147" s="103"/>
      <c r="H1147" s="172"/>
      <c r="I1147" s="103"/>
      <c r="J1147" s="103"/>
      <c r="K1147" s="104"/>
      <c r="L1147" s="103"/>
      <c r="M1147" s="105">
        <f t="shared" si="114"/>
        <v>0</v>
      </c>
      <c r="N1147" s="986"/>
      <c r="P1147" s="37" t="str">
        <f t="shared" si="110"/>
        <v/>
      </c>
      <c r="Q1147" s="37" t="str">
        <f t="shared" si="111"/>
        <v/>
      </c>
      <c r="R1147" s="37" t="str">
        <f t="shared" si="112"/>
        <v/>
      </c>
    </row>
    <row r="1148" spans="1:18">
      <c r="A1148" s="616">
        <f t="shared" si="113"/>
        <v>1144</v>
      </c>
      <c r="B1148" s="103"/>
      <c r="C1148" s="103"/>
      <c r="D1148" s="103"/>
      <c r="E1148" s="170"/>
      <c r="F1148" s="171"/>
      <c r="G1148" s="103"/>
      <c r="H1148" s="172"/>
      <c r="I1148" s="103"/>
      <c r="J1148" s="103"/>
      <c r="K1148" s="104"/>
      <c r="L1148" s="103"/>
      <c r="M1148" s="105">
        <f t="shared" si="114"/>
        <v>0</v>
      </c>
      <c r="N1148" s="986"/>
      <c r="P1148" s="37" t="str">
        <f t="shared" si="110"/>
        <v/>
      </c>
      <c r="Q1148" s="37" t="str">
        <f t="shared" si="111"/>
        <v/>
      </c>
      <c r="R1148" s="37" t="str">
        <f t="shared" si="112"/>
        <v/>
      </c>
    </row>
    <row r="1149" spans="1:18">
      <c r="A1149" s="616">
        <f t="shared" si="113"/>
        <v>1145</v>
      </c>
      <c r="B1149" s="103"/>
      <c r="C1149" s="103"/>
      <c r="D1149" s="103"/>
      <c r="E1149" s="170"/>
      <c r="F1149" s="171"/>
      <c r="G1149" s="103"/>
      <c r="H1149" s="172"/>
      <c r="I1149" s="103"/>
      <c r="J1149" s="103"/>
      <c r="K1149" s="104"/>
      <c r="L1149" s="103"/>
      <c r="M1149" s="105">
        <f t="shared" si="114"/>
        <v>0</v>
      </c>
      <c r="N1149" s="986"/>
      <c r="P1149" s="37" t="str">
        <f t="shared" si="110"/>
        <v/>
      </c>
      <c r="Q1149" s="37" t="str">
        <f t="shared" si="111"/>
        <v/>
      </c>
      <c r="R1149" s="37" t="str">
        <f t="shared" si="112"/>
        <v/>
      </c>
    </row>
    <row r="1150" spans="1:18">
      <c r="A1150" s="616">
        <f t="shared" si="113"/>
        <v>1146</v>
      </c>
      <c r="B1150" s="103"/>
      <c r="C1150" s="103"/>
      <c r="D1150" s="103"/>
      <c r="E1150" s="170"/>
      <c r="F1150" s="171"/>
      <c r="G1150" s="103"/>
      <c r="H1150" s="172"/>
      <c r="I1150" s="103"/>
      <c r="J1150" s="103"/>
      <c r="K1150" s="104"/>
      <c r="L1150" s="103"/>
      <c r="M1150" s="105">
        <f t="shared" si="114"/>
        <v>0</v>
      </c>
      <c r="N1150" s="986"/>
      <c r="P1150" s="37" t="str">
        <f t="shared" si="110"/>
        <v/>
      </c>
      <c r="Q1150" s="37" t="str">
        <f t="shared" si="111"/>
        <v/>
      </c>
      <c r="R1150" s="37" t="str">
        <f t="shared" si="112"/>
        <v/>
      </c>
    </row>
    <row r="1151" spans="1:18">
      <c r="A1151" s="616">
        <f t="shared" si="113"/>
        <v>1147</v>
      </c>
      <c r="B1151" s="103"/>
      <c r="C1151" s="103"/>
      <c r="D1151" s="103"/>
      <c r="E1151" s="170"/>
      <c r="F1151" s="171"/>
      <c r="G1151" s="103"/>
      <c r="H1151" s="172"/>
      <c r="I1151" s="103"/>
      <c r="J1151" s="103"/>
      <c r="K1151" s="104"/>
      <c r="L1151" s="103"/>
      <c r="M1151" s="105">
        <f t="shared" si="114"/>
        <v>0</v>
      </c>
      <c r="N1151" s="986"/>
      <c r="P1151" s="37" t="str">
        <f t="shared" si="110"/>
        <v/>
      </c>
      <c r="Q1151" s="37" t="str">
        <f t="shared" si="111"/>
        <v/>
      </c>
      <c r="R1151" s="37" t="str">
        <f t="shared" si="112"/>
        <v/>
      </c>
    </row>
    <row r="1152" spans="1:18">
      <c r="A1152" s="616">
        <f t="shared" si="113"/>
        <v>1148</v>
      </c>
      <c r="B1152" s="103"/>
      <c r="C1152" s="103"/>
      <c r="D1152" s="103"/>
      <c r="E1152" s="170"/>
      <c r="F1152" s="171"/>
      <c r="G1152" s="103"/>
      <c r="H1152" s="172"/>
      <c r="I1152" s="103"/>
      <c r="J1152" s="103"/>
      <c r="K1152" s="104"/>
      <c r="L1152" s="103"/>
      <c r="M1152" s="105">
        <f t="shared" si="114"/>
        <v>0</v>
      </c>
      <c r="N1152" s="986"/>
      <c r="P1152" s="37" t="str">
        <f t="shared" si="110"/>
        <v/>
      </c>
      <c r="Q1152" s="37" t="str">
        <f t="shared" si="111"/>
        <v/>
      </c>
      <c r="R1152" s="37" t="str">
        <f t="shared" si="112"/>
        <v/>
      </c>
    </row>
    <row r="1153" spans="1:18">
      <c r="A1153" s="616">
        <f t="shared" si="113"/>
        <v>1149</v>
      </c>
      <c r="B1153" s="103"/>
      <c r="C1153" s="103"/>
      <c r="D1153" s="103"/>
      <c r="E1153" s="170"/>
      <c r="F1153" s="171"/>
      <c r="G1153" s="103"/>
      <c r="H1153" s="172"/>
      <c r="I1153" s="103"/>
      <c r="J1153" s="103"/>
      <c r="K1153" s="104"/>
      <c r="L1153" s="103"/>
      <c r="M1153" s="105">
        <f t="shared" si="114"/>
        <v>0</v>
      </c>
      <c r="N1153" s="986"/>
      <c r="P1153" s="37" t="str">
        <f t="shared" si="110"/>
        <v/>
      </c>
      <c r="Q1153" s="37" t="str">
        <f t="shared" si="111"/>
        <v/>
      </c>
      <c r="R1153" s="37" t="str">
        <f t="shared" si="112"/>
        <v/>
      </c>
    </row>
    <row r="1154" spans="1:18">
      <c r="A1154" s="616">
        <f t="shared" si="113"/>
        <v>1150</v>
      </c>
      <c r="B1154" s="103"/>
      <c r="C1154" s="103"/>
      <c r="D1154" s="103"/>
      <c r="E1154" s="170"/>
      <c r="F1154" s="171"/>
      <c r="G1154" s="103"/>
      <c r="H1154" s="172"/>
      <c r="I1154" s="103"/>
      <c r="J1154" s="103"/>
      <c r="K1154" s="104"/>
      <c r="L1154" s="103"/>
      <c r="M1154" s="105">
        <f t="shared" si="114"/>
        <v>0</v>
      </c>
      <c r="N1154" s="986"/>
      <c r="P1154" s="37" t="str">
        <f t="shared" si="110"/>
        <v/>
      </c>
      <c r="Q1154" s="37" t="str">
        <f t="shared" si="111"/>
        <v/>
      </c>
      <c r="R1154" s="37" t="str">
        <f t="shared" si="112"/>
        <v/>
      </c>
    </row>
    <row r="1155" spans="1:18">
      <c r="A1155" s="616">
        <f t="shared" si="113"/>
        <v>1151</v>
      </c>
      <c r="B1155" s="103"/>
      <c r="C1155" s="103"/>
      <c r="D1155" s="103"/>
      <c r="E1155" s="170"/>
      <c r="F1155" s="171"/>
      <c r="G1155" s="103"/>
      <c r="H1155" s="172"/>
      <c r="I1155" s="103"/>
      <c r="J1155" s="103"/>
      <c r="K1155" s="104"/>
      <c r="L1155" s="103"/>
      <c r="M1155" s="105">
        <f t="shared" si="114"/>
        <v>0</v>
      </c>
      <c r="N1155" s="986"/>
      <c r="P1155" s="37" t="str">
        <f t="shared" ref="P1155:P1197" si="115">CONCATENATE(F1155,H1155)</f>
        <v/>
      </c>
      <c r="Q1155" s="37" t="str">
        <f t="shared" ref="Q1155:Q1197" si="116">CONCATENATE(H1155,K1155)</f>
        <v/>
      </c>
      <c r="R1155" s="37" t="str">
        <f t="shared" ref="R1155:R1197" si="117">CONCATENATE(D1155,H1155)</f>
        <v/>
      </c>
    </row>
    <row r="1156" spans="1:18">
      <c r="A1156" s="616">
        <f t="shared" si="113"/>
        <v>1152</v>
      </c>
      <c r="B1156" s="103"/>
      <c r="C1156" s="103"/>
      <c r="D1156" s="103"/>
      <c r="E1156" s="170"/>
      <c r="F1156" s="171"/>
      <c r="G1156" s="103"/>
      <c r="H1156" s="172"/>
      <c r="I1156" s="103"/>
      <c r="J1156" s="103"/>
      <c r="K1156" s="104"/>
      <c r="L1156" s="103"/>
      <c r="M1156" s="105">
        <f t="shared" si="114"/>
        <v>0</v>
      </c>
      <c r="N1156" s="986"/>
      <c r="P1156" s="37" t="str">
        <f t="shared" si="115"/>
        <v/>
      </c>
      <c r="Q1156" s="37" t="str">
        <f t="shared" si="116"/>
        <v/>
      </c>
      <c r="R1156" s="37" t="str">
        <f t="shared" si="117"/>
        <v/>
      </c>
    </row>
    <row r="1157" spans="1:18">
      <c r="A1157" s="616">
        <f t="shared" si="113"/>
        <v>1153</v>
      </c>
      <c r="B1157" s="103"/>
      <c r="C1157" s="103"/>
      <c r="D1157" s="103"/>
      <c r="E1157" s="170"/>
      <c r="F1157" s="171"/>
      <c r="G1157" s="103"/>
      <c r="H1157" s="172"/>
      <c r="I1157" s="103"/>
      <c r="J1157" s="103"/>
      <c r="K1157" s="104"/>
      <c r="L1157" s="103"/>
      <c r="M1157" s="105">
        <f t="shared" si="114"/>
        <v>0</v>
      </c>
      <c r="N1157" s="986"/>
      <c r="P1157" s="37" t="str">
        <f t="shared" si="115"/>
        <v/>
      </c>
      <c r="Q1157" s="37" t="str">
        <f t="shared" si="116"/>
        <v/>
      </c>
      <c r="R1157" s="37" t="str">
        <f t="shared" si="117"/>
        <v/>
      </c>
    </row>
    <row r="1158" spans="1:18">
      <c r="A1158" s="616">
        <f t="shared" si="113"/>
        <v>1154</v>
      </c>
      <c r="B1158" s="103"/>
      <c r="C1158" s="103"/>
      <c r="D1158" s="103"/>
      <c r="E1158" s="170"/>
      <c r="F1158" s="171"/>
      <c r="G1158" s="103"/>
      <c r="H1158" s="172"/>
      <c r="I1158" s="103"/>
      <c r="J1158" s="103"/>
      <c r="K1158" s="104"/>
      <c r="L1158" s="103"/>
      <c r="M1158" s="105">
        <f t="shared" si="114"/>
        <v>0</v>
      </c>
      <c r="N1158" s="986"/>
      <c r="P1158" s="37" t="str">
        <f t="shared" si="115"/>
        <v/>
      </c>
      <c r="Q1158" s="37" t="str">
        <f t="shared" si="116"/>
        <v/>
      </c>
      <c r="R1158" s="37" t="str">
        <f t="shared" si="117"/>
        <v/>
      </c>
    </row>
    <row r="1159" spans="1:18">
      <c r="A1159" s="616">
        <f t="shared" ref="A1159:A1197" si="118">+A1158+1</f>
        <v>1155</v>
      </c>
      <c r="B1159" s="103"/>
      <c r="C1159" s="103"/>
      <c r="D1159" s="103"/>
      <c r="E1159" s="170"/>
      <c r="F1159" s="171"/>
      <c r="G1159" s="103"/>
      <c r="H1159" s="172"/>
      <c r="I1159" s="103"/>
      <c r="J1159" s="103"/>
      <c r="K1159" s="104"/>
      <c r="L1159" s="103"/>
      <c r="M1159" s="105">
        <f t="shared" si="114"/>
        <v>0</v>
      </c>
      <c r="N1159" s="986"/>
      <c r="P1159" s="37" t="str">
        <f t="shared" si="115"/>
        <v/>
      </c>
      <c r="Q1159" s="37" t="str">
        <f t="shared" si="116"/>
        <v/>
      </c>
      <c r="R1159" s="37" t="str">
        <f t="shared" si="117"/>
        <v/>
      </c>
    </row>
    <row r="1160" spans="1:18">
      <c r="A1160" s="616">
        <f t="shared" si="118"/>
        <v>1156</v>
      </c>
      <c r="B1160" s="103"/>
      <c r="C1160" s="103"/>
      <c r="D1160" s="103"/>
      <c r="E1160" s="170"/>
      <c r="F1160" s="171"/>
      <c r="G1160" s="103"/>
      <c r="H1160" s="172"/>
      <c r="I1160" s="103"/>
      <c r="J1160" s="103"/>
      <c r="K1160" s="104"/>
      <c r="L1160" s="103"/>
      <c r="M1160" s="105">
        <f t="shared" si="114"/>
        <v>0</v>
      </c>
      <c r="N1160" s="986"/>
      <c r="P1160" s="37" t="str">
        <f t="shared" si="115"/>
        <v/>
      </c>
      <c r="Q1160" s="37" t="str">
        <f t="shared" si="116"/>
        <v/>
      </c>
      <c r="R1160" s="37" t="str">
        <f t="shared" si="117"/>
        <v/>
      </c>
    </row>
    <row r="1161" spans="1:18">
      <c r="A1161" s="616">
        <f t="shared" si="118"/>
        <v>1157</v>
      </c>
      <c r="B1161" s="103"/>
      <c r="C1161" s="103"/>
      <c r="D1161" s="103"/>
      <c r="E1161" s="170"/>
      <c r="F1161" s="171"/>
      <c r="G1161" s="103"/>
      <c r="H1161" s="172"/>
      <c r="I1161" s="103"/>
      <c r="J1161" s="103"/>
      <c r="K1161" s="104"/>
      <c r="L1161" s="103"/>
      <c r="M1161" s="105">
        <f t="shared" si="114"/>
        <v>0</v>
      </c>
      <c r="N1161" s="986"/>
      <c r="P1161" s="37" t="str">
        <f t="shared" si="115"/>
        <v/>
      </c>
      <c r="Q1161" s="37" t="str">
        <f t="shared" si="116"/>
        <v/>
      </c>
      <c r="R1161" s="37" t="str">
        <f t="shared" si="117"/>
        <v/>
      </c>
    </row>
    <row r="1162" spans="1:18">
      <c r="A1162" s="616">
        <f t="shared" si="118"/>
        <v>1158</v>
      </c>
      <c r="B1162" s="103"/>
      <c r="C1162" s="103"/>
      <c r="D1162" s="103"/>
      <c r="E1162" s="170"/>
      <c r="F1162" s="171"/>
      <c r="G1162" s="103"/>
      <c r="H1162" s="172"/>
      <c r="I1162" s="103"/>
      <c r="J1162" s="103"/>
      <c r="K1162" s="104"/>
      <c r="L1162" s="103"/>
      <c r="M1162" s="105">
        <f t="shared" si="114"/>
        <v>0</v>
      </c>
      <c r="N1162" s="986"/>
      <c r="P1162" s="37" t="str">
        <f t="shared" si="115"/>
        <v/>
      </c>
      <c r="Q1162" s="37" t="str">
        <f t="shared" si="116"/>
        <v/>
      </c>
      <c r="R1162" s="37" t="str">
        <f t="shared" si="117"/>
        <v/>
      </c>
    </row>
    <row r="1163" spans="1:18">
      <c r="A1163" s="616">
        <f t="shared" si="118"/>
        <v>1159</v>
      </c>
      <c r="B1163" s="103"/>
      <c r="C1163" s="103"/>
      <c r="D1163" s="103"/>
      <c r="E1163" s="170"/>
      <c r="F1163" s="171"/>
      <c r="G1163" s="103"/>
      <c r="H1163" s="172"/>
      <c r="I1163" s="103"/>
      <c r="J1163" s="103"/>
      <c r="K1163" s="104"/>
      <c r="L1163" s="103"/>
      <c r="M1163" s="105">
        <f t="shared" ref="M1163:M1197" si="119">+L1163</f>
        <v>0</v>
      </c>
      <c r="N1163" s="986"/>
      <c r="P1163" s="37" t="str">
        <f t="shared" si="115"/>
        <v/>
      </c>
      <c r="Q1163" s="37" t="str">
        <f t="shared" si="116"/>
        <v/>
      </c>
      <c r="R1163" s="37" t="str">
        <f t="shared" si="117"/>
        <v/>
      </c>
    </row>
    <row r="1164" spans="1:18">
      <c r="A1164" s="616">
        <f t="shared" si="118"/>
        <v>1160</v>
      </c>
      <c r="B1164" s="103"/>
      <c r="C1164" s="103"/>
      <c r="D1164" s="103"/>
      <c r="E1164" s="170"/>
      <c r="F1164" s="171"/>
      <c r="G1164" s="103"/>
      <c r="H1164" s="172"/>
      <c r="I1164" s="103"/>
      <c r="J1164" s="103"/>
      <c r="K1164" s="104"/>
      <c r="L1164" s="103"/>
      <c r="M1164" s="105">
        <f t="shared" si="119"/>
        <v>0</v>
      </c>
      <c r="N1164" s="986"/>
      <c r="P1164" s="37" t="str">
        <f t="shared" si="115"/>
        <v/>
      </c>
      <c r="Q1164" s="37" t="str">
        <f t="shared" si="116"/>
        <v/>
      </c>
      <c r="R1164" s="37" t="str">
        <f t="shared" si="117"/>
        <v/>
      </c>
    </row>
    <row r="1165" spans="1:18">
      <c r="A1165" s="616">
        <f t="shared" si="118"/>
        <v>1161</v>
      </c>
      <c r="B1165" s="103"/>
      <c r="C1165" s="103"/>
      <c r="D1165" s="103"/>
      <c r="E1165" s="170"/>
      <c r="F1165" s="171"/>
      <c r="G1165" s="103"/>
      <c r="H1165" s="172"/>
      <c r="I1165" s="103"/>
      <c r="J1165" s="103"/>
      <c r="K1165" s="104"/>
      <c r="L1165" s="103"/>
      <c r="M1165" s="105">
        <f t="shared" si="119"/>
        <v>0</v>
      </c>
      <c r="N1165" s="986"/>
      <c r="P1165" s="37" t="str">
        <f t="shared" si="115"/>
        <v/>
      </c>
      <c r="Q1165" s="37" t="str">
        <f t="shared" si="116"/>
        <v/>
      </c>
      <c r="R1165" s="37" t="str">
        <f t="shared" si="117"/>
        <v/>
      </c>
    </row>
    <row r="1166" spans="1:18">
      <c r="A1166" s="616">
        <f t="shared" si="118"/>
        <v>1162</v>
      </c>
      <c r="B1166" s="103"/>
      <c r="C1166" s="103"/>
      <c r="D1166" s="103"/>
      <c r="E1166" s="170"/>
      <c r="F1166" s="171"/>
      <c r="G1166" s="103"/>
      <c r="H1166" s="172"/>
      <c r="I1166" s="103"/>
      <c r="J1166" s="103"/>
      <c r="K1166" s="104"/>
      <c r="L1166" s="103"/>
      <c r="M1166" s="105">
        <f t="shared" si="119"/>
        <v>0</v>
      </c>
      <c r="N1166" s="986"/>
      <c r="P1166" s="37" t="str">
        <f t="shared" si="115"/>
        <v/>
      </c>
      <c r="Q1166" s="37" t="str">
        <f t="shared" si="116"/>
        <v/>
      </c>
      <c r="R1166" s="37" t="str">
        <f t="shared" si="117"/>
        <v/>
      </c>
    </row>
    <row r="1167" spans="1:18">
      <c r="A1167" s="616">
        <f t="shared" si="118"/>
        <v>1163</v>
      </c>
      <c r="B1167" s="103"/>
      <c r="C1167" s="103"/>
      <c r="D1167" s="103"/>
      <c r="E1167" s="170"/>
      <c r="F1167" s="171"/>
      <c r="G1167" s="103"/>
      <c r="H1167" s="172"/>
      <c r="I1167" s="103"/>
      <c r="J1167" s="103"/>
      <c r="K1167" s="104"/>
      <c r="L1167" s="103"/>
      <c r="M1167" s="105">
        <f t="shared" si="119"/>
        <v>0</v>
      </c>
      <c r="N1167" s="986"/>
      <c r="P1167" s="37" t="str">
        <f t="shared" si="115"/>
        <v/>
      </c>
      <c r="Q1167" s="37" t="str">
        <f t="shared" si="116"/>
        <v/>
      </c>
      <c r="R1167" s="37" t="str">
        <f t="shared" si="117"/>
        <v/>
      </c>
    </row>
    <row r="1168" spans="1:18">
      <c r="A1168" s="616">
        <f t="shared" si="118"/>
        <v>1164</v>
      </c>
      <c r="B1168" s="103"/>
      <c r="C1168" s="103"/>
      <c r="D1168" s="103"/>
      <c r="E1168" s="170"/>
      <c r="F1168" s="171"/>
      <c r="G1168" s="103"/>
      <c r="H1168" s="172"/>
      <c r="I1168" s="103"/>
      <c r="J1168" s="103"/>
      <c r="K1168" s="104"/>
      <c r="L1168" s="103"/>
      <c r="M1168" s="105">
        <f t="shared" si="119"/>
        <v>0</v>
      </c>
      <c r="N1168" s="986"/>
      <c r="P1168" s="37" t="str">
        <f t="shared" si="115"/>
        <v/>
      </c>
      <c r="Q1168" s="37" t="str">
        <f t="shared" si="116"/>
        <v/>
      </c>
      <c r="R1168" s="37" t="str">
        <f t="shared" si="117"/>
        <v/>
      </c>
    </row>
    <row r="1169" spans="1:18">
      <c r="A1169" s="616">
        <f t="shared" si="118"/>
        <v>1165</v>
      </c>
      <c r="B1169" s="103"/>
      <c r="C1169" s="103"/>
      <c r="D1169" s="103"/>
      <c r="E1169" s="170"/>
      <c r="F1169" s="171"/>
      <c r="G1169" s="103"/>
      <c r="H1169" s="172"/>
      <c r="I1169" s="103"/>
      <c r="J1169" s="103"/>
      <c r="K1169" s="104"/>
      <c r="L1169" s="103"/>
      <c r="M1169" s="105">
        <f t="shared" si="119"/>
        <v>0</v>
      </c>
      <c r="N1169" s="986"/>
      <c r="P1169" s="37" t="str">
        <f t="shared" si="115"/>
        <v/>
      </c>
      <c r="Q1169" s="37" t="str">
        <f t="shared" si="116"/>
        <v/>
      </c>
      <c r="R1169" s="37" t="str">
        <f t="shared" si="117"/>
        <v/>
      </c>
    </row>
    <row r="1170" spans="1:18">
      <c r="A1170" s="616">
        <f t="shared" si="118"/>
        <v>1166</v>
      </c>
      <c r="B1170" s="103"/>
      <c r="C1170" s="103"/>
      <c r="D1170" s="103"/>
      <c r="E1170" s="170"/>
      <c r="F1170" s="171"/>
      <c r="G1170" s="103"/>
      <c r="H1170" s="172"/>
      <c r="I1170" s="103"/>
      <c r="J1170" s="103"/>
      <c r="K1170" s="104"/>
      <c r="L1170" s="103"/>
      <c r="M1170" s="105">
        <f t="shared" si="119"/>
        <v>0</v>
      </c>
      <c r="N1170" s="986"/>
      <c r="P1170" s="37" t="str">
        <f t="shared" si="115"/>
        <v/>
      </c>
      <c r="Q1170" s="37" t="str">
        <f t="shared" si="116"/>
        <v/>
      </c>
      <c r="R1170" s="37" t="str">
        <f t="shared" si="117"/>
        <v/>
      </c>
    </row>
    <row r="1171" spans="1:18">
      <c r="A1171" s="616">
        <f t="shared" si="118"/>
        <v>1167</v>
      </c>
      <c r="B1171" s="103"/>
      <c r="C1171" s="103"/>
      <c r="D1171" s="103"/>
      <c r="E1171" s="170"/>
      <c r="F1171" s="171"/>
      <c r="G1171" s="103"/>
      <c r="H1171" s="172"/>
      <c r="I1171" s="103"/>
      <c r="J1171" s="103"/>
      <c r="K1171" s="104"/>
      <c r="L1171" s="103"/>
      <c r="M1171" s="105">
        <f t="shared" si="119"/>
        <v>0</v>
      </c>
      <c r="N1171" s="986"/>
      <c r="P1171" s="37" t="str">
        <f t="shared" si="115"/>
        <v/>
      </c>
      <c r="Q1171" s="37" t="str">
        <f t="shared" si="116"/>
        <v/>
      </c>
      <c r="R1171" s="37" t="str">
        <f t="shared" si="117"/>
        <v/>
      </c>
    </row>
    <row r="1172" spans="1:18">
      <c r="A1172" s="616">
        <f t="shared" si="118"/>
        <v>1168</v>
      </c>
      <c r="B1172" s="103"/>
      <c r="C1172" s="103"/>
      <c r="D1172" s="103"/>
      <c r="E1172" s="170"/>
      <c r="F1172" s="171"/>
      <c r="G1172" s="103"/>
      <c r="H1172" s="172"/>
      <c r="I1172" s="103"/>
      <c r="J1172" s="103"/>
      <c r="K1172" s="104"/>
      <c r="L1172" s="103"/>
      <c r="M1172" s="105">
        <f t="shared" si="119"/>
        <v>0</v>
      </c>
      <c r="N1172" s="986"/>
      <c r="P1172" s="37" t="str">
        <f t="shared" si="115"/>
        <v/>
      </c>
      <c r="Q1172" s="37" t="str">
        <f t="shared" si="116"/>
        <v/>
      </c>
      <c r="R1172" s="37" t="str">
        <f t="shared" si="117"/>
        <v/>
      </c>
    </row>
    <row r="1173" spans="1:18">
      <c r="A1173" s="616">
        <f t="shared" si="118"/>
        <v>1169</v>
      </c>
      <c r="B1173" s="103"/>
      <c r="C1173" s="103"/>
      <c r="D1173" s="103"/>
      <c r="E1173" s="170"/>
      <c r="F1173" s="171"/>
      <c r="G1173" s="103"/>
      <c r="H1173" s="172"/>
      <c r="I1173" s="103"/>
      <c r="J1173" s="103"/>
      <c r="K1173" s="104"/>
      <c r="L1173" s="103"/>
      <c r="M1173" s="105">
        <f t="shared" si="119"/>
        <v>0</v>
      </c>
      <c r="N1173" s="986"/>
      <c r="P1173" s="37" t="str">
        <f t="shared" si="115"/>
        <v/>
      </c>
      <c r="Q1173" s="37" t="str">
        <f t="shared" si="116"/>
        <v/>
      </c>
      <c r="R1173" s="37" t="str">
        <f t="shared" si="117"/>
        <v/>
      </c>
    </row>
    <row r="1174" spans="1:18">
      <c r="A1174" s="616">
        <f t="shared" si="118"/>
        <v>1170</v>
      </c>
      <c r="B1174" s="103"/>
      <c r="C1174" s="103"/>
      <c r="D1174" s="103"/>
      <c r="E1174" s="170"/>
      <c r="F1174" s="171"/>
      <c r="G1174" s="103"/>
      <c r="H1174" s="172"/>
      <c r="I1174" s="103"/>
      <c r="J1174" s="103"/>
      <c r="K1174" s="104"/>
      <c r="L1174" s="103"/>
      <c r="M1174" s="105">
        <f t="shared" si="119"/>
        <v>0</v>
      </c>
      <c r="N1174" s="986"/>
      <c r="P1174" s="37" t="str">
        <f t="shared" si="115"/>
        <v/>
      </c>
      <c r="Q1174" s="37" t="str">
        <f t="shared" si="116"/>
        <v/>
      </c>
      <c r="R1174" s="37" t="str">
        <f t="shared" si="117"/>
        <v/>
      </c>
    </row>
    <row r="1175" spans="1:18">
      <c r="A1175" s="616">
        <f t="shared" si="118"/>
        <v>1171</v>
      </c>
      <c r="B1175" s="103"/>
      <c r="C1175" s="103"/>
      <c r="D1175" s="103"/>
      <c r="E1175" s="170"/>
      <c r="F1175" s="171"/>
      <c r="G1175" s="103"/>
      <c r="H1175" s="172"/>
      <c r="I1175" s="103"/>
      <c r="J1175" s="103"/>
      <c r="K1175" s="104"/>
      <c r="L1175" s="103"/>
      <c r="M1175" s="105">
        <f t="shared" si="119"/>
        <v>0</v>
      </c>
      <c r="N1175" s="986"/>
      <c r="P1175" s="37" t="str">
        <f t="shared" si="115"/>
        <v/>
      </c>
      <c r="Q1175" s="37" t="str">
        <f t="shared" si="116"/>
        <v/>
      </c>
      <c r="R1175" s="37" t="str">
        <f t="shared" si="117"/>
        <v/>
      </c>
    </row>
    <row r="1176" spans="1:18">
      <c r="A1176" s="616">
        <f t="shared" si="118"/>
        <v>1172</v>
      </c>
      <c r="B1176" s="103"/>
      <c r="C1176" s="103"/>
      <c r="D1176" s="103"/>
      <c r="E1176" s="170"/>
      <c r="F1176" s="171"/>
      <c r="G1176" s="103"/>
      <c r="H1176" s="172"/>
      <c r="I1176" s="103"/>
      <c r="J1176" s="103"/>
      <c r="K1176" s="104"/>
      <c r="L1176" s="103"/>
      <c r="M1176" s="105">
        <f t="shared" si="119"/>
        <v>0</v>
      </c>
      <c r="N1176" s="986"/>
      <c r="P1176" s="37" t="str">
        <f t="shared" si="115"/>
        <v/>
      </c>
      <c r="Q1176" s="37" t="str">
        <f t="shared" si="116"/>
        <v/>
      </c>
      <c r="R1176" s="37" t="str">
        <f t="shared" si="117"/>
        <v/>
      </c>
    </row>
    <row r="1177" spans="1:18">
      <c r="A1177" s="616">
        <f t="shared" si="118"/>
        <v>1173</v>
      </c>
      <c r="B1177" s="103"/>
      <c r="C1177" s="103"/>
      <c r="D1177" s="103"/>
      <c r="E1177" s="170"/>
      <c r="F1177" s="171"/>
      <c r="G1177" s="103"/>
      <c r="H1177" s="172"/>
      <c r="I1177" s="103"/>
      <c r="J1177" s="103"/>
      <c r="K1177" s="104"/>
      <c r="L1177" s="103"/>
      <c r="M1177" s="105">
        <f t="shared" si="119"/>
        <v>0</v>
      </c>
      <c r="N1177" s="986"/>
      <c r="P1177" s="37" t="str">
        <f t="shared" si="115"/>
        <v/>
      </c>
      <c r="Q1177" s="37" t="str">
        <f t="shared" si="116"/>
        <v/>
      </c>
      <c r="R1177" s="37" t="str">
        <f t="shared" si="117"/>
        <v/>
      </c>
    </row>
    <row r="1178" spans="1:18">
      <c r="A1178" s="616">
        <f t="shared" si="118"/>
        <v>1174</v>
      </c>
      <c r="B1178" s="103"/>
      <c r="C1178" s="103"/>
      <c r="D1178" s="103"/>
      <c r="E1178" s="170"/>
      <c r="F1178" s="171"/>
      <c r="G1178" s="103"/>
      <c r="H1178" s="172"/>
      <c r="I1178" s="103"/>
      <c r="J1178" s="103"/>
      <c r="K1178" s="104"/>
      <c r="L1178" s="103"/>
      <c r="M1178" s="105">
        <f t="shared" si="119"/>
        <v>0</v>
      </c>
      <c r="N1178" s="986"/>
      <c r="P1178" s="37" t="str">
        <f t="shared" si="115"/>
        <v/>
      </c>
      <c r="Q1178" s="37" t="str">
        <f t="shared" si="116"/>
        <v/>
      </c>
      <c r="R1178" s="37" t="str">
        <f t="shared" si="117"/>
        <v/>
      </c>
    </row>
    <row r="1179" spans="1:18">
      <c r="A1179" s="616">
        <f t="shared" si="118"/>
        <v>1175</v>
      </c>
      <c r="B1179" s="103"/>
      <c r="C1179" s="103"/>
      <c r="D1179" s="103"/>
      <c r="E1179" s="170"/>
      <c r="F1179" s="171"/>
      <c r="G1179" s="103"/>
      <c r="H1179" s="172"/>
      <c r="I1179" s="103"/>
      <c r="J1179" s="103"/>
      <c r="K1179" s="104"/>
      <c r="L1179" s="103"/>
      <c r="M1179" s="105">
        <f t="shared" si="119"/>
        <v>0</v>
      </c>
      <c r="N1179" s="986"/>
      <c r="P1179" s="37" t="str">
        <f t="shared" si="115"/>
        <v/>
      </c>
      <c r="Q1179" s="37" t="str">
        <f t="shared" si="116"/>
        <v/>
      </c>
      <c r="R1179" s="37" t="str">
        <f t="shared" si="117"/>
        <v/>
      </c>
    </row>
    <row r="1180" spans="1:18">
      <c r="A1180" s="616">
        <f t="shared" si="118"/>
        <v>1176</v>
      </c>
      <c r="B1180" s="103"/>
      <c r="C1180" s="103"/>
      <c r="D1180" s="103"/>
      <c r="E1180" s="170"/>
      <c r="F1180" s="171"/>
      <c r="G1180" s="103"/>
      <c r="H1180" s="172"/>
      <c r="I1180" s="103"/>
      <c r="J1180" s="103"/>
      <c r="K1180" s="104"/>
      <c r="L1180" s="103"/>
      <c r="M1180" s="105">
        <f t="shared" si="119"/>
        <v>0</v>
      </c>
      <c r="N1180" s="986"/>
      <c r="P1180" s="37" t="str">
        <f t="shared" si="115"/>
        <v/>
      </c>
      <c r="Q1180" s="37" t="str">
        <f t="shared" si="116"/>
        <v/>
      </c>
      <c r="R1180" s="37" t="str">
        <f t="shared" si="117"/>
        <v/>
      </c>
    </row>
    <row r="1181" spans="1:18">
      <c r="A1181" s="616">
        <f t="shared" si="118"/>
        <v>1177</v>
      </c>
      <c r="B1181" s="103"/>
      <c r="C1181" s="103"/>
      <c r="D1181" s="103"/>
      <c r="E1181" s="170"/>
      <c r="F1181" s="171"/>
      <c r="G1181" s="103"/>
      <c r="H1181" s="172"/>
      <c r="I1181" s="103"/>
      <c r="J1181" s="103"/>
      <c r="K1181" s="104"/>
      <c r="L1181" s="103"/>
      <c r="M1181" s="105">
        <f t="shared" si="119"/>
        <v>0</v>
      </c>
      <c r="N1181" s="986"/>
      <c r="P1181" s="37" t="str">
        <f t="shared" si="115"/>
        <v/>
      </c>
      <c r="Q1181" s="37" t="str">
        <f t="shared" si="116"/>
        <v/>
      </c>
      <c r="R1181" s="37" t="str">
        <f t="shared" si="117"/>
        <v/>
      </c>
    </row>
    <row r="1182" spans="1:18">
      <c r="A1182" s="616">
        <f t="shared" si="118"/>
        <v>1178</v>
      </c>
      <c r="B1182" s="103"/>
      <c r="C1182" s="103"/>
      <c r="D1182" s="103"/>
      <c r="E1182" s="170"/>
      <c r="F1182" s="171"/>
      <c r="G1182" s="103"/>
      <c r="H1182" s="172"/>
      <c r="I1182" s="103"/>
      <c r="J1182" s="103"/>
      <c r="K1182" s="104"/>
      <c r="L1182" s="103"/>
      <c r="M1182" s="105">
        <f t="shared" si="119"/>
        <v>0</v>
      </c>
      <c r="N1182" s="986"/>
      <c r="P1182" s="37" t="str">
        <f t="shared" si="115"/>
        <v/>
      </c>
      <c r="Q1182" s="37" t="str">
        <f t="shared" si="116"/>
        <v/>
      </c>
      <c r="R1182" s="37" t="str">
        <f t="shared" si="117"/>
        <v/>
      </c>
    </row>
    <row r="1183" spans="1:18">
      <c r="A1183" s="616">
        <f t="shared" si="118"/>
        <v>1179</v>
      </c>
      <c r="B1183" s="103"/>
      <c r="C1183" s="103"/>
      <c r="D1183" s="103"/>
      <c r="E1183" s="170"/>
      <c r="F1183" s="171"/>
      <c r="G1183" s="103"/>
      <c r="H1183" s="172"/>
      <c r="I1183" s="103"/>
      <c r="J1183" s="103"/>
      <c r="K1183" s="104"/>
      <c r="L1183" s="103"/>
      <c r="M1183" s="105">
        <f t="shared" si="119"/>
        <v>0</v>
      </c>
      <c r="N1183" s="986"/>
      <c r="P1183" s="37" t="str">
        <f t="shared" si="115"/>
        <v/>
      </c>
      <c r="Q1183" s="37" t="str">
        <f t="shared" si="116"/>
        <v/>
      </c>
      <c r="R1183" s="37" t="str">
        <f t="shared" si="117"/>
        <v/>
      </c>
    </row>
    <row r="1184" spans="1:18">
      <c r="A1184" s="616">
        <f t="shared" si="118"/>
        <v>1180</v>
      </c>
      <c r="B1184" s="103"/>
      <c r="C1184" s="103"/>
      <c r="D1184" s="103"/>
      <c r="E1184" s="170"/>
      <c r="F1184" s="171"/>
      <c r="G1184" s="103"/>
      <c r="H1184" s="172"/>
      <c r="I1184" s="103"/>
      <c r="J1184" s="103"/>
      <c r="K1184" s="104"/>
      <c r="L1184" s="103"/>
      <c r="M1184" s="105">
        <f t="shared" si="119"/>
        <v>0</v>
      </c>
      <c r="N1184" s="986"/>
      <c r="P1184" s="37" t="str">
        <f t="shared" si="115"/>
        <v/>
      </c>
      <c r="Q1184" s="37" t="str">
        <f t="shared" si="116"/>
        <v/>
      </c>
      <c r="R1184" s="37" t="str">
        <f t="shared" si="117"/>
        <v/>
      </c>
    </row>
    <row r="1185" spans="1:18">
      <c r="A1185" s="616">
        <f t="shared" si="118"/>
        <v>1181</v>
      </c>
      <c r="B1185" s="103"/>
      <c r="C1185" s="103"/>
      <c r="D1185" s="103"/>
      <c r="E1185" s="170"/>
      <c r="F1185" s="171"/>
      <c r="G1185" s="103"/>
      <c r="H1185" s="172"/>
      <c r="I1185" s="103"/>
      <c r="J1185" s="103"/>
      <c r="K1185" s="104"/>
      <c r="L1185" s="103"/>
      <c r="M1185" s="105">
        <f t="shared" si="119"/>
        <v>0</v>
      </c>
      <c r="N1185" s="986"/>
      <c r="P1185" s="37" t="str">
        <f t="shared" si="115"/>
        <v/>
      </c>
      <c r="Q1185" s="37" t="str">
        <f t="shared" si="116"/>
        <v/>
      </c>
      <c r="R1185" s="37" t="str">
        <f t="shared" si="117"/>
        <v/>
      </c>
    </row>
    <row r="1186" spans="1:18">
      <c r="A1186" s="616">
        <f t="shared" si="118"/>
        <v>1182</v>
      </c>
      <c r="B1186" s="103"/>
      <c r="C1186" s="103"/>
      <c r="D1186" s="103"/>
      <c r="E1186" s="170"/>
      <c r="F1186" s="171"/>
      <c r="G1186" s="103"/>
      <c r="H1186" s="172"/>
      <c r="I1186" s="103"/>
      <c r="J1186" s="103"/>
      <c r="K1186" s="104"/>
      <c r="L1186" s="103"/>
      <c r="M1186" s="105">
        <f t="shared" si="119"/>
        <v>0</v>
      </c>
      <c r="N1186" s="986"/>
      <c r="P1186" s="37" t="str">
        <f t="shared" si="115"/>
        <v/>
      </c>
      <c r="Q1186" s="37" t="str">
        <f t="shared" si="116"/>
        <v/>
      </c>
      <c r="R1186" s="37" t="str">
        <f t="shared" si="117"/>
        <v/>
      </c>
    </row>
    <row r="1187" spans="1:18">
      <c r="A1187" s="616">
        <f t="shared" si="118"/>
        <v>1183</v>
      </c>
      <c r="B1187" s="103"/>
      <c r="C1187" s="103"/>
      <c r="D1187" s="103"/>
      <c r="E1187" s="170"/>
      <c r="F1187" s="171"/>
      <c r="G1187" s="103"/>
      <c r="H1187" s="172"/>
      <c r="I1187" s="103"/>
      <c r="J1187" s="103"/>
      <c r="K1187" s="104"/>
      <c r="L1187" s="103"/>
      <c r="M1187" s="105">
        <f t="shared" si="119"/>
        <v>0</v>
      </c>
      <c r="N1187" s="986"/>
      <c r="P1187" s="37" t="str">
        <f t="shared" si="115"/>
        <v/>
      </c>
      <c r="Q1187" s="37" t="str">
        <f t="shared" si="116"/>
        <v/>
      </c>
      <c r="R1187" s="37" t="str">
        <f t="shared" si="117"/>
        <v/>
      </c>
    </row>
    <row r="1188" spans="1:18">
      <c r="A1188" s="616">
        <f t="shared" si="118"/>
        <v>1184</v>
      </c>
      <c r="B1188" s="103"/>
      <c r="C1188" s="103"/>
      <c r="D1188" s="103"/>
      <c r="E1188" s="170"/>
      <c r="F1188" s="171"/>
      <c r="G1188" s="103"/>
      <c r="H1188" s="172"/>
      <c r="I1188" s="103"/>
      <c r="J1188" s="103"/>
      <c r="K1188" s="104"/>
      <c r="L1188" s="103"/>
      <c r="M1188" s="105">
        <f t="shared" si="119"/>
        <v>0</v>
      </c>
      <c r="N1188" s="986"/>
      <c r="P1188" s="37" t="str">
        <f t="shared" si="115"/>
        <v/>
      </c>
      <c r="Q1188" s="37" t="str">
        <f t="shared" si="116"/>
        <v/>
      </c>
      <c r="R1188" s="37" t="str">
        <f t="shared" si="117"/>
        <v/>
      </c>
    </row>
    <row r="1189" spans="1:18">
      <c r="A1189" s="616">
        <f t="shared" si="118"/>
        <v>1185</v>
      </c>
      <c r="B1189" s="103"/>
      <c r="C1189" s="103"/>
      <c r="D1189" s="103"/>
      <c r="E1189" s="170"/>
      <c r="F1189" s="171"/>
      <c r="G1189" s="103"/>
      <c r="H1189" s="172"/>
      <c r="I1189" s="103"/>
      <c r="J1189" s="103"/>
      <c r="K1189" s="104"/>
      <c r="L1189" s="103"/>
      <c r="M1189" s="105">
        <f t="shared" si="119"/>
        <v>0</v>
      </c>
      <c r="N1189" s="986"/>
      <c r="P1189" s="37" t="str">
        <f t="shared" si="115"/>
        <v/>
      </c>
      <c r="Q1189" s="37" t="str">
        <f t="shared" si="116"/>
        <v/>
      </c>
      <c r="R1189" s="37" t="str">
        <f t="shared" si="117"/>
        <v/>
      </c>
    </row>
    <row r="1190" spans="1:18">
      <c r="A1190" s="616">
        <f t="shared" si="118"/>
        <v>1186</v>
      </c>
      <c r="B1190" s="103"/>
      <c r="C1190" s="103"/>
      <c r="D1190" s="103"/>
      <c r="E1190" s="170"/>
      <c r="F1190" s="171"/>
      <c r="G1190" s="103"/>
      <c r="H1190" s="172"/>
      <c r="I1190" s="103"/>
      <c r="J1190" s="103"/>
      <c r="K1190" s="104"/>
      <c r="L1190" s="103"/>
      <c r="M1190" s="105">
        <f t="shared" si="119"/>
        <v>0</v>
      </c>
      <c r="N1190" s="986"/>
      <c r="P1190" s="37" t="str">
        <f t="shared" si="115"/>
        <v/>
      </c>
      <c r="Q1190" s="37" t="str">
        <f t="shared" si="116"/>
        <v/>
      </c>
      <c r="R1190" s="37" t="str">
        <f t="shared" si="117"/>
        <v/>
      </c>
    </row>
    <row r="1191" spans="1:18">
      <c r="A1191" s="616">
        <f t="shared" si="118"/>
        <v>1187</v>
      </c>
      <c r="B1191" s="103"/>
      <c r="C1191" s="103"/>
      <c r="D1191" s="103"/>
      <c r="E1191" s="170"/>
      <c r="F1191" s="171"/>
      <c r="G1191" s="103"/>
      <c r="H1191" s="172"/>
      <c r="I1191" s="103"/>
      <c r="J1191" s="103"/>
      <c r="K1191" s="104"/>
      <c r="L1191" s="103"/>
      <c r="M1191" s="105">
        <f t="shared" si="119"/>
        <v>0</v>
      </c>
      <c r="N1191" s="986"/>
      <c r="P1191" s="37" t="str">
        <f t="shared" si="115"/>
        <v/>
      </c>
      <c r="Q1191" s="37" t="str">
        <f t="shared" si="116"/>
        <v/>
      </c>
      <c r="R1191" s="37" t="str">
        <f t="shared" si="117"/>
        <v/>
      </c>
    </row>
    <row r="1192" spans="1:18">
      <c r="A1192" s="616">
        <f t="shared" si="118"/>
        <v>1188</v>
      </c>
      <c r="B1192" s="103"/>
      <c r="C1192" s="103"/>
      <c r="D1192" s="103"/>
      <c r="E1192" s="170"/>
      <c r="F1192" s="171"/>
      <c r="G1192" s="103"/>
      <c r="H1192" s="172"/>
      <c r="I1192" s="103"/>
      <c r="J1192" s="103"/>
      <c r="K1192" s="104"/>
      <c r="L1192" s="103"/>
      <c r="M1192" s="105">
        <f t="shared" si="119"/>
        <v>0</v>
      </c>
      <c r="N1192" s="986"/>
      <c r="P1192" s="37" t="str">
        <f t="shared" si="115"/>
        <v/>
      </c>
      <c r="Q1192" s="37" t="str">
        <f t="shared" si="116"/>
        <v/>
      </c>
      <c r="R1192" s="37" t="str">
        <f t="shared" si="117"/>
        <v/>
      </c>
    </row>
    <row r="1193" spans="1:18">
      <c r="A1193" s="616">
        <f t="shared" si="118"/>
        <v>1189</v>
      </c>
      <c r="B1193" s="103"/>
      <c r="C1193" s="103"/>
      <c r="D1193" s="103"/>
      <c r="E1193" s="170"/>
      <c r="F1193" s="171"/>
      <c r="G1193" s="103"/>
      <c r="H1193" s="172"/>
      <c r="I1193" s="103"/>
      <c r="J1193" s="103"/>
      <c r="K1193" s="104"/>
      <c r="L1193" s="103"/>
      <c r="M1193" s="105">
        <f t="shared" si="119"/>
        <v>0</v>
      </c>
      <c r="N1193" s="986"/>
      <c r="P1193" s="37" t="str">
        <f t="shared" si="115"/>
        <v/>
      </c>
      <c r="Q1193" s="37" t="str">
        <f t="shared" si="116"/>
        <v/>
      </c>
      <c r="R1193" s="37" t="str">
        <f t="shared" si="117"/>
        <v/>
      </c>
    </row>
    <row r="1194" spans="1:18">
      <c r="A1194" s="616">
        <f t="shared" si="118"/>
        <v>1190</v>
      </c>
      <c r="B1194" s="103"/>
      <c r="C1194" s="103"/>
      <c r="D1194" s="103"/>
      <c r="E1194" s="170"/>
      <c r="F1194" s="171"/>
      <c r="G1194" s="103"/>
      <c r="H1194" s="172"/>
      <c r="I1194" s="103"/>
      <c r="J1194" s="103"/>
      <c r="K1194" s="104"/>
      <c r="L1194" s="103"/>
      <c r="M1194" s="105">
        <f t="shared" si="119"/>
        <v>0</v>
      </c>
      <c r="N1194" s="986"/>
      <c r="P1194" s="37" t="str">
        <f t="shared" si="115"/>
        <v/>
      </c>
      <c r="Q1194" s="37" t="str">
        <f t="shared" si="116"/>
        <v/>
      </c>
      <c r="R1194" s="37" t="str">
        <f t="shared" si="117"/>
        <v/>
      </c>
    </row>
    <row r="1195" spans="1:18">
      <c r="A1195" s="616">
        <f t="shared" si="118"/>
        <v>1191</v>
      </c>
      <c r="B1195" s="103"/>
      <c r="C1195" s="103"/>
      <c r="D1195" s="103"/>
      <c r="E1195" s="170"/>
      <c r="F1195" s="171"/>
      <c r="G1195" s="103"/>
      <c r="H1195" s="172"/>
      <c r="I1195" s="103"/>
      <c r="J1195" s="103"/>
      <c r="K1195" s="104"/>
      <c r="L1195" s="103"/>
      <c r="M1195" s="105">
        <f t="shared" si="119"/>
        <v>0</v>
      </c>
      <c r="N1195" s="986"/>
      <c r="P1195" s="37" t="str">
        <f t="shared" si="115"/>
        <v/>
      </c>
      <c r="Q1195" s="37" t="str">
        <f t="shared" si="116"/>
        <v/>
      </c>
      <c r="R1195" s="37" t="str">
        <f t="shared" si="117"/>
        <v/>
      </c>
    </row>
    <row r="1196" spans="1:18">
      <c r="A1196" s="616">
        <f t="shared" si="118"/>
        <v>1192</v>
      </c>
      <c r="B1196" s="103"/>
      <c r="C1196" s="103"/>
      <c r="D1196" s="103"/>
      <c r="E1196" s="170"/>
      <c r="F1196" s="171"/>
      <c r="G1196" s="103"/>
      <c r="H1196" s="172"/>
      <c r="I1196" s="103"/>
      <c r="J1196" s="103"/>
      <c r="K1196" s="104"/>
      <c r="L1196" s="103"/>
      <c r="M1196" s="105">
        <f t="shared" si="119"/>
        <v>0</v>
      </c>
      <c r="N1196" s="986"/>
      <c r="P1196" s="37" t="str">
        <f t="shared" si="115"/>
        <v/>
      </c>
      <c r="Q1196" s="37" t="str">
        <f t="shared" si="116"/>
        <v/>
      </c>
      <c r="R1196" s="37" t="str">
        <f t="shared" si="117"/>
        <v/>
      </c>
    </row>
    <row r="1197" spans="1:18">
      <c r="A1197" s="616">
        <f t="shared" si="118"/>
        <v>1193</v>
      </c>
      <c r="B1197" s="103"/>
      <c r="C1197" s="103"/>
      <c r="D1197" s="103"/>
      <c r="E1197" s="170"/>
      <c r="F1197" s="171"/>
      <c r="G1197" s="103"/>
      <c r="H1197" s="172"/>
      <c r="I1197" s="103"/>
      <c r="J1197" s="103"/>
      <c r="K1197" s="104"/>
      <c r="L1197" s="103"/>
      <c r="M1197" s="105">
        <f t="shared" si="119"/>
        <v>0</v>
      </c>
      <c r="N1197" s="986"/>
      <c r="P1197" s="37" t="str">
        <f t="shared" si="115"/>
        <v/>
      </c>
      <c r="Q1197" s="37" t="str">
        <f t="shared" si="116"/>
        <v/>
      </c>
      <c r="R1197" s="37" t="str">
        <f t="shared" si="117"/>
        <v/>
      </c>
    </row>
    <row r="1198" spans="1:18"/>
    <row r="1199" spans="1:18"/>
    <row r="1200" spans="1:18"/>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row r="2042"/>
    <row r="2043"/>
  </sheetData>
  <autoFilter ref="C4:K1197"/>
  <mergeCells count="1">
    <mergeCell ref="A1:N1"/>
  </mergeCells>
  <dataValidations count="2">
    <dataValidation type="list" allowBlank="1" showInputMessage="1" showErrorMessage="1" sqref="H1037:H1072 H1074:H1197">
      <formula1>rating</formula1>
    </dataValidation>
    <dataValidation type="list" allowBlank="1" showInputMessage="1" showErrorMessage="1" sqref="G1037:G1197">
      <formula1>counties</formula1>
    </dataValidation>
  </dataValidations>
  <printOptions horizontalCentered="1"/>
  <pageMargins left="0.43" right="0.25" top="1.25" bottom="0.5" header="0.3" footer="0"/>
  <pageSetup orientation="landscape" r:id="rId1"/>
  <headerFooter scaleWithDoc="0">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workbookViewId="0">
      <pane ySplit="10" topLeftCell="A11" activePane="bottomLeft" state="frozen"/>
      <selection activeCell="B1" sqref="B1"/>
      <selection pane="bottomLeft" activeCell="A6" sqref="A6"/>
    </sheetView>
    <sheetView workbookViewId="1">
      <pane ySplit="10" topLeftCell="A72" activePane="bottomLeft" state="frozen"/>
      <selection pane="bottomLeft" activeCell="I77" sqref="I77"/>
    </sheetView>
  </sheetViews>
  <sheetFormatPr defaultColWidth="0" defaultRowHeight="15"/>
  <cols>
    <col min="1" max="1" width="2.77734375" customWidth="1"/>
    <col min="2" max="2" width="10.77734375" customWidth="1"/>
    <col min="3" max="22" width="8.77734375" customWidth="1"/>
    <col min="23" max="23" width="8.77734375" style="32" customWidth="1"/>
    <col min="24" max="26" width="8.77734375" customWidth="1"/>
  </cols>
  <sheetData>
    <row r="1" spans="1:23" ht="26.25">
      <c r="A1" s="1"/>
      <c r="B1" s="1096" t="s">
        <v>881</v>
      </c>
      <c r="C1" s="1097"/>
      <c r="D1" s="1097"/>
      <c r="E1" s="1097"/>
      <c r="F1" s="1097"/>
      <c r="G1" s="1097"/>
      <c r="H1" s="1097"/>
      <c r="I1" s="1097"/>
      <c r="J1" s="1097"/>
      <c r="K1" s="1097"/>
      <c r="L1" s="1097"/>
      <c r="M1" s="1"/>
      <c r="N1" s="1"/>
      <c r="O1" s="1"/>
      <c r="P1" s="1"/>
      <c r="Q1" s="1"/>
      <c r="R1" s="1"/>
      <c r="S1" s="1"/>
      <c r="T1" s="1"/>
      <c r="U1" s="1"/>
      <c r="V1" s="1"/>
      <c r="W1" s="21"/>
    </row>
    <row r="2" spans="1:23" ht="15.75" thickBot="1">
      <c r="A2" s="1"/>
      <c r="B2" s="1098" t="s">
        <v>154</v>
      </c>
      <c r="C2" s="1097"/>
      <c r="D2" s="1097"/>
      <c r="E2" s="1097"/>
      <c r="F2" s="1097"/>
      <c r="G2" s="1097"/>
      <c r="H2" s="1097"/>
      <c r="I2" s="1097"/>
      <c r="J2" s="1097"/>
      <c r="K2" s="1097"/>
      <c r="L2" s="1097"/>
      <c r="M2" s="1"/>
      <c r="N2" s="1"/>
      <c r="O2" s="1"/>
      <c r="P2" s="1"/>
      <c r="Q2" s="1"/>
      <c r="R2" s="1"/>
      <c r="S2" s="1"/>
      <c r="T2" s="1"/>
      <c r="U2" s="1"/>
      <c r="V2" s="1"/>
      <c r="W2" s="21"/>
    </row>
    <row r="3" spans="1:23" ht="15.75" thickTop="1">
      <c r="A3" s="1"/>
      <c r="B3" s="567"/>
      <c r="C3" s="497"/>
      <c r="D3" s="497"/>
      <c r="E3" s="497"/>
      <c r="F3" s="497"/>
      <c r="G3" s="497"/>
      <c r="H3" s="673" t="s">
        <v>1047</v>
      </c>
      <c r="I3" s="674"/>
      <c r="J3" s="675"/>
      <c r="K3" s="675"/>
      <c r="L3" s="676"/>
      <c r="M3" s="1"/>
      <c r="N3" s="1"/>
      <c r="O3" s="1"/>
      <c r="P3" s="1"/>
      <c r="Q3" s="1"/>
      <c r="R3" s="1"/>
      <c r="S3" s="1"/>
      <c r="T3" s="1"/>
      <c r="U3" s="1"/>
      <c r="V3" s="1"/>
      <c r="W3" s="21"/>
    </row>
    <row r="4" spans="1:23" ht="15.75" thickBot="1">
      <c r="A4" s="1"/>
      <c r="B4" s="1"/>
      <c r="C4" s="1"/>
      <c r="D4" s="1"/>
      <c r="E4" s="1"/>
      <c r="F4" s="1"/>
      <c r="G4" s="1"/>
      <c r="H4" s="677" t="s">
        <v>912</v>
      </c>
      <c r="I4" s="678"/>
      <c r="J4" s="574"/>
      <c r="K4" s="456"/>
      <c r="L4" s="679"/>
      <c r="M4" s="1"/>
      <c r="N4" s="1"/>
      <c r="O4" s="1"/>
      <c r="P4" s="1"/>
      <c r="Q4" s="1"/>
      <c r="R4" s="1"/>
      <c r="S4" s="1"/>
      <c r="T4" s="1"/>
      <c r="U4" s="1"/>
      <c r="V4" s="1"/>
      <c r="W4" s="21"/>
    </row>
    <row r="5" spans="1:23" ht="15.75" thickBot="1">
      <c r="A5" s="1"/>
      <c r="B5" s="529" t="s">
        <v>160</v>
      </c>
      <c r="C5" s="1"/>
      <c r="D5" s="51">
        <f>'Summary - Tornado Segments'!D5</f>
        <v>66</v>
      </c>
      <c r="E5" s="566"/>
      <c r="F5" s="1"/>
      <c r="G5" s="1"/>
      <c r="H5" s="677" t="s">
        <v>934</v>
      </c>
      <c r="I5" s="678"/>
      <c r="J5" s="574"/>
      <c r="K5" s="456"/>
      <c r="L5" s="679"/>
      <c r="M5" s="1"/>
      <c r="N5" s="1"/>
      <c r="O5" s="1"/>
      <c r="P5" s="1"/>
      <c r="Q5" s="1"/>
      <c r="R5" s="1"/>
      <c r="S5" s="1"/>
      <c r="T5" s="1"/>
      <c r="U5" s="1"/>
      <c r="V5" s="1"/>
      <c r="W5" s="21"/>
    </row>
    <row r="6" spans="1:23" ht="15.75" thickBot="1">
      <c r="A6" s="1"/>
      <c r="B6" s="1"/>
      <c r="C6" s="1"/>
      <c r="D6" s="1"/>
      <c r="E6" s="1"/>
      <c r="F6" s="1"/>
      <c r="G6" s="1"/>
      <c r="H6" s="680" t="s">
        <v>1048</v>
      </c>
      <c r="I6" s="681"/>
      <c r="J6" s="682"/>
      <c r="K6" s="682"/>
      <c r="L6" s="683"/>
      <c r="M6" s="1"/>
      <c r="N6" s="1"/>
      <c r="O6" s="1"/>
      <c r="P6" s="1"/>
      <c r="Q6" s="1"/>
      <c r="R6" s="1"/>
      <c r="S6" s="1"/>
      <c r="T6" s="1"/>
      <c r="U6" s="1"/>
      <c r="V6" s="1"/>
      <c r="W6" s="21"/>
    </row>
    <row r="7" spans="1:23" ht="24.75" thickTop="1" thickBot="1">
      <c r="A7" s="1"/>
      <c r="B7" s="577" t="s">
        <v>882</v>
      </c>
      <c r="C7" s="578"/>
      <c r="D7" s="578"/>
      <c r="E7" s="578"/>
      <c r="F7" s="579"/>
      <c r="G7" s="590"/>
      <c r="H7" s="591"/>
      <c r="I7" s="591"/>
      <c r="J7" s="592"/>
      <c r="K7" s="592"/>
      <c r="L7" s="591"/>
      <c r="M7" s="1"/>
      <c r="N7" s="1"/>
      <c r="O7" s="1"/>
      <c r="P7" s="1"/>
      <c r="Q7" s="1"/>
      <c r="R7" s="1"/>
      <c r="S7" s="1"/>
      <c r="T7" s="1"/>
      <c r="U7" s="1"/>
      <c r="V7" s="1"/>
      <c r="W7" s="21"/>
    </row>
    <row r="8" spans="1:23" ht="16.5" thickTop="1">
      <c r="A8" s="1"/>
      <c r="B8" s="1101" t="s">
        <v>123</v>
      </c>
      <c r="C8" s="1104" t="s">
        <v>509</v>
      </c>
      <c r="D8" s="1105"/>
      <c r="E8" s="1105"/>
      <c r="F8" s="1105"/>
      <c r="G8" s="1105"/>
      <c r="H8" s="1106"/>
      <c r="I8" s="667" t="s">
        <v>155</v>
      </c>
      <c r="J8" s="668" t="s">
        <v>157</v>
      </c>
      <c r="K8" s="667" t="s">
        <v>804</v>
      </c>
      <c r="L8" s="669" t="s">
        <v>804</v>
      </c>
      <c r="M8" s="4" t="s">
        <v>804</v>
      </c>
      <c r="N8" s="5" t="s">
        <v>804</v>
      </c>
      <c r="O8" s="5" t="s">
        <v>804</v>
      </c>
      <c r="P8" s="5" t="s">
        <v>804</v>
      </c>
      <c r="Q8" s="5" t="s">
        <v>804</v>
      </c>
      <c r="R8" s="5" t="s">
        <v>804</v>
      </c>
      <c r="S8" s="5" t="s">
        <v>804</v>
      </c>
      <c r="T8" s="5" t="s">
        <v>804</v>
      </c>
      <c r="U8" s="5" t="s">
        <v>804</v>
      </c>
      <c r="V8" s="5" t="s">
        <v>804</v>
      </c>
      <c r="W8" s="21"/>
    </row>
    <row r="9" spans="1:23" ht="15.75">
      <c r="A9" s="1"/>
      <c r="B9" s="1102"/>
      <c r="C9" s="1090"/>
      <c r="D9" s="1091"/>
      <c r="E9" s="1091"/>
      <c r="F9" s="1091"/>
      <c r="G9" s="1091"/>
      <c r="H9" s="1092"/>
      <c r="I9" s="299" t="s">
        <v>220</v>
      </c>
      <c r="J9" s="303" t="s">
        <v>158</v>
      </c>
      <c r="K9" s="299" t="s">
        <v>220</v>
      </c>
      <c r="L9" s="580" t="s">
        <v>158</v>
      </c>
      <c r="M9" s="4" t="s">
        <v>220</v>
      </c>
      <c r="N9" s="5" t="s">
        <v>805</v>
      </c>
      <c r="O9" s="4" t="s">
        <v>220</v>
      </c>
      <c r="P9" s="5" t="s">
        <v>805</v>
      </c>
      <c r="Q9" s="4" t="s">
        <v>220</v>
      </c>
      <c r="R9" s="5" t="s">
        <v>805</v>
      </c>
      <c r="S9" s="4" t="s">
        <v>220</v>
      </c>
      <c r="T9" s="5" t="s">
        <v>805</v>
      </c>
      <c r="U9" s="4" t="s">
        <v>220</v>
      </c>
      <c r="V9" s="5" t="s">
        <v>805</v>
      </c>
      <c r="W9" s="21"/>
    </row>
    <row r="10" spans="1:23" ht="16.5" thickBot="1">
      <c r="A10" s="1"/>
      <c r="B10" s="1103"/>
      <c r="C10" s="670" t="s">
        <v>195</v>
      </c>
      <c r="D10" s="670" t="s">
        <v>196</v>
      </c>
      <c r="E10" s="670" t="s">
        <v>197</v>
      </c>
      <c r="F10" s="670" t="s">
        <v>198</v>
      </c>
      <c r="G10" s="670" t="s">
        <v>199</v>
      </c>
      <c r="H10" s="670" t="s">
        <v>200</v>
      </c>
      <c r="I10" s="671" t="s">
        <v>221</v>
      </c>
      <c r="J10" s="671" t="s">
        <v>221</v>
      </c>
      <c r="K10" s="671" t="s">
        <v>221</v>
      </c>
      <c r="L10" s="672" t="s">
        <v>221</v>
      </c>
      <c r="M10" s="5" t="s">
        <v>806</v>
      </c>
      <c r="N10" s="5" t="s">
        <v>806</v>
      </c>
      <c r="O10" s="5" t="s">
        <v>807</v>
      </c>
      <c r="P10" s="5" t="s">
        <v>807</v>
      </c>
      <c r="Q10" s="5" t="s">
        <v>808</v>
      </c>
      <c r="R10" s="5" t="s">
        <v>808</v>
      </c>
      <c r="S10" s="5" t="s">
        <v>809</v>
      </c>
      <c r="T10" s="5" t="s">
        <v>809</v>
      </c>
      <c r="U10" s="5" t="s">
        <v>810</v>
      </c>
      <c r="V10" s="5" t="s">
        <v>810</v>
      </c>
      <c r="W10" s="568"/>
    </row>
    <row r="11" spans="1:23" ht="16.5" thickTop="1">
      <c r="A11" s="1"/>
      <c r="B11" s="581"/>
      <c r="C11" s="299"/>
      <c r="D11" s="299"/>
      <c r="E11" s="299"/>
      <c r="F11" s="299"/>
      <c r="G11" s="299"/>
      <c r="H11" s="299"/>
      <c r="I11" s="299"/>
      <c r="J11" s="303"/>
      <c r="K11" s="299"/>
      <c r="L11" s="580"/>
      <c r="M11" s="5"/>
      <c r="N11" s="5"/>
      <c r="O11" s="5"/>
      <c r="P11" s="5"/>
      <c r="Q11" s="5"/>
      <c r="R11" s="5"/>
      <c r="S11" s="5"/>
      <c r="T11" s="5"/>
      <c r="U11" s="5"/>
      <c r="V11" s="5"/>
      <c r="W11" s="21"/>
    </row>
    <row r="12" spans="1:23">
      <c r="A12" s="1"/>
      <c r="B12" s="582">
        <v>1950</v>
      </c>
      <c r="C12" s="300">
        <f>(COUNTIF('Database - Whole Tornadoes'!$P$5:$P$1197, "1950F0"))</f>
        <v>1</v>
      </c>
      <c r="D12" s="300">
        <f>(COUNTIF('Database - Whole Tornadoes'!$P$5:$P$1197, "1950F1"))</f>
        <v>2</v>
      </c>
      <c r="E12" s="300">
        <f>(COUNTIF('Database - Whole Tornadoes'!$P$5:$P$1197, "1950F2"))</f>
        <v>1</v>
      </c>
      <c r="F12" s="300">
        <f>(COUNTIF('Database - Whole Tornadoes'!$P$5:$P$1197, "1950F3"))</f>
        <v>0</v>
      </c>
      <c r="G12" s="300">
        <f>(COUNTIF('Database - Whole Tornadoes'!$P$5:$P$1197, "1950F4"))</f>
        <v>0</v>
      </c>
      <c r="H12" s="300">
        <f>(COUNTIF('Database - Whole Tornadoes'!$P$5:$P$1197, "1950F5"))</f>
        <v>0</v>
      </c>
      <c r="I12" s="304">
        <f t="shared" ref="I12:I75" si="0">SUM(C12:H12)</f>
        <v>4</v>
      </c>
      <c r="J12" s="305"/>
      <c r="K12" s="304">
        <f>I12</f>
        <v>4</v>
      </c>
      <c r="L12" s="583">
        <f>K12/'# Yrs of Data'!D4</f>
        <v>4</v>
      </c>
      <c r="M12" s="2">
        <f>+C12</f>
        <v>1</v>
      </c>
      <c r="N12" s="46">
        <f>+M12/'# Yrs of Data'!D4</f>
        <v>1</v>
      </c>
      <c r="O12" s="2">
        <f>+D12</f>
        <v>2</v>
      </c>
      <c r="P12" s="46">
        <f>+O12/'# Yrs of Data'!D4</f>
        <v>2</v>
      </c>
      <c r="Q12" s="2">
        <f>+E12</f>
        <v>1</v>
      </c>
      <c r="R12" s="46">
        <f>+Q12/'# Yrs of Data'!D4</f>
        <v>1</v>
      </c>
      <c r="S12" s="2">
        <f>+F12</f>
        <v>0</v>
      </c>
      <c r="T12" s="46">
        <f>+S12/'# Yrs of Data'!D4</f>
        <v>0</v>
      </c>
      <c r="U12" s="2">
        <f>+G12</f>
        <v>0</v>
      </c>
      <c r="V12" s="46">
        <f>+U12/'# Yrs of Data'!D4</f>
        <v>0</v>
      </c>
      <c r="W12" s="21"/>
    </row>
    <row r="13" spans="1:23">
      <c r="A13" s="1"/>
      <c r="B13" s="582">
        <f t="shared" ref="B13:B76" si="1">B12+1</f>
        <v>1951</v>
      </c>
      <c r="C13" s="300">
        <f>(COUNTIF('Database - Whole Tornadoes'!$P$5:$P$1197, "1951F0"))</f>
        <v>1</v>
      </c>
      <c r="D13" s="300">
        <f>(COUNTIF('Database - Whole Tornadoes'!$P$5:$P$1197, "1951F1"))</f>
        <v>5</v>
      </c>
      <c r="E13" s="300">
        <f>(COUNTIF('Database - Whole Tornadoes'!$P$5:$P$1197, "1951F2"))</f>
        <v>3</v>
      </c>
      <c r="F13" s="300">
        <f>(COUNTIF('Database - Whole Tornadoes'!$P$5:$P$1197, "1951F3"))</f>
        <v>1</v>
      </c>
      <c r="G13" s="300">
        <f>(COUNTIF('Database - Whole Tornadoes'!$P$5:$P$1197, "1951F4"))</f>
        <v>0</v>
      </c>
      <c r="H13" s="300">
        <f>(COUNTIF('Database - Whole Tornadoes'!$P$5:$P$1197, "1951F5"))</f>
        <v>0</v>
      </c>
      <c r="I13" s="304">
        <f t="shared" si="0"/>
        <v>10</v>
      </c>
      <c r="J13" s="305"/>
      <c r="K13" s="304">
        <f t="shared" ref="K13:K76" si="2">K12+I13</f>
        <v>14</v>
      </c>
      <c r="L13" s="583">
        <f>K13/'# Yrs of Data'!D5</f>
        <v>7</v>
      </c>
      <c r="M13" s="2">
        <f t="shared" ref="M13:M76" si="3">+M12+C13</f>
        <v>2</v>
      </c>
      <c r="N13" s="46">
        <f>+M13/'# Yrs of Data'!D5</f>
        <v>1</v>
      </c>
      <c r="O13" s="2">
        <f t="shared" ref="O13:O76" si="4">+O12+D13</f>
        <v>7</v>
      </c>
      <c r="P13" s="46">
        <f>+O13/'# Yrs of Data'!D5</f>
        <v>3.5</v>
      </c>
      <c r="Q13" s="2">
        <f t="shared" ref="Q13:Q76" si="5">+Q12+E13</f>
        <v>4</v>
      </c>
      <c r="R13" s="46">
        <f>+Q13/'# Yrs of Data'!D5</f>
        <v>2</v>
      </c>
      <c r="S13" s="2">
        <f t="shared" ref="S13:S76" si="6">+S12+F13</f>
        <v>1</v>
      </c>
      <c r="T13" s="46">
        <f>+S13/'# Yrs of Data'!D5</f>
        <v>0.5</v>
      </c>
      <c r="U13" s="2">
        <f t="shared" ref="U13:U76" si="7">+U12+G13</f>
        <v>0</v>
      </c>
      <c r="V13" s="46">
        <f>+U13/'# Yrs of Data'!D5</f>
        <v>0</v>
      </c>
      <c r="W13" s="21"/>
    </row>
    <row r="14" spans="1:23">
      <c r="A14" s="1"/>
      <c r="B14" s="582">
        <f t="shared" si="1"/>
        <v>1952</v>
      </c>
      <c r="C14" s="300">
        <f>(COUNTIF('Database - Whole Tornadoes'!$P$5:$P$1197, "1952F0"))</f>
        <v>0</v>
      </c>
      <c r="D14" s="300">
        <f>(COUNTIF('Database - Whole Tornadoes'!$P$5:$P$1197, "1952F1"))</f>
        <v>1</v>
      </c>
      <c r="E14" s="300">
        <f>(COUNTIF('Database - Whole Tornadoes'!$P$5:$P$1197, "1952F2"))</f>
        <v>0</v>
      </c>
      <c r="F14" s="300">
        <f>(COUNTIF('Database - Whole Tornadoes'!$P$5:$P$1197, "1952F3"))</f>
        <v>0</v>
      </c>
      <c r="G14" s="300">
        <f>(COUNTIF('Database - Whole Tornadoes'!$P$5:$P$1197, "1952F4"))</f>
        <v>0</v>
      </c>
      <c r="H14" s="300">
        <f>(COUNTIF('Database - Whole Tornadoes'!$P$5:$P$1197, "1952F5"))</f>
        <v>0</v>
      </c>
      <c r="I14" s="304">
        <f t="shared" si="0"/>
        <v>1</v>
      </c>
      <c r="J14" s="305"/>
      <c r="K14" s="304">
        <f t="shared" si="2"/>
        <v>15</v>
      </c>
      <c r="L14" s="583">
        <f>K14/'# Yrs of Data'!D6</f>
        <v>5</v>
      </c>
      <c r="M14" s="2">
        <f t="shared" si="3"/>
        <v>2</v>
      </c>
      <c r="N14" s="46">
        <f>+M14/'# Yrs of Data'!D6</f>
        <v>0.66666666666666663</v>
      </c>
      <c r="O14" s="2">
        <f t="shared" si="4"/>
        <v>8</v>
      </c>
      <c r="P14" s="46">
        <f>+O14/'# Yrs of Data'!D6</f>
        <v>2.6666666666666665</v>
      </c>
      <c r="Q14" s="2">
        <f t="shared" si="5"/>
        <v>4</v>
      </c>
      <c r="R14" s="46">
        <f>+Q14/'# Yrs of Data'!D6</f>
        <v>1.3333333333333333</v>
      </c>
      <c r="S14" s="2">
        <f t="shared" si="6"/>
        <v>1</v>
      </c>
      <c r="T14" s="46">
        <f>+S14/'# Yrs of Data'!D6</f>
        <v>0.33333333333333331</v>
      </c>
      <c r="U14" s="2">
        <f t="shared" si="7"/>
        <v>0</v>
      </c>
      <c r="V14" s="46">
        <f>+U14/'# Yrs of Data'!D6</f>
        <v>0</v>
      </c>
      <c r="W14" s="21"/>
    </row>
    <row r="15" spans="1:23">
      <c r="A15" s="1"/>
      <c r="B15" s="582">
        <f t="shared" si="1"/>
        <v>1953</v>
      </c>
      <c r="C15" s="300">
        <f>(COUNTIF('Database - Whole Tornadoes'!$P$5:$P$1197, "1953F0"))</f>
        <v>1</v>
      </c>
      <c r="D15" s="300">
        <f>(COUNTIF('Database - Whole Tornadoes'!$P$5:$P$1197, "1953F1"))</f>
        <v>1</v>
      </c>
      <c r="E15" s="300">
        <f>(COUNTIF('Database - Whole Tornadoes'!$P$5:$P$1197, "1953F2"))</f>
        <v>0</v>
      </c>
      <c r="F15" s="300">
        <f>(COUNTIF('Database - Whole Tornadoes'!$P$5:$P$1197, "1953F3"))</f>
        <v>0</v>
      </c>
      <c r="G15" s="300">
        <f>(COUNTIF('Database - Whole Tornadoes'!$P$5:$P$1197, "1953F4"))</f>
        <v>0</v>
      </c>
      <c r="H15" s="300">
        <f>(COUNTIF('Database - Whole Tornadoes'!$P$5:$P$1197, "1953F5"))</f>
        <v>0</v>
      </c>
      <c r="I15" s="304">
        <f t="shared" si="0"/>
        <v>2</v>
      </c>
      <c r="J15" s="305"/>
      <c r="K15" s="304">
        <f t="shared" si="2"/>
        <v>17</v>
      </c>
      <c r="L15" s="583">
        <f>K15/'# Yrs of Data'!D7</f>
        <v>4.25</v>
      </c>
      <c r="M15" s="2">
        <f t="shared" si="3"/>
        <v>3</v>
      </c>
      <c r="N15" s="46">
        <f>+M15/'# Yrs of Data'!D7</f>
        <v>0.75</v>
      </c>
      <c r="O15" s="2">
        <f t="shared" si="4"/>
        <v>9</v>
      </c>
      <c r="P15" s="46">
        <f>+O15/'# Yrs of Data'!D7</f>
        <v>2.25</v>
      </c>
      <c r="Q15" s="2">
        <f t="shared" si="5"/>
        <v>4</v>
      </c>
      <c r="R15" s="46">
        <f>+Q15/'# Yrs of Data'!D7</f>
        <v>1</v>
      </c>
      <c r="S15" s="2">
        <f t="shared" si="6"/>
        <v>1</v>
      </c>
      <c r="T15" s="46">
        <f>+S15/'# Yrs of Data'!D7</f>
        <v>0.25</v>
      </c>
      <c r="U15" s="2">
        <f t="shared" si="7"/>
        <v>0</v>
      </c>
      <c r="V15" s="46">
        <f>+U15/'# Yrs of Data'!D7</f>
        <v>0</v>
      </c>
      <c r="W15" s="21"/>
    </row>
    <row r="16" spans="1:23">
      <c r="A16" s="1"/>
      <c r="B16" s="582">
        <f t="shared" si="1"/>
        <v>1954</v>
      </c>
      <c r="C16" s="300">
        <f>(COUNTIF('Database - Whole Tornadoes'!$P$5:$P$1197, "1954F0"))</f>
        <v>1</v>
      </c>
      <c r="D16" s="300">
        <f>(COUNTIF('Database - Whole Tornadoes'!$P$5:$P$1197, "1954F1"))</f>
        <v>1</v>
      </c>
      <c r="E16" s="300">
        <f>(COUNTIF('Database - Whole Tornadoes'!$P$5:$P$1197, "1954F2"))</f>
        <v>0</v>
      </c>
      <c r="F16" s="300">
        <f>(COUNTIF('Database - Whole Tornadoes'!$P$5:$P$1197, "1954F3"))</f>
        <v>0</v>
      </c>
      <c r="G16" s="300">
        <f>(COUNTIF('Database - Whole Tornadoes'!$P$5:$P$1197, "1954F4"))</f>
        <v>0</v>
      </c>
      <c r="H16" s="300">
        <f>(COUNTIF('Database - Whole Tornadoes'!$P$5:$P$1197, "1954F5"))</f>
        <v>0</v>
      </c>
      <c r="I16" s="304">
        <f t="shared" si="0"/>
        <v>2</v>
      </c>
      <c r="J16" s="305"/>
      <c r="K16" s="304">
        <f t="shared" si="2"/>
        <v>19</v>
      </c>
      <c r="L16" s="583">
        <f>K16/'# Yrs of Data'!D8</f>
        <v>3.8</v>
      </c>
      <c r="M16" s="2">
        <f t="shared" si="3"/>
        <v>4</v>
      </c>
      <c r="N16" s="46">
        <f>+M16/'# Yrs of Data'!D8</f>
        <v>0.8</v>
      </c>
      <c r="O16" s="2">
        <f t="shared" si="4"/>
        <v>10</v>
      </c>
      <c r="P16" s="46">
        <f>+O16/'# Yrs of Data'!D8</f>
        <v>2</v>
      </c>
      <c r="Q16" s="2">
        <f t="shared" si="5"/>
        <v>4</v>
      </c>
      <c r="R16" s="46">
        <f>+Q16/'# Yrs of Data'!D8</f>
        <v>0.8</v>
      </c>
      <c r="S16" s="2">
        <f t="shared" si="6"/>
        <v>1</v>
      </c>
      <c r="T16" s="46">
        <f>+S16/'# Yrs of Data'!D8</f>
        <v>0.2</v>
      </c>
      <c r="U16" s="2">
        <f t="shared" si="7"/>
        <v>0</v>
      </c>
      <c r="V16" s="46">
        <f>+U16/'# Yrs of Data'!D8</f>
        <v>0</v>
      </c>
      <c r="W16" s="21"/>
    </row>
    <row r="17" spans="1:23">
      <c r="A17" s="1"/>
      <c r="B17" s="582">
        <f t="shared" si="1"/>
        <v>1955</v>
      </c>
      <c r="C17" s="300">
        <f>(COUNTIF('Database - Whole Tornadoes'!$P$5:$P$1197, "1955F0"))</f>
        <v>12</v>
      </c>
      <c r="D17" s="300">
        <f>(COUNTIF('Database - Whole Tornadoes'!$P$5:$P$1197, "1955F1"))</f>
        <v>2</v>
      </c>
      <c r="E17" s="300">
        <f>(COUNTIF('Database - Whole Tornadoes'!$P$5:$P$1197, "1955F2"))</f>
        <v>1</v>
      </c>
      <c r="F17" s="300">
        <f>(COUNTIF('Database - Whole Tornadoes'!$P$5:$P$1197, "1955F3"))</f>
        <v>2</v>
      </c>
      <c r="G17" s="300">
        <f>(COUNTIF('Database - Whole Tornadoes'!$P$5:$P$1197, "1955F4"))</f>
        <v>1</v>
      </c>
      <c r="H17" s="300">
        <f>(COUNTIF('Database - Whole Tornadoes'!$P$5:$P$1197, "1955F5"))</f>
        <v>0</v>
      </c>
      <c r="I17" s="304">
        <f t="shared" si="0"/>
        <v>18</v>
      </c>
      <c r="J17" s="305"/>
      <c r="K17" s="304">
        <f t="shared" si="2"/>
        <v>37</v>
      </c>
      <c r="L17" s="583">
        <f>K17/'# Yrs of Data'!D9</f>
        <v>6.166666666666667</v>
      </c>
      <c r="M17" s="2">
        <f t="shared" si="3"/>
        <v>16</v>
      </c>
      <c r="N17" s="46">
        <f>+M17/'# Yrs of Data'!D9</f>
        <v>2.6666666666666665</v>
      </c>
      <c r="O17" s="2">
        <f t="shared" si="4"/>
        <v>12</v>
      </c>
      <c r="P17" s="46">
        <f>+O17/'# Yrs of Data'!D9</f>
        <v>2</v>
      </c>
      <c r="Q17" s="2">
        <f t="shared" si="5"/>
        <v>5</v>
      </c>
      <c r="R17" s="46">
        <f>+Q17/'# Yrs of Data'!D9</f>
        <v>0.83333333333333337</v>
      </c>
      <c r="S17" s="2">
        <f t="shared" si="6"/>
        <v>3</v>
      </c>
      <c r="T17" s="46">
        <f>+S17/'# Yrs of Data'!D9</f>
        <v>0.5</v>
      </c>
      <c r="U17" s="2">
        <f t="shared" si="7"/>
        <v>1</v>
      </c>
      <c r="V17" s="46">
        <f>+U17/'# Yrs of Data'!D9</f>
        <v>0.16666666666666666</v>
      </c>
      <c r="W17" s="21"/>
    </row>
    <row r="18" spans="1:23">
      <c r="A18" s="1"/>
      <c r="B18" s="582">
        <f t="shared" si="1"/>
        <v>1956</v>
      </c>
      <c r="C18" s="300">
        <f>(COUNTIF('Database - Whole Tornadoes'!$P$5:$P$1197, "1956F0"))</f>
        <v>1</v>
      </c>
      <c r="D18" s="300">
        <f>(COUNTIF('Database - Whole Tornadoes'!$P$5:$P$1197, "1956F1"))</f>
        <v>1</v>
      </c>
      <c r="E18" s="300">
        <f>(COUNTIF('Database - Whole Tornadoes'!$P$5:$P$1197, "1956F2"))</f>
        <v>0</v>
      </c>
      <c r="F18" s="300">
        <f>(COUNTIF('Database - Whole Tornadoes'!$P$5:$P$1197, "1956F3"))</f>
        <v>0</v>
      </c>
      <c r="G18" s="300">
        <f>(COUNTIF('Database - Whole Tornadoes'!$P$5:$P$1197, "1956F4"))</f>
        <v>0</v>
      </c>
      <c r="H18" s="300">
        <f>(COUNTIF('Database - Whole Tornadoes'!$P$5:$P$1197, "1956F5"))</f>
        <v>0</v>
      </c>
      <c r="I18" s="304">
        <f t="shared" si="0"/>
        <v>2</v>
      </c>
      <c r="J18" s="305"/>
      <c r="K18" s="304">
        <f t="shared" si="2"/>
        <v>39</v>
      </c>
      <c r="L18" s="583">
        <f>K18/'# Yrs of Data'!D10</f>
        <v>5.5714285714285712</v>
      </c>
      <c r="M18" s="2">
        <f t="shared" si="3"/>
        <v>17</v>
      </c>
      <c r="N18" s="46">
        <f>+M18/'# Yrs of Data'!D10</f>
        <v>2.4285714285714284</v>
      </c>
      <c r="O18" s="2">
        <f t="shared" si="4"/>
        <v>13</v>
      </c>
      <c r="P18" s="46">
        <f>+O18/'# Yrs of Data'!D10</f>
        <v>1.8571428571428572</v>
      </c>
      <c r="Q18" s="2">
        <f t="shared" si="5"/>
        <v>5</v>
      </c>
      <c r="R18" s="46">
        <f>+Q18/'# Yrs of Data'!D10</f>
        <v>0.7142857142857143</v>
      </c>
      <c r="S18" s="2">
        <f t="shared" si="6"/>
        <v>3</v>
      </c>
      <c r="T18" s="46">
        <f>+S18/'# Yrs of Data'!D10</f>
        <v>0.42857142857142855</v>
      </c>
      <c r="U18" s="2">
        <f t="shared" si="7"/>
        <v>1</v>
      </c>
      <c r="V18" s="46">
        <f>+U18/'# Yrs of Data'!D10</f>
        <v>0.14285714285714285</v>
      </c>
      <c r="W18" s="21"/>
    </row>
    <row r="19" spans="1:23">
      <c r="A19" s="1"/>
      <c r="B19" s="582">
        <f t="shared" si="1"/>
        <v>1957</v>
      </c>
      <c r="C19" s="300">
        <f>(COUNTIF('Database - Whole Tornadoes'!$P$5:$P$1197, "1957F0"))</f>
        <v>3</v>
      </c>
      <c r="D19" s="300">
        <f>(COUNTIF('Database - Whole Tornadoes'!$P$5:$P$1197, "1957F1"))</f>
        <v>3</v>
      </c>
      <c r="E19" s="300">
        <f>(COUNTIF('Database - Whole Tornadoes'!$P$5:$P$1197, "1957F2"))</f>
        <v>3</v>
      </c>
      <c r="F19" s="300">
        <f>(COUNTIF('Database - Whole Tornadoes'!$P$5:$P$1197, "1957F3"))</f>
        <v>1</v>
      </c>
      <c r="G19" s="300">
        <f>(COUNTIF('Database - Whole Tornadoes'!$P$5:$P$1197, "1957F4"))</f>
        <v>0</v>
      </c>
      <c r="H19" s="300">
        <f>(COUNTIF('Database - Whole Tornadoes'!$P$5:$P$1197, "1957F5"))</f>
        <v>0</v>
      </c>
      <c r="I19" s="304">
        <f t="shared" si="0"/>
        <v>10</v>
      </c>
      <c r="J19" s="305"/>
      <c r="K19" s="304">
        <f t="shared" si="2"/>
        <v>49</v>
      </c>
      <c r="L19" s="583">
        <f>K19/'# Yrs of Data'!D11</f>
        <v>6.125</v>
      </c>
      <c r="M19" s="2">
        <f t="shared" si="3"/>
        <v>20</v>
      </c>
      <c r="N19" s="46">
        <f>+M19/'# Yrs of Data'!D11</f>
        <v>2.5</v>
      </c>
      <c r="O19" s="2">
        <f t="shared" si="4"/>
        <v>16</v>
      </c>
      <c r="P19" s="46">
        <f>+O19/'# Yrs of Data'!D11</f>
        <v>2</v>
      </c>
      <c r="Q19" s="2">
        <f t="shared" si="5"/>
        <v>8</v>
      </c>
      <c r="R19" s="46">
        <f>+Q19/'# Yrs of Data'!D11</f>
        <v>1</v>
      </c>
      <c r="S19" s="2">
        <f t="shared" si="6"/>
        <v>4</v>
      </c>
      <c r="T19" s="46">
        <f>+S19/'# Yrs of Data'!D11</f>
        <v>0.5</v>
      </c>
      <c r="U19" s="2">
        <f t="shared" si="7"/>
        <v>1</v>
      </c>
      <c r="V19" s="46">
        <f>+U19/'# Yrs of Data'!D11</f>
        <v>0.125</v>
      </c>
      <c r="W19" s="21"/>
    </row>
    <row r="20" spans="1:23">
      <c r="A20" s="1"/>
      <c r="B20" s="582">
        <f t="shared" si="1"/>
        <v>1958</v>
      </c>
      <c r="C20" s="300">
        <f>(COUNTIF('Database - Whole Tornadoes'!$P$5:$P$1197, "1958F0"))</f>
        <v>4</v>
      </c>
      <c r="D20" s="300">
        <f>(COUNTIF('Database - Whole Tornadoes'!$P$5:$P$1197, "1958F1"))</f>
        <v>7</v>
      </c>
      <c r="E20" s="300">
        <f>(COUNTIF('Database - Whole Tornadoes'!$P$5:$P$1197, "1958F2"))</f>
        <v>0</v>
      </c>
      <c r="F20" s="300">
        <f>(COUNTIF('Database - Whole Tornadoes'!$P$5:$P$1197, "1958F3"))</f>
        <v>0</v>
      </c>
      <c r="G20" s="300">
        <f>(COUNTIF('Database - Whole Tornadoes'!$P$5:$P$1197, "1958F4"))</f>
        <v>0</v>
      </c>
      <c r="H20" s="300">
        <f>(COUNTIF('Database - Whole Tornadoes'!$P$5:$P$1197, "1958F5"))</f>
        <v>0</v>
      </c>
      <c r="I20" s="304">
        <f t="shared" si="0"/>
        <v>11</v>
      </c>
      <c r="J20" s="305"/>
      <c r="K20" s="304">
        <f t="shared" si="2"/>
        <v>60</v>
      </c>
      <c r="L20" s="583">
        <f>K20/'# Yrs of Data'!D12</f>
        <v>6.666666666666667</v>
      </c>
      <c r="M20" s="2">
        <f t="shared" si="3"/>
        <v>24</v>
      </c>
      <c r="N20" s="46">
        <f>+M20/'# Yrs of Data'!D12</f>
        <v>2.6666666666666665</v>
      </c>
      <c r="O20" s="2">
        <f t="shared" si="4"/>
        <v>23</v>
      </c>
      <c r="P20" s="46">
        <f>+O20/'# Yrs of Data'!D12</f>
        <v>2.5555555555555554</v>
      </c>
      <c r="Q20" s="2">
        <f t="shared" si="5"/>
        <v>8</v>
      </c>
      <c r="R20" s="46">
        <f>+Q20/'# Yrs of Data'!D12</f>
        <v>0.88888888888888884</v>
      </c>
      <c r="S20" s="2">
        <f t="shared" si="6"/>
        <v>4</v>
      </c>
      <c r="T20" s="46">
        <f>+S20/'# Yrs of Data'!D12</f>
        <v>0.44444444444444442</v>
      </c>
      <c r="U20" s="2">
        <f t="shared" si="7"/>
        <v>1</v>
      </c>
      <c r="V20" s="46">
        <f>+U20/'# Yrs of Data'!D12</f>
        <v>0.1111111111111111</v>
      </c>
      <c r="W20" s="21"/>
    </row>
    <row r="21" spans="1:23">
      <c r="A21" s="1"/>
      <c r="B21" s="582">
        <f t="shared" si="1"/>
        <v>1959</v>
      </c>
      <c r="C21" s="300">
        <f>(COUNTIF('Database - Whole Tornadoes'!$P$5:$P$1197, "1959F0"))</f>
        <v>2</v>
      </c>
      <c r="D21" s="300">
        <f>(COUNTIF('Database - Whole Tornadoes'!$P$5:$P$1197, "1959F1"))</f>
        <v>4</v>
      </c>
      <c r="E21" s="300">
        <f>(COUNTIF('Database - Whole Tornadoes'!$P$5:$P$1197, "1959F2"))</f>
        <v>0</v>
      </c>
      <c r="F21" s="300">
        <f>(COUNTIF('Database - Whole Tornadoes'!$P$5:$P$1197, "1959F3"))</f>
        <v>0</v>
      </c>
      <c r="G21" s="300">
        <f>(COUNTIF('Database - Whole Tornadoes'!$P$5:$P$1197, "1959F4"))</f>
        <v>0</v>
      </c>
      <c r="H21" s="300">
        <f>(COUNTIF('Database - Whole Tornadoes'!$P$5:$P$1197, "1959F5"))</f>
        <v>0</v>
      </c>
      <c r="I21" s="304">
        <f t="shared" si="0"/>
        <v>6</v>
      </c>
      <c r="J21" s="305">
        <f t="shared" ref="J21:J84" si="8">SUM(I12:I21)/10</f>
        <v>6.6</v>
      </c>
      <c r="K21" s="304">
        <f t="shared" si="2"/>
        <v>66</v>
      </c>
      <c r="L21" s="583">
        <f>K21/'# Yrs of Data'!D13</f>
        <v>6.6</v>
      </c>
      <c r="M21" s="2">
        <f t="shared" si="3"/>
        <v>26</v>
      </c>
      <c r="N21" s="46">
        <f>+M21/'# Yrs of Data'!D13</f>
        <v>2.6</v>
      </c>
      <c r="O21" s="2">
        <f t="shared" si="4"/>
        <v>27</v>
      </c>
      <c r="P21" s="46">
        <f>+O21/'# Yrs of Data'!D13</f>
        <v>2.7</v>
      </c>
      <c r="Q21" s="2">
        <f t="shared" si="5"/>
        <v>8</v>
      </c>
      <c r="R21" s="46">
        <f>+Q21/'# Yrs of Data'!D13</f>
        <v>0.8</v>
      </c>
      <c r="S21" s="2">
        <f t="shared" si="6"/>
        <v>4</v>
      </c>
      <c r="T21" s="46">
        <f>+S21/'# Yrs of Data'!D13</f>
        <v>0.4</v>
      </c>
      <c r="U21" s="2">
        <f t="shared" si="7"/>
        <v>1</v>
      </c>
      <c r="V21" s="46">
        <f>+U21/'# Yrs of Data'!D13</f>
        <v>0.1</v>
      </c>
      <c r="W21" s="21"/>
    </row>
    <row r="22" spans="1:23">
      <c r="A22" s="1"/>
      <c r="B22" s="582">
        <f t="shared" si="1"/>
        <v>1960</v>
      </c>
      <c r="C22" s="300">
        <f>(COUNTIF('Database - Whole Tornadoes'!$P$5:$P$1197, "1960F0"))</f>
        <v>6</v>
      </c>
      <c r="D22" s="300">
        <f>(COUNTIF('Database - Whole Tornadoes'!$P$5:$P$1197, "1960F1"))</f>
        <v>6</v>
      </c>
      <c r="E22" s="300">
        <f>(COUNTIF('Database - Whole Tornadoes'!$P$5:$P$1197, "1960F2"))</f>
        <v>1</v>
      </c>
      <c r="F22" s="300">
        <f>(COUNTIF('Database - Whole Tornadoes'!$P$5:$P$1197, "1960F3"))</f>
        <v>0</v>
      </c>
      <c r="G22" s="300">
        <f>(COUNTIF('Database - Whole Tornadoes'!$P$5:$P$1197, "1960F4"))</f>
        <v>0</v>
      </c>
      <c r="H22" s="300">
        <f>(COUNTIF('Database - Whole Tornadoes'!$P$5:$P$1197, "1960F5"))</f>
        <v>0</v>
      </c>
      <c r="I22" s="304">
        <f t="shared" si="0"/>
        <v>13</v>
      </c>
      <c r="J22" s="305">
        <f t="shared" si="8"/>
        <v>7.5</v>
      </c>
      <c r="K22" s="304">
        <f t="shared" si="2"/>
        <v>79</v>
      </c>
      <c r="L22" s="583">
        <f>K22/'# Yrs of Data'!D14</f>
        <v>7.1818181818181817</v>
      </c>
      <c r="M22" s="2">
        <f t="shared" si="3"/>
        <v>32</v>
      </c>
      <c r="N22" s="46">
        <f>+M22/'# Yrs of Data'!D14</f>
        <v>2.9090909090909092</v>
      </c>
      <c r="O22" s="2">
        <f t="shared" si="4"/>
        <v>33</v>
      </c>
      <c r="P22" s="46">
        <f>+O22/'# Yrs of Data'!D14</f>
        <v>3</v>
      </c>
      <c r="Q22" s="2">
        <f t="shared" si="5"/>
        <v>9</v>
      </c>
      <c r="R22" s="46">
        <f>+Q22/'# Yrs of Data'!D14</f>
        <v>0.81818181818181823</v>
      </c>
      <c r="S22" s="2">
        <f t="shared" si="6"/>
        <v>4</v>
      </c>
      <c r="T22" s="46">
        <f>+S22/'# Yrs of Data'!D14</f>
        <v>0.36363636363636365</v>
      </c>
      <c r="U22" s="2">
        <f t="shared" si="7"/>
        <v>1</v>
      </c>
      <c r="V22" s="46">
        <f>+U22/'# Yrs of Data'!D14</f>
        <v>9.0909090909090912E-2</v>
      </c>
      <c r="W22" s="21"/>
    </row>
    <row r="23" spans="1:23">
      <c r="A23" s="1"/>
      <c r="B23" s="582">
        <f t="shared" si="1"/>
        <v>1961</v>
      </c>
      <c r="C23" s="300">
        <f>(COUNTIF('Database - Whole Tornadoes'!$P$5:$P$1197, "1961F0"))</f>
        <v>5</v>
      </c>
      <c r="D23" s="300">
        <f>(COUNTIF('Database - Whole Tornadoes'!$P$5:$P$1197, "1961F1"))</f>
        <v>5</v>
      </c>
      <c r="E23" s="300">
        <f>(COUNTIF('Database - Whole Tornadoes'!$P$5:$P$1197, "1961F2"))</f>
        <v>5</v>
      </c>
      <c r="F23" s="300">
        <f>(COUNTIF('Database - Whole Tornadoes'!$P$5:$P$1197, "1961F3"))</f>
        <v>0</v>
      </c>
      <c r="G23" s="300">
        <f>(COUNTIF('Database - Whole Tornadoes'!$P$5:$P$1197, "1961F4"))</f>
        <v>0</v>
      </c>
      <c r="H23" s="300">
        <f>(COUNTIF('Database - Whole Tornadoes'!$P$5:$P$1197, "1961F5"))</f>
        <v>0</v>
      </c>
      <c r="I23" s="304">
        <f t="shared" si="0"/>
        <v>15</v>
      </c>
      <c r="J23" s="305">
        <f t="shared" si="8"/>
        <v>8</v>
      </c>
      <c r="K23" s="304">
        <f t="shared" si="2"/>
        <v>94</v>
      </c>
      <c r="L23" s="583">
        <f>K23/'# Yrs of Data'!D15</f>
        <v>7.833333333333333</v>
      </c>
      <c r="M23" s="2">
        <f t="shared" si="3"/>
        <v>37</v>
      </c>
      <c r="N23" s="46">
        <f>+M23/'# Yrs of Data'!D15</f>
        <v>3.0833333333333335</v>
      </c>
      <c r="O23" s="2">
        <f t="shared" si="4"/>
        <v>38</v>
      </c>
      <c r="P23" s="46">
        <f>+O23/'# Yrs of Data'!D15</f>
        <v>3.1666666666666665</v>
      </c>
      <c r="Q23" s="2">
        <f t="shared" si="5"/>
        <v>14</v>
      </c>
      <c r="R23" s="46">
        <f>+Q23/'# Yrs of Data'!D15</f>
        <v>1.1666666666666667</v>
      </c>
      <c r="S23" s="2">
        <f t="shared" si="6"/>
        <v>4</v>
      </c>
      <c r="T23" s="46">
        <f>+S23/'# Yrs of Data'!D15</f>
        <v>0.33333333333333331</v>
      </c>
      <c r="U23" s="2">
        <f t="shared" si="7"/>
        <v>1</v>
      </c>
      <c r="V23" s="46">
        <f>+U23/'# Yrs of Data'!D15</f>
        <v>8.3333333333333329E-2</v>
      </c>
      <c r="W23" s="21"/>
    </row>
    <row r="24" spans="1:23">
      <c r="A24" s="1"/>
      <c r="B24" s="582">
        <f t="shared" si="1"/>
        <v>1962</v>
      </c>
      <c r="C24" s="300">
        <f>(COUNTIF('Database - Whole Tornadoes'!$P$5:$P$1197, "1962F0"))</f>
        <v>9</v>
      </c>
      <c r="D24" s="300">
        <f>(COUNTIF('Database - Whole Tornadoes'!$P$5:$P$1197, "1962F1"))</f>
        <v>12</v>
      </c>
      <c r="E24" s="300">
        <f>(COUNTIF('Database - Whole Tornadoes'!$P$5:$P$1197, "1962F2"))</f>
        <v>4</v>
      </c>
      <c r="F24" s="300">
        <f>(COUNTIF('Database - Whole Tornadoes'!$P$5:$P$1197, "1962F3"))</f>
        <v>1</v>
      </c>
      <c r="G24" s="300">
        <f>(COUNTIF('Database - Whole Tornadoes'!$P$5:$P$1197, "1962F4"))</f>
        <v>0</v>
      </c>
      <c r="H24" s="300">
        <f>(COUNTIF('Database - Whole Tornadoes'!$P$5:$P$1197, "1962F5"))</f>
        <v>0</v>
      </c>
      <c r="I24" s="304">
        <f t="shared" si="0"/>
        <v>26</v>
      </c>
      <c r="J24" s="305">
        <f t="shared" si="8"/>
        <v>10.5</v>
      </c>
      <c r="K24" s="304">
        <f t="shared" si="2"/>
        <v>120</v>
      </c>
      <c r="L24" s="583">
        <f>K24/'# Yrs of Data'!D16</f>
        <v>9.2307692307692299</v>
      </c>
      <c r="M24" s="2">
        <f t="shared" si="3"/>
        <v>46</v>
      </c>
      <c r="N24" s="46">
        <f>+M24/'# Yrs of Data'!D16</f>
        <v>3.5384615384615383</v>
      </c>
      <c r="O24" s="2">
        <f t="shared" si="4"/>
        <v>50</v>
      </c>
      <c r="P24" s="46">
        <f>+O24/'# Yrs of Data'!D16</f>
        <v>3.8461538461538463</v>
      </c>
      <c r="Q24" s="2">
        <f t="shared" si="5"/>
        <v>18</v>
      </c>
      <c r="R24" s="46">
        <f>+Q24/'# Yrs of Data'!D16</f>
        <v>1.3846153846153846</v>
      </c>
      <c r="S24" s="2">
        <f t="shared" si="6"/>
        <v>5</v>
      </c>
      <c r="T24" s="46">
        <f>+S24/'# Yrs of Data'!D16</f>
        <v>0.38461538461538464</v>
      </c>
      <c r="U24" s="2">
        <f t="shared" si="7"/>
        <v>1</v>
      </c>
      <c r="V24" s="46">
        <f>+U24/'# Yrs of Data'!D16</f>
        <v>7.6923076923076927E-2</v>
      </c>
      <c r="W24" s="21"/>
    </row>
    <row r="25" spans="1:23">
      <c r="A25" s="1"/>
      <c r="B25" s="582">
        <f t="shared" si="1"/>
        <v>1963</v>
      </c>
      <c r="C25" s="300">
        <f>(COUNTIF('Database - Whole Tornadoes'!$P$5:$P$1197, "1963F0"))</f>
        <v>2</v>
      </c>
      <c r="D25" s="300">
        <f>(COUNTIF('Database - Whole Tornadoes'!$P$5:$P$1197, "1963F1"))</f>
        <v>1</v>
      </c>
      <c r="E25" s="300">
        <f>(COUNTIF('Database - Whole Tornadoes'!$P$5:$P$1197, "1963F2"))</f>
        <v>1</v>
      </c>
      <c r="F25" s="300">
        <f>(COUNTIF('Database - Whole Tornadoes'!$P$5:$P$1197, "1963F3"))</f>
        <v>1</v>
      </c>
      <c r="G25" s="300">
        <f>(COUNTIF('Database - Whole Tornadoes'!$P$5:$P$1197, "1963F4"))</f>
        <v>0</v>
      </c>
      <c r="H25" s="300">
        <f>(COUNTIF('Database - Whole Tornadoes'!$P$5:$P$1197, "1963F5"))</f>
        <v>0</v>
      </c>
      <c r="I25" s="304">
        <f t="shared" si="0"/>
        <v>5</v>
      </c>
      <c r="J25" s="305">
        <f t="shared" si="8"/>
        <v>10.8</v>
      </c>
      <c r="K25" s="304">
        <f t="shared" si="2"/>
        <v>125</v>
      </c>
      <c r="L25" s="583">
        <f>K25/'# Yrs of Data'!D17</f>
        <v>8.9285714285714288</v>
      </c>
      <c r="M25" s="2">
        <f t="shared" si="3"/>
        <v>48</v>
      </c>
      <c r="N25" s="46">
        <f>+M25/'# Yrs of Data'!D17</f>
        <v>3.4285714285714284</v>
      </c>
      <c r="O25" s="2">
        <f t="shared" si="4"/>
        <v>51</v>
      </c>
      <c r="P25" s="46">
        <f>+O25/'# Yrs of Data'!D17</f>
        <v>3.6428571428571428</v>
      </c>
      <c r="Q25" s="2">
        <f t="shared" si="5"/>
        <v>19</v>
      </c>
      <c r="R25" s="46">
        <f>+Q25/'# Yrs of Data'!D17</f>
        <v>1.3571428571428572</v>
      </c>
      <c r="S25" s="2">
        <f t="shared" si="6"/>
        <v>6</v>
      </c>
      <c r="T25" s="46">
        <f>+S25/'# Yrs of Data'!D17</f>
        <v>0.42857142857142855</v>
      </c>
      <c r="U25" s="2">
        <f t="shared" si="7"/>
        <v>1</v>
      </c>
      <c r="V25" s="46">
        <f>+U25/'# Yrs of Data'!D17</f>
        <v>7.1428571428571425E-2</v>
      </c>
      <c r="W25" s="21"/>
    </row>
    <row r="26" spans="1:23">
      <c r="A26" s="1"/>
      <c r="B26" s="582">
        <f t="shared" si="1"/>
        <v>1964</v>
      </c>
      <c r="C26" s="300">
        <f>(COUNTIF('Database - Whole Tornadoes'!$P$5:$P$1197, "1964F0"))</f>
        <v>3</v>
      </c>
      <c r="D26" s="300">
        <f>(COUNTIF('Database - Whole Tornadoes'!$P$5:$P$1197, "1964F1"))</f>
        <v>0</v>
      </c>
      <c r="E26" s="300">
        <f>(COUNTIF('Database - Whole Tornadoes'!$P$5:$P$1197, "1964F2"))</f>
        <v>1</v>
      </c>
      <c r="F26" s="300">
        <f>(COUNTIF('Database - Whole Tornadoes'!$P$5:$P$1197, "1964F3"))</f>
        <v>0</v>
      </c>
      <c r="G26" s="300">
        <f>(COUNTIF('Database - Whole Tornadoes'!$P$5:$P$1197, "1964F4"))</f>
        <v>0</v>
      </c>
      <c r="H26" s="300">
        <f>(COUNTIF('Database - Whole Tornadoes'!$P$5:$P$1197, "1964F5"))</f>
        <v>0</v>
      </c>
      <c r="I26" s="304">
        <f t="shared" si="0"/>
        <v>4</v>
      </c>
      <c r="J26" s="305">
        <f t="shared" si="8"/>
        <v>11</v>
      </c>
      <c r="K26" s="304">
        <f t="shared" si="2"/>
        <v>129</v>
      </c>
      <c r="L26" s="583">
        <f>K26/'# Yrs of Data'!D18</f>
        <v>8.6</v>
      </c>
      <c r="M26" s="2">
        <f t="shared" si="3"/>
        <v>51</v>
      </c>
      <c r="N26" s="46">
        <f>+M26/'# Yrs of Data'!D18</f>
        <v>3.4</v>
      </c>
      <c r="O26" s="2">
        <f t="shared" si="4"/>
        <v>51</v>
      </c>
      <c r="P26" s="46">
        <f>+O26/'# Yrs of Data'!D18</f>
        <v>3.4</v>
      </c>
      <c r="Q26" s="2">
        <f t="shared" si="5"/>
        <v>20</v>
      </c>
      <c r="R26" s="46">
        <f>+Q26/'# Yrs of Data'!D18</f>
        <v>1.3333333333333333</v>
      </c>
      <c r="S26" s="2">
        <f t="shared" si="6"/>
        <v>6</v>
      </c>
      <c r="T26" s="46">
        <f>+S26/'# Yrs of Data'!D18</f>
        <v>0.4</v>
      </c>
      <c r="U26" s="2">
        <f t="shared" si="7"/>
        <v>1</v>
      </c>
      <c r="V26" s="46">
        <f>+U26/'# Yrs of Data'!D18</f>
        <v>6.6666666666666666E-2</v>
      </c>
      <c r="W26" s="21"/>
    </row>
    <row r="27" spans="1:23">
      <c r="A27" s="1"/>
      <c r="B27" s="582">
        <f t="shared" si="1"/>
        <v>1965</v>
      </c>
      <c r="C27" s="300">
        <f>(COUNTIF('Database - Whole Tornadoes'!$P$5:$P$1197, "1965F0"))</f>
        <v>6</v>
      </c>
      <c r="D27" s="300">
        <f>(COUNTIF('Database - Whole Tornadoes'!$P$5:$P$1197, "1965F1"))</f>
        <v>0</v>
      </c>
      <c r="E27" s="300">
        <f>(COUNTIF('Database - Whole Tornadoes'!$P$5:$P$1197, "1965F2"))</f>
        <v>4</v>
      </c>
      <c r="F27" s="300">
        <f>(COUNTIF('Database - Whole Tornadoes'!$P$5:$P$1197, "1965F3"))</f>
        <v>2</v>
      </c>
      <c r="G27" s="300">
        <f>(COUNTIF('Database - Whole Tornadoes'!$P$5:$P$1197, "1965F4"))</f>
        <v>0</v>
      </c>
      <c r="H27" s="300">
        <f>(COUNTIF('Database - Whole Tornadoes'!$P$5:$P$1197, "1965F5"))</f>
        <v>0</v>
      </c>
      <c r="I27" s="304">
        <f t="shared" si="0"/>
        <v>12</v>
      </c>
      <c r="J27" s="305">
        <f t="shared" si="8"/>
        <v>10.4</v>
      </c>
      <c r="K27" s="304">
        <f t="shared" si="2"/>
        <v>141</v>
      </c>
      <c r="L27" s="583">
        <f>K27/'# Yrs of Data'!D19</f>
        <v>8.8125</v>
      </c>
      <c r="M27" s="2">
        <f t="shared" si="3"/>
        <v>57</v>
      </c>
      <c r="N27" s="46">
        <f>+M27/'# Yrs of Data'!D19</f>
        <v>3.5625</v>
      </c>
      <c r="O27" s="2">
        <f t="shared" si="4"/>
        <v>51</v>
      </c>
      <c r="P27" s="46">
        <f>+O27/'# Yrs of Data'!D19</f>
        <v>3.1875</v>
      </c>
      <c r="Q27" s="2">
        <f t="shared" si="5"/>
        <v>24</v>
      </c>
      <c r="R27" s="46">
        <f>+Q27/'# Yrs of Data'!D19</f>
        <v>1.5</v>
      </c>
      <c r="S27" s="2">
        <f t="shared" si="6"/>
        <v>8</v>
      </c>
      <c r="T27" s="46">
        <f>+S27/'# Yrs of Data'!D19</f>
        <v>0.5</v>
      </c>
      <c r="U27" s="2">
        <f t="shared" si="7"/>
        <v>1</v>
      </c>
      <c r="V27" s="46">
        <f>+U27/'# Yrs of Data'!D19</f>
        <v>6.25E-2</v>
      </c>
      <c r="W27" s="21"/>
    </row>
    <row r="28" spans="1:23">
      <c r="A28" s="1"/>
      <c r="B28" s="582">
        <f t="shared" si="1"/>
        <v>1966</v>
      </c>
      <c r="C28" s="300">
        <f>(COUNTIF('Database - Whole Tornadoes'!$P$5:$P$1197, "1966F0"))</f>
        <v>8</v>
      </c>
      <c r="D28" s="300">
        <f>(COUNTIF('Database - Whole Tornadoes'!$P$5:$P$1197, "1966F1"))</f>
        <v>3</v>
      </c>
      <c r="E28" s="300">
        <f>(COUNTIF('Database - Whole Tornadoes'!$P$5:$P$1197, "1966F2"))</f>
        <v>1</v>
      </c>
      <c r="F28" s="300">
        <f>(COUNTIF('Database - Whole Tornadoes'!$P$5:$P$1197, "1966F3"))</f>
        <v>0</v>
      </c>
      <c r="G28" s="300">
        <f>(COUNTIF('Database - Whole Tornadoes'!$P$5:$P$1197, "1966F4"))</f>
        <v>0</v>
      </c>
      <c r="H28" s="300">
        <f>(COUNTIF('Database - Whole Tornadoes'!$P$5:$P$1197, "1966F5"))</f>
        <v>0</v>
      </c>
      <c r="I28" s="304">
        <f t="shared" si="0"/>
        <v>12</v>
      </c>
      <c r="J28" s="305">
        <f t="shared" si="8"/>
        <v>11.4</v>
      </c>
      <c r="K28" s="304">
        <f t="shared" si="2"/>
        <v>153</v>
      </c>
      <c r="L28" s="583">
        <f>K28/'# Yrs of Data'!D20</f>
        <v>9</v>
      </c>
      <c r="M28" s="2">
        <f t="shared" si="3"/>
        <v>65</v>
      </c>
      <c r="N28" s="46">
        <f>+M28/'# Yrs of Data'!D20</f>
        <v>3.8235294117647061</v>
      </c>
      <c r="O28" s="2">
        <f t="shared" si="4"/>
        <v>54</v>
      </c>
      <c r="P28" s="46">
        <f>+O28/'# Yrs of Data'!D20</f>
        <v>3.1764705882352939</v>
      </c>
      <c r="Q28" s="2">
        <f t="shared" si="5"/>
        <v>25</v>
      </c>
      <c r="R28" s="46">
        <f>+Q28/'# Yrs of Data'!D20</f>
        <v>1.4705882352941178</v>
      </c>
      <c r="S28" s="2">
        <f t="shared" si="6"/>
        <v>8</v>
      </c>
      <c r="T28" s="46">
        <f>+S28/'# Yrs of Data'!D20</f>
        <v>0.47058823529411764</v>
      </c>
      <c r="U28" s="2">
        <f t="shared" si="7"/>
        <v>1</v>
      </c>
      <c r="V28" s="46">
        <f>+U28/'# Yrs of Data'!D20</f>
        <v>5.8823529411764705E-2</v>
      </c>
      <c r="W28" s="21"/>
    </row>
    <row r="29" spans="1:23">
      <c r="A29" s="1"/>
      <c r="B29" s="582">
        <f t="shared" si="1"/>
        <v>1967</v>
      </c>
      <c r="C29" s="300">
        <f>(COUNTIF('Database - Whole Tornadoes'!$P$5:$P$1197, "1967F0"))</f>
        <v>14</v>
      </c>
      <c r="D29" s="300">
        <f>(COUNTIF('Database - Whole Tornadoes'!$P$5:$P$1197, "1967F1"))</f>
        <v>6</v>
      </c>
      <c r="E29" s="300">
        <f>(COUNTIF('Database - Whole Tornadoes'!$P$5:$P$1197, "1967F2"))</f>
        <v>7</v>
      </c>
      <c r="F29" s="300">
        <f>(COUNTIF('Database - Whole Tornadoes'!$P$5:$P$1197, "1967F3"))</f>
        <v>1</v>
      </c>
      <c r="G29" s="300">
        <f>(COUNTIF('Database - Whole Tornadoes'!$P$5:$P$1197, "1967F4"))</f>
        <v>0</v>
      </c>
      <c r="H29" s="300">
        <f>(COUNTIF('Database - Whole Tornadoes'!$P$5:$P$1197, "1967F5"))</f>
        <v>0</v>
      </c>
      <c r="I29" s="304">
        <f t="shared" si="0"/>
        <v>28</v>
      </c>
      <c r="J29" s="305">
        <f t="shared" si="8"/>
        <v>13.2</v>
      </c>
      <c r="K29" s="304">
        <f t="shared" si="2"/>
        <v>181</v>
      </c>
      <c r="L29" s="583">
        <f>K29/'# Yrs of Data'!D21</f>
        <v>10.055555555555555</v>
      </c>
      <c r="M29" s="2">
        <f t="shared" si="3"/>
        <v>79</v>
      </c>
      <c r="N29" s="46">
        <f>+M29/'# Yrs of Data'!D21</f>
        <v>4.3888888888888893</v>
      </c>
      <c r="O29" s="2">
        <f t="shared" si="4"/>
        <v>60</v>
      </c>
      <c r="P29" s="46">
        <f>+O29/'# Yrs of Data'!D21</f>
        <v>3.3333333333333335</v>
      </c>
      <c r="Q29" s="2">
        <f t="shared" si="5"/>
        <v>32</v>
      </c>
      <c r="R29" s="46">
        <f>+Q29/'# Yrs of Data'!D21</f>
        <v>1.7777777777777777</v>
      </c>
      <c r="S29" s="2">
        <f t="shared" si="6"/>
        <v>9</v>
      </c>
      <c r="T29" s="46">
        <f>+S29/'# Yrs of Data'!D21</f>
        <v>0.5</v>
      </c>
      <c r="U29" s="2">
        <f t="shared" si="7"/>
        <v>1</v>
      </c>
      <c r="V29" s="46">
        <f>+U29/'# Yrs of Data'!D21</f>
        <v>5.5555555555555552E-2</v>
      </c>
      <c r="W29" s="21"/>
    </row>
    <row r="30" spans="1:23">
      <c r="A30" s="1"/>
      <c r="B30" s="582">
        <f t="shared" si="1"/>
        <v>1968</v>
      </c>
      <c r="C30" s="300">
        <f>(COUNTIF('Database - Whole Tornadoes'!$P$5:$P$1197, "1968F0"))</f>
        <v>17</v>
      </c>
      <c r="D30" s="300">
        <f>(COUNTIF('Database - Whole Tornadoes'!$P$5:$P$1197, "1968F1"))</f>
        <v>2</v>
      </c>
      <c r="E30" s="300">
        <f>(COUNTIF('Database - Whole Tornadoes'!$P$5:$P$1197, "1968F2"))</f>
        <v>2</v>
      </c>
      <c r="F30" s="300">
        <f>(COUNTIF('Database - Whole Tornadoes'!$P$5:$P$1197, "1968F3"))</f>
        <v>1</v>
      </c>
      <c r="G30" s="300">
        <f>(COUNTIF('Database - Whole Tornadoes'!$P$5:$P$1197, "1968F4"))</f>
        <v>0</v>
      </c>
      <c r="H30" s="300">
        <f>(COUNTIF('Database - Whole Tornadoes'!$P$5:$P$1197, "1968F5"))</f>
        <v>0</v>
      </c>
      <c r="I30" s="304">
        <f t="shared" si="0"/>
        <v>22</v>
      </c>
      <c r="J30" s="305">
        <f t="shared" si="8"/>
        <v>14.3</v>
      </c>
      <c r="K30" s="304">
        <f t="shared" si="2"/>
        <v>203</v>
      </c>
      <c r="L30" s="583">
        <f>K30/'# Yrs of Data'!D22</f>
        <v>10.684210526315789</v>
      </c>
      <c r="M30" s="2">
        <f t="shared" si="3"/>
        <v>96</v>
      </c>
      <c r="N30" s="46">
        <f>+M30/'# Yrs of Data'!D22</f>
        <v>5.0526315789473681</v>
      </c>
      <c r="O30" s="2">
        <f t="shared" si="4"/>
        <v>62</v>
      </c>
      <c r="P30" s="46">
        <f>+O30/'# Yrs of Data'!D22</f>
        <v>3.263157894736842</v>
      </c>
      <c r="Q30" s="2">
        <f t="shared" si="5"/>
        <v>34</v>
      </c>
      <c r="R30" s="46">
        <f>+Q30/'# Yrs of Data'!D22</f>
        <v>1.7894736842105263</v>
      </c>
      <c r="S30" s="2">
        <f t="shared" si="6"/>
        <v>10</v>
      </c>
      <c r="T30" s="46">
        <f>+S30/'# Yrs of Data'!D22</f>
        <v>0.52631578947368418</v>
      </c>
      <c r="U30" s="2">
        <f t="shared" si="7"/>
        <v>1</v>
      </c>
      <c r="V30" s="46">
        <f>+U30/'# Yrs of Data'!D22</f>
        <v>5.2631578947368418E-2</v>
      </c>
      <c r="W30" s="21"/>
    </row>
    <row r="31" spans="1:23">
      <c r="A31" s="1"/>
      <c r="B31" s="582">
        <f t="shared" si="1"/>
        <v>1969</v>
      </c>
      <c r="C31" s="300">
        <f>(COUNTIF('Database - Whole Tornadoes'!$P$5:$P$1197, "1969F0"))</f>
        <v>14</v>
      </c>
      <c r="D31" s="300">
        <f>(COUNTIF('Database - Whole Tornadoes'!$P$5:$P$1197, "1969F1"))</f>
        <v>0</v>
      </c>
      <c r="E31" s="300">
        <f>(COUNTIF('Database - Whole Tornadoes'!$P$5:$P$1197, "1969F2"))</f>
        <v>2</v>
      </c>
      <c r="F31" s="300">
        <f>(COUNTIF('Database - Whole Tornadoes'!$P$5:$P$1197, "1969F3"))</f>
        <v>0</v>
      </c>
      <c r="G31" s="300">
        <f>(COUNTIF('Database - Whole Tornadoes'!$P$5:$P$1197, "1969F4"))</f>
        <v>0</v>
      </c>
      <c r="H31" s="300">
        <f>(COUNTIF('Database - Whole Tornadoes'!$P$5:$P$1197, "1969F5"))</f>
        <v>0</v>
      </c>
      <c r="I31" s="304">
        <f t="shared" si="0"/>
        <v>16</v>
      </c>
      <c r="J31" s="305">
        <f t="shared" si="8"/>
        <v>15.3</v>
      </c>
      <c r="K31" s="304">
        <f t="shared" si="2"/>
        <v>219</v>
      </c>
      <c r="L31" s="583">
        <f>K31/'# Yrs of Data'!D23</f>
        <v>10.95</v>
      </c>
      <c r="M31" s="2">
        <f t="shared" si="3"/>
        <v>110</v>
      </c>
      <c r="N31" s="46">
        <f>+M31/'# Yrs of Data'!D23</f>
        <v>5.5</v>
      </c>
      <c r="O31" s="2">
        <f t="shared" si="4"/>
        <v>62</v>
      </c>
      <c r="P31" s="46">
        <f>+O31/'# Yrs of Data'!D23</f>
        <v>3.1</v>
      </c>
      <c r="Q31" s="2">
        <f t="shared" si="5"/>
        <v>36</v>
      </c>
      <c r="R31" s="46">
        <f>+Q31/'# Yrs of Data'!D23</f>
        <v>1.8</v>
      </c>
      <c r="S31" s="2">
        <f t="shared" si="6"/>
        <v>10</v>
      </c>
      <c r="T31" s="46">
        <f>+S31/'# Yrs of Data'!D23</f>
        <v>0.5</v>
      </c>
      <c r="U31" s="2">
        <f t="shared" si="7"/>
        <v>1</v>
      </c>
      <c r="V31" s="46">
        <f>+U31/'# Yrs of Data'!D23</f>
        <v>0.05</v>
      </c>
      <c r="W31" s="21"/>
    </row>
    <row r="32" spans="1:23">
      <c r="A32" s="1"/>
      <c r="B32" s="582">
        <f t="shared" si="1"/>
        <v>1970</v>
      </c>
      <c r="C32" s="300">
        <f>(COUNTIF('Database - Whole Tornadoes'!$P$5:$P$1197, "1970F0"))</f>
        <v>1</v>
      </c>
      <c r="D32" s="300">
        <f>(COUNTIF('Database - Whole Tornadoes'!$P$5:$P$1197, "1970F1"))</f>
        <v>1</v>
      </c>
      <c r="E32" s="300">
        <f>(COUNTIF('Database - Whole Tornadoes'!$P$5:$P$1197, "1970F2"))</f>
        <v>1</v>
      </c>
      <c r="F32" s="300">
        <f>(COUNTIF('Database - Whole Tornadoes'!$P$5:$P$1197, "1970F3"))</f>
        <v>0</v>
      </c>
      <c r="G32" s="300">
        <f>(COUNTIF('Database - Whole Tornadoes'!$P$5:$P$1197, "1970F4"))</f>
        <v>3</v>
      </c>
      <c r="H32" s="300">
        <f>(COUNTIF('Database - Whole Tornadoes'!$P$5:$P$1197, "1970F5"))</f>
        <v>0</v>
      </c>
      <c r="I32" s="304">
        <f t="shared" si="0"/>
        <v>6</v>
      </c>
      <c r="J32" s="305">
        <f t="shared" si="8"/>
        <v>14.6</v>
      </c>
      <c r="K32" s="304">
        <f t="shared" si="2"/>
        <v>225</v>
      </c>
      <c r="L32" s="583">
        <f>K32/'# Yrs of Data'!D24</f>
        <v>10.714285714285714</v>
      </c>
      <c r="M32" s="2">
        <f t="shared" si="3"/>
        <v>111</v>
      </c>
      <c r="N32" s="46">
        <f>+M32/'# Yrs of Data'!D24</f>
        <v>5.2857142857142856</v>
      </c>
      <c r="O32" s="2">
        <f t="shared" si="4"/>
        <v>63</v>
      </c>
      <c r="P32" s="46">
        <f>+O32/'# Yrs of Data'!D24</f>
        <v>3</v>
      </c>
      <c r="Q32" s="2">
        <f t="shared" si="5"/>
        <v>37</v>
      </c>
      <c r="R32" s="46">
        <f>+Q32/'# Yrs of Data'!D24</f>
        <v>1.7619047619047619</v>
      </c>
      <c r="S32" s="2">
        <f t="shared" si="6"/>
        <v>10</v>
      </c>
      <c r="T32" s="46">
        <f>+S32/'# Yrs of Data'!D24</f>
        <v>0.47619047619047616</v>
      </c>
      <c r="U32" s="2">
        <f t="shared" si="7"/>
        <v>4</v>
      </c>
      <c r="V32" s="46">
        <f>+U32/'# Yrs of Data'!D24</f>
        <v>0.19047619047619047</v>
      </c>
      <c r="W32" s="21"/>
    </row>
    <row r="33" spans="1:23">
      <c r="A33" s="1"/>
      <c r="B33" s="582">
        <f t="shared" si="1"/>
        <v>1971</v>
      </c>
      <c r="C33" s="300">
        <f>(COUNTIF('Database - Whole Tornadoes'!$P$5:$P$1197, "1971F0"))</f>
        <v>4</v>
      </c>
      <c r="D33" s="300">
        <f>(COUNTIF('Database - Whole Tornadoes'!$P$5:$P$1197, "1971F1"))</f>
        <v>13</v>
      </c>
      <c r="E33" s="300">
        <f>(COUNTIF('Database - Whole Tornadoes'!$P$5:$P$1197, "1971F2"))</f>
        <v>17</v>
      </c>
      <c r="F33" s="300">
        <f>(COUNTIF('Database - Whole Tornadoes'!$P$5:$P$1197, "1971F3"))</f>
        <v>3</v>
      </c>
      <c r="G33" s="300">
        <f>(COUNTIF('Database - Whole Tornadoes'!$P$5:$P$1197, "1971F4"))</f>
        <v>2</v>
      </c>
      <c r="H33" s="300">
        <f>(COUNTIF('Database - Whole Tornadoes'!$P$5:$P$1197, "1971F5"))</f>
        <v>0</v>
      </c>
      <c r="I33" s="304">
        <f t="shared" si="0"/>
        <v>39</v>
      </c>
      <c r="J33" s="305">
        <f t="shared" si="8"/>
        <v>17</v>
      </c>
      <c r="K33" s="304">
        <f t="shared" si="2"/>
        <v>264</v>
      </c>
      <c r="L33" s="583">
        <f>K33/'# Yrs of Data'!D25</f>
        <v>12</v>
      </c>
      <c r="M33" s="2">
        <f t="shared" si="3"/>
        <v>115</v>
      </c>
      <c r="N33" s="46">
        <f>+M33/'# Yrs of Data'!D25</f>
        <v>5.2272727272727275</v>
      </c>
      <c r="O33" s="2">
        <f t="shared" si="4"/>
        <v>76</v>
      </c>
      <c r="P33" s="46">
        <f>+O33/'# Yrs of Data'!D25</f>
        <v>3.4545454545454546</v>
      </c>
      <c r="Q33" s="2">
        <f t="shared" si="5"/>
        <v>54</v>
      </c>
      <c r="R33" s="46">
        <f>+Q33/'# Yrs of Data'!D25</f>
        <v>2.4545454545454546</v>
      </c>
      <c r="S33" s="2">
        <f t="shared" si="6"/>
        <v>13</v>
      </c>
      <c r="T33" s="46">
        <f>+S33/'# Yrs of Data'!D25</f>
        <v>0.59090909090909094</v>
      </c>
      <c r="U33" s="2">
        <f t="shared" si="7"/>
        <v>6</v>
      </c>
      <c r="V33" s="46">
        <f>+U33/'# Yrs of Data'!D25</f>
        <v>0.27272727272727271</v>
      </c>
      <c r="W33" s="21"/>
    </row>
    <row r="34" spans="1:23">
      <c r="A34" s="1"/>
      <c r="B34" s="582">
        <f t="shared" si="1"/>
        <v>1972</v>
      </c>
      <c r="C34" s="300">
        <f>(COUNTIF('Database - Whole Tornadoes'!$P$5:$P$1197, "1972F0"))</f>
        <v>1</v>
      </c>
      <c r="D34" s="300">
        <f>(COUNTIF('Database - Whole Tornadoes'!$P$5:$P$1197, "1972F1"))</f>
        <v>15</v>
      </c>
      <c r="E34" s="300">
        <f>(COUNTIF('Database - Whole Tornadoes'!$P$5:$P$1197, "1972F2"))</f>
        <v>3</v>
      </c>
      <c r="F34" s="300">
        <f>(COUNTIF('Database - Whole Tornadoes'!$P$5:$P$1197, "1972F3"))</f>
        <v>0</v>
      </c>
      <c r="G34" s="300">
        <f>(COUNTIF('Database - Whole Tornadoes'!$P$5:$P$1197, "1972F4"))</f>
        <v>0</v>
      </c>
      <c r="H34" s="300">
        <f>(COUNTIF('Database - Whole Tornadoes'!$P$5:$P$1197, "1972F5"))</f>
        <v>0</v>
      </c>
      <c r="I34" s="304">
        <f t="shared" si="0"/>
        <v>19</v>
      </c>
      <c r="J34" s="305">
        <f t="shared" si="8"/>
        <v>16.3</v>
      </c>
      <c r="K34" s="304">
        <f t="shared" si="2"/>
        <v>283</v>
      </c>
      <c r="L34" s="583">
        <f>K34/'# Yrs of Data'!D26</f>
        <v>12.304347826086957</v>
      </c>
      <c r="M34" s="2">
        <f t="shared" si="3"/>
        <v>116</v>
      </c>
      <c r="N34" s="46">
        <f>+M34/'# Yrs of Data'!D26</f>
        <v>5.0434782608695654</v>
      </c>
      <c r="O34" s="2">
        <f t="shared" si="4"/>
        <v>91</v>
      </c>
      <c r="P34" s="46">
        <f>+O34/'# Yrs of Data'!D26</f>
        <v>3.9565217391304346</v>
      </c>
      <c r="Q34" s="2">
        <f t="shared" si="5"/>
        <v>57</v>
      </c>
      <c r="R34" s="46">
        <f>+Q34/'# Yrs of Data'!D26</f>
        <v>2.4782608695652173</v>
      </c>
      <c r="S34" s="2">
        <f t="shared" si="6"/>
        <v>13</v>
      </c>
      <c r="T34" s="46">
        <f>+S34/'# Yrs of Data'!D26</f>
        <v>0.56521739130434778</v>
      </c>
      <c r="U34" s="2">
        <f t="shared" si="7"/>
        <v>6</v>
      </c>
      <c r="V34" s="46">
        <f>+U34/'# Yrs of Data'!D26</f>
        <v>0.2608695652173913</v>
      </c>
      <c r="W34" s="21"/>
    </row>
    <row r="35" spans="1:23">
      <c r="A35" s="1"/>
      <c r="B35" s="582">
        <f t="shared" si="1"/>
        <v>1973</v>
      </c>
      <c r="C35" s="300">
        <f>(COUNTIF('Database - Whole Tornadoes'!$P$5:$P$1197, "1973F0"))</f>
        <v>1</v>
      </c>
      <c r="D35" s="300">
        <f>(COUNTIF('Database - Whole Tornadoes'!$P$5:$P$1197, "1973F1"))</f>
        <v>3</v>
      </c>
      <c r="E35" s="300">
        <f>(COUNTIF('Database - Whole Tornadoes'!$P$5:$P$1197, "1973F2"))</f>
        <v>4</v>
      </c>
      <c r="F35" s="300">
        <f>(COUNTIF('Database - Whole Tornadoes'!$P$5:$P$1197, "1973F3"))</f>
        <v>0</v>
      </c>
      <c r="G35" s="300">
        <f>(COUNTIF('Database - Whole Tornadoes'!$P$5:$P$1197, "1973F4"))</f>
        <v>0</v>
      </c>
      <c r="H35" s="300">
        <f>(COUNTIF('Database - Whole Tornadoes'!$P$5:$P$1197, "1973F5"))</f>
        <v>0</v>
      </c>
      <c r="I35" s="304">
        <f t="shared" si="0"/>
        <v>8</v>
      </c>
      <c r="J35" s="305">
        <f t="shared" si="8"/>
        <v>16.600000000000001</v>
      </c>
      <c r="K35" s="304">
        <f t="shared" si="2"/>
        <v>291</v>
      </c>
      <c r="L35" s="583">
        <f>K35/'# Yrs of Data'!D27</f>
        <v>12.125</v>
      </c>
      <c r="M35" s="2">
        <f t="shared" si="3"/>
        <v>117</v>
      </c>
      <c r="N35" s="46">
        <f>+M35/'# Yrs of Data'!D27</f>
        <v>4.875</v>
      </c>
      <c r="O35" s="2">
        <f t="shared" si="4"/>
        <v>94</v>
      </c>
      <c r="P35" s="46">
        <f>+O35/'# Yrs of Data'!D27</f>
        <v>3.9166666666666665</v>
      </c>
      <c r="Q35" s="2">
        <f t="shared" si="5"/>
        <v>61</v>
      </c>
      <c r="R35" s="46">
        <f>+Q35/'# Yrs of Data'!D27</f>
        <v>2.5416666666666665</v>
      </c>
      <c r="S35" s="2">
        <f t="shared" si="6"/>
        <v>13</v>
      </c>
      <c r="T35" s="46">
        <f>+S35/'# Yrs of Data'!D27</f>
        <v>0.54166666666666663</v>
      </c>
      <c r="U35" s="2">
        <f t="shared" si="7"/>
        <v>6</v>
      </c>
      <c r="V35" s="46">
        <f>+U35/'# Yrs of Data'!D27</f>
        <v>0.25</v>
      </c>
      <c r="W35" s="21"/>
    </row>
    <row r="36" spans="1:23">
      <c r="A36" s="1"/>
      <c r="B36" s="582">
        <f t="shared" si="1"/>
        <v>1974</v>
      </c>
      <c r="C36" s="300">
        <f>(COUNTIF('Database - Whole Tornadoes'!$P$5:$P$1197, "1974F0"))</f>
        <v>6</v>
      </c>
      <c r="D36" s="300">
        <f>(COUNTIF('Database - Whole Tornadoes'!$P$5:$P$1197, "1974F1"))</f>
        <v>6</v>
      </c>
      <c r="E36" s="300">
        <f>(COUNTIF('Database - Whole Tornadoes'!$P$5:$P$1197, "1974F2"))</f>
        <v>1</v>
      </c>
      <c r="F36" s="300">
        <f>(COUNTIF('Database - Whole Tornadoes'!$P$5:$P$1197, "1974F3"))</f>
        <v>0</v>
      </c>
      <c r="G36" s="300">
        <f>(COUNTIF('Database - Whole Tornadoes'!$P$5:$P$1197, "1974F4"))</f>
        <v>0</v>
      </c>
      <c r="H36" s="300">
        <f>(COUNTIF('Database - Whole Tornadoes'!$P$5:$P$1197, "1974F5"))</f>
        <v>0</v>
      </c>
      <c r="I36" s="304">
        <f t="shared" si="0"/>
        <v>13</v>
      </c>
      <c r="J36" s="305">
        <f t="shared" si="8"/>
        <v>17.5</v>
      </c>
      <c r="K36" s="304">
        <f t="shared" si="2"/>
        <v>304</v>
      </c>
      <c r="L36" s="583">
        <f>K36/'# Yrs of Data'!D28</f>
        <v>12.16</v>
      </c>
      <c r="M36" s="2">
        <f t="shared" si="3"/>
        <v>123</v>
      </c>
      <c r="N36" s="46">
        <f>+M36/'# Yrs of Data'!D28</f>
        <v>4.92</v>
      </c>
      <c r="O36" s="2">
        <f t="shared" si="4"/>
        <v>100</v>
      </c>
      <c r="P36" s="46">
        <f>+O36/'# Yrs of Data'!D28</f>
        <v>4</v>
      </c>
      <c r="Q36" s="2">
        <f t="shared" si="5"/>
        <v>62</v>
      </c>
      <c r="R36" s="46">
        <f>+Q36/'# Yrs of Data'!D28</f>
        <v>2.48</v>
      </c>
      <c r="S36" s="2">
        <f t="shared" si="6"/>
        <v>13</v>
      </c>
      <c r="T36" s="46">
        <f>+S36/'# Yrs of Data'!D28</f>
        <v>0.52</v>
      </c>
      <c r="U36" s="2">
        <f t="shared" si="7"/>
        <v>6</v>
      </c>
      <c r="V36" s="46">
        <f>+U36/'# Yrs of Data'!D28</f>
        <v>0.24</v>
      </c>
      <c r="W36" s="21"/>
    </row>
    <row r="37" spans="1:23">
      <c r="A37" s="1"/>
      <c r="B37" s="582">
        <f t="shared" si="1"/>
        <v>1975</v>
      </c>
      <c r="C37" s="300">
        <f>(COUNTIF('Database - Whole Tornadoes'!$P$5:$P$1197, "1975F0"))</f>
        <v>10</v>
      </c>
      <c r="D37" s="300">
        <f>(COUNTIF('Database - Whole Tornadoes'!$P$5:$P$1197, "1975F1"))</f>
        <v>4</v>
      </c>
      <c r="E37" s="300">
        <f>(COUNTIF('Database - Whole Tornadoes'!$P$5:$P$1197, "1975F2"))</f>
        <v>1</v>
      </c>
      <c r="F37" s="300">
        <f>(COUNTIF('Database - Whole Tornadoes'!$P$5:$P$1197, "1975F3"))</f>
        <v>1</v>
      </c>
      <c r="G37" s="300">
        <f>(COUNTIF('Database - Whole Tornadoes'!$P$5:$P$1197, "1975F4"))</f>
        <v>0</v>
      </c>
      <c r="H37" s="300">
        <f>(COUNTIF('Database - Whole Tornadoes'!$P$5:$P$1197, "1975F5"))</f>
        <v>0</v>
      </c>
      <c r="I37" s="304">
        <f t="shared" si="0"/>
        <v>16</v>
      </c>
      <c r="J37" s="305">
        <f t="shared" si="8"/>
        <v>17.899999999999999</v>
      </c>
      <c r="K37" s="304">
        <f t="shared" si="2"/>
        <v>320</v>
      </c>
      <c r="L37" s="583">
        <f>K37/'# Yrs of Data'!D29</f>
        <v>12.307692307692308</v>
      </c>
      <c r="M37" s="2">
        <f t="shared" si="3"/>
        <v>133</v>
      </c>
      <c r="N37" s="46">
        <f>+M37/'# Yrs of Data'!D29</f>
        <v>5.115384615384615</v>
      </c>
      <c r="O37" s="2">
        <f t="shared" si="4"/>
        <v>104</v>
      </c>
      <c r="P37" s="46">
        <f>+O37/'# Yrs of Data'!D29</f>
        <v>4</v>
      </c>
      <c r="Q37" s="2">
        <f t="shared" si="5"/>
        <v>63</v>
      </c>
      <c r="R37" s="46">
        <f>+Q37/'# Yrs of Data'!D29</f>
        <v>2.4230769230769229</v>
      </c>
      <c r="S37" s="2">
        <f t="shared" si="6"/>
        <v>14</v>
      </c>
      <c r="T37" s="46">
        <f>+S37/'# Yrs of Data'!D29</f>
        <v>0.53846153846153844</v>
      </c>
      <c r="U37" s="2">
        <f t="shared" si="7"/>
        <v>6</v>
      </c>
      <c r="V37" s="46">
        <f>+U37/'# Yrs of Data'!D29</f>
        <v>0.23076923076923078</v>
      </c>
      <c r="W37" s="21"/>
    </row>
    <row r="38" spans="1:23">
      <c r="A38" s="1"/>
      <c r="B38" s="582">
        <f t="shared" si="1"/>
        <v>1976</v>
      </c>
      <c r="C38" s="300">
        <f>(COUNTIF('Database - Whole Tornadoes'!$P$5:$P$1197, "1976F0"))</f>
        <v>9</v>
      </c>
      <c r="D38" s="300">
        <f>(COUNTIF('Database - Whole Tornadoes'!$P$5:$P$1197, "1976F1"))</f>
        <v>1</v>
      </c>
      <c r="E38" s="300">
        <f>(COUNTIF('Database - Whole Tornadoes'!$P$5:$P$1197, "1976F2"))</f>
        <v>0</v>
      </c>
      <c r="F38" s="300">
        <f>(COUNTIF('Database - Whole Tornadoes'!$P$5:$P$1197, "1976F3"))</f>
        <v>0</v>
      </c>
      <c r="G38" s="300">
        <f>(COUNTIF('Database - Whole Tornadoes'!$P$5:$P$1197, "1976F4"))</f>
        <v>0</v>
      </c>
      <c r="H38" s="300">
        <f>(COUNTIF('Database - Whole Tornadoes'!$P$5:$P$1197, "1976F5"))</f>
        <v>0</v>
      </c>
      <c r="I38" s="304">
        <f t="shared" si="0"/>
        <v>10</v>
      </c>
      <c r="J38" s="305">
        <f t="shared" si="8"/>
        <v>17.7</v>
      </c>
      <c r="K38" s="304">
        <f t="shared" si="2"/>
        <v>330</v>
      </c>
      <c r="L38" s="583">
        <f>K38/'# Yrs of Data'!D30</f>
        <v>12.222222222222221</v>
      </c>
      <c r="M38" s="2">
        <f t="shared" si="3"/>
        <v>142</v>
      </c>
      <c r="N38" s="46">
        <f>+M38/'# Yrs of Data'!D30</f>
        <v>5.2592592592592595</v>
      </c>
      <c r="O38" s="2">
        <f t="shared" si="4"/>
        <v>105</v>
      </c>
      <c r="P38" s="46">
        <f>+O38/'# Yrs of Data'!D30</f>
        <v>3.8888888888888888</v>
      </c>
      <c r="Q38" s="2">
        <f t="shared" si="5"/>
        <v>63</v>
      </c>
      <c r="R38" s="46">
        <f>+Q38/'# Yrs of Data'!D30</f>
        <v>2.3333333333333335</v>
      </c>
      <c r="S38" s="2">
        <f t="shared" si="6"/>
        <v>14</v>
      </c>
      <c r="T38" s="46">
        <f>+S38/'# Yrs of Data'!D30</f>
        <v>0.51851851851851849</v>
      </c>
      <c r="U38" s="2">
        <f t="shared" si="7"/>
        <v>6</v>
      </c>
      <c r="V38" s="46">
        <f>+U38/'# Yrs of Data'!D30</f>
        <v>0.22222222222222221</v>
      </c>
      <c r="W38" s="21"/>
    </row>
    <row r="39" spans="1:23">
      <c r="A39" s="1"/>
      <c r="B39" s="582">
        <f t="shared" si="1"/>
        <v>1977</v>
      </c>
      <c r="C39" s="300">
        <f>(COUNTIF('Database - Whole Tornadoes'!$P$5:$P$1197, "1977F0"))</f>
        <v>7</v>
      </c>
      <c r="D39" s="300">
        <f>(COUNTIF('Database - Whole Tornadoes'!$P$5:$P$1197, "1977F1"))</f>
        <v>9</v>
      </c>
      <c r="E39" s="300">
        <f>(COUNTIF('Database - Whole Tornadoes'!$P$5:$P$1197, "1977F2"))</f>
        <v>2</v>
      </c>
      <c r="F39" s="300">
        <f>(COUNTIF('Database - Whole Tornadoes'!$P$5:$P$1197, "1977F3"))</f>
        <v>2</v>
      </c>
      <c r="G39" s="300">
        <f>(COUNTIF('Database - Whole Tornadoes'!$P$5:$P$1197, "1977F4"))</f>
        <v>1</v>
      </c>
      <c r="H39" s="300">
        <f>(COUNTIF('Database - Whole Tornadoes'!$P$5:$P$1197, "1977F5"))</f>
        <v>0</v>
      </c>
      <c r="I39" s="304">
        <f t="shared" si="0"/>
        <v>21</v>
      </c>
      <c r="J39" s="305">
        <f t="shared" si="8"/>
        <v>17</v>
      </c>
      <c r="K39" s="304">
        <f t="shared" si="2"/>
        <v>351</v>
      </c>
      <c r="L39" s="583">
        <f>K39/'# Yrs of Data'!D31</f>
        <v>12.535714285714286</v>
      </c>
      <c r="M39" s="2">
        <f t="shared" si="3"/>
        <v>149</v>
      </c>
      <c r="N39" s="46">
        <f>+M39/'# Yrs of Data'!D31</f>
        <v>5.3214285714285712</v>
      </c>
      <c r="O39" s="2">
        <f t="shared" si="4"/>
        <v>114</v>
      </c>
      <c r="P39" s="46">
        <f>+O39/'# Yrs of Data'!D31</f>
        <v>4.0714285714285712</v>
      </c>
      <c r="Q39" s="2">
        <f t="shared" si="5"/>
        <v>65</v>
      </c>
      <c r="R39" s="46">
        <f>+Q39/'# Yrs of Data'!D31</f>
        <v>2.3214285714285716</v>
      </c>
      <c r="S39" s="2">
        <f t="shared" si="6"/>
        <v>16</v>
      </c>
      <c r="T39" s="46">
        <f>+S39/'# Yrs of Data'!D31</f>
        <v>0.5714285714285714</v>
      </c>
      <c r="U39" s="2">
        <f t="shared" si="7"/>
        <v>7</v>
      </c>
      <c r="V39" s="46">
        <f>+U39/'# Yrs of Data'!D31</f>
        <v>0.25</v>
      </c>
      <c r="W39" s="21"/>
    </row>
    <row r="40" spans="1:23">
      <c r="A40" s="1"/>
      <c r="B40" s="582">
        <f t="shared" si="1"/>
        <v>1978</v>
      </c>
      <c r="C40" s="300">
        <f>(COUNTIF('Database - Whole Tornadoes'!$P$5:$P$1197, "1978F0"))</f>
        <v>14</v>
      </c>
      <c r="D40" s="300">
        <f>(COUNTIF('Database - Whole Tornadoes'!$P$5:$P$1197, "1978F1"))</f>
        <v>0</v>
      </c>
      <c r="E40" s="300">
        <f>(COUNTIF('Database - Whole Tornadoes'!$P$5:$P$1197, "1978F2"))</f>
        <v>1</v>
      </c>
      <c r="F40" s="300">
        <f>(COUNTIF('Database - Whole Tornadoes'!$P$5:$P$1197, "1978F3"))</f>
        <v>1</v>
      </c>
      <c r="G40" s="300">
        <f>(COUNTIF('Database - Whole Tornadoes'!$P$5:$P$1197, "1978F4"))</f>
        <v>0</v>
      </c>
      <c r="H40" s="300">
        <f>(COUNTIF('Database - Whole Tornadoes'!$P$5:$P$1197, "1978F5"))</f>
        <v>0</v>
      </c>
      <c r="I40" s="304">
        <f t="shared" si="0"/>
        <v>16</v>
      </c>
      <c r="J40" s="305">
        <f t="shared" si="8"/>
        <v>16.399999999999999</v>
      </c>
      <c r="K40" s="304">
        <f t="shared" si="2"/>
        <v>367</v>
      </c>
      <c r="L40" s="583">
        <f>K40/'# Yrs of Data'!D32</f>
        <v>12.655172413793103</v>
      </c>
      <c r="M40" s="2">
        <f t="shared" si="3"/>
        <v>163</v>
      </c>
      <c r="N40" s="46">
        <f>+M40/'# Yrs of Data'!D32</f>
        <v>5.6206896551724137</v>
      </c>
      <c r="O40" s="2">
        <f t="shared" si="4"/>
        <v>114</v>
      </c>
      <c r="P40" s="46">
        <f>+O40/'# Yrs of Data'!D32</f>
        <v>3.9310344827586206</v>
      </c>
      <c r="Q40" s="2">
        <f t="shared" si="5"/>
        <v>66</v>
      </c>
      <c r="R40" s="46">
        <f>+Q40/'# Yrs of Data'!D32</f>
        <v>2.2758620689655173</v>
      </c>
      <c r="S40" s="2">
        <f t="shared" si="6"/>
        <v>17</v>
      </c>
      <c r="T40" s="46">
        <f>+S40/'# Yrs of Data'!D32</f>
        <v>0.58620689655172409</v>
      </c>
      <c r="U40" s="2">
        <f t="shared" si="7"/>
        <v>7</v>
      </c>
      <c r="V40" s="46">
        <f>+U40/'# Yrs of Data'!D32</f>
        <v>0.2413793103448276</v>
      </c>
      <c r="W40" s="21"/>
    </row>
    <row r="41" spans="1:23">
      <c r="A41" s="1"/>
      <c r="B41" s="582">
        <f t="shared" si="1"/>
        <v>1979</v>
      </c>
      <c r="C41" s="300">
        <f>(COUNTIF('Database - Whole Tornadoes'!$P$5:$P$1197, "1979F0"))</f>
        <v>10</v>
      </c>
      <c r="D41" s="300">
        <f>(COUNTIF('Database - Whole Tornadoes'!$P$5:$P$1197, "1979F1"))</f>
        <v>1</v>
      </c>
      <c r="E41" s="300">
        <f>(COUNTIF('Database - Whole Tornadoes'!$P$5:$P$1197, "1979F2"))</f>
        <v>0</v>
      </c>
      <c r="F41" s="300">
        <f>(COUNTIF('Database - Whole Tornadoes'!$P$5:$P$1197, "1979F3"))</f>
        <v>0</v>
      </c>
      <c r="G41" s="300">
        <f>(COUNTIF('Database - Whole Tornadoes'!$P$5:$P$1197, "1979F4"))</f>
        <v>0</v>
      </c>
      <c r="H41" s="300">
        <f>(COUNTIF('Database - Whole Tornadoes'!$P$5:$P$1197, "1979F5"))</f>
        <v>0</v>
      </c>
      <c r="I41" s="304">
        <f t="shared" si="0"/>
        <v>11</v>
      </c>
      <c r="J41" s="305">
        <f t="shared" si="8"/>
        <v>15.9</v>
      </c>
      <c r="K41" s="304">
        <f t="shared" si="2"/>
        <v>378</v>
      </c>
      <c r="L41" s="583">
        <f>K41/'# Yrs of Data'!D33</f>
        <v>12.6</v>
      </c>
      <c r="M41" s="2">
        <f t="shared" si="3"/>
        <v>173</v>
      </c>
      <c r="N41" s="46">
        <f>+M41/'# Yrs of Data'!D33</f>
        <v>5.7666666666666666</v>
      </c>
      <c r="O41" s="2">
        <f t="shared" si="4"/>
        <v>115</v>
      </c>
      <c r="P41" s="46">
        <f>+O41/'# Yrs of Data'!D33</f>
        <v>3.8333333333333335</v>
      </c>
      <c r="Q41" s="2">
        <f t="shared" si="5"/>
        <v>66</v>
      </c>
      <c r="R41" s="46">
        <f>+Q41/'# Yrs of Data'!D33</f>
        <v>2.2000000000000002</v>
      </c>
      <c r="S41" s="2">
        <f t="shared" si="6"/>
        <v>17</v>
      </c>
      <c r="T41" s="46">
        <f>+S41/'# Yrs of Data'!D33</f>
        <v>0.56666666666666665</v>
      </c>
      <c r="U41" s="2">
        <f t="shared" si="7"/>
        <v>7</v>
      </c>
      <c r="V41" s="46">
        <f>+U41/'# Yrs of Data'!D33</f>
        <v>0.23333333333333334</v>
      </c>
      <c r="W41" s="21"/>
    </row>
    <row r="42" spans="1:23">
      <c r="A42" s="1"/>
      <c r="B42" s="582">
        <f t="shared" si="1"/>
        <v>1980</v>
      </c>
      <c r="C42" s="300">
        <f>(COUNTIF('Database - Whole Tornadoes'!$P$5:$P$1197, "1980F0"))</f>
        <v>6</v>
      </c>
      <c r="D42" s="300">
        <f>(COUNTIF('Database - Whole Tornadoes'!$P$5:$P$1197, "1980F1"))</f>
        <v>4</v>
      </c>
      <c r="E42" s="300">
        <f>(COUNTIF('Database - Whole Tornadoes'!$P$5:$P$1197, "1980F2"))</f>
        <v>3</v>
      </c>
      <c r="F42" s="300">
        <f>(COUNTIF('Database - Whole Tornadoes'!$P$5:$P$1197, "1980F3"))</f>
        <v>0</v>
      </c>
      <c r="G42" s="300">
        <f>(COUNTIF('Database - Whole Tornadoes'!$P$5:$P$1197, "1980F4"))</f>
        <v>0</v>
      </c>
      <c r="H42" s="300">
        <f>(COUNTIF('Database - Whole Tornadoes'!$P$5:$P$1197, "1980F5"))</f>
        <v>0</v>
      </c>
      <c r="I42" s="304">
        <f t="shared" si="0"/>
        <v>13</v>
      </c>
      <c r="J42" s="305">
        <f t="shared" si="8"/>
        <v>16.600000000000001</v>
      </c>
      <c r="K42" s="304">
        <f t="shared" si="2"/>
        <v>391</v>
      </c>
      <c r="L42" s="583">
        <f>K42/'# Yrs of Data'!D34</f>
        <v>12.612903225806452</v>
      </c>
      <c r="M42" s="2">
        <f t="shared" si="3"/>
        <v>179</v>
      </c>
      <c r="N42" s="46">
        <f>+M42/'# Yrs of Data'!D34</f>
        <v>5.774193548387097</v>
      </c>
      <c r="O42" s="2">
        <f t="shared" si="4"/>
        <v>119</v>
      </c>
      <c r="P42" s="46">
        <f>+O42/'# Yrs of Data'!D34</f>
        <v>3.838709677419355</v>
      </c>
      <c r="Q42" s="2">
        <f t="shared" si="5"/>
        <v>69</v>
      </c>
      <c r="R42" s="46">
        <f>+Q42/'# Yrs of Data'!D34</f>
        <v>2.225806451612903</v>
      </c>
      <c r="S42" s="2">
        <f t="shared" si="6"/>
        <v>17</v>
      </c>
      <c r="T42" s="46">
        <f>+S42/'# Yrs of Data'!D34</f>
        <v>0.54838709677419351</v>
      </c>
      <c r="U42" s="2">
        <f t="shared" si="7"/>
        <v>7</v>
      </c>
      <c r="V42" s="46">
        <f>+U42/'# Yrs of Data'!D34</f>
        <v>0.22580645161290322</v>
      </c>
      <c r="W42" s="21"/>
    </row>
    <row r="43" spans="1:23">
      <c r="A43" s="1"/>
      <c r="B43" s="582">
        <f t="shared" si="1"/>
        <v>1981</v>
      </c>
      <c r="C43" s="300">
        <f>(COUNTIF('Database - Whole Tornadoes'!$P$5:$P$1197, "1981F0"))</f>
        <v>10</v>
      </c>
      <c r="D43" s="300">
        <f>(COUNTIF('Database - Whole Tornadoes'!$P$5:$P$1197, "1981F1"))</f>
        <v>3</v>
      </c>
      <c r="E43" s="300">
        <f>(COUNTIF('Database - Whole Tornadoes'!$P$5:$P$1197, "1981F2"))</f>
        <v>1</v>
      </c>
      <c r="F43" s="300">
        <f>(COUNTIF('Database - Whole Tornadoes'!$P$5:$P$1197, "1981F3"))</f>
        <v>0</v>
      </c>
      <c r="G43" s="300">
        <f>(COUNTIF('Database - Whole Tornadoes'!$P$5:$P$1197, "1981F4"))</f>
        <v>0</v>
      </c>
      <c r="H43" s="300">
        <f>(COUNTIF('Database - Whole Tornadoes'!$P$5:$P$1197, "1981F5"))</f>
        <v>0</v>
      </c>
      <c r="I43" s="304">
        <f t="shared" si="0"/>
        <v>14</v>
      </c>
      <c r="J43" s="305">
        <f t="shared" si="8"/>
        <v>14.1</v>
      </c>
      <c r="K43" s="304">
        <f t="shared" si="2"/>
        <v>405</v>
      </c>
      <c r="L43" s="583">
        <f>K43/'# Yrs of Data'!D35</f>
        <v>12.65625</v>
      </c>
      <c r="M43" s="2">
        <f t="shared" si="3"/>
        <v>189</v>
      </c>
      <c r="N43" s="46">
        <f>+M43/'# Yrs of Data'!D35</f>
        <v>5.90625</v>
      </c>
      <c r="O43" s="2">
        <f t="shared" si="4"/>
        <v>122</v>
      </c>
      <c r="P43" s="46">
        <f>+O43/'# Yrs of Data'!D35</f>
        <v>3.8125</v>
      </c>
      <c r="Q43" s="2">
        <f t="shared" si="5"/>
        <v>70</v>
      </c>
      <c r="R43" s="46">
        <f>+Q43/'# Yrs of Data'!D35</f>
        <v>2.1875</v>
      </c>
      <c r="S43" s="2">
        <f t="shared" si="6"/>
        <v>17</v>
      </c>
      <c r="T43" s="46">
        <f>+S43/'# Yrs of Data'!D35</f>
        <v>0.53125</v>
      </c>
      <c r="U43" s="2">
        <f t="shared" si="7"/>
        <v>7</v>
      </c>
      <c r="V43" s="46">
        <f>+U43/'# Yrs of Data'!D35</f>
        <v>0.21875</v>
      </c>
      <c r="W43" s="21"/>
    </row>
    <row r="44" spans="1:23">
      <c r="A44" s="1"/>
      <c r="B44" s="582">
        <f t="shared" si="1"/>
        <v>1982</v>
      </c>
      <c r="C44" s="300">
        <f>(COUNTIF('Database - Whole Tornadoes'!$P$5:$P$1197, "1982F0"))</f>
        <v>19</v>
      </c>
      <c r="D44" s="300">
        <f>(COUNTIF('Database - Whole Tornadoes'!$P$5:$P$1197, "1982F1"))</f>
        <v>7</v>
      </c>
      <c r="E44" s="300">
        <f>(COUNTIF('Database - Whole Tornadoes'!$P$5:$P$1197, "1982F2"))</f>
        <v>5</v>
      </c>
      <c r="F44" s="300">
        <f>(COUNTIF('Database - Whole Tornadoes'!$P$5:$P$1197, "1982F3"))</f>
        <v>4</v>
      </c>
      <c r="G44" s="300">
        <f>(COUNTIF('Database - Whole Tornadoes'!$P$5:$P$1197, "1982F4"))</f>
        <v>1</v>
      </c>
      <c r="H44" s="300">
        <f>(COUNTIF('Database - Whole Tornadoes'!$P$5:$P$1197, "1982F5"))</f>
        <v>0</v>
      </c>
      <c r="I44" s="304">
        <f t="shared" si="0"/>
        <v>36</v>
      </c>
      <c r="J44" s="305">
        <f t="shared" si="8"/>
        <v>15.8</v>
      </c>
      <c r="K44" s="304">
        <f t="shared" si="2"/>
        <v>441</v>
      </c>
      <c r="L44" s="583">
        <f>K44/'# Yrs of Data'!D36</f>
        <v>13.363636363636363</v>
      </c>
      <c r="M44" s="2">
        <f t="shared" si="3"/>
        <v>208</v>
      </c>
      <c r="N44" s="46">
        <f>+M44/'# Yrs of Data'!D36</f>
        <v>6.3030303030303028</v>
      </c>
      <c r="O44" s="2">
        <f t="shared" si="4"/>
        <v>129</v>
      </c>
      <c r="P44" s="46">
        <f>+O44/'# Yrs of Data'!D36</f>
        <v>3.9090909090909092</v>
      </c>
      <c r="Q44" s="2">
        <f t="shared" si="5"/>
        <v>75</v>
      </c>
      <c r="R44" s="46">
        <f>+Q44/'# Yrs of Data'!D36</f>
        <v>2.2727272727272729</v>
      </c>
      <c r="S44" s="2">
        <f t="shared" si="6"/>
        <v>21</v>
      </c>
      <c r="T44" s="46">
        <f>+S44/'# Yrs of Data'!D36</f>
        <v>0.63636363636363635</v>
      </c>
      <c r="U44" s="2">
        <f t="shared" si="7"/>
        <v>8</v>
      </c>
      <c r="V44" s="46">
        <f>+U44/'# Yrs of Data'!D36</f>
        <v>0.24242424242424243</v>
      </c>
      <c r="W44" s="21"/>
    </row>
    <row r="45" spans="1:23">
      <c r="A45" s="1"/>
      <c r="B45" s="582">
        <f t="shared" si="1"/>
        <v>1983</v>
      </c>
      <c r="C45" s="300">
        <f>(COUNTIF('Database - Whole Tornadoes'!$P$5:$P$1197, "1983F0"))</f>
        <v>8</v>
      </c>
      <c r="D45" s="300">
        <f>(COUNTIF('Database - Whole Tornadoes'!$P$5:$P$1197, "1983F1"))</f>
        <v>4</v>
      </c>
      <c r="E45" s="300">
        <f>(COUNTIF('Database - Whole Tornadoes'!$P$5:$P$1197, "1983F2"))</f>
        <v>2</v>
      </c>
      <c r="F45" s="300">
        <f>(COUNTIF('Database - Whole Tornadoes'!$P$5:$P$1197, "1983F3"))</f>
        <v>0</v>
      </c>
      <c r="G45" s="300">
        <f>(COUNTIF('Database - Whole Tornadoes'!$P$5:$P$1197, "1983F4"))</f>
        <v>0</v>
      </c>
      <c r="H45" s="300">
        <f>(COUNTIF('Database - Whole Tornadoes'!$P$5:$P$1197, "1983F5"))</f>
        <v>0</v>
      </c>
      <c r="I45" s="304">
        <f t="shared" si="0"/>
        <v>14</v>
      </c>
      <c r="J45" s="305">
        <f t="shared" si="8"/>
        <v>16.399999999999999</v>
      </c>
      <c r="K45" s="304">
        <f t="shared" si="2"/>
        <v>455</v>
      </c>
      <c r="L45" s="583">
        <f>K45/'# Yrs of Data'!D37</f>
        <v>13.382352941176471</v>
      </c>
      <c r="M45" s="2">
        <f t="shared" si="3"/>
        <v>216</v>
      </c>
      <c r="N45" s="46">
        <f>+M45/'# Yrs of Data'!D37</f>
        <v>6.3529411764705879</v>
      </c>
      <c r="O45" s="2">
        <f t="shared" si="4"/>
        <v>133</v>
      </c>
      <c r="P45" s="46">
        <f>+O45/'# Yrs of Data'!D37</f>
        <v>3.9117647058823528</v>
      </c>
      <c r="Q45" s="2">
        <f t="shared" si="5"/>
        <v>77</v>
      </c>
      <c r="R45" s="46">
        <f>+Q45/'# Yrs of Data'!D37</f>
        <v>2.2647058823529411</v>
      </c>
      <c r="S45" s="2">
        <f t="shared" si="6"/>
        <v>21</v>
      </c>
      <c r="T45" s="46">
        <f>+S45/'# Yrs of Data'!D37</f>
        <v>0.61764705882352944</v>
      </c>
      <c r="U45" s="2">
        <f t="shared" si="7"/>
        <v>8</v>
      </c>
      <c r="V45" s="46">
        <f>+U45/'# Yrs of Data'!D37</f>
        <v>0.23529411764705882</v>
      </c>
      <c r="W45" s="21"/>
    </row>
    <row r="46" spans="1:23">
      <c r="A46" s="1"/>
      <c r="B46" s="582">
        <f t="shared" si="1"/>
        <v>1984</v>
      </c>
      <c r="C46" s="300">
        <f>(COUNTIF('Database - Whole Tornadoes'!$P$5:$P$1197, "1984F0"))</f>
        <v>6</v>
      </c>
      <c r="D46" s="300">
        <f>(COUNTIF('Database - Whole Tornadoes'!$P$5:$P$1197, "1984F1"))</f>
        <v>2</v>
      </c>
      <c r="E46" s="300">
        <f>(COUNTIF('Database - Whole Tornadoes'!$P$5:$P$1197, "1984F2"))</f>
        <v>0</v>
      </c>
      <c r="F46" s="300">
        <f>(COUNTIF('Database - Whole Tornadoes'!$P$5:$P$1197, "1984F3"))</f>
        <v>0</v>
      </c>
      <c r="G46" s="300">
        <f>(COUNTIF('Database - Whole Tornadoes'!$P$5:$P$1197, "1984F4"))</f>
        <v>0</v>
      </c>
      <c r="H46" s="300">
        <f>(COUNTIF('Database - Whole Tornadoes'!$P$5:$P$1197, "1984F5"))</f>
        <v>0</v>
      </c>
      <c r="I46" s="304">
        <f t="shared" si="0"/>
        <v>8</v>
      </c>
      <c r="J46" s="305">
        <f t="shared" si="8"/>
        <v>15.9</v>
      </c>
      <c r="K46" s="304">
        <f t="shared" si="2"/>
        <v>463</v>
      </c>
      <c r="L46" s="583">
        <f>K46/'# Yrs of Data'!D38</f>
        <v>13.228571428571428</v>
      </c>
      <c r="M46" s="2">
        <f t="shared" si="3"/>
        <v>222</v>
      </c>
      <c r="N46" s="46">
        <f>+M46/'# Yrs of Data'!D38</f>
        <v>6.3428571428571425</v>
      </c>
      <c r="O46" s="2">
        <f t="shared" si="4"/>
        <v>135</v>
      </c>
      <c r="P46" s="46">
        <f>+O46/'# Yrs of Data'!D38</f>
        <v>3.8571428571428572</v>
      </c>
      <c r="Q46" s="2">
        <f t="shared" si="5"/>
        <v>77</v>
      </c>
      <c r="R46" s="46">
        <f>+Q46/'# Yrs of Data'!D38</f>
        <v>2.2000000000000002</v>
      </c>
      <c r="S46" s="2">
        <f t="shared" si="6"/>
        <v>21</v>
      </c>
      <c r="T46" s="46">
        <f>+S46/'# Yrs of Data'!D38</f>
        <v>0.6</v>
      </c>
      <c r="U46" s="2">
        <f t="shared" si="7"/>
        <v>8</v>
      </c>
      <c r="V46" s="46">
        <f>+U46/'# Yrs of Data'!D38</f>
        <v>0.22857142857142856</v>
      </c>
      <c r="W46" s="21"/>
    </row>
    <row r="47" spans="1:23">
      <c r="A47" s="1"/>
      <c r="B47" s="582">
        <f t="shared" si="1"/>
        <v>1985</v>
      </c>
      <c r="C47" s="300">
        <f>(COUNTIF('Database - Whole Tornadoes'!$P$5:$P$1197, "1985F0"))</f>
        <v>3</v>
      </c>
      <c r="D47" s="300">
        <f>(COUNTIF('Database - Whole Tornadoes'!$P$5:$P$1197, "1985F1"))</f>
        <v>0</v>
      </c>
      <c r="E47" s="300">
        <f>(COUNTIF('Database - Whole Tornadoes'!$P$5:$P$1197, "1985F2"))</f>
        <v>0</v>
      </c>
      <c r="F47" s="300">
        <f>(COUNTIF('Database - Whole Tornadoes'!$P$5:$P$1197, "1985F3"))</f>
        <v>0</v>
      </c>
      <c r="G47" s="300">
        <f>(COUNTIF('Database - Whole Tornadoes'!$P$5:$P$1197, "1985F4"))</f>
        <v>0</v>
      </c>
      <c r="H47" s="300">
        <f>(COUNTIF('Database - Whole Tornadoes'!$P$5:$P$1197, "1985F5"))</f>
        <v>0</v>
      </c>
      <c r="I47" s="304">
        <f t="shared" si="0"/>
        <v>3</v>
      </c>
      <c r="J47" s="305">
        <f t="shared" si="8"/>
        <v>14.6</v>
      </c>
      <c r="K47" s="304">
        <f t="shared" si="2"/>
        <v>466</v>
      </c>
      <c r="L47" s="583">
        <f>K47/'# Yrs of Data'!D39</f>
        <v>12.944444444444445</v>
      </c>
      <c r="M47" s="2">
        <f t="shared" si="3"/>
        <v>225</v>
      </c>
      <c r="N47" s="46">
        <f>+M47/'# Yrs of Data'!D39</f>
        <v>6.25</v>
      </c>
      <c r="O47" s="2">
        <f t="shared" si="4"/>
        <v>135</v>
      </c>
      <c r="P47" s="46">
        <f>+O47/'# Yrs of Data'!D39</f>
        <v>3.75</v>
      </c>
      <c r="Q47" s="2">
        <f t="shared" si="5"/>
        <v>77</v>
      </c>
      <c r="R47" s="46">
        <f>+Q47/'# Yrs of Data'!D39</f>
        <v>2.1388888888888888</v>
      </c>
      <c r="S47" s="2">
        <f t="shared" si="6"/>
        <v>21</v>
      </c>
      <c r="T47" s="46">
        <f>+S47/'# Yrs of Data'!D39</f>
        <v>0.58333333333333337</v>
      </c>
      <c r="U47" s="2">
        <f t="shared" si="7"/>
        <v>8</v>
      </c>
      <c r="V47" s="46">
        <f>+U47/'# Yrs of Data'!D39</f>
        <v>0.22222222222222221</v>
      </c>
      <c r="W47" s="21"/>
    </row>
    <row r="48" spans="1:23">
      <c r="A48" s="1"/>
      <c r="B48" s="582">
        <f t="shared" si="1"/>
        <v>1986</v>
      </c>
      <c r="C48" s="300">
        <f>(COUNTIF('Database - Whole Tornadoes'!$P$5:$P$1197, "1986F0"))</f>
        <v>14</v>
      </c>
      <c r="D48" s="300">
        <f>(COUNTIF('Database - Whole Tornadoes'!$P$5:$P$1197, "1986F1"))</f>
        <v>0</v>
      </c>
      <c r="E48" s="300">
        <f>(COUNTIF('Database - Whole Tornadoes'!$P$5:$P$1197, "1986F2"))</f>
        <v>1</v>
      </c>
      <c r="F48" s="300">
        <f>(COUNTIF('Database - Whole Tornadoes'!$P$5:$P$1197, "1986F3"))</f>
        <v>1</v>
      </c>
      <c r="G48" s="300">
        <f>(COUNTIF('Database - Whole Tornadoes'!$P$5:$P$1197, "1986F4"))</f>
        <v>0</v>
      </c>
      <c r="H48" s="300">
        <f>(COUNTIF('Database - Whole Tornadoes'!$P$5:$P$1197, "1986F5"))</f>
        <v>0</v>
      </c>
      <c r="I48" s="304">
        <f t="shared" si="0"/>
        <v>16</v>
      </c>
      <c r="J48" s="305">
        <f t="shared" si="8"/>
        <v>15.2</v>
      </c>
      <c r="K48" s="304">
        <f t="shared" si="2"/>
        <v>482</v>
      </c>
      <c r="L48" s="583">
        <f>K48/'# Yrs of Data'!D40</f>
        <v>13.027027027027026</v>
      </c>
      <c r="M48" s="2">
        <f t="shared" si="3"/>
        <v>239</v>
      </c>
      <c r="N48" s="46">
        <f>+M48/'# Yrs of Data'!D40</f>
        <v>6.4594594594594597</v>
      </c>
      <c r="O48" s="2">
        <f t="shared" si="4"/>
        <v>135</v>
      </c>
      <c r="P48" s="46">
        <f>+O48/'# Yrs of Data'!D40</f>
        <v>3.6486486486486487</v>
      </c>
      <c r="Q48" s="2">
        <f t="shared" si="5"/>
        <v>78</v>
      </c>
      <c r="R48" s="46">
        <f>+Q48/'# Yrs of Data'!D40</f>
        <v>2.1081081081081079</v>
      </c>
      <c r="S48" s="2">
        <f t="shared" si="6"/>
        <v>22</v>
      </c>
      <c r="T48" s="46">
        <f>+S48/'# Yrs of Data'!D40</f>
        <v>0.59459459459459463</v>
      </c>
      <c r="U48" s="2">
        <f t="shared" si="7"/>
        <v>8</v>
      </c>
      <c r="V48" s="46">
        <f>+U48/'# Yrs of Data'!D40</f>
        <v>0.21621621621621623</v>
      </c>
    </row>
    <row r="49" spans="1:23">
      <c r="A49" s="1"/>
      <c r="B49" s="582">
        <f t="shared" si="1"/>
        <v>1987</v>
      </c>
      <c r="C49" s="300">
        <f>(COUNTIF('Database - Whole Tornadoes'!$P$5:$P$1197, "1987F0"))</f>
        <v>13</v>
      </c>
      <c r="D49" s="300">
        <f>(COUNTIF('Database - Whole Tornadoes'!$P$5:$P$1197, "1987F1"))</f>
        <v>8</v>
      </c>
      <c r="E49" s="300">
        <f>(COUNTIF('Database - Whole Tornadoes'!$P$5:$P$1197, "1987F2"))</f>
        <v>8</v>
      </c>
      <c r="F49" s="300">
        <f>(COUNTIF('Database - Whole Tornadoes'!$P$5:$P$1197, "1987F3"))</f>
        <v>3</v>
      </c>
      <c r="G49" s="300">
        <f>(COUNTIF('Database - Whole Tornadoes'!$P$5:$P$1197, "1987F4"))</f>
        <v>0</v>
      </c>
      <c r="H49" s="300">
        <f>(COUNTIF('Database - Whole Tornadoes'!$P$5:$P$1197, "1987F5"))</f>
        <v>0</v>
      </c>
      <c r="I49" s="304">
        <f t="shared" si="0"/>
        <v>32</v>
      </c>
      <c r="J49" s="305">
        <f t="shared" si="8"/>
        <v>16.3</v>
      </c>
      <c r="K49" s="304">
        <f t="shared" si="2"/>
        <v>514</v>
      </c>
      <c r="L49" s="583">
        <f>K49/'# Yrs of Data'!D41</f>
        <v>13.526315789473685</v>
      </c>
      <c r="M49" s="2">
        <f t="shared" si="3"/>
        <v>252</v>
      </c>
      <c r="N49" s="46">
        <f>+M49/'# Yrs of Data'!D41</f>
        <v>6.6315789473684212</v>
      </c>
      <c r="O49" s="2">
        <f t="shared" si="4"/>
        <v>143</v>
      </c>
      <c r="P49" s="46">
        <f>+O49/'# Yrs of Data'!D41</f>
        <v>3.763157894736842</v>
      </c>
      <c r="Q49" s="2">
        <f t="shared" si="5"/>
        <v>86</v>
      </c>
      <c r="R49" s="46">
        <f>+Q49/'# Yrs of Data'!D41</f>
        <v>2.263157894736842</v>
      </c>
      <c r="S49" s="2">
        <f t="shared" si="6"/>
        <v>25</v>
      </c>
      <c r="T49" s="46">
        <f>+S49/'# Yrs of Data'!D41</f>
        <v>0.65789473684210531</v>
      </c>
      <c r="U49" s="2">
        <f t="shared" si="7"/>
        <v>8</v>
      </c>
      <c r="V49" s="46">
        <f>+U49/'# Yrs of Data'!D41</f>
        <v>0.21052631578947367</v>
      </c>
    </row>
    <row r="50" spans="1:23">
      <c r="A50" s="1"/>
      <c r="B50" s="582">
        <f t="shared" si="1"/>
        <v>1988</v>
      </c>
      <c r="C50" s="300">
        <f>(COUNTIF('Database - Whole Tornadoes'!$P$5:$P$1197, "1988F0"))</f>
        <v>2</v>
      </c>
      <c r="D50" s="300">
        <f>(COUNTIF('Database - Whole Tornadoes'!$P$5:$P$1197, "1988F1"))</f>
        <v>1</v>
      </c>
      <c r="E50" s="300">
        <f>(COUNTIF('Database - Whole Tornadoes'!$P$5:$P$1197, "1988F2"))</f>
        <v>1</v>
      </c>
      <c r="F50" s="300">
        <f>(COUNTIF('Database - Whole Tornadoes'!$P$5:$P$1197, "1988F3"))</f>
        <v>0</v>
      </c>
      <c r="G50" s="300">
        <f>(COUNTIF('Database - Whole Tornadoes'!$P$5:$P$1197, "1988F4"))</f>
        <v>0</v>
      </c>
      <c r="H50" s="300">
        <f>(COUNTIF('Database - Whole Tornadoes'!$P$5:$P$1197, "1988F5"))</f>
        <v>0</v>
      </c>
      <c r="I50" s="304">
        <f t="shared" si="0"/>
        <v>4</v>
      </c>
      <c r="J50" s="305">
        <f t="shared" si="8"/>
        <v>15.1</v>
      </c>
      <c r="K50" s="304">
        <f t="shared" si="2"/>
        <v>518</v>
      </c>
      <c r="L50" s="583">
        <f>K50/'# Yrs of Data'!D42</f>
        <v>13.282051282051283</v>
      </c>
      <c r="M50" s="2">
        <f t="shared" si="3"/>
        <v>254</v>
      </c>
      <c r="N50" s="46">
        <f>+M50/'# Yrs of Data'!D42</f>
        <v>6.5128205128205128</v>
      </c>
      <c r="O50" s="2">
        <f t="shared" si="4"/>
        <v>144</v>
      </c>
      <c r="P50" s="46">
        <f>+O50/'# Yrs of Data'!D42</f>
        <v>3.6923076923076925</v>
      </c>
      <c r="Q50" s="2">
        <f t="shared" si="5"/>
        <v>87</v>
      </c>
      <c r="R50" s="46">
        <f>+Q50/'# Yrs of Data'!D42</f>
        <v>2.2307692307692308</v>
      </c>
      <c r="S50" s="2">
        <f t="shared" si="6"/>
        <v>25</v>
      </c>
      <c r="T50" s="46">
        <f>+S50/'# Yrs of Data'!D42</f>
        <v>0.64102564102564108</v>
      </c>
      <c r="U50" s="2">
        <f t="shared" si="7"/>
        <v>8</v>
      </c>
      <c r="V50" s="46">
        <f>+U50/'# Yrs of Data'!D42</f>
        <v>0.20512820512820512</v>
      </c>
    </row>
    <row r="51" spans="1:23">
      <c r="A51" s="1"/>
      <c r="B51" s="582">
        <f t="shared" si="1"/>
        <v>1989</v>
      </c>
      <c r="C51" s="300">
        <f>(COUNTIF('Database - Whole Tornadoes'!$P$5:$P$1197, "1989F0"))</f>
        <v>23</v>
      </c>
      <c r="D51" s="300">
        <f>(COUNTIF('Database - Whole Tornadoes'!$P$5:$P$1197, "1989F1"))</f>
        <v>7</v>
      </c>
      <c r="E51" s="300">
        <f>(COUNTIF('Database - Whole Tornadoes'!$P$5:$P$1197, "1989F2"))</f>
        <v>2</v>
      </c>
      <c r="F51" s="300">
        <f>(COUNTIF('Database - Whole Tornadoes'!$P$5:$P$1197, "1989F3"))</f>
        <v>0</v>
      </c>
      <c r="G51" s="300">
        <f>(COUNTIF('Database - Whole Tornadoes'!$P$5:$P$1197, "1989F4"))</f>
        <v>0</v>
      </c>
      <c r="H51" s="300">
        <f>(COUNTIF('Database - Whole Tornadoes'!$P$5:$P$1197, "1989F5"))</f>
        <v>0</v>
      </c>
      <c r="I51" s="304">
        <f t="shared" si="0"/>
        <v>32</v>
      </c>
      <c r="J51" s="305">
        <f t="shared" si="8"/>
        <v>17.2</v>
      </c>
      <c r="K51" s="304">
        <f t="shared" si="2"/>
        <v>550</v>
      </c>
      <c r="L51" s="583">
        <f>K51/'# Yrs of Data'!D43</f>
        <v>13.75</v>
      </c>
      <c r="M51" s="2">
        <f t="shared" si="3"/>
        <v>277</v>
      </c>
      <c r="N51" s="46">
        <f>+M51/'# Yrs of Data'!D43</f>
        <v>6.9249999999999998</v>
      </c>
      <c r="O51" s="2">
        <f t="shared" si="4"/>
        <v>151</v>
      </c>
      <c r="P51" s="46">
        <f>+O51/'# Yrs of Data'!D43</f>
        <v>3.7749999999999999</v>
      </c>
      <c r="Q51" s="2">
        <f t="shared" si="5"/>
        <v>89</v>
      </c>
      <c r="R51" s="46">
        <f>+Q51/'# Yrs of Data'!D43</f>
        <v>2.2250000000000001</v>
      </c>
      <c r="S51" s="2">
        <f t="shared" si="6"/>
        <v>25</v>
      </c>
      <c r="T51" s="46">
        <f>+S51/'# Yrs of Data'!D43</f>
        <v>0.625</v>
      </c>
      <c r="U51" s="2">
        <f t="shared" si="7"/>
        <v>8</v>
      </c>
      <c r="V51" s="46">
        <f>+U51/'# Yrs of Data'!D43</f>
        <v>0.2</v>
      </c>
      <c r="W51" s="21"/>
    </row>
    <row r="52" spans="1:23">
      <c r="A52" s="1"/>
      <c r="B52" s="582">
        <f t="shared" si="1"/>
        <v>1990</v>
      </c>
      <c r="C52" s="300">
        <f>(COUNTIF('Database - Whole Tornadoes'!$P$5:$P$1197, "1990F0"))</f>
        <v>24</v>
      </c>
      <c r="D52" s="300">
        <f>(COUNTIF('Database - Whole Tornadoes'!$P$5:$P$1197, "1990F1"))</f>
        <v>9</v>
      </c>
      <c r="E52" s="300">
        <f>(COUNTIF('Database - Whole Tornadoes'!$P$5:$P$1197, "1990F2"))</f>
        <v>4</v>
      </c>
      <c r="F52" s="300">
        <f>(COUNTIF('Database - Whole Tornadoes'!$P$5:$P$1197, "1990F3"))</f>
        <v>1</v>
      </c>
      <c r="G52" s="300">
        <f>(COUNTIF('Database - Whole Tornadoes'!$P$5:$P$1197, "1990F4"))</f>
        <v>0</v>
      </c>
      <c r="H52" s="300">
        <f>(COUNTIF('Database - Whole Tornadoes'!$P$5:$P$1197, "1990F5"))</f>
        <v>0</v>
      </c>
      <c r="I52" s="304">
        <f t="shared" si="0"/>
        <v>38</v>
      </c>
      <c r="J52" s="305">
        <f t="shared" si="8"/>
        <v>19.7</v>
      </c>
      <c r="K52" s="304">
        <f t="shared" si="2"/>
        <v>588</v>
      </c>
      <c r="L52" s="583">
        <f>K52/'# Yrs of Data'!D44</f>
        <v>14.341463414634147</v>
      </c>
      <c r="M52" s="2">
        <f t="shared" si="3"/>
        <v>301</v>
      </c>
      <c r="N52" s="46">
        <f>+M52/'# Yrs of Data'!D44</f>
        <v>7.3414634146341466</v>
      </c>
      <c r="O52" s="2">
        <f t="shared" si="4"/>
        <v>160</v>
      </c>
      <c r="P52" s="46">
        <f>+O52/'# Yrs of Data'!D44</f>
        <v>3.9024390243902438</v>
      </c>
      <c r="Q52" s="2">
        <f t="shared" si="5"/>
        <v>93</v>
      </c>
      <c r="R52" s="46">
        <f>+Q52/'# Yrs of Data'!D44</f>
        <v>2.2682926829268291</v>
      </c>
      <c r="S52" s="2">
        <f t="shared" si="6"/>
        <v>26</v>
      </c>
      <c r="T52" s="46">
        <f>+S52/'# Yrs of Data'!D44</f>
        <v>0.63414634146341464</v>
      </c>
      <c r="U52" s="2">
        <f t="shared" si="7"/>
        <v>8</v>
      </c>
      <c r="V52" s="46">
        <f>+U52/'# Yrs of Data'!D44</f>
        <v>0.1951219512195122</v>
      </c>
      <c r="W52" s="21"/>
    </row>
    <row r="53" spans="1:23">
      <c r="A53" s="1"/>
      <c r="B53" s="582">
        <f t="shared" si="1"/>
        <v>1991</v>
      </c>
      <c r="C53" s="300">
        <f>(COUNTIF('Database - Whole Tornadoes'!$P$5:$P$1197, "1991F0"))</f>
        <v>19</v>
      </c>
      <c r="D53" s="300">
        <f>(COUNTIF('Database - Whole Tornadoes'!$P$5:$P$1197, "1991F1"))</f>
        <v>1</v>
      </c>
      <c r="E53" s="300">
        <f>(COUNTIF('Database - Whole Tornadoes'!$P$5:$P$1197, "1991F2"))</f>
        <v>0</v>
      </c>
      <c r="F53" s="300">
        <f>(COUNTIF('Database - Whole Tornadoes'!$P$5:$P$1197, "1991F3"))</f>
        <v>1</v>
      </c>
      <c r="G53" s="300">
        <f>(COUNTIF('Database - Whole Tornadoes'!$P$5:$P$1197, "1991F4"))</f>
        <v>0</v>
      </c>
      <c r="H53" s="300">
        <f>(COUNTIF('Database - Whole Tornadoes'!$P$5:$P$1197, "1991F5"))</f>
        <v>0</v>
      </c>
      <c r="I53" s="304">
        <f t="shared" si="0"/>
        <v>21</v>
      </c>
      <c r="J53" s="305">
        <f t="shared" si="8"/>
        <v>20.399999999999999</v>
      </c>
      <c r="K53" s="304">
        <f t="shared" si="2"/>
        <v>609</v>
      </c>
      <c r="L53" s="583">
        <f>K53/'# Yrs of Data'!D45</f>
        <v>14.5</v>
      </c>
      <c r="M53" s="2">
        <f t="shared" si="3"/>
        <v>320</v>
      </c>
      <c r="N53" s="46">
        <f>+M53/'# Yrs of Data'!D45</f>
        <v>7.6190476190476186</v>
      </c>
      <c r="O53" s="2">
        <f t="shared" si="4"/>
        <v>161</v>
      </c>
      <c r="P53" s="46">
        <f>+O53/'# Yrs of Data'!D45</f>
        <v>3.8333333333333335</v>
      </c>
      <c r="Q53" s="2">
        <f t="shared" si="5"/>
        <v>93</v>
      </c>
      <c r="R53" s="46">
        <f>+Q53/'# Yrs of Data'!D45</f>
        <v>2.2142857142857144</v>
      </c>
      <c r="S53" s="2">
        <f t="shared" si="6"/>
        <v>27</v>
      </c>
      <c r="T53" s="46">
        <f>+S53/'# Yrs of Data'!D45</f>
        <v>0.6428571428571429</v>
      </c>
      <c r="U53" s="2">
        <f t="shared" si="7"/>
        <v>8</v>
      </c>
      <c r="V53" s="46">
        <f>+U53/'# Yrs of Data'!D45</f>
        <v>0.19047619047619047</v>
      </c>
      <c r="W53" s="21"/>
    </row>
    <row r="54" spans="1:23">
      <c r="A54" s="1"/>
      <c r="B54" s="582">
        <f t="shared" si="1"/>
        <v>1992</v>
      </c>
      <c r="C54" s="300">
        <f>(COUNTIF('Database - Whole Tornadoes'!$P$5:$P$1197, "1992F0"))</f>
        <v>13</v>
      </c>
      <c r="D54" s="300">
        <f>(COUNTIF('Database - Whole Tornadoes'!$P$5:$P$1197, "1992F1"))</f>
        <v>3</v>
      </c>
      <c r="E54" s="300">
        <f>(COUNTIF('Database - Whole Tornadoes'!$P$5:$P$1197, "1992F2"))</f>
        <v>1</v>
      </c>
      <c r="F54" s="300">
        <f>(COUNTIF('Database - Whole Tornadoes'!$P$5:$P$1197, "1992F3"))</f>
        <v>1</v>
      </c>
      <c r="G54" s="300">
        <f>(COUNTIF('Database - Whole Tornadoes'!$P$5:$P$1197, "1992F4"))</f>
        <v>1</v>
      </c>
      <c r="H54" s="300">
        <f>(COUNTIF('Database - Whole Tornadoes'!$P$5:$P$1197, "1992F5"))</f>
        <v>0</v>
      </c>
      <c r="I54" s="304">
        <f t="shared" si="0"/>
        <v>19</v>
      </c>
      <c r="J54" s="305">
        <f t="shared" si="8"/>
        <v>18.7</v>
      </c>
      <c r="K54" s="304">
        <f t="shared" si="2"/>
        <v>628</v>
      </c>
      <c r="L54" s="583">
        <f>K54/'# Yrs of Data'!D46</f>
        <v>14.604651162790697</v>
      </c>
      <c r="M54" s="2">
        <f t="shared" si="3"/>
        <v>333</v>
      </c>
      <c r="N54" s="46">
        <f>+M54/'# Yrs of Data'!D46</f>
        <v>7.7441860465116283</v>
      </c>
      <c r="O54" s="2">
        <f t="shared" si="4"/>
        <v>164</v>
      </c>
      <c r="P54" s="46">
        <f>+O54/'# Yrs of Data'!D46</f>
        <v>3.8139534883720931</v>
      </c>
      <c r="Q54" s="2">
        <f t="shared" si="5"/>
        <v>94</v>
      </c>
      <c r="R54" s="46">
        <f>+Q54/'# Yrs of Data'!D46</f>
        <v>2.1860465116279069</v>
      </c>
      <c r="S54" s="2">
        <f t="shared" si="6"/>
        <v>28</v>
      </c>
      <c r="T54" s="46">
        <f>+S54/'# Yrs of Data'!D46</f>
        <v>0.65116279069767447</v>
      </c>
      <c r="U54" s="2">
        <f t="shared" si="7"/>
        <v>9</v>
      </c>
      <c r="V54" s="46">
        <f>+U54/'# Yrs of Data'!D46</f>
        <v>0.20930232558139536</v>
      </c>
      <c r="W54" s="21"/>
    </row>
    <row r="55" spans="1:23">
      <c r="A55" s="1"/>
      <c r="B55" s="582">
        <f t="shared" si="1"/>
        <v>1993</v>
      </c>
      <c r="C55" s="300">
        <f>(COUNTIF('Database - Whole Tornadoes'!$P$5:$P$1197, "1993F0"))</f>
        <v>12</v>
      </c>
      <c r="D55" s="300">
        <f>(COUNTIF('Database - Whole Tornadoes'!$P$5:$P$1197, "1993F1"))</f>
        <v>4</v>
      </c>
      <c r="E55" s="300">
        <f>(COUNTIF('Database - Whole Tornadoes'!$P$5:$P$1197, "1993F2"))</f>
        <v>0</v>
      </c>
      <c r="F55" s="300">
        <f>(COUNTIF('Database - Whole Tornadoes'!$P$5:$P$1197, "1993F3"))</f>
        <v>2</v>
      </c>
      <c r="G55" s="300">
        <f>(COUNTIF('Database - Whole Tornadoes'!$P$5:$P$1197, "1993F4"))</f>
        <v>0</v>
      </c>
      <c r="H55" s="300">
        <f>(COUNTIF('Database - Whole Tornadoes'!$P$5:$P$1197, "1993F5"))</f>
        <v>0</v>
      </c>
      <c r="I55" s="304">
        <f t="shared" si="0"/>
        <v>18</v>
      </c>
      <c r="J55" s="305">
        <f t="shared" si="8"/>
        <v>19.100000000000001</v>
      </c>
      <c r="K55" s="304">
        <f t="shared" si="2"/>
        <v>646</v>
      </c>
      <c r="L55" s="583">
        <f>K55/'# Yrs of Data'!D47</f>
        <v>14.681818181818182</v>
      </c>
      <c r="M55" s="2">
        <f t="shared" si="3"/>
        <v>345</v>
      </c>
      <c r="N55" s="46">
        <f>+M55/'# Yrs of Data'!D47</f>
        <v>7.8409090909090908</v>
      </c>
      <c r="O55" s="2">
        <f t="shared" si="4"/>
        <v>168</v>
      </c>
      <c r="P55" s="46">
        <f>+O55/'# Yrs of Data'!D47</f>
        <v>3.8181818181818183</v>
      </c>
      <c r="Q55" s="2">
        <f t="shared" si="5"/>
        <v>94</v>
      </c>
      <c r="R55" s="46">
        <f>+Q55/'# Yrs of Data'!D47</f>
        <v>2.1363636363636362</v>
      </c>
      <c r="S55" s="2">
        <f t="shared" si="6"/>
        <v>30</v>
      </c>
      <c r="T55" s="46">
        <f>+S55/'# Yrs of Data'!D47</f>
        <v>0.68181818181818177</v>
      </c>
      <c r="U55" s="2">
        <f t="shared" si="7"/>
        <v>9</v>
      </c>
      <c r="V55" s="46">
        <f>+U55/'# Yrs of Data'!D47</f>
        <v>0.20454545454545456</v>
      </c>
      <c r="W55" s="21"/>
    </row>
    <row r="56" spans="1:23">
      <c r="A56" s="1"/>
      <c r="B56" s="582">
        <f t="shared" si="1"/>
        <v>1994</v>
      </c>
      <c r="C56" s="300">
        <f>(COUNTIF('Database - Whole Tornadoes'!$P$5:$P$1197, "1994F0"))</f>
        <v>3</v>
      </c>
      <c r="D56" s="300">
        <f>(COUNTIF('Database - Whole Tornadoes'!$P$5:$P$1197, "1994F1"))</f>
        <v>2</v>
      </c>
      <c r="E56" s="300">
        <f>(COUNTIF('Database - Whole Tornadoes'!$P$5:$P$1197, "1994F2"))</f>
        <v>0</v>
      </c>
      <c r="F56" s="300">
        <f>(COUNTIF('Database - Whole Tornadoes'!$P$5:$P$1197, "1994F3"))</f>
        <v>0</v>
      </c>
      <c r="G56" s="300">
        <f>(COUNTIF('Database - Whole Tornadoes'!$P$5:$P$1197, "1994F4"))</f>
        <v>0</v>
      </c>
      <c r="H56" s="300">
        <f>(COUNTIF('Database - Whole Tornadoes'!$P$5:$P$1197, "1994F5"))</f>
        <v>0</v>
      </c>
      <c r="I56" s="304">
        <f t="shared" si="0"/>
        <v>5</v>
      </c>
      <c r="J56" s="305">
        <f t="shared" si="8"/>
        <v>18.8</v>
      </c>
      <c r="K56" s="304">
        <f t="shared" si="2"/>
        <v>651</v>
      </c>
      <c r="L56" s="583">
        <f>K56/'# Yrs of Data'!D48</f>
        <v>14.466666666666667</v>
      </c>
      <c r="M56" s="2">
        <f t="shared" si="3"/>
        <v>348</v>
      </c>
      <c r="N56" s="46">
        <f>+M56/'# Yrs of Data'!D48</f>
        <v>7.7333333333333334</v>
      </c>
      <c r="O56" s="2">
        <f t="shared" si="4"/>
        <v>170</v>
      </c>
      <c r="P56" s="46">
        <f>+O56/'# Yrs of Data'!D48</f>
        <v>3.7777777777777777</v>
      </c>
      <c r="Q56" s="2">
        <f t="shared" si="5"/>
        <v>94</v>
      </c>
      <c r="R56" s="46">
        <f>+Q56/'# Yrs of Data'!D48</f>
        <v>2.088888888888889</v>
      </c>
      <c r="S56" s="2">
        <f t="shared" si="6"/>
        <v>30</v>
      </c>
      <c r="T56" s="46">
        <f>+S56/'# Yrs of Data'!D48</f>
        <v>0.66666666666666663</v>
      </c>
      <c r="U56" s="2">
        <f t="shared" si="7"/>
        <v>9</v>
      </c>
      <c r="V56" s="46">
        <f>+U56/'# Yrs of Data'!D48</f>
        <v>0.2</v>
      </c>
      <c r="W56" s="569"/>
    </row>
    <row r="57" spans="1:23">
      <c r="A57" s="1"/>
      <c r="B57" s="582">
        <f t="shared" si="1"/>
        <v>1995</v>
      </c>
      <c r="C57" s="300">
        <f>(COUNTIF('Database - Whole Tornadoes'!$P$5:$P$1197, "1995F0"))</f>
        <v>25</v>
      </c>
      <c r="D57" s="300">
        <f>(COUNTIF('Database - Whole Tornadoes'!$P$5:$P$1197, "1995F1"))</f>
        <v>8</v>
      </c>
      <c r="E57" s="300">
        <f>(COUNTIF('Database - Whole Tornadoes'!$P$5:$P$1197, "1995F2"))</f>
        <v>5</v>
      </c>
      <c r="F57" s="300">
        <f>(COUNTIF('Database - Whole Tornadoes'!$P$5:$P$1197, "1995F3"))</f>
        <v>0</v>
      </c>
      <c r="G57" s="300">
        <f>(COUNTIF('Database - Whole Tornadoes'!$P$5:$P$1197, "1995F4"))</f>
        <v>3</v>
      </c>
      <c r="H57" s="300">
        <f>(COUNTIF('Database - Whole Tornadoes'!$P$5:$P$1197, "1995F5"))</f>
        <v>0</v>
      </c>
      <c r="I57" s="304">
        <f t="shared" si="0"/>
        <v>41</v>
      </c>
      <c r="J57" s="305">
        <f t="shared" si="8"/>
        <v>22.6</v>
      </c>
      <c r="K57" s="304">
        <f t="shared" si="2"/>
        <v>692</v>
      </c>
      <c r="L57" s="583">
        <f>K57/'# Yrs of Data'!D49</f>
        <v>15.043478260869565</v>
      </c>
      <c r="M57" s="2">
        <f t="shared" si="3"/>
        <v>373</v>
      </c>
      <c r="N57" s="46">
        <f>+M57/'# Yrs of Data'!D49</f>
        <v>8.1086956521739122</v>
      </c>
      <c r="O57" s="2">
        <f t="shared" si="4"/>
        <v>178</v>
      </c>
      <c r="P57" s="46">
        <f>+O57/'# Yrs of Data'!D49</f>
        <v>3.8695652173913042</v>
      </c>
      <c r="Q57" s="2">
        <f t="shared" si="5"/>
        <v>99</v>
      </c>
      <c r="R57" s="46">
        <f>+Q57/'# Yrs of Data'!D49</f>
        <v>2.152173913043478</v>
      </c>
      <c r="S57" s="2">
        <f t="shared" si="6"/>
        <v>30</v>
      </c>
      <c r="T57" s="46">
        <f>+S57/'# Yrs of Data'!D49</f>
        <v>0.65217391304347827</v>
      </c>
      <c r="U57" s="2">
        <f t="shared" si="7"/>
        <v>12</v>
      </c>
      <c r="V57" s="46">
        <f>+U57/'# Yrs of Data'!D49</f>
        <v>0.2608695652173913</v>
      </c>
      <c r="W57" s="21"/>
    </row>
    <row r="58" spans="1:23">
      <c r="A58" s="1"/>
      <c r="B58" s="582">
        <f t="shared" si="1"/>
        <v>1996</v>
      </c>
      <c r="C58" s="300">
        <f>(COUNTIF('Database - Whole Tornadoes'!$P$5:$P$1197, "1996F0"))</f>
        <v>32</v>
      </c>
      <c r="D58" s="300">
        <f>(COUNTIF('Database - Whole Tornadoes'!$P$5:$P$1197, "1996F1"))</f>
        <v>2</v>
      </c>
      <c r="E58" s="300">
        <f>(COUNTIF('Database - Whole Tornadoes'!$P$5:$P$1197, "1996F2"))</f>
        <v>1</v>
      </c>
      <c r="F58" s="300">
        <f>(COUNTIF('Database - Whole Tornadoes'!$P$5:$P$1197, "1996F3"))</f>
        <v>0</v>
      </c>
      <c r="G58" s="300">
        <f>(COUNTIF('Database - Whole Tornadoes'!$P$5:$P$1197, "1996F4"))</f>
        <v>0</v>
      </c>
      <c r="H58" s="300">
        <f>(COUNTIF('Database - Whole Tornadoes'!$P$5:$P$1197, "1996F5"))</f>
        <v>0</v>
      </c>
      <c r="I58" s="304">
        <f t="shared" si="0"/>
        <v>35</v>
      </c>
      <c r="J58" s="305">
        <f t="shared" si="8"/>
        <v>24.5</v>
      </c>
      <c r="K58" s="304">
        <f t="shared" si="2"/>
        <v>727</v>
      </c>
      <c r="L58" s="583">
        <f>K58/'# Yrs of Data'!D50</f>
        <v>15.468085106382979</v>
      </c>
      <c r="M58" s="2">
        <f t="shared" si="3"/>
        <v>405</v>
      </c>
      <c r="N58" s="46">
        <f>+M58/'# Yrs of Data'!D50</f>
        <v>8.6170212765957448</v>
      </c>
      <c r="O58" s="2">
        <f t="shared" si="4"/>
        <v>180</v>
      </c>
      <c r="P58" s="46">
        <f>+O58/'# Yrs of Data'!D50</f>
        <v>3.8297872340425534</v>
      </c>
      <c r="Q58" s="2">
        <f t="shared" si="5"/>
        <v>100</v>
      </c>
      <c r="R58" s="46">
        <f>+Q58/'# Yrs of Data'!D50</f>
        <v>2.1276595744680851</v>
      </c>
      <c r="S58" s="2">
        <f t="shared" si="6"/>
        <v>30</v>
      </c>
      <c r="T58" s="46">
        <f>+S58/'# Yrs of Data'!D50</f>
        <v>0.63829787234042556</v>
      </c>
      <c r="U58" s="2">
        <f t="shared" si="7"/>
        <v>12</v>
      </c>
      <c r="V58" s="46">
        <f>+U58/'# Yrs of Data'!D50</f>
        <v>0.25531914893617019</v>
      </c>
      <c r="W58" s="569"/>
    </row>
    <row r="59" spans="1:23">
      <c r="A59" s="1"/>
      <c r="B59" s="582">
        <f t="shared" si="1"/>
        <v>1997</v>
      </c>
      <c r="C59" s="300">
        <f>(COUNTIF('Database - Whole Tornadoes'!$P$5:$P$1197, "1997F0"))</f>
        <v>22</v>
      </c>
      <c r="D59" s="300">
        <f>(COUNTIF('Database - Whole Tornadoes'!$P$5:$P$1197, "1997F1"))</f>
        <v>6</v>
      </c>
      <c r="E59" s="300">
        <f>(COUNTIF('Database - Whole Tornadoes'!$P$5:$P$1197, "1997F2"))</f>
        <v>0</v>
      </c>
      <c r="F59" s="300">
        <f>(COUNTIF('Database - Whole Tornadoes'!$P$5:$P$1197, "1997F3"))</f>
        <v>1</v>
      </c>
      <c r="G59" s="300">
        <f>(COUNTIF('Database - Whole Tornadoes'!$P$5:$P$1197, "1997F4"))</f>
        <v>0</v>
      </c>
      <c r="H59" s="300">
        <f>(COUNTIF('Database - Whole Tornadoes'!$P$5:$P$1197, "1997F5"))</f>
        <v>0</v>
      </c>
      <c r="I59" s="304">
        <f t="shared" si="0"/>
        <v>29</v>
      </c>
      <c r="J59" s="305">
        <f t="shared" si="8"/>
        <v>24.2</v>
      </c>
      <c r="K59" s="304">
        <f t="shared" si="2"/>
        <v>756</v>
      </c>
      <c r="L59" s="583">
        <f>K59/'# Yrs of Data'!D51</f>
        <v>15.75</v>
      </c>
      <c r="M59" s="2">
        <f t="shared" si="3"/>
        <v>427</v>
      </c>
      <c r="N59" s="46">
        <f>+M59/'# Yrs of Data'!D51</f>
        <v>8.8958333333333339</v>
      </c>
      <c r="O59" s="2">
        <f t="shared" si="4"/>
        <v>186</v>
      </c>
      <c r="P59" s="46">
        <f>+O59/'# Yrs of Data'!D51</f>
        <v>3.875</v>
      </c>
      <c r="Q59" s="2">
        <f t="shared" si="5"/>
        <v>100</v>
      </c>
      <c r="R59" s="46">
        <f>+Q59/'# Yrs of Data'!D51</f>
        <v>2.0833333333333335</v>
      </c>
      <c r="S59" s="2">
        <f t="shared" si="6"/>
        <v>31</v>
      </c>
      <c r="T59" s="46">
        <f>+S59/'# Yrs of Data'!D51</f>
        <v>0.64583333333333337</v>
      </c>
      <c r="U59" s="2">
        <f t="shared" si="7"/>
        <v>12</v>
      </c>
      <c r="V59" s="46">
        <f>+U59/'# Yrs of Data'!D51</f>
        <v>0.25</v>
      </c>
      <c r="W59" s="569"/>
    </row>
    <row r="60" spans="1:23">
      <c r="A60" s="1"/>
      <c r="B60" s="582">
        <f t="shared" si="1"/>
        <v>1998</v>
      </c>
      <c r="C60" s="300">
        <f>(COUNTIF('Database - Whole Tornadoes'!$P$5:$P$1197, "1998F0"))</f>
        <v>1</v>
      </c>
      <c r="D60" s="300">
        <f>(COUNTIF('Database - Whole Tornadoes'!$P$5:$P$1197, "1998F1"))</f>
        <v>1</v>
      </c>
      <c r="E60" s="300">
        <f>(COUNTIF('Database - Whole Tornadoes'!$P$5:$P$1197, "1998F2"))</f>
        <v>0</v>
      </c>
      <c r="F60" s="300">
        <f>(COUNTIF('Database - Whole Tornadoes'!$P$5:$P$1197, "1998F3"))</f>
        <v>0</v>
      </c>
      <c r="G60" s="300">
        <f>(COUNTIF('Database - Whole Tornadoes'!$P$5:$P$1197, "1998F4"))</f>
        <v>0</v>
      </c>
      <c r="H60" s="300">
        <f>(COUNTIF('Database - Whole Tornadoes'!$P$5:$P$1197, "1998F5"))</f>
        <v>0</v>
      </c>
      <c r="I60" s="304">
        <f t="shared" si="0"/>
        <v>2</v>
      </c>
      <c r="J60" s="305">
        <f t="shared" si="8"/>
        <v>24</v>
      </c>
      <c r="K60" s="304">
        <f t="shared" si="2"/>
        <v>758</v>
      </c>
      <c r="L60" s="583">
        <f>K60/'# Yrs of Data'!D52</f>
        <v>15.469387755102041</v>
      </c>
      <c r="M60" s="2">
        <f t="shared" si="3"/>
        <v>428</v>
      </c>
      <c r="N60" s="46">
        <f>+M60/'# Yrs of Data'!D52</f>
        <v>8.7346938775510203</v>
      </c>
      <c r="O60" s="2">
        <f t="shared" si="4"/>
        <v>187</v>
      </c>
      <c r="P60" s="46">
        <f>+O60/'# Yrs of Data'!D52</f>
        <v>3.8163265306122449</v>
      </c>
      <c r="Q60" s="2">
        <f t="shared" si="5"/>
        <v>100</v>
      </c>
      <c r="R60" s="46">
        <f>+Q60/'# Yrs of Data'!D52</f>
        <v>2.0408163265306123</v>
      </c>
      <c r="S60" s="2">
        <f t="shared" si="6"/>
        <v>31</v>
      </c>
      <c r="T60" s="46">
        <f>+S60/'# Yrs of Data'!D52</f>
        <v>0.63265306122448983</v>
      </c>
      <c r="U60" s="2">
        <f t="shared" si="7"/>
        <v>12</v>
      </c>
      <c r="V60" s="46">
        <f>+U60/'# Yrs of Data'!D52</f>
        <v>0.24489795918367346</v>
      </c>
      <c r="W60" s="21"/>
    </row>
    <row r="61" spans="1:23">
      <c r="A61" s="1"/>
      <c r="B61" s="582">
        <f t="shared" si="1"/>
        <v>1999</v>
      </c>
      <c r="C61" s="300">
        <f>(COUNTIF('Database - Whole Tornadoes'!$P$5:$P$1197, "1999F0"))</f>
        <v>25</v>
      </c>
      <c r="D61" s="300">
        <f>(COUNTIF('Database - Whole Tornadoes'!$P$5:$P$1197, "1999F1"))</f>
        <v>0</v>
      </c>
      <c r="E61" s="300">
        <f>(COUNTIF('Database - Whole Tornadoes'!$P$5:$P$1197, "1999F2"))</f>
        <v>0</v>
      </c>
      <c r="F61" s="300">
        <f>(COUNTIF('Database - Whole Tornadoes'!$P$5:$P$1197, "1999F3"))</f>
        <v>0</v>
      </c>
      <c r="G61" s="300">
        <f>(COUNTIF('Database - Whole Tornadoes'!$P$5:$P$1197, "1999F4"))</f>
        <v>0</v>
      </c>
      <c r="H61" s="300">
        <f>(COUNTIF('Database - Whole Tornadoes'!$P$5:$P$1197, "1999F5"))</f>
        <v>0</v>
      </c>
      <c r="I61" s="304">
        <f t="shared" si="0"/>
        <v>25</v>
      </c>
      <c r="J61" s="305">
        <f t="shared" si="8"/>
        <v>23.3</v>
      </c>
      <c r="K61" s="304">
        <f t="shared" si="2"/>
        <v>783</v>
      </c>
      <c r="L61" s="583">
        <f>K61/'# Yrs of Data'!D53</f>
        <v>15.66</v>
      </c>
      <c r="M61" s="2">
        <f t="shared" si="3"/>
        <v>453</v>
      </c>
      <c r="N61" s="46">
        <f>+M61/'# Yrs of Data'!D53</f>
        <v>9.06</v>
      </c>
      <c r="O61" s="2">
        <f t="shared" si="4"/>
        <v>187</v>
      </c>
      <c r="P61" s="46">
        <f>+O61/'# Yrs of Data'!D53</f>
        <v>3.74</v>
      </c>
      <c r="Q61" s="2">
        <f t="shared" si="5"/>
        <v>100</v>
      </c>
      <c r="R61" s="46">
        <f>+Q61/'# Yrs of Data'!D53</f>
        <v>2</v>
      </c>
      <c r="S61" s="2">
        <f t="shared" si="6"/>
        <v>31</v>
      </c>
      <c r="T61" s="46">
        <f>+S61/'# Yrs of Data'!D53</f>
        <v>0.62</v>
      </c>
      <c r="U61" s="2">
        <f t="shared" si="7"/>
        <v>12</v>
      </c>
      <c r="V61" s="46">
        <f>+U61/'# Yrs of Data'!D53</f>
        <v>0.24</v>
      </c>
      <c r="W61" s="21"/>
    </row>
    <row r="62" spans="1:23">
      <c r="A62" s="1"/>
      <c r="B62" s="582">
        <f t="shared" si="1"/>
        <v>2000</v>
      </c>
      <c r="C62" s="300">
        <f>(COUNTIF('Database - Whole Tornadoes'!$P$5:$P$1197, "2000F0"))</f>
        <v>7</v>
      </c>
      <c r="D62" s="300">
        <f>(COUNTIF('Database - Whole Tornadoes'!$P$5:$P$1197, "2000F1"))</f>
        <v>1</v>
      </c>
      <c r="E62" s="300">
        <f>(COUNTIF('Database - Whole Tornadoes'!$P$5:$P$1197, "2000F2"))</f>
        <v>0</v>
      </c>
      <c r="F62" s="300">
        <f>(COUNTIF('Database - Whole Tornadoes'!$P$5:$P$1197, "2000F3"))</f>
        <v>0</v>
      </c>
      <c r="G62" s="300">
        <f>(COUNTIF('Database - Whole Tornadoes'!$P$5:$P$1197, "2000F4"))</f>
        <v>0</v>
      </c>
      <c r="H62" s="300">
        <f>(COUNTIF('Database - Whole Tornadoes'!$P$5:$P$1197, "2000F5"))</f>
        <v>0</v>
      </c>
      <c r="I62" s="304">
        <f t="shared" si="0"/>
        <v>8</v>
      </c>
      <c r="J62" s="305">
        <f t="shared" si="8"/>
        <v>20.3</v>
      </c>
      <c r="K62" s="304">
        <f t="shared" si="2"/>
        <v>791</v>
      </c>
      <c r="L62" s="583">
        <f>K62/'# Yrs of Data'!D54</f>
        <v>15.509803921568627</v>
      </c>
      <c r="M62" s="2">
        <f t="shared" si="3"/>
        <v>460</v>
      </c>
      <c r="N62" s="46">
        <f>+M62/'# Yrs of Data'!D54</f>
        <v>9.0196078431372548</v>
      </c>
      <c r="O62" s="2">
        <f t="shared" si="4"/>
        <v>188</v>
      </c>
      <c r="P62" s="46">
        <f>+O62/'# Yrs of Data'!D54</f>
        <v>3.6862745098039214</v>
      </c>
      <c r="Q62" s="2">
        <f t="shared" si="5"/>
        <v>100</v>
      </c>
      <c r="R62" s="46">
        <f>+Q62/'# Yrs of Data'!D54</f>
        <v>1.9607843137254901</v>
      </c>
      <c r="S62" s="2">
        <f t="shared" si="6"/>
        <v>31</v>
      </c>
      <c r="T62" s="46">
        <f>+S62/'# Yrs of Data'!D54</f>
        <v>0.60784313725490191</v>
      </c>
      <c r="U62" s="2">
        <f t="shared" si="7"/>
        <v>12</v>
      </c>
      <c r="V62" s="46">
        <f>+U62/'# Yrs of Data'!D54</f>
        <v>0.23529411764705882</v>
      </c>
      <c r="W62" s="21"/>
    </row>
    <row r="63" spans="1:23">
      <c r="A63" s="1"/>
      <c r="B63" s="582">
        <f t="shared" si="1"/>
        <v>2001</v>
      </c>
      <c r="C63" s="300">
        <f>(COUNTIF('Database - Whole Tornadoes'!$P$5:$P$1197, "2001F0"))</f>
        <v>13</v>
      </c>
      <c r="D63" s="300">
        <f>(COUNTIF('Database - Whole Tornadoes'!$P$5:$P$1197, "2001F1"))</f>
        <v>3</v>
      </c>
      <c r="E63" s="300">
        <f>(COUNTIF('Database - Whole Tornadoes'!$P$5:$P$1197, "2001F2"))</f>
        <v>3</v>
      </c>
      <c r="F63" s="300">
        <f>(COUNTIF('Database - Whole Tornadoes'!$P$5:$P$1197, "2001F3"))</f>
        <v>1</v>
      </c>
      <c r="G63" s="300">
        <f>(COUNTIF('Database - Whole Tornadoes'!$P$5:$P$1197, "2001F4"))</f>
        <v>0</v>
      </c>
      <c r="H63" s="300">
        <f>(COUNTIF('Database - Whole Tornadoes'!$P$5:$P$1197, "2001F5"))</f>
        <v>0</v>
      </c>
      <c r="I63" s="304">
        <f t="shared" si="0"/>
        <v>20</v>
      </c>
      <c r="J63" s="305">
        <f t="shared" si="8"/>
        <v>20.2</v>
      </c>
      <c r="K63" s="304">
        <f t="shared" si="2"/>
        <v>811</v>
      </c>
      <c r="L63" s="583">
        <f>K63/'# Yrs of Data'!D55</f>
        <v>15.596153846153847</v>
      </c>
      <c r="M63" s="2">
        <f t="shared" si="3"/>
        <v>473</v>
      </c>
      <c r="N63" s="46">
        <f>+M63/'# Yrs of Data'!D55</f>
        <v>9.0961538461538467</v>
      </c>
      <c r="O63" s="2">
        <f t="shared" si="4"/>
        <v>191</v>
      </c>
      <c r="P63" s="46">
        <f>+O63/'# Yrs of Data'!D55</f>
        <v>3.6730769230769229</v>
      </c>
      <c r="Q63" s="2">
        <f t="shared" si="5"/>
        <v>103</v>
      </c>
      <c r="R63" s="46">
        <f>+Q63/'# Yrs of Data'!D55</f>
        <v>1.9807692307692308</v>
      </c>
      <c r="S63" s="2">
        <f t="shared" si="6"/>
        <v>32</v>
      </c>
      <c r="T63" s="46">
        <f>+S63/'# Yrs of Data'!D55</f>
        <v>0.61538461538461542</v>
      </c>
      <c r="U63" s="2">
        <f t="shared" si="7"/>
        <v>12</v>
      </c>
      <c r="V63" s="46">
        <f>+U63/'# Yrs of Data'!D55</f>
        <v>0.23076923076923078</v>
      </c>
      <c r="W63" s="569"/>
    </row>
    <row r="64" spans="1:23">
      <c r="A64" s="1"/>
      <c r="B64" s="582">
        <f t="shared" si="1"/>
        <v>2002</v>
      </c>
      <c r="C64" s="300">
        <f>(COUNTIF('Database - Whole Tornadoes'!$P$5:$P$1197, "2002F0"))</f>
        <v>19</v>
      </c>
      <c r="D64" s="300">
        <f>(COUNTIF('Database - Whole Tornadoes'!$P$5:$P$1197, "2002F1"))</f>
        <v>2</v>
      </c>
      <c r="E64" s="300">
        <f>(COUNTIF('Database - Whole Tornadoes'!$P$5:$P$1197, "2002F2"))</f>
        <v>1</v>
      </c>
      <c r="F64" s="300">
        <f>(COUNTIF('Database - Whole Tornadoes'!$P$5:$P$1197, "2002F3"))</f>
        <v>0</v>
      </c>
      <c r="G64" s="300">
        <f>(COUNTIF('Database - Whole Tornadoes'!$P$5:$P$1197, "2002F4"))</f>
        <v>0</v>
      </c>
      <c r="H64" s="300">
        <f>(COUNTIF('Database - Whole Tornadoes'!$P$5:$P$1197, "2002F5"))</f>
        <v>0</v>
      </c>
      <c r="I64" s="304">
        <f t="shared" si="0"/>
        <v>22</v>
      </c>
      <c r="J64" s="305">
        <f t="shared" si="8"/>
        <v>20.5</v>
      </c>
      <c r="K64" s="304">
        <f t="shared" si="2"/>
        <v>833</v>
      </c>
      <c r="L64" s="583">
        <f>K64/'# Yrs of Data'!D56</f>
        <v>15.716981132075471</v>
      </c>
      <c r="M64" s="2">
        <f t="shared" si="3"/>
        <v>492</v>
      </c>
      <c r="N64" s="46">
        <f>+M64/'# Yrs of Data'!D56</f>
        <v>9.2830188679245289</v>
      </c>
      <c r="O64" s="2">
        <f t="shared" si="4"/>
        <v>193</v>
      </c>
      <c r="P64" s="46">
        <f>+O64/'# Yrs of Data'!D56</f>
        <v>3.641509433962264</v>
      </c>
      <c r="Q64" s="2">
        <f t="shared" si="5"/>
        <v>104</v>
      </c>
      <c r="R64" s="46">
        <f>+Q64/'# Yrs of Data'!D56</f>
        <v>1.9622641509433962</v>
      </c>
      <c r="S64" s="2">
        <f t="shared" si="6"/>
        <v>32</v>
      </c>
      <c r="T64" s="46">
        <f>+S64/'# Yrs of Data'!D56</f>
        <v>0.60377358490566035</v>
      </c>
      <c r="U64" s="2">
        <f t="shared" si="7"/>
        <v>12</v>
      </c>
      <c r="V64" s="46">
        <f>+U64/'# Yrs of Data'!D56</f>
        <v>0.22641509433962265</v>
      </c>
      <c r="W64" s="569"/>
    </row>
    <row r="65" spans="1:23">
      <c r="A65" s="1"/>
      <c r="B65" s="582">
        <f t="shared" si="1"/>
        <v>2003</v>
      </c>
      <c r="C65" s="300">
        <f>(COUNTIF('Database - Whole Tornadoes'!$P$5:$P$1197, "2003F0"))</f>
        <v>27</v>
      </c>
      <c r="D65" s="300">
        <f>(COUNTIF('Database - Whole Tornadoes'!$P$5:$P$1197, "2003F1"))</f>
        <v>5</v>
      </c>
      <c r="E65" s="300">
        <f>(COUNTIF('Database - Whole Tornadoes'!$P$5:$P$1197, "2003F2"))</f>
        <v>1</v>
      </c>
      <c r="F65" s="300">
        <f>(COUNTIF('Database - Whole Tornadoes'!$P$5:$P$1197, "2003F3"))</f>
        <v>0</v>
      </c>
      <c r="G65" s="300">
        <f>(COUNTIF('Database - Whole Tornadoes'!$P$5:$P$1197, "2003F4"))</f>
        <v>0</v>
      </c>
      <c r="H65" s="300">
        <f>(COUNTIF('Database - Whole Tornadoes'!$P$5:$P$1197, "2003F5"))</f>
        <v>0</v>
      </c>
      <c r="I65" s="304">
        <f t="shared" si="0"/>
        <v>33</v>
      </c>
      <c r="J65" s="305">
        <f t="shared" si="8"/>
        <v>22</v>
      </c>
      <c r="K65" s="304">
        <f t="shared" si="2"/>
        <v>866</v>
      </c>
      <c r="L65" s="583">
        <f>K65/'# Yrs of Data'!D57</f>
        <v>16.037037037037038</v>
      </c>
      <c r="M65" s="2">
        <f t="shared" si="3"/>
        <v>519</v>
      </c>
      <c r="N65" s="46">
        <f>+M65/'# Yrs of Data'!D57</f>
        <v>9.6111111111111107</v>
      </c>
      <c r="O65" s="2">
        <f t="shared" si="4"/>
        <v>198</v>
      </c>
      <c r="P65" s="46">
        <f>+O65/'# Yrs of Data'!D57</f>
        <v>3.6666666666666665</v>
      </c>
      <c r="Q65" s="2">
        <f t="shared" si="5"/>
        <v>105</v>
      </c>
      <c r="R65" s="46">
        <f>+Q65/'# Yrs of Data'!D57</f>
        <v>1.9444444444444444</v>
      </c>
      <c r="S65" s="2">
        <f t="shared" si="6"/>
        <v>32</v>
      </c>
      <c r="T65" s="46">
        <f>+S65/'# Yrs of Data'!D57</f>
        <v>0.59259259259259256</v>
      </c>
      <c r="U65" s="2">
        <f t="shared" si="7"/>
        <v>12</v>
      </c>
      <c r="V65" s="46">
        <f>+U65/'# Yrs of Data'!D57</f>
        <v>0.22222222222222221</v>
      </c>
      <c r="W65" s="21"/>
    </row>
    <row r="66" spans="1:23">
      <c r="A66" s="1"/>
      <c r="B66" s="582">
        <f t="shared" si="1"/>
        <v>2004</v>
      </c>
      <c r="C66" s="300">
        <f>(COUNTIF('Database - Whole Tornadoes'!$P$5:$P$1197, "2004F0"))</f>
        <v>13</v>
      </c>
      <c r="D66" s="300">
        <f>(COUNTIF('Database - Whole Tornadoes'!$P$5:$P$1197, "2004F1"))</f>
        <v>1</v>
      </c>
      <c r="E66" s="300">
        <f>(COUNTIF('Database - Whole Tornadoes'!$P$5:$P$1197, "2004F2"))</f>
        <v>0</v>
      </c>
      <c r="F66" s="300">
        <f>(COUNTIF('Database - Whole Tornadoes'!$P$5:$P$1197, "2004F3"))</f>
        <v>0</v>
      </c>
      <c r="G66" s="300">
        <f>(COUNTIF('Database - Whole Tornadoes'!$P$5:$P$1197, "2004F4"))</f>
        <v>0</v>
      </c>
      <c r="H66" s="300">
        <f>(COUNTIF('Database - Whole Tornadoes'!$P$5:$P$1197, "2004F5"))</f>
        <v>0</v>
      </c>
      <c r="I66" s="304">
        <f t="shared" si="0"/>
        <v>14</v>
      </c>
      <c r="J66" s="305">
        <f t="shared" si="8"/>
        <v>22.9</v>
      </c>
      <c r="K66" s="304">
        <f t="shared" si="2"/>
        <v>880</v>
      </c>
      <c r="L66" s="583">
        <f>K66/'# Yrs of Data'!D58</f>
        <v>16</v>
      </c>
      <c r="M66" s="2">
        <f t="shared" si="3"/>
        <v>532</v>
      </c>
      <c r="N66" s="46">
        <f>+M66/'# Yrs of Data'!D58</f>
        <v>9.672727272727272</v>
      </c>
      <c r="O66" s="2">
        <f t="shared" si="4"/>
        <v>199</v>
      </c>
      <c r="P66" s="46">
        <f>+O66/'# Yrs of Data'!D58</f>
        <v>3.6181818181818182</v>
      </c>
      <c r="Q66" s="2">
        <f t="shared" si="5"/>
        <v>105</v>
      </c>
      <c r="R66" s="46">
        <f>+Q66/'# Yrs of Data'!D58</f>
        <v>1.9090909090909092</v>
      </c>
      <c r="S66" s="2">
        <f t="shared" si="6"/>
        <v>32</v>
      </c>
      <c r="T66" s="46">
        <f>+S66/'# Yrs of Data'!D58</f>
        <v>0.58181818181818179</v>
      </c>
      <c r="U66" s="2">
        <f t="shared" si="7"/>
        <v>12</v>
      </c>
      <c r="V66" s="46">
        <f>+U66/'# Yrs of Data'!D58</f>
        <v>0.21818181818181817</v>
      </c>
      <c r="W66" s="569"/>
    </row>
    <row r="67" spans="1:23">
      <c r="A67" s="1"/>
      <c r="B67" s="582">
        <f t="shared" si="1"/>
        <v>2005</v>
      </c>
      <c r="C67" s="300">
        <f>(COUNTIF('Database - Whole Tornadoes'!$P$5:$P$1197, "2005F0"))</f>
        <v>15</v>
      </c>
      <c r="D67" s="300">
        <f>(COUNTIF('Database - Whole Tornadoes'!$P$5:$P$1197, "2005F1"))</f>
        <v>0</v>
      </c>
      <c r="E67" s="300">
        <f>(COUNTIF('Database - Whole Tornadoes'!$P$5:$P$1197, "2005F2"))</f>
        <v>0</v>
      </c>
      <c r="F67" s="300">
        <f>(COUNTIF('Database - Whole Tornadoes'!$P$5:$P$1197, "2005F3"))</f>
        <v>0</v>
      </c>
      <c r="G67" s="300">
        <f>(COUNTIF('Database - Whole Tornadoes'!$P$5:$P$1197, "2005F4"))</f>
        <v>0</v>
      </c>
      <c r="H67" s="300">
        <f>(COUNTIF('Database - Whole Tornadoes'!$P$5:$P$1197, "2005F5"))</f>
        <v>0</v>
      </c>
      <c r="I67" s="304">
        <f t="shared" si="0"/>
        <v>15</v>
      </c>
      <c r="J67" s="305">
        <f t="shared" si="8"/>
        <v>20.3</v>
      </c>
      <c r="K67" s="304">
        <f t="shared" si="2"/>
        <v>895</v>
      </c>
      <c r="L67" s="583">
        <f>K67/'# Yrs of Data'!D59</f>
        <v>15.982142857142858</v>
      </c>
      <c r="M67" s="2">
        <f t="shared" si="3"/>
        <v>547</v>
      </c>
      <c r="N67" s="46">
        <f>+M67/'# Yrs of Data'!D59</f>
        <v>9.7678571428571423</v>
      </c>
      <c r="O67" s="2">
        <f t="shared" si="4"/>
        <v>199</v>
      </c>
      <c r="P67" s="46">
        <f>+O67/'# Yrs of Data'!D59</f>
        <v>3.5535714285714284</v>
      </c>
      <c r="Q67" s="2">
        <f t="shared" si="5"/>
        <v>105</v>
      </c>
      <c r="R67" s="46">
        <f>+Q67/'# Yrs of Data'!D59</f>
        <v>1.875</v>
      </c>
      <c r="S67" s="2">
        <f t="shared" si="6"/>
        <v>32</v>
      </c>
      <c r="T67" s="46">
        <f>+S67/'# Yrs of Data'!D59</f>
        <v>0.5714285714285714</v>
      </c>
      <c r="U67" s="2">
        <f t="shared" si="7"/>
        <v>12</v>
      </c>
      <c r="V67" s="46">
        <f>+U67/'# Yrs of Data'!D59</f>
        <v>0.21428571428571427</v>
      </c>
      <c r="W67" s="569"/>
    </row>
    <row r="68" spans="1:23">
      <c r="A68" s="1"/>
      <c r="B68" s="582">
        <f t="shared" si="1"/>
        <v>2006</v>
      </c>
      <c r="C68" s="300">
        <f>(COUNTIF('Database - Whole Tornadoes'!$P$5:$P$1197, "2006F0"))</f>
        <v>12</v>
      </c>
      <c r="D68" s="300">
        <f>(COUNTIF('Database - Whole Tornadoes'!$P$5:$P$1197, "2006F1"))</f>
        <v>1</v>
      </c>
      <c r="E68" s="300">
        <f>(COUNTIF('Database - Whole Tornadoes'!$P$5:$P$1197, "2006F2"))</f>
        <v>0</v>
      </c>
      <c r="F68" s="300">
        <f>(COUNTIF('Database - Whole Tornadoes'!$P$5:$P$1197, "2006F3"))</f>
        <v>0</v>
      </c>
      <c r="G68" s="300">
        <f>(COUNTIF('Database - Whole Tornadoes'!$P$5:$P$1197, "2006F4"))</f>
        <v>0</v>
      </c>
      <c r="H68" s="300">
        <f>(COUNTIF('Database - Whole Tornadoes'!$P$5:$P$1197, "2006F5"))</f>
        <v>0</v>
      </c>
      <c r="I68" s="304">
        <f t="shared" si="0"/>
        <v>13</v>
      </c>
      <c r="J68" s="305">
        <f t="shared" si="8"/>
        <v>18.100000000000001</v>
      </c>
      <c r="K68" s="304">
        <f t="shared" si="2"/>
        <v>908</v>
      </c>
      <c r="L68" s="583">
        <f>K68/'# Yrs of Data'!D60</f>
        <v>15.929824561403509</v>
      </c>
      <c r="M68" s="2">
        <f t="shared" si="3"/>
        <v>559</v>
      </c>
      <c r="N68" s="46">
        <f>+M68/'# Yrs of Data'!D60</f>
        <v>9.807017543859649</v>
      </c>
      <c r="O68" s="2">
        <f t="shared" si="4"/>
        <v>200</v>
      </c>
      <c r="P68" s="46">
        <f>+O68/'# Yrs of Data'!D60</f>
        <v>3.5087719298245612</v>
      </c>
      <c r="Q68" s="2">
        <f t="shared" si="5"/>
        <v>105</v>
      </c>
      <c r="R68" s="46">
        <f>+Q68/'# Yrs of Data'!D60</f>
        <v>1.8421052631578947</v>
      </c>
      <c r="S68" s="2">
        <f t="shared" si="6"/>
        <v>32</v>
      </c>
      <c r="T68" s="46">
        <f>+S68/'# Yrs of Data'!D60</f>
        <v>0.56140350877192979</v>
      </c>
      <c r="U68" s="2">
        <f t="shared" si="7"/>
        <v>12</v>
      </c>
      <c r="V68" s="46">
        <f>+U68/'# Yrs of Data'!D60</f>
        <v>0.21052631578947367</v>
      </c>
      <c r="W68" s="21"/>
    </row>
    <row r="69" spans="1:23">
      <c r="A69" s="1"/>
      <c r="B69" s="582">
        <f t="shared" si="1"/>
        <v>2007</v>
      </c>
      <c r="C69" s="300">
        <f>(COUNTIF('Database - Whole Tornadoes'!$P$5:$P$1197, "2007EF0"))</f>
        <v>30</v>
      </c>
      <c r="D69" s="300">
        <f>(COUNTIF('Database - Whole Tornadoes'!$P$5:$P$1197, "2007EF1"))</f>
        <v>15</v>
      </c>
      <c r="E69" s="300">
        <f>(COUNTIF('Database - Whole Tornadoes'!$P$5:$P$1197, "2007EF2"))</f>
        <v>10</v>
      </c>
      <c r="F69" s="300">
        <f>(COUNTIF('Database - Whole Tornadoes'!$P$5:$P$1197, "2007EF3"))</f>
        <v>3</v>
      </c>
      <c r="G69" s="300">
        <f>(COUNTIF('Database - Whole Tornadoes'!$P$5:$P$1197, "2007EF4"))</f>
        <v>0</v>
      </c>
      <c r="H69" s="300">
        <f>(COUNTIF('Database - Whole Tornadoes'!$P$5:$P$1197, "2007EF5"))</f>
        <v>0</v>
      </c>
      <c r="I69" s="304">
        <f t="shared" si="0"/>
        <v>58</v>
      </c>
      <c r="J69" s="305">
        <f t="shared" si="8"/>
        <v>21</v>
      </c>
      <c r="K69" s="304">
        <f t="shared" si="2"/>
        <v>966</v>
      </c>
      <c r="L69" s="583">
        <f>K69/'# Yrs of Data'!D61</f>
        <v>16.655172413793103</v>
      </c>
      <c r="M69" s="2">
        <f t="shared" si="3"/>
        <v>589</v>
      </c>
      <c r="N69" s="46">
        <f>+M69/'# Yrs of Data'!D61</f>
        <v>10.155172413793103</v>
      </c>
      <c r="O69" s="2">
        <f t="shared" si="4"/>
        <v>215</v>
      </c>
      <c r="P69" s="46">
        <f>+O69/'# Yrs of Data'!D61</f>
        <v>3.7068965517241379</v>
      </c>
      <c r="Q69" s="2">
        <f t="shared" si="5"/>
        <v>115</v>
      </c>
      <c r="R69" s="46">
        <f>+Q69/'# Yrs of Data'!D61</f>
        <v>1.9827586206896552</v>
      </c>
      <c r="S69" s="2">
        <f t="shared" si="6"/>
        <v>35</v>
      </c>
      <c r="T69" s="46">
        <f>+S69/'# Yrs of Data'!D61</f>
        <v>0.60344827586206895</v>
      </c>
      <c r="U69" s="2">
        <f t="shared" si="7"/>
        <v>12</v>
      </c>
      <c r="V69" s="46">
        <f>+U69/'# Yrs of Data'!D61</f>
        <v>0.20689655172413793</v>
      </c>
      <c r="W69" s="21"/>
    </row>
    <row r="70" spans="1:23">
      <c r="A70" s="1"/>
      <c r="B70" s="582">
        <f t="shared" si="1"/>
        <v>2008</v>
      </c>
      <c r="C70" s="300">
        <f>(COUNTIF('Database - Whole Tornadoes'!$P$5:$P$1197, "2008EF0"))</f>
        <v>10</v>
      </c>
      <c r="D70" s="300">
        <f>(COUNTIF('Database - Whole Tornadoes'!$P$5:$P$1197, "2008EF1"))</f>
        <v>0</v>
      </c>
      <c r="E70" s="300">
        <f>(COUNTIF('Database - Whole Tornadoes'!$P$5:$P$1197, "2008EF2"))</f>
        <v>1</v>
      </c>
      <c r="F70" s="300">
        <f>(COUNTIF('Database - Whole Tornadoes'!$P$5:$P$1197, "2008EF3"))</f>
        <v>0</v>
      </c>
      <c r="G70" s="300">
        <f>(COUNTIF('Database - Whole Tornadoes'!$P$5:$P$1197, "2008EF4"))</f>
        <v>0</v>
      </c>
      <c r="H70" s="300">
        <f>(COUNTIF('Database - Whole Tornadoes'!$P$5:$P$1197, "2008EF5"))</f>
        <v>0</v>
      </c>
      <c r="I70" s="304">
        <f t="shared" si="0"/>
        <v>11</v>
      </c>
      <c r="J70" s="305">
        <f t="shared" si="8"/>
        <v>21.9</v>
      </c>
      <c r="K70" s="304">
        <f t="shared" si="2"/>
        <v>977</v>
      </c>
      <c r="L70" s="583">
        <f>K70/'# Yrs of Data'!D62</f>
        <v>16.559322033898304</v>
      </c>
      <c r="M70" s="2">
        <f t="shared" si="3"/>
        <v>599</v>
      </c>
      <c r="N70" s="46">
        <f>+M70/'# Yrs of Data'!D62</f>
        <v>10.152542372881356</v>
      </c>
      <c r="O70" s="2">
        <f t="shared" si="4"/>
        <v>215</v>
      </c>
      <c r="P70" s="46">
        <f>+O70/'# Yrs of Data'!D62</f>
        <v>3.6440677966101696</v>
      </c>
      <c r="Q70" s="2">
        <f t="shared" si="5"/>
        <v>116</v>
      </c>
      <c r="R70" s="46">
        <f>+Q70/'# Yrs of Data'!D62</f>
        <v>1.9661016949152543</v>
      </c>
      <c r="S70" s="2">
        <f t="shared" si="6"/>
        <v>35</v>
      </c>
      <c r="T70" s="46">
        <f>+S70/'# Yrs of Data'!D62</f>
        <v>0.59322033898305082</v>
      </c>
      <c r="U70" s="2">
        <f t="shared" si="7"/>
        <v>12</v>
      </c>
      <c r="V70" s="46">
        <f>+U70/'# Yrs of Data'!D62</f>
        <v>0.20338983050847459</v>
      </c>
      <c r="W70" s="569"/>
    </row>
    <row r="71" spans="1:23">
      <c r="A71" s="1"/>
      <c r="B71" s="582">
        <f t="shared" si="1"/>
        <v>2009</v>
      </c>
      <c r="C71" s="300">
        <f>(COUNTIF('Database - Whole Tornadoes'!$P$5:$P$1197, "2009EF0"))</f>
        <v>10</v>
      </c>
      <c r="D71" s="300">
        <f>(COUNTIF('Database - Whole Tornadoes'!$P$5:$P$1197, "2009EF1"))</f>
        <v>2</v>
      </c>
      <c r="E71" s="300">
        <f>(COUNTIF('Database - Whole Tornadoes'!$P$5:$P$1197, "2009EF2"))</f>
        <v>1</v>
      </c>
      <c r="F71" s="300">
        <f>(COUNTIF('Database - Whole Tornadoes'!$P$5:$P$1197, "2009EF3"))</f>
        <v>0</v>
      </c>
      <c r="G71" s="300">
        <f>(COUNTIF('Database - Whole Tornadoes'!$P$5:$P$1197, "2009EF4"))</f>
        <v>0</v>
      </c>
      <c r="H71" s="300">
        <f>(COUNTIF('Database - Whole Tornadoes'!$P$5:$P$1197, "2009EF5"))</f>
        <v>0</v>
      </c>
      <c r="I71" s="304">
        <f t="shared" si="0"/>
        <v>13</v>
      </c>
      <c r="J71" s="305">
        <f t="shared" si="8"/>
        <v>20.7</v>
      </c>
      <c r="K71" s="304">
        <f t="shared" si="2"/>
        <v>990</v>
      </c>
      <c r="L71" s="583">
        <f>K71/'# Yrs of Data'!D63</f>
        <v>16.5</v>
      </c>
      <c r="M71" s="2">
        <f t="shared" si="3"/>
        <v>609</v>
      </c>
      <c r="N71" s="46">
        <f>+M71/'# Yrs of Data'!D63</f>
        <v>10.15</v>
      </c>
      <c r="O71" s="2">
        <f t="shared" si="4"/>
        <v>217</v>
      </c>
      <c r="P71" s="46">
        <f>+O71/'# Yrs of Data'!D63</f>
        <v>3.6166666666666667</v>
      </c>
      <c r="Q71" s="2">
        <f t="shared" si="5"/>
        <v>117</v>
      </c>
      <c r="R71" s="46">
        <f>+Q71/'# Yrs of Data'!D63</f>
        <v>1.95</v>
      </c>
      <c r="S71" s="2">
        <f t="shared" si="6"/>
        <v>35</v>
      </c>
      <c r="T71" s="46">
        <f>+S71/'# Yrs of Data'!D63</f>
        <v>0.58333333333333337</v>
      </c>
      <c r="U71" s="2">
        <f t="shared" si="7"/>
        <v>12</v>
      </c>
      <c r="V71" s="46">
        <f>+U71/'# Yrs of Data'!D63</f>
        <v>0.2</v>
      </c>
      <c r="W71" s="21"/>
    </row>
    <row r="72" spans="1:23">
      <c r="A72" s="1"/>
      <c r="B72" s="582">
        <f t="shared" si="1"/>
        <v>2010</v>
      </c>
      <c r="C72" s="300">
        <f>(COUNTIF('Database - Whole Tornadoes'!$P$5:$P$1197, "2010EF0"))</f>
        <v>34</v>
      </c>
      <c r="D72" s="300">
        <f>(COUNTIF('Database - Whole Tornadoes'!$P$5:$P$1197, "2010EF1"))</f>
        <v>3</v>
      </c>
      <c r="E72" s="300">
        <f>(COUNTIF('Database - Whole Tornadoes'!$P$5:$P$1197, "2010EF2"))</f>
        <v>1</v>
      </c>
      <c r="F72" s="300">
        <f>(COUNTIF('Database - Whole Tornadoes'!$P$5:$P$1197, "2010EF3"))</f>
        <v>0</v>
      </c>
      <c r="G72" s="300">
        <f>(COUNTIF('Database - Whole Tornadoes'!$P$5:$P$1197, "2010EF4"))</f>
        <v>0</v>
      </c>
      <c r="H72" s="300">
        <f>(COUNTIF('Database - Whole Tornadoes'!$P$5:$P$1197, "2010EF5"))</f>
        <v>0</v>
      </c>
      <c r="I72" s="304">
        <f t="shared" si="0"/>
        <v>38</v>
      </c>
      <c r="J72" s="305">
        <f t="shared" si="8"/>
        <v>23.7</v>
      </c>
      <c r="K72" s="304">
        <f t="shared" si="2"/>
        <v>1028</v>
      </c>
      <c r="L72" s="583">
        <f>K72/'# Yrs of Data'!D64</f>
        <v>16.852459016393443</v>
      </c>
      <c r="M72" s="2">
        <f t="shared" si="3"/>
        <v>643</v>
      </c>
      <c r="N72" s="46">
        <f>+M72/'# Yrs of Data'!D64</f>
        <v>10.540983606557377</v>
      </c>
      <c r="O72" s="2">
        <f t="shared" si="4"/>
        <v>220</v>
      </c>
      <c r="P72" s="46">
        <f>+O72/'# Yrs of Data'!D64</f>
        <v>3.6065573770491803</v>
      </c>
      <c r="Q72" s="2">
        <f t="shared" si="5"/>
        <v>118</v>
      </c>
      <c r="R72" s="46">
        <f>+Q72/'# Yrs of Data'!D64</f>
        <v>1.9344262295081966</v>
      </c>
      <c r="S72" s="2">
        <f t="shared" si="6"/>
        <v>35</v>
      </c>
      <c r="T72" s="46">
        <f>+S72/'# Yrs of Data'!D64</f>
        <v>0.57377049180327866</v>
      </c>
      <c r="U72" s="2">
        <f t="shared" si="7"/>
        <v>12</v>
      </c>
      <c r="V72" s="46">
        <f>+U72/'# Yrs of Data'!D64</f>
        <v>0.19672131147540983</v>
      </c>
      <c r="W72" s="21"/>
    </row>
    <row r="73" spans="1:23">
      <c r="A73" s="1"/>
      <c r="B73" s="582">
        <f t="shared" si="1"/>
        <v>2011</v>
      </c>
      <c r="C73" s="300">
        <f>(COUNTIF('Database - Whole Tornadoes'!$P$5:$P$1197, "2011EF0"))</f>
        <v>4</v>
      </c>
      <c r="D73" s="300">
        <f>(COUNTIF('Database - Whole Tornadoes'!$P$5:$P$1197, "2011EF1"))</f>
        <v>0</v>
      </c>
      <c r="E73" s="300">
        <f>(COUNTIF('Database - Whole Tornadoes'!$P$5:$P$1197, "2011EF2"))</f>
        <v>0</v>
      </c>
      <c r="F73" s="300">
        <f>(COUNTIF('Database - Whole Tornadoes'!$P$5:$P$1197, "2011EF3"))</f>
        <v>0</v>
      </c>
      <c r="G73" s="300">
        <f>(COUNTIF('Database - Whole Tornadoes'!$P$5:$P$1197, "2011EF4"))</f>
        <v>0</v>
      </c>
      <c r="H73" s="300">
        <f>(COUNTIF('Database - Whole Tornadoes'!$P$5:$P$1197, "2011EF5"))</f>
        <v>0</v>
      </c>
      <c r="I73" s="304">
        <f t="shared" si="0"/>
        <v>4</v>
      </c>
      <c r="J73" s="305">
        <f t="shared" si="8"/>
        <v>22.1</v>
      </c>
      <c r="K73" s="304">
        <f t="shared" si="2"/>
        <v>1032</v>
      </c>
      <c r="L73" s="583">
        <f>K73/'# Yrs of Data'!D65</f>
        <v>16.64516129032258</v>
      </c>
      <c r="M73" s="2">
        <f t="shared" si="3"/>
        <v>647</v>
      </c>
      <c r="N73" s="46">
        <f>+M73/'# Yrs of Data'!D65</f>
        <v>10.435483870967742</v>
      </c>
      <c r="O73" s="2">
        <f t="shared" si="4"/>
        <v>220</v>
      </c>
      <c r="P73" s="46">
        <f>+O73/'# Yrs of Data'!D65</f>
        <v>3.5483870967741935</v>
      </c>
      <c r="Q73" s="2">
        <f t="shared" si="5"/>
        <v>118</v>
      </c>
      <c r="R73" s="46">
        <f>+Q73/'# Yrs of Data'!D65</f>
        <v>1.903225806451613</v>
      </c>
      <c r="S73" s="2">
        <f t="shared" si="6"/>
        <v>35</v>
      </c>
      <c r="T73" s="46">
        <f>+S73/'# Yrs of Data'!D65</f>
        <v>0.56451612903225812</v>
      </c>
      <c r="U73" s="2">
        <f t="shared" si="7"/>
        <v>12</v>
      </c>
      <c r="V73" s="46">
        <f>+U73/'# Yrs of Data'!D65</f>
        <v>0.19354838709677419</v>
      </c>
    </row>
    <row r="74" spans="1:23">
      <c r="A74" s="1"/>
      <c r="B74" s="582">
        <f t="shared" si="1"/>
        <v>2012</v>
      </c>
      <c r="C74" s="300">
        <f>(COUNTIF('Database - Whole Tornadoes'!$P$5:$P$1197, "2012EF0"))</f>
        <v>5</v>
      </c>
      <c r="D74" s="300">
        <f>(COUNTIF('Database - Whole Tornadoes'!$P$5:$P$1197, "2012EF1"))</f>
        <v>1</v>
      </c>
      <c r="E74" s="300">
        <f>(COUNTIF('Database - Whole Tornadoes'!$P$5:$P$1197, "2012EF2"))</f>
        <v>0</v>
      </c>
      <c r="F74" s="300">
        <f>(COUNTIF('Database - Whole Tornadoes'!$P$5:$P$1197, "2012EF3"))</f>
        <v>0</v>
      </c>
      <c r="G74" s="300">
        <f>(COUNTIF('Database - Whole Tornadoes'!$P$5:$P$1197, "2012EF4"))</f>
        <v>0</v>
      </c>
      <c r="H74" s="300">
        <f>(COUNTIF('Database - Whole Tornadoes'!$P$5:$P$1197, "2012EF5"))</f>
        <v>0</v>
      </c>
      <c r="I74" s="304">
        <f t="shared" si="0"/>
        <v>6</v>
      </c>
      <c r="J74" s="305">
        <f t="shared" si="8"/>
        <v>20.5</v>
      </c>
      <c r="K74" s="304">
        <f t="shared" si="2"/>
        <v>1038</v>
      </c>
      <c r="L74" s="583">
        <f>K74/'# Yrs of Data'!D66</f>
        <v>16.476190476190474</v>
      </c>
      <c r="M74" s="2">
        <f t="shared" si="3"/>
        <v>652</v>
      </c>
      <c r="N74" s="46">
        <f>+M74/'# Yrs of Data'!D66</f>
        <v>10.34920634920635</v>
      </c>
      <c r="O74" s="2">
        <f t="shared" si="4"/>
        <v>221</v>
      </c>
      <c r="P74" s="46">
        <f>+O74/'# Yrs of Data'!D66</f>
        <v>3.5079365079365079</v>
      </c>
      <c r="Q74" s="2">
        <f t="shared" si="5"/>
        <v>118</v>
      </c>
      <c r="R74" s="46">
        <f>+Q74/'# Yrs of Data'!D66</f>
        <v>1.873015873015873</v>
      </c>
      <c r="S74" s="2">
        <f t="shared" si="6"/>
        <v>35</v>
      </c>
      <c r="T74" s="46">
        <f>+S74/'# Yrs of Data'!D66</f>
        <v>0.55555555555555558</v>
      </c>
      <c r="U74" s="2">
        <f t="shared" si="7"/>
        <v>12</v>
      </c>
      <c r="V74" s="46">
        <f>+U74/'# Yrs of Data'!D66</f>
        <v>0.19047619047619047</v>
      </c>
    </row>
    <row r="75" spans="1:23">
      <c r="A75" s="1"/>
      <c r="B75" s="582">
        <f t="shared" si="1"/>
        <v>2013</v>
      </c>
      <c r="C75" s="300">
        <f>(COUNTIF('Database - Whole Tornadoes'!$P$5:$P$1197, "2013EF0"))</f>
        <v>7</v>
      </c>
      <c r="D75" s="300">
        <f>(COUNTIF('Database - Whole Tornadoes'!$P$5:$P$1197, "2013EF1"))</f>
        <v>0</v>
      </c>
      <c r="E75" s="300">
        <f>(COUNTIF('Database - Whole Tornadoes'!$P$5:$P$1197, "2013EF2"))</f>
        <v>0</v>
      </c>
      <c r="F75" s="300">
        <f>(COUNTIF('Database - Whole Tornadoes'!$P$5:$P$1197, "2013EF3"))</f>
        <v>0</v>
      </c>
      <c r="G75" s="300">
        <f>(COUNTIF('Database - Whole Tornadoes'!$P$5:$P$1197, "2013EF4"))</f>
        <v>0</v>
      </c>
      <c r="H75" s="300">
        <f>(COUNTIF('Database - Whole Tornadoes'!$P$5:$P$1197, "2013EF5"))</f>
        <v>0</v>
      </c>
      <c r="I75" s="304">
        <f t="shared" si="0"/>
        <v>7</v>
      </c>
      <c r="J75" s="305">
        <f t="shared" si="8"/>
        <v>17.899999999999999</v>
      </c>
      <c r="K75" s="304">
        <f t="shared" si="2"/>
        <v>1045</v>
      </c>
      <c r="L75" s="583">
        <f>K75/'# Yrs of Data'!D67</f>
        <v>16.328125</v>
      </c>
      <c r="M75" s="2">
        <f t="shared" si="3"/>
        <v>659</v>
      </c>
      <c r="N75" s="46">
        <f>+M75/'# Yrs of Data'!D67</f>
        <v>10.296875</v>
      </c>
      <c r="O75" s="2">
        <f t="shared" si="4"/>
        <v>221</v>
      </c>
      <c r="P75" s="46">
        <f>+O75/'# Yrs of Data'!D67</f>
        <v>3.453125</v>
      </c>
      <c r="Q75" s="2">
        <f t="shared" si="5"/>
        <v>118</v>
      </c>
      <c r="R75" s="46">
        <f>+Q75/'# Yrs of Data'!D67</f>
        <v>1.84375</v>
      </c>
      <c r="S75" s="2">
        <f t="shared" si="6"/>
        <v>35</v>
      </c>
      <c r="T75" s="46">
        <f>+S75/'# Yrs of Data'!D67</f>
        <v>0.546875</v>
      </c>
      <c r="U75" s="2">
        <f t="shared" si="7"/>
        <v>12</v>
      </c>
      <c r="V75" s="46">
        <f>+U75/'# Yrs of Data'!D67</f>
        <v>0.1875</v>
      </c>
    </row>
    <row r="76" spans="1:23">
      <c r="A76" s="1"/>
      <c r="B76" s="582">
        <f t="shared" si="1"/>
        <v>2014</v>
      </c>
      <c r="C76" s="300">
        <f>(COUNTIF('Database - Whole Tornadoes'!$P$5:$P$1197, "2014EF0"))</f>
        <v>9</v>
      </c>
      <c r="D76" s="300">
        <f>(COUNTIF('Database - Whole Tornadoes'!$P$5:$P$1197, "2014EF1"))</f>
        <v>3</v>
      </c>
      <c r="E76" s="300">
        <f>(COUNTIF('Database - Whole Tornadoes'!$P$5:$P$1197, "2014EF2"))</f>
        <v>0</v>
      </c>
      <c r="F76" s="300">
        <f>(COUNTIF('Database - Whole Tornadoes'!$P$5:$P$1197, "2014EF3"))</f>
        <v>0</v>
      </c>
      <c r="G76" s="300">
        <f>(COUNTIF('Database - Whole Tornadoes'!$P$5:$P$1197, "2014EF4"))</f>
        <v>0</v>
      </c>
      <c r="H76" s="300">
        <f>(COUNTIF('Database - Whole Tornadoes'!$P$5:$P$1197, "2014EF5"))</f>
        <v>0</v>
      </c>
      <c r="I76" s="304">
        <f>SUM(C76:H76)</f>
        <v>12</v>
      </c>
      <c r="J76" s="305">
        <f t="shared" si="8"/>
        <v>17.7</v>
      </c>
      <c r="K76" s="304">
        <f t="shared" si="2"/>
        <v>1057</v>
      </c>
      <c r="L76" s="583">
        <f>K76/'# Yrs of Data'!D68</f>
        <v>16.261538461538461</v>
      </c>
      <c r="M76" s="2">
        <f t="shared" si="3"/>
        <v>668</v>
      </c>
      <c r="N76" s="46">
        <f>+M76/'# Yrs of Data'!D68</f>
        <v>10.276923076923078</v>
      </c>
      <c r="O76" s="2">
        <f t="shared" si="4"/>
        <v>224</v>
      </c>
      <c r="P76" s="46">
        <f>+O76/'# Yrs of Data'!D68</f>
        <v>3.4461538461538463</v>
      </c>
      <c r="Q76" s="2">
        <f t="shared" si="5"/>
        <v>118</v>
      </c>
      <c r="R76" s="46">
        <f>+Q76/'# Yrs of Data'!D68</f>
        <v>1.8153846153846154</v>
      </c>
      <c r="S76" s="2">
        <f t="shared" si="6"/>
        <v>35</v>
      </c>
      <c r="T76" s="46">
        <f>+S76/'# Yrs of Data'!D68</f>
        <v>0.53846153846153844</v>
      </c>
      <c r="U76" s="2">
        <f t="shared" si="7"/>
        <v>12</v>
      </c>
      <c r="V76" s="46">
        <f>+U76/'# Yrs of Data'!D68</f>
        <v>0.18461538461538463</v>
      </c>
    </row>
    <row r="77" spans="1:23">
      <c r="A77" s="1"/>
      <c r="B77" s="582">
        <f t="shared" ref="B77:B87" si="9">B76+1</f>
        <v>2015</v>
      </c>
      <c r="C77" s="300">
        <f>(COUNTIF('Database - Whole Tornadoes'!$P$5:$P$1197, "2015EF0"))</f>
        <v>22</v>
      </c>
      <c r="D77" s="300">
        <f>(COUNTIF('Database - Whole Tornadoes'!$P$5:$P$1197, "2015EF1"))</f>
        <v>9</v>
      </c>
      <c r="E77" s="300">
        <f>(COUNTIF('Database - Whole Tornadoes'!$P$5:$P$1197, "2015EF2"))</f>
        <v>2</v>
      </c>
      <c r="F77" s="300">
        <f>(COUNTIF('Database - Whole Tornadoes'!$P$5:$P$1197, "2015EF3"))</f>
        <v>2</v>
      </c>
      <c r="G77" s="300">
        <f>(COUNTIF('Database - Whole Tornadoes'!$P$5:$P$1197, "2015EF4"))</f>
        <v>0</v>
      </c>
      <c r="H77" s="300">
        <f>(COUNTIF('Database - Whole Tornadoes'!$P$5:$P$1197, "2015EF5"))</f>
        <v>0</v>
      </c>
      <c r="I77" s="304">
        <f>SUM(C77:H77)</f>
        <v>35</v>
      </c>
      <c r="J77" s="305">
        <f t="shared" si="8"/>
        <v>19.7</v>
      </c>
      <c r="K77" s="304">
        <f t="shared" ref="K77:K87" si="10">K76+I77</f>
        <v>1092</v>
      </c>
      <c r="L77" s="583">
        <f>K77/'# Yrs of Data'!D69</f>
        <v>16.545454545454547</v>
      </c>
      <c r="M77" s="2">
        <f t="shared" ref="M77:M87" si="11">+M76+C77</f>
        <v>690</v>
      </c>
      <c r="N77" s="46">
        <f>+M77/'# Yrs of Data'!D69</f>
        <v>10.454545454545455</v>
      </c>
      <c r="O77" s="2">
        <f t="shared" ref="O77:O87" si="12">+O76+D77</f>
        <v>233</v>
      </c>
      <c r="P77" s="46">
        <f>+O77/'# Yrs of Data'!D69</f>
        <v>3.5303030303030303</v>
      </c>
      <c r="Q77" s="2">
        <f t="shared" ref="Q77:Q87" si="13">+Q76+E77</f>
        <v>120</v>
      </c>
      <c r="R77" s="46">
        <f>+Q77/'# Yrs of Data'!D69</f>
        <v>1.8181818181818181</v>
      </c>
      <c r="S77" s="2">
        <f t="shared" ref="S77:S87" si="14">+S76+F77</f>
        <v>37</v>
      </c>
      <c r="T77" s="46">
        <f>+S77/'# Yrs of Data'!D69</f>
        <v>0.56060606060606055</v>
      </c>
      <c r="U77" s="2">
        <f t="shared" ref="U77:U87" si="15">+U76+G77</f>
        <v>12</v>
      </c>
      <c r="V77" s="46">
        <f>+U77/'# Yrs of Data'!D69</f>
        <v>0.18181818181818182</v>
      </c>
    </row>
    <row r="78" spans="1:23">
      <c r="A78" s="1"/>
      <c r="B78" s="582">
        <f t="shared" si="9"/>
        <v>2016</v>
      </c>
      <c r="C78" s="300">
        <f>(COUNTIF('Database - Whole Tornadoes'!$P$5:$P$1197, "2016EF0"))</f>
        <v>0</v>
      </c>
      <c r="D78" s="300">
        <f>(COUNTIF('Database - Whole Tornadoes'!$P$5:$P$1197, "2016EF1"))</f>
        <v>0</v>
      </c>
      <c r="E78" s="300">
        <f>(COUNTIF('Database - Whole Tornadoes'!$P$5:$P$1197, "2016EF2"))</f>
        <v>0</v>
      </c>
      <c r="F78" s="300">
        <f>(COUNTIF('Database - Whole Tornadoes'!$P$5:$P$1197, "2016EF3"))</f>
        <v>0</v>
      </c>
      <c r="G78" s="300">
        <f>(COUNTIF('Database - Whole Tornadoes'!$P$5:$P$1197, "2016EF4"))</f>
        <v>0</v>
      </c>
      <c r="H78" s="300">
        <f>(COUNTIF('Database - Whole Tornadoes'!$P$5:$P$1197, "2016EF5"))</f>
        <v>0</v>
      </c>
      <c r="I78" s="304">
        <f t="shared" ref="I78:I87" si="16">SUM(C78:H78)</f>
        <v>0</v>
      </c>
      <c r="J78" s="305">
        <f t="shared" si="8"/>
        <v>18.399999999999999</v>
      </c>
      <c r="K78" s="304">
        <f t="shared" si="10"/>
        <v>1092</v>
      </c>
      <c r="L78" s="583" t="e">
        <f>K78/'# Yrs of Data'!D70</f>
        <v>#DIV/0!</v>
      </c>
      <c r="M78" s="2">
        <f t="shared" si="11"/>
        <v>690</v>
      </c>
      <c r="N78" s="46" t="e">
        <f>+M78/'# Yrs of Data'!D70</f>
        <v>#DIV/0!</v>
      </c>
      <c r="O78" s="2">
        <f t="shared" si="12"/>
        <v>233</v>
      </c>
      <c r="P78" s="46" t="e">
        <f>+O78/'# Yrs of Data'!D70</f>
        <v>#DIV/0!</v>
      </c>
      <c r="Q78" s="2">
        <f t="shared" si="13"/>
        <v>120</v>
      </c>
      <c r="R78" s="46" t="e">
        <f>+Q78/'# Yrs of Data'!D70</f>
        <v>#DIV/0!</v>
      </c>
      <c r="S78" s="2">
        <f t="shared" si="14"/>
        <v>37</v>
      </c>
      <c r="T78" s="46" t="e">
        <f>+S78/'# Yrs of Data'!D70</f>
        <v>#DIV/0!</v>
      </c>
      <c r="U78" s="2">
        <f t="shared" si="15"/>
        <v>12</v>
      </c>
      <c r="V78" s="46" t="e">
        <f>+U78/'# Yrs of Data'!D70</f>
        <v>#DIV/0!</v>
      </c>
    </row>
    <row r="79" spans="1:23">
      <c r="A79" s="1"/>
      <c r="B79" s="582">
        <f t="shared" si="9"/>
        <v>2017</v>
      </c>
      <c r="C79" s="300">
        <f>(COUNTIF('Database - Whole Tornadoes'!$P$5:$P$1197, "2017EF0"))</f>
        <v>0</v>
      </c>
      <c r="D79" s="300">
        <f>(COUNTIF('Database - Whole Tornadoes'!$P$5:$P$1197, "2017EF1"))</f>
        <v>0</v>
      </c>
      <c r="E79" s="300">
        <f>(COUNTIF('Database - Whole Tornadoes'!$P$5:$P$1197, "2017EF2"))</f>
        <v>0</v>
      </c>
      <c r="F79" s="300">
        <f>(COUNTIF('Database - Whole Tornadoes'!$P$5:$P$1197, "2017EF3"))</f>
        <v>0</v>
      </c>
      <c r="G79" s="300">
        <f>(COUNTIF('Database - Whole Tornadoes'!$P$5:$P$1197, "2017EF4"))</f>
        <v>0</v>
      </c>
      <c r="H79" s="300">
        <f>(COUNTIF('Database - Whole Tornadoes'!$P$5:$P$1197, "2017EF5"))</f>
        <v>0</v>
      </c>
      <c r="I79" s="304">
        <f t="shared" si="16"/>
        <v>0</v>
      </c>
      <c r="J79" s="305">
        <f t="shared" si="8"/>
        <v>12.6</v>
      </c>
      <c r="K79" s="304">
        <f t="shared" si="10"/>
        <v>1092</v>
      </c>
      <c r="L79" s="583" t="e">
        <f>K79/'# Yrs of Data'!D71</f>
        <v>#DIV/0!</v>
      </c>
      <c r="M79" s="2">
        <f t="shared" si="11"/>
        <v>690</v>
      </c>
      <c r="N79" s="46" t="e">
        <f>+M79/'# Yrs of Data'!D71</f>
        <v>#DIV/0!</v>
      </c>
      <c r="O79" s="2">
        <f t="shared" si="12"/>
        <v>233</v>
      </c>
      <c r="P79" s="46" t="e">
        <f>+O79/'# Yrs of Data'!D71</f>
        <v>#DIV/0!</v>
      </c>
      <c r="Q79" s="2">
        <f t="shared" si="13"/>
        <v>120</v>
      </c>
      <c r="R79" s="46" t="e">
        <f>+Q79/'# Yrs of Data'!D71</f>
        <v>#DIV/0!</v>
      </c>
      <c r="S79" s="2">
        <f t="shared" si="14"/>
        <v>37</v>
      </c>
      <c r="T79" s="46" t="e">
        <f>+S79/'# Yrs of Data'!D71</f>
        <v>#DIV/0!</v>
      </c>
      <c r="U79" s="2">
        <f t="shared" si="15"/>
        <v>12</v>
      </c>
      <c r="V79" s="46" t="e">
        <f>+U79/'# Yrs of Data'!D71</f>
        <v>#DIV/0!</v>
      </c>
    </row>
    <row r="80" spans="1:23">
      <c r="A80" s="1"/>
      <c r="B80" s="582">
        <f t="shared" si="9"/>
        <v>2018</v>
      </c>
      <c r="C80" s="300">
        <f>(COUNTIF('Database - Whole Tornadoes'!$P$5:$P$1197, "2018EF0"))</f>
        <v>0</v>
      </c>
      <c r="D80" s="300">
        <f>(COUNTIF('Database - Whole Tornadoes'!$P$5:$P$1197, "2018EF1"))</f>
        <v>0</v>
      </c>
      <c r="E80" s="300">
        <f>(COUNTIF('Database - Whole Tornadoes'!$P$5:$P$1197, "2018EF2"))</f>
        <v>0</v>
      </c>
      <c r="F80" s="300">
        <f>(COUNTIF('Database - Whole Tornadoes'!$P$5:$P$1197, "2018EF3"))</f>
        <v>0</v>
      </c>
      <c r="G80" s="300">
        <f>(COUNTIF('Database - Whole Tornadoes'!$P$5:$P$1197, "2018EF4"))</f>
        <v>0</v>
      </c>
      <c r="H80" s="300">
        <f>(COUNTIF('Database - Whole Tornadoes'!$P$5:$P$1197, "2018EF5"))</f>
        <v>0</v>
      </c>
      <c r="I80" s="304">
        <f t="shared" si="16"/>
        <v>0</v>
      </c>
      <c r="J80" s="305">
        <f t="shared" si="8"/>
        <v>11.5</v>
      </c>
      <c r="K80" s="304">
        <f t="shared" si="10"/>
        <v>1092</v>
      </c>
      <c r="L80" s="583" t="e">
        <f>K80/'# Yrs of Data'!D72</f>
        <v>#DIV/0!</v>
      </c>
      <c r="M80" s="2">
        <f t="shared" si="11"/>
        <v>690</v>
      </c>
      <c r="N80" s="46" t="e">
        <f>+M80/'# Yrs of Data'!D72</f>
        <v>#DIV/0!</v>
      </c>
      <c r="O80" s="2">
        <f t="shared" si="12"/>
        <v>233</v>
      </c>
      <c r="P80" s="46" t="e">
        <f>+O80/'# Yrs of Data'!D72</f>
        <v>#DIV/0!</v>
      </c>
      <c r="Q80" s="2">
        <f t="shared" si="13"/>
        <v>120</v>
      </c>
      <c r="R80" s="46" t="e">
        <f>+Q80/'# Yrs of Data'!D72</f>
        <v>#DIV/0!</v>
      </c>
      <c r="S80" s="2">
        <f t="shared" si="14"/>
        <v>37</v>
      </c>
      <c r="T80" s="46" t="e">
        <f>+S80/'# Yrs of Data'!D72</f>
        <v>#DIV/0!</v>
      </c>
      <c r="U80" s="2">
        <f t="shared" si="15"/>
        <v>12</v>
      </c>
      <c r="V80" s="46" t="e">
        <f>+U80/'# Yrs of Data'!D72</f>
        <v>#DIV/0!</v>
      </c>
    </row>
    <row r="81" spans="1:23">
      <c r="A81" s="1"/>
      <c r="B81" s="582">
        <f t="shared" si="9"/>
        <v>2019</v>
      </c>
      <c r="C81" s="300">
        <f>(COUNTIF('Database - Whole Tornadoes'!$P$5:$P$1197, "2019EF0"))</f>
        <v>0</v>
      </c>
      <c r="D81" s="300">
        <f>(COUNTIF('Database - Whole Tornadoes'!$P$5:$P$1197, "2019EF1"))</f>
        <v>0</v>
      </c>
      <c r="E81" s="300">
        <f>(COUNTIF('Database - Whole Tornadoes'!$P$5:$P$1197, "2019EF2"))</f>
        <v>0</v>
      </c>
      <c r="F81" s="300">
        <f>(COUNTIF('Database - Whole Tornadoes'!$P$5:$P$1197, "2019EF3"))</f>
        <v>0</v>
      </c>
      <c r="G81" s="300">
        <f>(COUNTIF('Database - Whole Tornadoes'!$P$5:$P$1197, "2019EF4"))</f>
        <v>0</v>
      </c>
      <c r="H81" s="300">
        <f>(COUNTIF('Database - Whole Tornadoes'!$P$5:$P$1197, "2019EF5"))</f>
        <v>0</v>
      </c>
      <c r="I81" s="304">
        <f t="shared" si="16"/>
        <v>0</v>
      </c>
      <c r="J81" s="305">
        <f t="shared" si="8"/>
        <v>10.199999999999999</v>
      </c>
      <c r="K81" s="304">
        <f t="shared" si="10"/>
        <v>1092</v>
      </c>
      <c r="L81" s="583" t="e">
        <f>K81/'# Yrs of Data'!D73</f>
        <v>#DIV/0!</v>
      </c>
      <c r="M81" s="2">
        <f t="shared" si="11"/>
        <v>690</v>
      </c>
      <c r="N81" s="46" t="e">
        <f>+M81/'# Yrs of Data'!D73</f>
        <v>#DIV/0!</v>
      </c>
      <c r="O81" s="2">
        <f t="shared" si="12"/>
        <v>233</v>
      </c>
      <c r="P81" s="46" t="e">
        <f>+O81/'# Yrs of Data'!D73</f>
        <v>#DIV/0!</v>
      </c>
      <c r="Q81" s="2">
        <f t="shared" si="13"/>
        <v>120</v>
      </c>
      <c r="R81" s="46" t="e">
        <f>+Q81/'# Yrs of Data'!D73</f>
        <v>#DIV/0!</v>
      </c>
      <c r="S81" s="2">
        <f t="shared" si="14"/>
        <v>37</v>
      </c>
      <c r="T81" s="46" t="e">
        <f>+S81/'# Yrs of Data'!D73</f>
        <v>#DIV/0!</v>
      </c>
      <c r="U81" s="2">
        <f t="shared" si="15"/>
        <v>12</v>
      </c>
      <c r="V81" s="46" t="e">
        <f>+U81/'# Yrs of Data'!D73</f>
        <v>#DIV/0!</v>
      </c>
    </row>
    <row r="82" spans="1:23">
      <c r="A82" s="1"/>
      <c r="B82" s="582">
        <f t="shared" si="9"/>
        <v>2020</v>
      </c>
      <c r="C82" s="300">
        <f>(COUNTIF('Database - Whole Tornadoes'!$P$5:$P$1197, "2020EF0"))</f>
        <v>0</v>
      </c>
      <c r="D82" s="300">
        <f>(COUNTIF('Database - Whole Tornadoes'!$P$5:$P$1197, "2020EF1"))</f>
        <v>0</v>
      </c>
      <c r="E82" s="300">
        <f>(COUNTIF('Database - Whole Tornadoes'!$P$5:$P$1197, "2020EF2"))</f>
        <v>0</v>
      </c>
      <c r="F82" s="300">
        <f>(COUNTIF('Database - Whole Tornadoes'!$P$5:$P$1197, "2020EF3"))</f>
        <v>0</v>
      </c>
      <c r="G82" s="300">
        <f>(COUNTIF('Database - Whole Tornadoes'!$P$5:$P$1197, "2020EF4"))</f>
        <v>0</v>
      </c>
      <c r="H82" s="300">
        <f>(COUNTIF('Database - Whole Tornadoes'!$P$5:$P$1197, "2020EF5"))</f>
        <v>0</v>
      </c>
      <c r="I82" s="304">
        <f t="shared" si="16"/>
        <v>0</v>
      </c>
      <c r="J82" s="305">
        <f t="shared" si="8"/>
        <v>6.4</v>
      </c>
      <c r="K82" s="304">
        <f t="shared" si="10"/>
        <v>1092</v>
      </c>
      <c r="L82" s="583" t="e">
        <f>K82/'# Yrs of Data'!D74</f>
        <v>#DIV/0!</v>
      </c>
      <c r="M82" s="2">
        <f t="shared" si="11"/>
        <v>690</v>
      </c>
      <c r="N82" s="46" t="e">
        <f>+M82/'# Yrs of Data'!D74</f>
        <v>#DIV/0!</v>
      </c>
      <c r="O82" s="2">
        <f t="shared" si="12"/>
        <v>233</v>
      </c>
      <c r="P82" s="46" t="e">
        <f>+O82/'# Yrs of Data'!D74</f>
        <v>#DIV/0!</v>
      </c>
      <c r="Q82" s="2">
        <f t="shared" si="13"/>
        <v>120</v>
      </c>
      <c r="R82" s="46" t="e">
        <f>+Q82/'# Yrs of Data'!D74</f>
        <v>#DIV/0!</v>
      </c>
      <c r="S82" s="2">
        <f t="shared" si="14"/>
        <v>37</v>
      </c>
      <c r="T82" s="46" t="e">
        <f>+S82/'# Yrs of Data'!D74</f>
        <v>#DIV/0!</v>
      </c>
      <c r="U82" s="2">
        <f t="shared" si="15"/>
        <v>12</v>
      </c>
      <c r="V82" s="46" t="e">
        <f>+U82/'# Yrs of Data'!D74</f>
        <v>#DIV/0!</v>
      </c>
    </row>
    <row r="83" spans="1:23">
      <c r="A83" s="1"/>
      <c r="B83" s="582">
        <f t="shared" si="9"/>
        <v>2021</v>
      </c>
      <c r="C83" s="300">
        <f>(COUNTIF('Database - Whole Tornadoes'!$P$5:$P$1197, "2021EF0"))</f>
        <v>0</v>
      </c>
      <c r="D83" s="300">
        <f>(COUNTIF('Database - Whole Tornadoes'!$P$5:$P$1197, "2021EF1"))</f>
        <v>0</v>
      </c>
      <c r="E83" s="300">
        <f>(COUNTIF('Database - Whole Tornadoes'!$P$5:$P$1197, "2021EF2"))</f>
        <v>0</v>
      </c>
      <c r="F83" s="300">
        <f>(COUNTIF('Database - Whole Tornadoes'!$P$5:$P$1197, "2021EF3"))</f>
        <v>0</v>
      </c>
      <c r="G83" s="300">
        <f>(COUNTIF('Database - Whole Tornadoes'!$P$5:$P$1197, "2021EF4"))</f>
        <v>0</v>
      </c>
      <c r="H83" s="300">
        <f>(COUNTIF('Database - Whole Tornadoes'!$P$5:$P$1197, "2021EF5"))</f>
        <v>0</v>
      </c>
      <c r="I83" s="304">
        <f t="shared" si="16"/>
        <v>0</v>
      </c>
      <c r="J83" s="305">
        <f t="shared" si="8"/>
        <v>6</v>
      </c>
      <c r="K83" s="304">
        <f t="shared" si="10"/>
        <v>1092</v>
      </c>
      <c r="L83" s="583" t="e">
        <f>K83/'# Yrs of Data'!D75</f>
        <v>#DIV/0!</v>
      </c>
      <c r="M83" s="2">
        <f t="shared" si="11"/>
        <v>690</v>
      </c>
      <c r="N83" s="46" t="e">
        <f>+M83/'# Yrs of Data'!D75</f>
        <v>#DIV/0!</v>
      </c>
      <c r="O83" s="2">
        <f t="shared" si="12"/>
        <v>233</v>
      </c>
      <c r="P83" s="46" t="e">
        <f>+O83/'# Yrs of Data'!D75</f>
        <v>#DIV/0!</v>
      </c>
      <c r="Q83" s="2">
        <f t="shared" si="13"/>
        <v>120</v>
      </c>
      <c r="R83" s="46" t="e">
        <f>+Q83/'# Yrs of Data'!D75</f>
        <v>#DIV/0!</v>
      </c>
      <c r="S83" s="2">
        <f t="shared" si="14"/>
        <v>37</v>
      </c>
      <c r="T83" s="46" t="e">
        <f>+S83/'# Yrs of Data'!D75</f>
        <v>#DIV/0!</v>
      </c>
      <c r="U83" s="2">
        <f t="shared" si="15"/>
        <v>12</v>
      </c>
      <c r="V83" s="46" t="e">
        <f>+U83/'# Yrs of Data'!D75</f>
        <v>#DIV/0!</v>
      </c>
    </row>
    <row r="84" spans="1:23">
      <c r="A84" s="1"/>
      <c r="B84" s="582">
        <f t="shared" si="9"/>
        <v>2022</v>
      </c>
      <c r="C84" s="300">
        <f>(COUNTIF('Database - Whole Tornadoes'!$P$5:$P$1197, "2022EF0"))</f>
        <v>0</v>
      </c>
      <c r="D84" s="300">
        <f>(COUNTIF('Database - Whole Tornadoes'!$P$5:$P$1197, "2022EF1"))</f>
        <v>0</v>
      </c>
      <c r="E84" s="300">
        <f>(COUNTIF('Database - Whole Tornadoes'!$P$5:$P$1197, "2022EF2"))</f>
        <v>0</v>
      </c>
      <c r="F84" s="300">
        <f>(COUNTIF('Database - Whole Tornadoes'!$P$5:$P$1197, "2022EF3"))</f>
        <v>0</v>
      </c>
      <c r="G84" s="300">
        <f>(COUNTIF('Database - Whole Tornadoes'!$P$5:$P$1197, "2022EF4"))</f>
        <v>0</v>
      </c>
      <c r="H84" s="300">
        <f>(COUNTIF('Database - Whole Tornadoes'!$P$5:$P$1197, "2022EF5"))</f>
        <v>0</v>
      </c>
      <c r="I84" s="304">
        <f t="shared" si="16"/>
        <v>0</v>
      </c>
      <c r="J84" s="305">
        <f t="shared" si="8"/>
        <v>5.4</v>
      </c>
      <c r="K84" s="304">
        <f t="shared" si="10"/>
        <v>1092</v>
      </c>
      <c r="L84" s="583" t="e">
        <f>K84/'# Yrs of Data'!D76</f>
        <v>#DIV/0!</v>
      </c>
      <c r="M84" s="2">
        <f t="shared" si="11"/>
        <v>690</v>
      </c>
      <c r="N84" s="46" t="e">
        <f>+M84/'# Yrs of Data'!D76</f>
        <v>#DIV/0!</v>
      </c>
      <c r="O84" s="2">
        <f t="shared" si="12"/>
        <v>233</v>
      </c>
      <c r="P84" s="46" t="e">
        <f>+O84/'# Yrs of Data'!D76</f>
        <v>#DIV/0!</v>
      </c>
      <c r="Q84" s="2">
        <f t="shared" si="13"/>
        <v>120</v>
      </c>
      <c r="R84" s="46" t="e">
        <f>+Q84/'# Yrs of Data'!D76</f>
        <v>#DIV/0!</v>
      </c>
      <c r="S84" s="2">
        <f t="shared" si="14"/>
        <v>37</v>
      </c>
      <c r="T84" s="46" t="e">
        <f>+S84/'# Yrs of Data'!D76</f>
        <v>#DIV/0!</v>
      </c>
      <c r="U84" s="2">
        <f t="shared" si="15"/>
        <v>12</v>
      </c>
      <c r="V84" s="46" t="e">
        <f>+U84/'# Yrs of Data'!D76</f>
        <v>#DIV/0!</v>
      </c>
    </row>
    <row r="85" spans="1:23">
      <c r="A85" s="1"/>
      <c r="B85" s="582">
        <f t="shared" si="9"/>
        <v>2023</v>
      </c>
      <c r="C85" s="300">
        <f>(COUNTIF('Database - Whole Tornadoes'!$P$5:$P$1197, "2023EF0"))</f>
        <v>0</v>
      </c>
      <c r="D85" s="300">
        <f>(COUNTIF('Database - Whole Tornadoes'!$P$5:$P$1197, "2023EF1"))</f>
        <v>0</v>
      </c>
      <c r="E85" s="300">
        <f>(COUNTIF('Database - Whole Tornadoes'!$P$5:$P$1197, "2023EF2"))</f>
        <v>0</v>
      </c>
      <c r="F85" s="300">
        <f>(COUNTIF('Database - Whole Tornadoes'!$P$5:$P$1197, "2023EF3"))</f>
        <v>0</v>
      </c>
      <c r="G85" s="300">
        <f>(COUNTIF('Database - Whole Tornadoes'!$P$5:$P$1197, "2023EF4"))</f>
        <v>0</v>
      </c>
      <c r="H85" s="300">
        <f>(COUNTIF('Database - Whole Tornadoes'!$P$5:$P$1197, "2023EF5"))</f>
        <v>0</v>
      </c>
      <c r="I85" s="304">
        <f t="shared" si="16"/>
        <v>0</v>
      </c>
      <c r="J85" s="305">
        <f>SUM(I76:I85)/10</f>
        <v>4.7</v>
      </c>
      <c r="K85" s="304">
        <f t="shared" si="10"/>
        <v>1092</v>
      </c>
      <c r="L85" s="583" t="e">
        <f>K85/'# Yrs of Data'!D77</f>
        <v>#DIV/0!</v>
      </c>
      <c r="M85" s="2">
        <f t="shared" si="11"/>
        <v>690</v>
      </c>
      <c r="N85" s="46" t="e">
        <f>+M85/'# Yrs of Data'!D77</f>
        <v>#DIV/0!</v>
      </c>
      <c r="O85" s="2">
        <f t="shared" si="12"/>
        <v>233</v>
      </c>
      <c r="P85" s="46" t="e">
        <f>+O85/'# Yrs of Data'!D77</f>
        <v>#DIV/0!</v>
      </c>
      <c r="Q85" s="2">
        <f t="shared" si="13"/>
        <v>120</v>
      </c>
      <c r="R85" s="46" t="e">
        <f>+Q85/'# Yrs of Data'!D77</f>
        <v>#DIV/0!</v>
      </c>
      <c r="S85" s="2">
        <f t="shared" si="14"/>
        <v>37</v>
      </c>
      <c r="T85" s="46" t="e">
        <f>+S85/'# Yrs of Data'!D77</f>
        <v>#DIV/0!</v>
      </c>
      <c r="U85" s="2">
        <f t="shared" si="15"/>
        <v>12</v>
      </c>
      <c r="V85" s="46" t="e">
        <f>+U85/'# Yrs of Data'!D77</f>
        <v>#DIV/0!</v>
      </c>
    </row>
    <row r="86" spans="1:23">
      <c r="A86" s="1"/>
      <c r="B86" s="582">
        <f t="shared" si="9"/>
        <v>2024</v>
      </c>
      <c r="C86" s="300">
        <f>(COUNTIF('Database - Whole Tornadoes'!$P$5:$P$1197, "2024EF0"))</f>
        <v>0</v>
      </c>
      <c r="D86" s="300">
        <f>(COUNTIF('Database - Whole Tornadoes'!$P$5:$P$1197, "2024EF1"))</f>
        <v>0</v>
      </c>
      <c r="E86" s="300">
        <f>(COUNTIF('Database - Whole Tornadoes'!$P$5:$P$1197, "2024EF2"))</f>
        <v>0</v>
      </c>
      <c r="F86" s="300">
        <f>(COUNTIF('Database - Whole Tornadoes'!$P$5:$P$1197, "2024EF3"))</f>
        <v>0</v>
      </c>
      <c r="G86" s="300">
        <f>(COUNTIF('Database - Whole Tornadoes'!$P$5:$P$1197, "2024EF4"))</f>
        <v>0</v>
      </c>
      <c r="H86" s="300">
        <f>(COUNTIF('Database - Whole Tornadoes'!$P$5:$P$1197, "2024EF5"))</f>
        <v>0</v>
      </c>
      <c r="I86" s="304">
        <f t="shared" si="16"/>
        <v>0</v>
      </c>
      <c r="J86" s="305">
        <f>SUM(I77:I86)/10</f>
        <v>3.5</v>
      </c>
      <c r="K86" s="304">
        <f t="shared" si="10"/>
        <v>1092</v>
      </c>
      <c r="L86" s="583" t="e">
        <f>K86/'# Yrs of Data'!D78</f>
        <v>#DIV/0!</v>
      </c>
      <c r="M86" s="2">
        <f t="shared" si="11"/>
        <v>690</v>
      </c>
      <c r="N86" s="46" t="e">
        <f>+M86/'# Yrs of Data'!D78</f>
        <v>#DIV/0!</v>
      </c>
      <c r="O86" s="2">
        <f t="shared" si="12"/>
        <v>233</v>
      </c>
      <c r="P86" s="46" t="e">
        <f>+O86/'# Yrs of Data'!D78</f>
        <v>#DIV/0!</v>
      </c>
      <c r="Q86" s="2">
        <f t="shared" si="13"/>
        <v>120</v>
      </c>
      <c r="R86" s="46" t="e">
        <f>+Q86/'# Yrs of Data'!D78</f>
        <v>#DIV/0!</v>
      </c>
      <c r="S86" s="2">
        <f t="shared" si="14"/>
        <v>37</v>
      </c>
      <c r="T86" s="46" t="e">
        <f>+S86/'# Yrs of Data'!D78</f>
        <v>#DIV/0!</v>
      </c>
      <c r="U86" s="2">
        <f t="shared" si="15"/>
        <v>12</v>
      </c>
      <c r="V86" s="46" t="e">
        <f>+U86/'# Yrs of Data'!D78</f>
        <v>#DIV/0!</v>
      </c>
    </row>
    <row r="87" spans="1:23">
      <c r="A87" s="1"/>
      <c r="B87" s="582">
        <f t="shared" si="9"/>
        <v>2025</v>
      </c>
      <c r="C87" s="300">
        <f>(COUNTIF('Database - Whole Tornadoes'!$P$5:$P$1197, "2025EF0"))</f>
        <v>0</v>
      </c>
      <c r="D87" s="300">
        <f>(COUNTIF('Database - Whole Tornadoes'!$P$5:$P$1197, "2025EF1"))</f>
        <v>0</v>
      </c>
      <c r="E87" s="300">
        <f>(COUNTIF('Database - Whole Tornadoes'!$P$5:$P$1197, "2025EF2"))</f>
        <v>0</v>
      </c>
      <c r="F87" s="300">
        <f>(COUNTIF('Database - Whole Tornadoes'!$P$5:$P$1197, "2025EF3"))</f>
        <v>0</v>
      </c>
      <c r="G87" s="300">
        <f>(COUNTIF('Database - Whole Tornadoes'!$P$5:$P$1197, "2025EF4"))</f>
        <v>0</v>
      </c>
      <c r="H87" s="300">
        <f>(COUNTIF('Database - Whole Tornadoes'!$P$5:$P$1197, "2025EF5"))</f>
        <v>0</v>
      </c>
      <c r="I87" s="304">
        <f t="shared" si="16"/>
        <v>0</v>
      </c>
      <c r="J87" s="305">
        <f>SUM(I78:I87)/10</f>
        <v>0</v>
      </c>
      <c r="K87" s="304">
        <f t="shared" si="10"/>
        <v>1092</v>
      </c>
      <c r="L87" s="583" t="e">
        <f>K87/'# Yrs of Data'!D79</f>
        <v>#DIV/0!</v>
      </c>
      <c r="M87" s="2">
        <f t="shared" si="11"/>
        <v>690</v>
      </c>
      <c r="N87" s="46" t="e">
        <f>+M87/'# Yrs of Data'!D79</f>
        <v>#DIV/0!</v>
      </c>
      <c r="O87" s="2">
        <f t="shared" si="12"/>
        <v>233</v>
      </c>
      <c r="P87" s="46" t="e">
        <f>+O87/'# Yrs of Data'!D79</f>
        <v>#DIV/0!</v>
      </c>
      <c r="Q87" s="2">
        <f t="shared" si="13"/>
        <v>120</v>
      </c>
      <c r="R87" s="46" t="e">
        <f>+Q87/'# Yrs of Data'!D79</f>
        <v>#DIV/0!</v>
      </c>
      <c r="S87" s="2">
        <f t="shared" si="14"/>
        <v>37</v>
      </c>
      <c r="T87" s="46" t="e">
        <f>+S87/'# Yrs of Data'!D79</f>
        <v>#DIV/0!</v>
      </c>
      <c r="U87" s="2">
        <f t="shared" si="15"/>
        <v>12</v>
      </c>
      <c r="V87" s="46" t="e">
        <f>+U87/'# Yrs of Data'!D79</f>
        <v>#DIV/0!</v>
      </c>
    </row>
    <row r="88" spans="1:23">
      <c r="A88" s="1"/>
      <c r="B88" s="582"/>
      <c r="C88" s="312"/>
      <c r="D88" s="312"/>
      <c r="E88" s="312"/>
      <c r="F88" s="312"/>
      <c r="G88" s="312"/>
      <c r="H88" s="312"/>
      <c r="I88" s="304"/>
      <c r="J88" s="306"/>
      <c r="K88" s="306"/>
      <c r="L88" s="584"/>
      <c r="M88" s="1"/>
      <c r="N88" s="1"/>
      <c r="O88" s="1"/>
      <c r="P88" s="1"/>
      <c r="Q88" s="1"/>
      <c r="R88" s="1"/>
      <c r="S88" s="1"/>
      <c r="T88" s="1"/>
      <c r="U88" s="1"/>
      <c r="V88" s="1"/>
      <c r="W88" s="21"/>
    </row>
    <row r="89" spans="1:23" ht="16.5" thickBot="1">
      <c r="A89" s="1"/>
      <c r="B89" s="585" t="s">
        <v>124</v>
      </c>
      <c r="C89" s="575">
        <f t="shared" ref="C89:I89" si="17">SUM(C12:C88)</f>
        <v>690</v>
      </c>
      <c r="D89" s="575">
        <f t="shared" si="17"/>
        <v>233</v>
      </c>
      <c r="E89" s="575">
        <f t="shared" si="17"/>
        <v>120</v>
      </c>
      <c r="F89" s="575">
        <f t="shared" si="17"/>
        <v>37</v>
      </c>
      <c r="G89" s="575">
        <f t="shared" si="17"/>
        <v>12</v>
      </c>
      <c r="H89" s="575">
        <f t="shared" si="17"/>
        <v>0</v>
      </c>
      <c r="I89" s="575">
        <f t="shared" si="17"/>
        <v>1092</v>
      </c>
      <c r="J89" s="285"/>
      <c r="K89" s="285"/>
      <c r="L89" s="586"/>
      <c r="M89" s="1"/>
      <c r="N89" s="1"/>
      <c r="O89" s="1"/>
      <c r="P89" s="1"/>
      <c r="Q89" s="1"/>
      <c r="R89" s="1"/>
      <c r="S89" s="1"/>
      <c r="T89" s="1"/>
      <c r="U89" s="1"/>
      <c r="V89" s="1"/>
      <c r="W89" s="21"/>
    </row>
    <row r="90" spans="1:23" ht="16.5" thickBot="1">
      <c r="A90" s="1"/>
      <c r="B90" s="587"/>
      <c r="C90" s="286"/>
      <c r="D90" s="286"/>
      <c r="E90" s="286"/>
      <c r="F90" s="286"/>
      <c r="G90" s="286"/>
      <c r="H90" s="286"/>
      <c r="I90" s="286"/>
      <c r="J90" s="285"/>
      <c r="K90" s="285"/>
      <c r="L90" s="586"/>
      <c r="M90" s="1"/>
      <c r="N90" s="1"/>
      <c r="O90" s="1"/>
      <c r="P90" s="1"/>
      <c r="Q90" s="1"/>
      <c r="R90" s="1"/>
      <c r="S90" s="1"/>
      <c r="T90" s="1"/>
      <c r="U90" s="1"/>
      <c r="V90" s="1"/>
      <c r="W90" s="21"/>
    </row>
    <row r="91" spans="1:23" ht="16.5" thickBot="1">
      <c r="A91" s="1"/>
      <c r="B91" s="588" t="s">
        <v>161</v>
      </c>
      <c r="C91" s="576">
        <f t="shared" ref="C91:H91" si="18">+C89/$D$5</f>
        <v>10.454545454545455</v>
      </c>
      <c r="D91" s="576">
        <f t="shared" si="18"/>
        <v>3.5303030303030303</v>
      </c>
      <c r="E91" s="576">
        <f t="shared" si="18"/>
        <v>1.8181818181818181</v>
      </c>
      <c r="F91" s="576">
        <f t="shared" si="18"/>
        <v>0.56060606060606055</v>
      </c>
      <c r="G91" s="576">
        <f t="shared" si="18"/>
        <v>0.18181818181818182</v>
      </c>
      <c r="H91" s="576">
        <f t="shared" si="18"/>
        <v>0</v>
      </c>
      <c r="I91" s="576">
        <f>SUM(C91:H91)</f>
        <v>16.545454545454547</v>
      </c>
      <c r="J91" s="285"/>
      <c r="K91" s="285"/>
      <c r="L91" s="586"/>
      <c r="M91" s="1"/>
      <c r="N91" s="1"/>
      <c r="O91" s="1"/>
      <c r="P91" s="1"/>
      <c r="Q91" s="1"/>
      <c r="R91" s="1"/>
      <c r="S91" s="1"/>
      <c r="T91" s="1"/>
      <c r="U91" s="1"/>
      <c r="V91" s="1"/>
      <c r="W91" s="21"/>
    </row>
    <row r="92" spans="1:23" ht="16.5" thickBot="1">
      <c r="A92" s="1"/>
      <c r="B92" s="589"/>
      <c r="C92" s="52"/>
      <c r="D92" s="52"/>
      <c r="E92" s="52"/>
      <c r="F92" s="52"/>
      <c r="G92" s="52"/>
      <c r="H92" s="52"/>
      <c r="I92" s="52"/>
      <c r="J92" s="285"/>
      <c r="K92" s="285"/>
      <c r="L92" s="586"/>
      <c r="M92" s="1"/>
      <c r="N92" s="1"/>
      <c r="O92" s="1"/>
      <c r="P92" s="1"/>
      <c r="Q92" s="1"/>
      <c r="R92" s="1"/>
      <c r="S92" s="1"/>
      <c r="T92" s="1"/>
      <c r="U92" s="1"/>
      <c r="V92" s="1"/>
      <c r="W92" s="21"/>
    </row>
    <row r="93" spans="1:23" ht="15.75" thickTop="1">
      <c r="A93" s="1"/>
      <c r="B93" s="684"/>
      <c r="C93" s="685"/>
      <c r="D93" s="685"/>
      <c r="E93" s="685"/>
      <c r="F93" s="685"/>
      <c r="G93" s="685"/>
      <c r="H93" s="685"/>
      <c r="I93" s="685"/>
      <c r="J93" s="685"/>
      <c r="K93" s="685"/>
      <c r="L93" s="685"/>
      <c r="M93" s="1"/>
      <c r="N93" s="1"/>
      <c r="O93" s="1"/>
      <c r="P93" s="1"/>
      <c r="Q93" s="1"/>
      <c r="R93" s="1"/>
      <c r="S93" s="1"/>
      <c r="T93" s="1"/>
      <c r="U93" s="1"/>
      <c r="V93" s="1"/>
      <c r="W93" s="21"/>
    </row>
    <row r="94" spans="1:23">
      <c r="A94" s="1"/>
      <c r="B94" s="686"/>
      <c r="C94" s="52"/>
      <c r="D94" s="52"/>
      <c r="E94" s="52"/>
      <c r="F94" s="52"/>
      <c r="G94" s="52"/>
      <c r="H94" s="52"/>
      <c r="I94" s="52"/>
      <c r="J94" s="52"/>
      <c r="K94" s="52"/>
      <c r="L94" s="52"/>
      <c r="M94" s="1"/>
      <c r="N94" s="1"/>
      <c r="O94" s="1"/>
      <c r="P94" s="1"/>
      <c r="Q94" s="1"/>
      <c r="R94" s="1"/>
      <c r="S94" s="1"/>
      <c r="T94" s="1"/>
      <c r="U94" s="1"/>
      <c r="V94" s="1"/>
      <c r="W94" s="21"/>
    </row>
    <row r="95" spans="1:23">
      <c r="A95" s="35"/>
      <c r="B95" s="686"/>
      <c r="C95" s="687"/>
      <c r="D95" s="687"/>
      <c r="E95" s="687"/>
      <c r="F95" s="687"/>
      <c r="G95" s="687"/>
      <c r="H95" s="687"/>
      <c r="I95" s="687"/>
      <c r="J95" s="687"/>
      <c r="K95" s="687"/>
      <c r="L95" s="687"/>
      <c r="M95" s="35"/>
      <c r="N95" s="35"/>
      <c r="O95" s="35"/>
      <c r="P95" s="35"/>
      <c r="Q95" s="35"/>
      <c r="R95" s="35"/>
      <c r="S95" s="45"/>
      <c r="T95" s="45"/>
      <c r="U95" s="45"/>
      <c r="V95" s="45"/>
      <c r="W95" s="570"/>
    </row>
    <row r="96" spans="1:23">
      <c r="A96" s="35"/>
      <c r="B96" s="35"/>
      <c r="C96" s="35"/>
      <c r="D96" s="35"/>
      <c r="E96" s="35"/>
      <c r="F96" s="35"/>
      <c r="G96" s="35"/>
      <c r="H96" s="35"/>
      <c r="I96" s="35"/>
      <c r="J96" s="35"/>
      <c r="K96" s="35"/>
      <c r="L96" s="35"/>
      <c r="M96" s="35"/>
      <c r="N96" s="35"/>
      <c r="O96" s="35"/>
      <c r="P96" s="35"/>
      <c r="Q96" s="35"/>
      <c r="R96" s="35"/>
      <c r="S96" s="35"/>
      <c r="T96" s="35"/>
      <c r="U96" s="35"/>
      <c r="V96" s="35"/>
      <c r="W96" s="570"/>
    </row>
  </sheetData>
  <mergeCells count="4">
    <mergeCell ref="B1:L1"/>
    <mergeCell ref="B2:L2"/>
    <mergeCell ref="B8:B10"/>
    <mergeCell ref="C8:H9"/>
  </mergeCells>
  <printOptions horizontalCentered="1"/>
  <pageMargins left="0.7" right="0.7" top="1.25" bottom="0.5" header="0.3" footer="0"/>
  <pageSetup firstPageNumber="85" orientation="landscape" useFirstPageNumber="1" r:id="rId1"/>
  <headerFooter scaleWithDoc="0">
    <oddFooter>&amp;CPage &amp;P of 172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60"/>
  <sheetViews>
    <sheetView zoomScaleNormal="100" workbookViewId="0">
      <selection activeCell="L9" sqref="L9"/>
    </sheetView>
    <sheetView topLeftCell="A502" workbookViewId="1">
      <selection activeCell="M145" sqref="M145"/>
    </sheetView>
  </sheetViews>
  <sheetFormatPr defaultColWidth="0" defaultRowHeight="15" zeroHeight="1"/>
  <cols>
    <col min="1" max="1" width="12.109375" customWidth="1"/>
    <col min="2" max="10" width="8.88671875" customWidth="1"/>
    <col min="11" max="11" width="8.33203125" customWidth="1"/>
    <col min="12" max="17" width="8.33203125" style="850" customWidth="1"/>
    <col min="18" max="18" width="2.109375" customWidth="1"/>
  </cols>
  <sheetData>
    <row r="1" spans="1:23" ht="23.25">
      <c r="A1" s="1107" t="s">
        <v>890</v>
      </c>
      <c r="B1" s="1108"/>
      <c r="C1" s="1108"/>
      <c r="D1" s="1108"/>
      <c r="E1" s="1108"/>
      <c r="F1" s="1108"/>
      <c r="G1" s="1108"/>
      <c r="H1" s="1108"/>
      <c r="I1" s="1108"/>
      <c r="J1" s="1108"/>
      <c r="K1" s="1108"/>
      <c r="L1" s="849"/>
      <c r="M1" s="849"/>
      <c r="N1" s="849"/>
      <c r="O1" s="849"/>
      <c r="P1" s="849"/>
      <c r="Q1" s="849"/>
    </row>
    <row r="2" spans="1:23" ht="15" customHeight="1">
      <c r="A2" s="845" t="s">
        <v>958</v>
      </c>
      <c r="B2" s="532"/>
      <c r="C2" s="532"/>
      <c r="D2" s="532"/>
      <c r="E2" s="532"/>
      <c r="F2" s="532"/>
      <c r="G2" s="532"/>
      <c r="H2" s="532"/>
      <c r="I2" s="532"/>
      <c r="J2" s="532"/>
      <c r="K2" s="532"/>
      <c r="L2" s="849"/>
      <c r="M2" s="849"/>
      <c r="N2" s="849"/>
      <c r="O2" s="849"/>
      <c r="P2" s="849"/>
      <c r="Q2" s="849"/>
    </row>
    <row r="3" spans="1:23" s="692" customFormat="1" ht="15" customHeight="1">
      <c r="A3" s="846" t="s">
        <v>957</v>
      </c>
      <c r="C3" s="736"/>
      <c r="D3" s="736"/>
      <c r="E3" s="736"/>
      <c r="F3" s="736"/>
      <c r="G3" s="736"/>
      <c r="H3" s="736"/>
      <c r="I3" s="736"/>
      <c r="J3" s="736"/>
      <c r="K3" s="735"/>
      <c r="L3" s="735"/>
      <c r="M3" s="735"/>
      <c r="N3" s="735"/>
      <c r="O3" s="735"/>
      <c r="P3" s="735"/>
      <c r="Q3" s="735"/>
    </row>
    <row r="4" spans="1:23" ht="15.75">
      <c r="A4" s="847" t="s">
        <v>1049</v>
      </c>
    </row>
    <row r="5" spans="1:23" ht="15" customHeight="1">
      <c r="A5" s="660"/>
      <c r="B5" s="661"/>
      <c r="C5" s="277"/>
      <c r="D5" s="277"/>
      <c r="F5" s="36"/>
      <c r="G5" s="353"/>
      <c r="H5" s="277"/>
      <c r="I5" s="277"/>
      <c r="J5" s="277"/>
      <c r="K5" s="277"/>
      <c r="L5" s="277"/>
      <c r="M5" s="277"/>
      <c r="N5" s="277"/>
      <c r="O5" s="277"/>
      <c r="P5" s="277"/>
      <c r="Q5" s="277"/>
      <c r="R5" s="1"/>
      <c r="S5" s="1"/>
      <c r="T5" s="1"/>
      <c r="U5" s="1"/>
      <c r="V5" s="1"/>
      <c r="W5" s="1"/>
    </row>
    <row r="6" spans="1:23" ht="23.25">
      <c r="A6" s="8" t="s">
        <v>891</v>
      </c>
      <c r="B6" s="1"/>
      <c r="C6" s="1"/>
      <c r="D6" s="1"/>
      <c r="E6" s="1"/>
      <c r="F6" s="1"/>
      <c r="G6" s="1"/>
      <c r="H6" s="1"/>
      <c r="I6" s="2"/>
      <c r="J6" s="2"/>
      <c r="K6" s="1"/>
      <c r="L6" s="1"/>
      <c r="M6" s="1"/>
      <c r="N6" s="1"/>
      <c r="O6" s="1"/>
      <c r="P6" s="1"/>
      <c r="Q6" s="1"/>
      <c r="R6" s="1"/>
      <c r="S6" s="1"/>
      <c r="T6" s="1"/>
      <c r="U6" s="1"/>
      <c r="V6" s="1"/>
      <c r="W6" s="1"/>
    </row>
    <row r="7" spans="1:23">
      <c r="A7" s="3"/>
      <c r="B7" s="1"/>
      <c r="C7" s="1"/>
      <c r="D7" s="1"/>
      <c r="E7" s="1"/>
      <c r="F7" s="1"/>
      <c r="G7" s="1"/>
      <c r="H7" s="1"/>
      <c r="I7" s="2"/>
      <c r="J7" s="2"/>
      <c r="K7" s="1"/>
      <c r="L7" s="1"/>
      <c r="M7" s="1"/>
      <c r="N7" s="1"/>
      <c r="O7" s="1"/>
      <c r="P7" s="1"/>
      <c r="Q7" s="1"/>
      <c r="R7" s="1"/>
      <c r="S7" s="1"/>
      <c r="T7" s="1"/>
      <c r="U7" s="1"/>
      <c r="V7" s="1"/>
      <c r="W7" s="1"/>
    </row>
    <row r="8" spans="1:23">
      <c r="A8" s="3"/>
      <c r="B8" s="1"/>
      <c r="C8" s="1"/>
      <c r="D8" s="1"/>
      <c r="E8" s="1"/>
      <c r="F8" s="1"/>
      <c r="G8" s="1"/>
      <c r="H8" s="1"/>
      <c r="I8" s="2"/>
      <c r="J8" s="2"/>
      <c r="K8" s="1"/>
      <c r="L8" s="1"/>
      <c r="M8" s="1"/>
      <c r="N8" s="1"/>
      <c r="O8" s="1"/>
      <c r="P8" s="1"/>
      <c r="Q8" s="1"/>
      <c r="R8" s="1"/>
      <c r="S8" s="1"/>
      <c r="T8" s="1"/>
      <c r="U8" s="1"/>
      <c r="V8" s="1"/>
      <c r="W8" s="1"/>
    </row>
    <row r="9" spans="1:23">
      <c r="A9" s="3"/>
      <c r="B9" s="1"/>
      <c r="C9" s="1"/>
      <c r="D9" s="1"/>
      <c r="E9" s="1"/>
      <c r="F9" s="1"/>
      <c r="G9" s="1"/>
      <c r="H9" s="1"/>
      <c r="I9" s="2"/>
      <c r="J9" s="2"/>
      <c r="K9" s="1"/>
      <c r="L9" s="1"/>
      <c r="M9" s="1"/>
      <c r="N9" s="1"/>
      <c r="O9" s="1"/>
      <c r="P9" s="1"/>
      <c r="Q9" s="1"/>
      <c r="R9" s="1"/>
      <c r="S9" s="1"/>
      <c r="T9" s="1"/>
      <c r="U9" s="1"/>
      <c r="V9" s="1"/>
      <c r="W9" s="1"/>
    </row>
    <row r="10" spans="1:23">
      <c r="A10" s="3"/>
      <c r="B10" s="1"/>
      <c r="C10" s="1"/>
      <c r="D10" s="1"/>
      <c r="E10" s="1"/>
      <c r="F10" s="1"/>
      <c r="G10" s="1"/>
      <c r="H10" s="1"/>
      <c r="I10" s="2"/>
      <c r="J10" s="2"/>
      <c r="K10" s="1"/>
      <c r="L10" s="1"/>
      <c r="M10" s="1"/>
      <c r="N10" s="1"/>
      <c r="O10" s="1"/>
      <c r="P10" s="1"/>
      <c r="Q10" s="1"/>
      <c r="R10" s="1"/>
      <c r="S10" s="1"/>
      <c r="T10" s="1"/>
      <c r="U10" s="1"/>
      <c r="V10" s="1"/>
      <c r="W10" s="1"/>
    </row>
    <row r="11" spans="1:23">
      <c r="A11" s="3"/>
      <c r="B11" s="1"/>
      <c r="C11" s="1"/>
      <c r="D11" s="1"/>
      <c r="E11" s="1"/>
      <c r="F11" s="1"/>
      <c r="G11" s="1"/>
      <c r="H11" s="1"/>
      <c r="I11" s="2"/>
      <c r="J11" s="2"/>
      <c r="K11" s="1"/>
      <c r="L11" s="1"/>
      <c r="M11" s="1"/>
      <c r="N11" s="1"/>
      <c r="O11" s="1"/>
      <c r="P11" s="1"/>
      <c r="Q11" s="1"/>
      <c r="R11" s="1"/>
      <c r="S11" s="1"/>
      <c r="T11" s="1"/>
      <c r="U11" s="1"/>
      <c r="V11" s="1"/>
      <c r="W11" s="1"/>
    </row>
    <row r="12" spans="1:23">
      <c r="A12" s="3"/>
      <c r="B12" s="1"/>
      <c r="C12" s="1"/>
      <c r="D12" s="1"/>
      <c r="E12" s="1"/>
      <c r="F12" s="1"/>
      <c r="G12" s="1"/>
      <c r="H12" s="1"/>
      <c r="I12" s="2"/>
      <c r="J12" s="2"/>
      <c r="K12" s="1"/>
      <c r="L12" s="1"/>
      <c r="M12" s="1"/>
      <c r="N12" s="1"/>
      <c r="O12" s="1"/>
      <c r="P12" s="1"/>
      <c r="Q12" s="1"/>
      <c r="R12" s="1"/>
      <c r="S12" s="1"/>
      <c r="T12" s="1"/>
      <c r="U12" s="1"/>
      <c r="V12" s="1"/>
      <c r="W12" s="1"/>
    </row>
    <row r="13" spans="1:23">
      <c r="A13" s="3"/>
      <c r="B13" s="1"/>
      <c r="C13" s="1"/>
      <c r="D13" s="1"/>
      <c r="E13" s="1"/>
      <c r="F13" s="1"/>
      <c r="G13" s="1"/>
      <c r="H13" s="1"/>
      <c r="I13" s="2"/>
      <c r="J13" s="2"/>
      <c r="K13" s="1"/>
      <c r="L13" s="1"/>
      <c r="M13" s="1"/>
      <c r="N13" s="1"/>
      <c r="O13" s="1"/>
      <c r="P13" s="1"/>
      <c r="Q13" s="1"/>
      <c r="R13" s="1"/>
      <c r="S13" s="1"/>
      <c r="T13" s="1"/>
      <c r="U13" s="1"/>
      <c r="V13" s="1"/>
      <c r="W13" s="1"/>
    </row>
    <row r="14" spans="1:23">
      <c r="A14" s="3"/>
      <c r="B14" s="1"/>
      <c r="C14" s="1"/>
      <c r="D14" s="1"/>
      <c r="E14" s="1"/>
      <c r="F14" s="1"/>
      <c r="G14" s="1"/>
      <c r="H14" s="1"/>
      <c r="I14" s="2"/>
      <c r="J14" s="2"/>
      <c r="K14" s="1"/>
      <c r="L14" s="1"/>
      <c r="M14" s="1"/>
      <c r="N14" s="1"/>
      <c r="O14" s="1"/>
      <c r="P14" s="1"/>
      <c r="Q14" s="1"/>
      <c r="R14" s="1"/>
      <c r="S14" s="1"/>
      <c r="T14" s="1"/>
      <c r="U14" s="1"/>
      <c r="V14" s="1"/>
      <c r="W14" s="1"/>
    </row>
    <row r="15" spans="1:23">
      <c r="A15" s="3"/>
      <c r="B15" s="1"/>
      <c r="C15" s="1"/>
      <c r="D15" s="1"/>
      <c r="E15" s="1"/>
      <c r="F15" s="1"/>
      <c r="G15" s="1"/>
      <c r="H15" s="1"/>
      <c r="I15" s="2"/>
      <c r="J15" s="2"/>
      <c r="K15" s="1"/>
      <c r="L15" s="1"/>
      <c r="M15" s="1"/>
      <c r="N15" s="1"/>
      <c r="O15" s="1"/>
      <c r="P15" s="1"/>
      <c r="Q15" s="1"/>
      <c r="R15" s="1"/>
      <c r="S15" s="1"/>
      <c r="T15" s="1"/>
      <c r="U15" s="1"/>
      <c r="V15" s="1"/>
      <c r="W15" s="1"/>
    </row>
    <row r="16" spans="1:23">
      <c r="A16" s="3"/>
      <c r="B16" s="1"/>
      <c r="C16" s="1"/>
      <c r="D16" s="1"/>
      <c r="E16" s="1"/>
      <c r="F16" s="1"/>
      <c r="G16" s="1"/>
      <c r="H16" s="1"/>
      <c r="I16" s="2"/>
      <c r="J16" s="2"/>
      <c r="K16" s="1"/>
      <c r="L16" s="1"/>
      <c r="M16" s="1"/>
      <c r="N16" s="1"/>
      <c r="O16" s="1"/>
      <c r="P16" s="1"/>
      <c r="Q16" s="1"/>
      <c r="R16" s="1"/>
      <c r="S16" s="1"/>
      <c r="T16" s="1"/>
      <c r="U16" s="1"/>
      <c r="V16" s="1"/>
      <c r="W16" s="1"/>
    </row>
    <row r="17" spans="1:23">
      <c r="A17" s="3"/>
      <c r="B17" s="1"/>
      <c r="C17" s="1"/>
      <c r="D17" s="1"/>
      <c r="E17" s="1"/>
      <c r="F17" s="1"/>
      <c r="G17" s="1"/>
      <c r="H17" s="1"/>
      <c r="I17" s="2"/>
      <c r="J17" s="2"/>
      <c r="K17" s="1"/>
      <c r="L17" s="1"/>
      <c r="M17" s="1"/>
      <c r="N17" s="1"/>
      <c r="O17" s="1"/>
      <c r="P17" s="1"/>
      <c r="Q17" s="1"/>
      <c r="R17" s="1"/>
      <c r="S17" s="1"/>
      <c r="T17" s="1"/>
      <c r="U17" s="1"/>
      <c r="V17" s="1"/>
      <c r="W17" s="1"/>
    </row>
    <row r="18" spans="1:23">
      <c r="A18" s="3"/>
      <c r="B18" s="1"/>
      <c r="C18" s="1"/>
      <c r="D18" s="1"/>
      <c r="E18" s="1"/>
      <c r="F18" s="1"/>
      <c r="G18" s="1"/>
      <c r="H18" s="1"/>
      <c r="I18" s="2"/>
      <c r="J18" s="2"/>
      <c r="K18" s="1"/>
      <c r="L18" s="1"/>
      <c r="M18" s="1"/>
      <c r="N18" s="1"/>
      <c r="O18" s="1"/>
      <c r="P18" s="1"/>
      <c r="Q18" s="1"/>
      <c r="R18" s="1"/>
      <c r="S18" s="1"/>
      <c r="T18" s="1"/>
      <c r="U18" s="1"/>
      <c r="V18" s="1"/>
      <c r="W18" s="1"/>
    </row>
    <row r="19" spans="1:23">
      <c r="A19" s="3"/>
      <c r="B19" s="1"/>
      <c r="C19" s="1"/>
      <c r="D19" s="1"/>
      <c r="E19" s="1"/>
      <c r="F19" s="1"/>
      <c r="G19" s="1"/>
      <c r="H19" s="1"/>
      <c r="I19" s="2"/>
      <c r="J19" s="2"/>
      <c r="K19" s="1"/>
      <c r="L19" s="1"/>
      <c r="M19" s="1"/>
      <c r="N19" s="1"/>
      <c r="O19" s="1"/>
      <c r="P19" s="1"/>
      <c r="Q19" s="1"/>
      <c r="R19" s="1"/>
      <c r="S19" s="1"/>
      <c r="T19" s="1"/>
      <c r="U19" s="1"/>
      <c r="V19" s="1"/>
      <c r="W19" s="1"/>
    </row>
    <row r="20" spans="1:23">
      <c r="A20" s="3"/>
      <c r="B20" s="1"/>
      <c r="C20" s="1"/>
      <c r="D20" s="1"/>
      <c r="E20" s="1"/>
      <c r="F20" s="1"/>
      <c r="G20" s="1"/>
      <c r="H20" s="1"/>
      <c r="I20" s="2"/>
      <c r="J20" s="2"/>
      <c r="K20" s="1"/>
      <c r="L20" s="1"/>
      <c r="M20" s="1"/>
      <c r="N20" s="1"/>
      <c r="O20" s="1"/>
      <c r="P20" s="1"/>
      <c r="Q20" s="1"/>
      <c r="R20" s="1"/>
      <c r="S20" s="1"/>
      <c r="T20" s="1"/>
      <c r="U20" s="1"/>
      <c r="V20" s="1"/>
      <c r="W20" s="1"/>
    </row>
    <row r="21" spans="1:23">
      <c r="A21" s="3"/>
      <c r="B21" s="1"/>
      <c r="C21" s="1"/>
      <c r="D21" s="1"/>
      <c r="E21" s="1"/>
      <c r="F21" s="1"/>
      <c r="G21" s="1"/>
      <c r="H21" s="1"/>
      <c r="I21" s="2"/>
      <c r="J21" s="2"/>
      <c r="K21" s="1"/>
      <c r="L21" s="1"/>
      <c r="M21" s="1"/>
      <c r="N21" s="1"/>
      <c r="O21" s="1"/>
      <c r="P21" s="1"/>
      <c r="Q21" s="1"/>
      <c r="R21" s="1"/>
      <c r="S21" s="1"/>
      <c r="T21" s="1"/>
      <c r="U21" s="1"/>
      <c r="V21" s="1"/>
      <c r="W21" s="1"/>
    </row>
    <row r="22" spans="1:23">
      <c r="A22" s="3"/>
      <c r="B22" s="1"/>
      <c r="C22" s="1"/>
      <c r="D22" s="1"/>
      <c r="E22" s="1"/>
      <c r="F22" s="1"/>
      <c r="G22" s="1"/>
      <c r="H22" s="1"/>
      <c r="I22" s="2"/>
      <c r="J22" s="2"/>
      <c r="K22" s="1"/>
      <c r="L22" s="1"/>
      <c r="M22" s="1"/>
      <c r="N22" s="1"/>
      <c r="O22" s="1"/>
      <c r="P22" s="1"/>
      <c r="Q22" s="1"/>
      <c r="R22" s="1"/>
      <c r="S22" s="1"/>
      <c r="T22" s="1"/>
      <c r="U22" s="1"/>
      <c r="V22" s="1"/>
      <c r="W22" s="1"/>
    </row>
    <row r="23" spans="1:23">
      <c r="A23" s="3"/>
      <c r="B23" s="1"/>
      <c r="C23" s="1"/>
      <c r="D23" s="1"/>
      <c r="E23" s="1"/>
      <c r="F23" s="1"/>
      <c r="G23" s="1"/>
      <c r="H23" s="1"/>
      <c r="I23" s="2"/>
      <c r="J23" s="2"/>
      <c r="K23" s="1"/>
      <c r="L23" s="1"/>
      <c r="M23" s="1"/>
      <c r="N23" s="1"/>
      <c r="O23" s="1"/>
      <c r="P23" s="1"/>
      <c r="Q23" s="1"/>
      <c r="R23" s="1"/>
      <c r="S23" s="1"/>
      <c r="T23" s="1"/>
      <c r="U23" s="1"/>
      <c r="V23" s="1"/>
      <c r="W23" s="1"/>
    </row>
    <row r="24" spans="1:23">
      <c r="A24" s="3"/>
      <c r="B24" s="1"/>
      <c r="C24" s="1"/>
      <c r="D24" s="1"/>
      <c r="E24" s="1"/>
      <c r="F24" s="1"/>
      <c r="G24" s="1"/>
      <c r="H24" s="1"/>
      <c r="I24" s="2"/>
      <c r="J24" s="2"/>
      <c r="K24" s="1"/>
      <c r="L24" s="1"/>
      <c r="M24" s="1"/>
      <c r="N24" s="1"/>
      <c r="O24" s="1"/>
      <c r="P24" s="1"/>
      <c r="Q24" s="1"/>
      <c r="R24" s="1"/>
      <c r="S24" s="1"/>
      <c r="T24" s="1"/>
      <c r="U24" s="1"/>
      <c r="V24" s="1"/>
      <c r="W24" s="1"/>
    </row>
    <row r="25" spans="1:23">
      <c r="A25" s="3"/>
      <c r="B25" s="1"/>
      <c r="C25" s="1"/>
      <c r="D25" s="1"/>
      <c r="E25" s="1"/>
      <c r="F25" s="1"/>
      <c r="G25" s="1"/>
      <c r="H25" s="1"/>
      <c r="I25" s="2"/>
      <c r="J25" s="2"/>
      <c r="K25" s="1"/>
      <c r="L25" s="1"/>
      <c r="M25" s="1"/>
      <c r="N25" s="1"/>
      <c r="O25" s="1"/>
      <c r="P25" s="1"/>
      <c r="Q25" s="1"/>
      <c r="R25" s="1"/>
      <c r="S25" s="1"/>
      <c r="T25" s="1"/>
      <c r="U25" s="1"/>
      <c r="V25" s="1"/>
      <c r="W25" s="1"/>
    </row>
    <row r="26" spans="1:23">
      <c r="A26" s="3"/>
      <c r="B26" s="1"/>
      <c r="C26" s="1"/>
      <c r="D26" s="1"/>
      <c r="E26" s="1"/>
      <c r="F26" s="1"/>
      <c r="G26" s="1"/>
      <c r="H26" s="1"/>
      <c r="I26" s="2"/>
      <c r="J26" s="2"/>
      <c r="K26" s="1"/>
      <c r="L26" s="1"/>
      <c r="M26" s="1"/>
      <c r="N26" s="1"/>
      <c r="O26" s="1"/>
      <c r="P26" s="1"/>
      <c r="Q26" s="1"/>
      <c r="R26" s="1"/>
      <c r="S26" s="1"/>
      <c r="T26" s="1"/>
      <c r="U26" s="1"/>
      <c r="V26" s="1"/>
      <c r="W26" s="1"/>
    </row>
    <row r="27" spans="1:23">
      <c r="A27" s="3"/>
      <c r="B27" s="1"/>
      <c r="C27" s="1"/>
      <c r="D27" s="1"/>
      <c r="E27" s="1"/>
      <c r="F27" s="1"/>
      <c r="G27" s="1"/>
      <c r="H27" s="1"/>
      <c r="I27" s="2"/>
      <c r="J27" s="2"/>
      <c r="K27" s="1"/>
      <c r="L27" s="1"/>
      <c r="M27" s="1"/>
      <c r="N27" s="1"/>
      <c r="O27" s="1"/>
      <c r="P27" s="1"/>
      <c r="Q27" s="1"/>
      <c r="R27" s="1"/>
      <c r="S27" s="1"/>
      <c r="T27" s="1"/>
      <c r="U27" s="1"/>
      <c r="V27" s="1"/>
      <c r="W27" s="1"/>
    </row>
    <row r="28" spans="1:23">
      <c r="A28" s="3"/>
      <c r="B28" s="1"/>
      <c r="C28" s="1"/>
      <c r="D28" s="1"/>
      <c r="E28" s="1"/>
      <c r="F28" s="1"/>
      <c r="G28" s="1"/>
      <c r="H28" s="1"/>
      <c r="I28" s="2"/>
      <c r="J28" s="2"/>
      <c r="K28" s="1"/>
      <c r="L28" s="1"/>
      <c r="M28" s="1"/>
      <c r="N28" s="1"/>
      <c r="O28" s="1"/>
      <c r="P28" s="1"/>
      <c r="Q28" s="1"/>
      <c r="R28" s="1"/>
      <c r="S28" s="1"/>
      <c r="T28" s="1"/>
      <c r="U28" s="1"/>
      <c r="V28" s="1"/>
      <c r="W28" s="1"/>
    </row>
    <row r="29" spans="1:23">
      <c r="A29" s="3"/>
      <c r="B29" s="1"/>
      <c r="C29" s="1"/>
      <c r="D29" s="1"/>
      <c r="E29" s="1"/>
      <c r="F29" s="1"/>
      <c r="G29" s="1"/>
      <c r="H29" s="1"/>
      <c r="I29" s="2"/>
      <c r="J29" s="2"/>
      <c r="K29" s="1"/>
      <c r="L29" s="1"/>
      <c r="M29" s="1"/>
      <c r="N29" s="1"/>
      <c r="O29" s="1"/>
      <c r="P29" s="1"/>
      <c r="Q29" s="1"/>
      <c r="R29" s="1"/>
      <c r="S29" s="1"/>
      <c r="T29" s="1"/>
      <c r="U29" s="1"/>
      <c r="V29" s="1"/>
      <c r="W29" s="1"/>
    </row>
    <row r="30" spans="1:23">
      <c r="A30" s="3"/>
      <c r="B30" s="1"/>
      <c r="C30" s="1"/>
      <c r="D30" s="1"/>
      <c r="E30" s="1"/>
      <c r="F30" s="1"/>
      <c r="G30" s="1"/>
      <c r="H30" s="1"/>
      <c r="I30" s="2"/>
      <c r="J30" s="2"/>
      <c r="K30" s="1"/>
      <c r="L30" s="1"/>
      <c r="M30" s="1"/>
      <c r="N30" s="1"/>
      <c r="O30" s="1"/>
      <c r="P30" s="1"/>
      <c r="Q30" s="1"/>
      <c r="R30" s="1"/>
      <c r="S30" s="1"/>
      <c r="T30" s="1"/>
      <c r="U30" s="1"/>
      <c r="V30" s="1"/>
      <c r="W30" s="1"/>
    </row>
    <row r="31" spans="1:23">
      <c r="A31" s="3"/>
      <c r="B31" s="1"/>
      <c r="C31" s="1"/>
      <c r="D31" s="1"/>
      <c r="E31" s="1"/>
      <c r="F31" s="1"/>
      <c r="G31" s="1"/>
      <c r="H31" s="1"/>
      <c r="I31" s="2"/>
      <c r="J31" s="2"/>
      <c r="K31" s="1"/>
      <c r="L31" s="1"/>
      <c r="M31" s="1"/>
      <c r="N31" s="1"/>
      <c r="O31" s="1"/>
      <c r="P31" s="1"/>
      <c r="Q31" s="1"/>
      <c r="R31" s="1"/>
      <c r="S31" s="1"/>
      <c r="T31" s="1"/>
      <c r="U31" s="1"/>
      <c r="V31" s="1"/>
      <c r="W31" s="1"/>
    </row>
    <row r="32" spans="1:23">
      <c r="A32" s="3"/>
      <c r="B32" s="1"/>
      <c r="C32" s="1"/>
      <c r="D32" s="1"/>
      <c r="E32" s="1"/>
      <c r="F32" s="1"/>
      <c r="G32" s="1"/>
      <c r="H32" s="1"/>
      <c r="I32" s="2"/>
      <c r="J32" s="2"/>
      <c r="K32" s="1"/>
      <c r="L32" s="1"/>
      <c r="M32" s="1"/>
      <c r="N32" s="1"/>
      <c r="O32" s="1"/>
      <c r="P32" s="1"/>
      <c r="Q32" s="1"/>
      <c r="R32" s="1"/>
      <c r="S32" s="1"/>
      <c r="T32" s="1"/>
      <c r="U32" s="1"/>
      <c r="V32" s="1"/>
      <c r="W32" s="1"/>
    </row>
    <row r="33" spans="1:23">
      <c r="A33" s="3"/>
      <c r="B33" s="1"/>
      <c r="C33" s="1"/>
      <c r="D33" s="1"/>
      <c r="E33" s="1"/>
      <c r="F33" s="1"/>
      <c r="G33" s="1"/>
      <c r="H33" s="1"/>
      <c r="I33" s="2"/>
      <c r="J33" s="2"/>
      <c r="K33" s="1"/>
      <c r="L33" s="1"/>
      <c r="M33" s="1"/>
      <c r="N33" s="1"/>
      <c r="O33" s="1"/>
      <c r="P33" s="1"/>
      <c r="Q33" s="1"/>
      <c r="R33" s="1"/>
      <c r="S33" s="1"/>
      <c r="T33" s="1"/>
      <c r="U33" s="1"/>
      <c r="V33" s="1"/>
      <c r="W33" s="1"/>
    </row>
    <row r="34" spans="1:23">
      <c r="A34" s="3"/>
      <c r="B34" s="1"/>
      <c r="C34" s="1"/>
      <c r="D34" s="1"/>
      <c r="E34" s="1"/>
      <c r="F34" s="1"/>
      <c r="G34" s="1"/>
      <c r="H34" s="1"/>
      <c r="I34" s="2"/>
      <c r="J34" s="2"/>
      <c r="K34" s="1"/>
      <c r="L34" s="1"/>
      <c r="M34" s="1"/>
      <c r="N34" s="1"/>
      <c r="O34" s="1"/>
      <c r="P34" s="1"/>
      <c r="Q34" s="1"/>
      <c r="R34" s="1"/>
      <c r="S34" s="1"/>
      <c r="T34" s="1"/>
      <c r="U34" s="1"/>
      <c r="V34" s="1"/>
      <c r="W34" s="1"/>
    </row>
    <row r="35" spans="1:23">
      <c r="A35" s="3"/>
      <c r="B35" s="1"/>
      <c r="C35" s="1"/>
      <c r="D35" s="1"/>
      <c r="E35" s="1"/>
      <c r="F35" s="1"/>
      <c r="G35" s="1"/>
      <c r="H35" s="1"/>
      <c r="I35" s="2"/>
      <c r="J35" s="2"/>
      <c r="K35" s="1"/>
      <c r="L35" s="1"/>
      <c r="M35" s="1"/>
      <c r="N35" s="1"/>
      <c r="O35" s="1"/>
      <c r="P35" s="1"/>
      <c r="Q35" s="1"/>
      <c r="R35" s="1"/>
      <c r="S35" s="1"/>
      <c r="T35" s="1"/>
      <c r="U35" s="1"/>
      <c r="V35" s="1"/>
      <c r="W35" s="1"/>
    </row>
    <row r="36" spans="1:23">
      <c r="A36" s="3"/>
      <c r="B36" s="1"/>
      <c r="C36" s="1"/>
      <c r="D36" s="1"/>
      <c r="E36" s="1"/>
      <c r="F36" s="1"/>
      <c r="G36" s="1"/>
      <c r="H36" s="1"/>
      <c r="I36" s="2"/>
      <c r="J36" s="2"/>
      <c r="K36" s="1"/>
      <c r="L36" s="1"/>
      <c r="M36" s="1"/>
      <c r="N36" s="1"/>
      <c r="O36" s="1"/>
      <c r="P36" s="1"/>
      <c r="Q36" s="1"/>
      <c r="R36" s="1"/>
      <c r="S36" s="1"/>
      <c r="T36" s="1"/>
      <c r="U36" s="1"/>
      <c r="V36" s="1"/>
      <c r="W36" s="1"/>
    </row>
    <row r="37" spans="1:23">
      <c r="A37" s="3"/>
      <c r="B37" s="1"/>
      <c r="C37" s="1"/>
      <c r="D37" s="1"/>
      <c r="E37" s="1"/>
      <c r="F37" s="1"/>
      <c r="G37" s="1"/>
      <c r="H37" s="1"/>
      <c r="I37" s="2"/>
      <c r="J37" s="2"/>
      <c r="K37" s="1"/>
      <c r="L37" s="1"/>
      <c r="M37" s="1"/>
      <c r="N37" s="1"/>
      <c r="O37" s="1"/>
      <c r="P37" s="1"/>
      <c r="Q37" s="1"/>
      <c r="R37" s="1"/>
      <c r="S37" s="1"/>
      <c r="T37" s="1"/>
      <c r="U37" s="1"/>
      <c r="V37" s="1"/>
      <c r="W37" s="1"/>
    </row>
    <row r="38" spans="1:23">
      <c r="A38" s="3"/>
      <c r="B38" s="1"/>
      <c r="C38" s="1"/>
      <c r="D38" s="1"/>
      <c r="E38" s="1"/>
      <c r="F38" s="1"/>
      <c r="G38" s="1"/>
      <c r="H38" s="1"/>
      <c r="I38" s="2"/>
      <c r="J38" s="2"/>
      <c r="K38" s="1"/>
      <c r="L38" s="1"/>
      <c r="M38" s="1"/>
      <c r="N38" s="1"/>
      <c r="O38" s="1"/>
      <c r="P38" s="1"/>
      <c r="Q38" s="1"/>
      <c r="R38" s="1"/>
      <c r="S38" s="1"/>
      <c r="T38" s="1"/>
      <c r="U38" s="1"/>
      <c r="V38" s="1"/>
      <c r="W38" s="1"/>
    </row>
    <row r="39" spans="1:23">
      <c r="A39" s="3"/>
      <c r="B39" s="1"/>
      <c r="C39" s="1"/>
      <c r="D39" s="1"/>
      <c r="E39" s="1"/>
      <c r="F39" s="1"/>
      <c r="G39" s="1"/>
      <c r="H39" s="1"/>
      <c r="I39" s="2"/>
      <c r="J39" s="2"/>
      <c r="K39" s="1"/>
      <c r="L39" s="1"/>
      <c r="M39" s="1"/>
      <c r="N39" s="1"/>
      <c r="O39" s="1"/>
      <c r="P39" s="1"/>
      <c r="Q39" s="1"/>
      <c r="R39" s="1"/>
      <c r="S39" s="1"/>
      <c r="T39" s="1"/>
      <c r="U39" s="1"/>
      <c r="V39" s="1"/>
      <c r="W39" s="1"/>
    </row>
    <row r="40" spans="1:23">
      <c r="A40" s="3"/>
      <c r="B40" s="1"/>
      <c r="C40" s="1"/>
      <c r="D40" s="1"/>
      <c r="E40" s="1"/>
      <c r="F40" s="1"/>
      <c r="G40" s="1"/>
      <c r="H40" s="1"/>
      <c r="I40" s="2"/>
      <c r="J40" s="2"/>
      <c r="K40" s="1"/>
      <c r="L40" s="1"/>
      <c r="M40" s="1"/>
      <c r="N40" s="1"/>
      <c r="O40" s="1"/>
      <c r="P40" s="1"/>
      <c r="Q40" s="1"/>
      <c r="R40" s="1"/>
      <c r="S40" s="1"/>
      <c r="T40" s="1"/>
      <c r="U40" s="1"/>
      <c r="V40" s="1"/>
      <c r="W40" s="1"/>
    </row>
    <row r="41" spans="1:23">
      <c r="A41" s="3"/>
      <c r="B41" s="1"/>
      <c r="C41" s="1"/>
      <c r="D41" s="1"/>
      <c r="E41" s="1"/>
      <c r="F41" s="1"/>
      <c r="G41" s="1"/>
      <c r="H41" s="1"/>
      <c r="I41" s="2"/>
      <c r="J41" s="2"/>
      <c r="K41" s="1"/>
      <c r="L41" s="1"/>
      <c r="M41" s="1"/>
      <c r="N41" s="1"/>
      <c r="O41" s="1"/>
      <c r="P41" s="1"/>
      <c r="Q41" s="1"/>
      <c r="R41" s="1"/>
      <c r="S41" s="1"/>
      <c r="T41" s="1"/>
      <c r="U41" s="1"/>
      <c r="V41" s="1"/>
      <c r="W41" s="1"/>
    </row>
    <row r="42" spans="1:23">
      <c r="A42" s="3"/>
      <c r="B42" s="1"/>
      <c r="C42" s="1"/>
      <c r="D42" s="1"/>
      <c r="E42" s="1"/>
      <c r="F42" s="1"/>
      <c r="G42" s="1"/>
      <c r="H42" s="1"/>
      <c r="I42" s="2"/>
      <c r="J42" s="2"/>
      <c r="K42" s="1"/>
      <c r="L42" s="1"/>
      <c r="M42" s="1"/>
      <c r="N42" s="1"/>
      <c r="O42" s="1"/>
      <c r="P42" s="1"/>
      <c r="Q42" s="1"/>
      <c r="R42" s="1"/>
      <c r="S42" s="1"/>
      <c r="T42" s="1"/>
      <c r="U42" s="1"/>
      <c r="V42" s="1"/>
      <c r="W42" s="1"/>
    </row>
    <row r="43" spans="1:23">
      <c r="A43" s="3"/>
      <c r="B43" s="1"/>
      <c r="C43" s="1"/>
      <c r="D43" s="1"/>
      <c r="E43" s="1"/>
      <c r="F43" s="1"/>
      <c r="G43" s="1"/>
      <c r="H43" s="1"/>
      <c r="I43" s="2"/>
      <c r="J43" s="2"/>
      <c r="K43" s="1"/>
      <c r="L43" s="1"/>
      <c r="M43" s="1"/>
      <c r="N43" s="1"/>
      <c r="O43" s="1"/>
      <c r="P43" s="1"/>
      <c r="Q43" s="1"/>
      <c r="R43" s="1"/>
      <c r="S43" s="1"/>
      <c r="T43" s="1"/>
      <c r="U43" s="1"/>
      <c r="V43" s="1"/>
      <c r="W43" s="1"/>
    </row>
    <row r="44" spans="1:23">
      <c r="A44" s="3"/>
      <c r="B44" s="1"/>
      <c r="C44" s="1"/>
      <c r="D44" s="1"/>
      <c r="E44" s="1"/>
      <c r="F44" s="1"/>
      <c r="G44" s="1"/>
      <c r="H44" s="1"/>
      <c r="I44" s="2"/>
      <c r="J44" s="2"/>
      <c r="K44" s="1"/>
      <c r="L44" s="1"/>
      <c r="M44" s="1"/>
      <c r="N44" s="1"/>
      <c r="O44" s="1"/>
      <c r="P44" s="1"/>
      <c r="Q44" s="1"/>
      <c r="R44" s="1"/>
      <c r="S44" s="1"/>
      <c r="T44" s="1"/>
      <c r="U44" s="1"/>
      <c r="V44" s="1"/>
      <c r="W44" s="1"/>
    </row>
    <row r="45" spans="1:23">
      <c r="A45" s="3"/>
      <c r="B45" s="1"/>
      <c r="C45" s="1"/>
      <c r="D45" s="1"/>
      <c r="E45" s="1"/>
      <c r="F45" s="1"/>
      <c r="G45" s="1"/>
      <c r="H45" s="1"/>
      <c r="I45" s="2"/>
      <c r="J45" s="2"/>
      <c r="K45" s="1"/>
      <c r="L45" s="1"/>
      <c r="M45" s="1"/>
      <c r="N45" s="1"/>
      <c r="O45" s="1"/>
      <c r="P45" s="1"/>
      <c r="Q45" s="1"/>
      <c r="R45" s="1"/>
      <c r="S45" s="1"/>
      <c r="T45" s="1"/>
      <c r="U45" s="1"/>
      <c r="V45" s="1"/>
      <c r="W45" s="1"/>
    </row>
    <row r="46" spans="1:23">
      <c r="A46" s="3"/>
      <c r="B46" s="1"/>
      <c r="C46" s="1"/>
      <c r="D46" s="1"/>
      <c r="E46" s="1"/>
      <c r="F46" s="1"/>
      <c r="G46" s="1"/>
      <c r="H46" s="1"/>
      <c r="I46" s="2"/>
      <c r="J46" s="2"/>
      <c r="K46" s="1"/>
      <c r="L46" s="1"/>
      <c r="M46" s="1"/>
      <c r="N46" s="1"/>
      <c r="O46" s="1"/>
      <c r="P46" s="1"/>
      <c r="Q46" s="1"/>
      <c r="R46" s="1"/>
      <c r="S46" s="1"/>
      <c r="T46" s="1"/>
      <c r="U46" s="1"/>
      <c r="V46" s="1"/>
      <c r="W46" s="1"/>
    </row>
    <row r="47" spans="1:23">
      <c r="A47" s="3"/>
      <c r="B47" s="1"/>
      <c r="C47" s="1"/>
      <c r="D47" s="1"/>
      <c r="E47" s="1"/>
      <c r="F47" s="1"/>
      <c r="G47" s="1"/>
      <c r="H47" s="1"/>
      <c r="I47" s="2"/>
      <c r="J47" s="2"/>
      <c r="K47" s="1"/>
      <c r="L47" s="1"/>
      <c r="M47" s="1"/>
      <c r="N47" s="1"/>
      <c r="O47" s="1"/>
      <c r="P47" s="1"/>
      <c r="Q47" s="1"/>
      <c r="R47" s="1"/>
      <c r="S47" s="1"/>
      <c r="T47" s="1"/>
      <c r="U47" s="1"/>
      <c r="V47" s="1"/>
      <c r="W47" s="1"/>
    </row>
    <row r="48" spans="1:23">
      <c r="A48" s="3"/>
      <c r="B48" s="1"/>
      <c r="C48" s="1"/>
      <c r="D48" s="1"/>
      <c r="E48" s="1"/>
      <c r="F48" s="1"/>
      <c r="G48" s="1"/>
      <c r="H48" s="1"/>
      <c r="I48" s="2"/>
      <c r="J48" s="2"/>
      <c r="K48" s="1"/>
      <c r="L48" s="1"/>
      <c r="M48" s="1"/>
      <c r="N48" s="1"/>
      <c r="O48" s="1"/>
      <c r="P48" s="1"/>
      <c r="Q48" s="1"/>
      <c r="R48" s="1"/>
      <c r="S48" s="1"/>
      <c r="T48" s="1"/>
      <c r="U48" s="1"/>
      <c r="V48" s="1"/>
      <c r="W48" s="1"/>
    </row>
    <row r="49" spans="1:23">
      <c r="A49" s="3"/>
      <c r="B49" s="1"/>
      <c r="C49" s="1"/>
      <c r="D49" s="1"/>
      <c r="E49" s="1"/>
      <c r="F49" s="1"/>
      <c r="G49" s="1"/>
      <c r="H49" s="1"/>
      <c r="I49" s="2"/>
      <c r="J49" s="2"/>
      <c r="K49" s="1"/>
      <c r="L49" s="1"/>
      <c r="M49" s="1"/>
      <c r="N49" s="1"/>
      <c r="O49" s="1"/>
      <c r="P49" s="1"/>
      <c r="Q49" s="1"/>
      <c r="R49" s="1"/>
      <c r="S49" s="1"/>
      <c r="T49" s="1"/>
      <c r="U49" s="1"/>
      <c r="V49" s="1"/>
      <c r="W49" s="1"/>
    </row>
    <row r="50" spans="1:23">
      <c r="A50" s="3"/>
      <c r="B50" s="1"/>
      <c r="C50" s="1"/>
      <c r="D50" s="1"/>
      <c r="E50" s="1"/>
      <c r="F50" s="1"/>
      <c r="G50" s="1"/>
      <c r="H50" s="1"/>
      <c r="I50" s="2"/>
      <c r="J50" s="2"/>
      <c r="K50" s="1"/>
      <c r="L50" s="1"/>
      <c r="M50" s="1"/>
      <c r="N50" s="1"/>
      <c r="O50" s="1"/>
      <c r="P50" s="1"/>
      <c r="Q50" s="1"/>
      <c r="R50" s="1"/>
      <c r="S50" s="1"/>
      <c r="T50" s="1"/>
      <c r="U50" s="1"/>
      <c r="V50" s="1"/>
      <c r="W50" s="1"/>
    </row>
    <row r="51" spans="1:23">
      <c r="A51" s="3"/>
      <c r="B51" s="1"/>
      <c r="C51" s="1"/>
      <c r="D51" s="1"/>
      <c r="E51" s="1"/>
      <c r="F51" s="1"/>
      <c r="G51" s="1"/>
      <c r="H51" s="1"/>
      <c r="I51" s="2"/>
      <c r="J51" s="2"/>
      <c r="K51" s="1"/>
      <c r="L51" s="1"/>
      <c r="M51" s="1"/>
      <c r="N51" s="1"/>
      <c r="O51" s="1"/>
      <c r="P51" s="1"/>
      <c r="Q51" s="1"/>
      <c r="R51" s="1"/>
      <c r="S51" s="1"/>
      <c r="T51" s="1"/>
      <c r="U51" s="1"/>
      <c r="V51" s="1"/>
      <c r="W51" s="1"/>
    </row>
    <row r="52" spans="1:23">
      <c r="A52" s="3"/>
      <c r="B52" s="1"/>
      <c r="C52" s="1"/>
      <c r="D52" s="1"/>
      <c r="E52" s="1"/>
      <c r="F52" s="1"/>
      <c r="G52" s="1"/>
      <c r="H52" s="1"/>
      <c r="I52" s="2"/>
      <c r="J52" s="2"/>
      <c r="K52" s="1"/>
      <c r="L52" s="1"/>
      <c r="M52" s="1"/>
      <c r="N52" s="1"/>
      <c r="O52" s="1"/>
      <c r="P52" s="1"/>
      <c r="Q52" s="1"/>
      <c r="R52" s="1"/>
      <c r="S52" s="1"/>
      <c r="T52" s="1"/>
      <c r="U52" s="1"/>
      <c r="V52" s="1"/>
      <c r="W52" s="1"/>
    </row>
    <row r="53" spans="1:23">
      <c r="A53" s="3"/>
      <c r="B53" s="1"/>
      <c r="C53" s="1"/>
      <c r="D53" s="1"/>
      <c r="E53" s="1"/>
      <c r="F53" s="1"/>
      <c r="G53" s="1"/>
      <c r="H53" s="1"/>
      <c r="I53" s="2"/>
      <c r="J53" s="2"/>
      <c r="K53" s="1"/>
      <c r="L53" s="1"/>
      <c r="M53" s="1"/>
      <c r="N53" s="1"/>
      <c r="O53" s="1"/>
      <c r="P53" s="1"/>
      <c r="Q53" s="1"/>
      <c r="R53" s="1"/>
      <c r="S53" s="1"/>
      <c r="T53" s="1"/>
      <c r="U53" s="1"/>
      <c r="V53" s="1"/>
      <c r="W53" s="1"/>
    </row>
    <row r="54" spans="1:23">
      <c r="A54" s="3"/>
      <c r="B54" s="1"/>
      <c r="C54" s="1"/>
      <c r="D54" s="1"/>
      <c r="E54" s="1"/>
      <c r="F54" s="1"/>
      <c r="G54" s="1"/>
      <c r="H54" s="1"/>
      <c r="I54" s="2"/>
      <c r="J54" s="2"/>
      <c r="K54" s="1"/>
      <c r="L54" s="1"/>
      <c r="M54" s="1"/>
      <c r="N54" s="1"/>
      <c r="O54" s="1"/>
      <c r="P54" s="1"/>
      <c r="Q54" s="1"/>
      <c r="R54" s="1"/>
      <c r="S54" s="1"/>
      <c r="T54" s="1"/>
      <c r="U54" s="1"/>
      <c r="V54" s="1"/>
      <c r="W54" s="1"/>
    </row>
    <row r="55" spans="1:23">
      <c r="A55" s="3"/>
      <c r="B55" s="1"/>
      <c r="C55" s="1"/>
      <c r="D55" s="1"/>
      <c r="E55" s="1"/>
      <c r="F55" s="1"/>
      <c r="G55" s="1"/>
      <c r="H55" s="1"/>
      <c r="I55" s="2"/>
      <c r="J55" s="2"/>
      <c r="K55" s="1"/>
      <c r="L55" s="1"/>
      <c r="M55" s="1"/>
      <c r="N55" s="1"/>
      <c r="O55" s="1"/>
      <c r="P55" s="1"/>
      <c r="Q55" s="1"/>
      <c r="R55" s="1"/>
      <c r="S55" s="1"/>
      <c r="T55" s="1"/>
      <c r="U55" s="1"/>
      <c r="V55" s="1"/>
      <c r="W55" s="1"/>
    </row>
    <row r="56" spans="1:23">
      <c r="A56" s="3"/>
      <c r="B56" s="1"/>
      <c r="C56" s="1"/>
      <c r="D56" s="1"/>
      <c r="E56" s="1"/>
      <c r="F56" s="1"/>
      <c r="G56" s="1"/>
      <c r="H56" s="1"/>
      <c r="I56" s="2"/>
      <c r="J56" s="2"/>
      <c r="K56" s="1"/>
      <c r="L56" s="1"/>
      <c r="M56" s="1"/>
      <c r="N56" s="1"/>
      <c r="O56" s="1"/>
      <c r="P56" s="1"/>
      <c r="Q56" s="1"/>
      <c r="R56" s="1"/>
      <c r="S56" s="1"/>
      <c r="T56" s="1"/>
      <c r="U56" s="1"/>
      <c r="V56" s="1"/>
      <c r="W56" s="1"/>
    </row>
    <row r="57" spans="1:23">
      <c r="A57" s="3"/>
      <c r="B57" s="1"/>
      <c r="C57" s="1"/>
      <c r="D57" s="1"/>
      <c r="E57" s="1"/>
      <c r="F57" s="1"/>
      <c r="G57" s="1"/>
      <c r="H57" s="1"/>
      <c r="I57" s="2"/>
      <c r="J57" s="2"/>
      <c r="K57" s="1"/>
      <c r="L57" s="1"/>
      <c r="M57" s="1"/>
      <c r="N57" s="1"/>
      <c r="O57" s="1"/>
      <c r="P57" s="1"/>
      <c r="Q57" s="1"/>
      <c r="R57" s="1"/>
      <c r="S57" s="1"/>
      <c r="T57" s="1"/>
      <c r="U57" s="1"/>
      <c r="V57" s="1"/>
      <c r="W57" s="1"/>
    </row>
    <row r="58" spans="1:23">
      <c r="A58" s="3"/>
      <c r="B58" s="1"/>
      <c r="C58" s="1"/>
      <c r="D58" s="1"/>
      <c r="E58" s="1"/>
      <c r="F58" s="1"/>
      <c r="G58" s="1"/>
      <c r="H58" s="1"/>
      <c r="I58" s="2"/>
      <c r="J58" s="2"/>
      <c r="K58" s="1"/>
      <c r="L58" s="1"/>
      <c r="M58" s="1"/>
      <c r="N58" s="1"/>
      <c r="O58" s="1"/>
      <c r="P58" s="1"/>
      <c r="Q58" s="1"/>
      <c r="R58" s="1"/>
      <c r="S58" s="1"/>
      <c r="T58" s="1"/>
      <c r="U58" s="1"/>
      <c r="V58" s="1"/>
      <c r="W58" s="1"/>
    </row>
    <row r="59" spans="1:23">
      <c r="A59" s="3"/>
      <c r="B59" s="1"/>
      <c r="C59" s="1"/>
      <c r="D59" s="1"/>
      <c r="E59" s="1"/>
      <c r="F59" s="1"/>
      <c r="G59" s="1"/>
      <c r="H59" s="1"/>
      <c r="I59" s="2"/>
      <c r="J59" s="2"/>
      <c r="K59" s="1"/>
      <c r="L59" s="1"/>
      <c r="M59" s="1"/>
      <c r="N59" s="1"/>
      <c r="O59" s="1"/>
      <c r="P59" s="1"/>
      <c r="Q59" s="1"/>
      <c r="R59" s="1"/>
      <c r="S59" s="1"/>
      <c r="T59" s="1"/>
      <c r="U59" s="1"/>
      <c r="V59" s="1"/>
      <c r="W59" s="1"/>
    </row>
    <row r="60" spans="1:23">
      <c r="A60" s="3"/>
      <c r="B60" s="1"/>
      <c r="C60" s="1"/>
      <c r="D60" s="1"/>
      <c r="E60" s="1"/>
      <c r="F60" s="1"/>
      <c r="G60" s="1"/>
      <c r="H60" s="1"/>
      <c r="I60" s="2"/>
      <c r="J60" s="2"/>
      <c r="K60" s="1"/>
      <c r="L60" s="1"/>
      <c r="M60" s="1"/>
      <c r="N60" s="1"/>
      <c r="O60" s="1"/>
      <c r="P60" s="1"/>
      <c r="Q60" s="1"/>
      <c r="R60" s="1"/>
      <c r="S60" s="1"/>
      <c r="T60" s="1"/>
      <c r="U60" s="1"/>
      <c r="V60" s="1"/>
      <c r="W60" s="1"/>
    </row>
    <row r="61" spans="1:23">
      <c r="A61" s="3"/>
      <c r="B61" s="1"/>
      <c r="C61" s="1"/>
      <c r="D61" s="1"/>
      <c r="E61" s="1"/>
      <c r="F61" s="1"/>
      <c r="G61" s="1"/>
      <c r="H61" s="1"/>
      <c r="I61" s="2"/>
      <c r="J61" s="2"/>
      <c r="K61" s="1"/>
      <c r="L61" s="1"/>
      <c r="M61" s="1"/>
      <c r="N61" s="1"/>
      <c r="O61" s="1"/>
      <c r="P61" s="1"/>
      <c r="Q61" s="1"/>
      <c r="R61" s="1"/>
      <c r="S61" s="1"/>
      <c r="T61" s="1"/>
      <c r="U61" s="1"/>
      <c r="V61" s="1"/>
      <c r="W61" s="1"/>
    </row>
    <row r="62" spans="1:23">
      <c r="A62" s="3"/>
      <c r="B62" s="1"/>
      <c r="C62" s="1"/>
      <c r="D62" s="1"/>
      <c r="E62" s="1"/>
      <c r="F62" s="1"/>
      <c r="G62" s="1"/>
      <c r="H62" s="1"/>
      <c r="I62" s="2"/>
      <c r="J62" s="2"/>
      <c r="K62" s="1"/>
      <c r="L62" s="1"/>
      <c r="M62" s="1"/>
      <c r="N62" s="1"/>
      <c r="O62" s="1"/>
      <c r="P62" s="1"/>
      <c r="Q62" s="1"/>
      <c r="R62" s="1"/>
      <c r="S62" s="1"/>
      <c r="T62" s="1"/>
      <c r="U62" s="1"/>
      <c r="V62" s="1"/>
      <c r="W62" s="1"/>
    </row>
    <row r="63" spans="1:23">
      <c r="A63" s="3"/>
      <c r="B63" s="1"/>
      <c r="C63" s="1"/>
      <c r="D63" s="1"/>
      <c r="E63" s="1"/>
      <c r="F63" s="1"/>
      <c r="G63" s="1"/>
      <c r="H63" s="1"/>
      <c r="I63" s="2"/>
      <c r="J63" s="2"/>
      <c r="K63" s="1"/>
      <c r="L63" s="1"/>
      <c r="M63" s="1"/>
      <c r="N63" s="1"/>
      <c r="O63" s="1"/>
      <c r="P63" s="1"/>
      <c r="Q63" s="1"/>
      <c r="R63" s="1"/>
      <c r="S63" s="1"/>
      <c r="T63" s="1"/>
      <c r="U63" s="1"/>
      <c r="V63" s="1"/>
      <c r="W63" s="1"/>
    </row>
    <row r="64" spans="1:23">
      <c r="A64" s="3"/>
      <c r="B64" s="1"/>
      <c r="C64" s="1"/>
      <c r="D64" s="1"/>
      <c r="E64" s="1"/>
      <c r="F64" s="1"/>
      <c r="G64" s="1"/>
      <c r="H64" s="1"/>
      <c r="I64" s="2"/>
      <c r="J64" s="2"/>
      <c r="K64" s="1"/>
      <c r="L64" s="1"/>
      <c r="M64" s="1"/>
      <c r="N64" s="1"/>
      <c r="O64" s="1"/>
      <c r="P64" s="1"/>
      <c r="Q64" s="1"/>
      <c r="R64" s="1"/>
      <c r="S64" s="1"/>
      <c r="T64" s="1"/>
      <c r="U64" s="1"/>
      <c r="V64" s="1"/>
      <c r="W64" s="1"/>
    </row>
    <row r="65" spans="1:23">
      <c r="A65" s="3"/>
      <c r="B65" s="1"/>
      <c r="C65" s="1"/>
      <c r="D65" s="1"/>
      <c r="E65" s="1"/>
      <c r="F65" s="1"/>
      <c r="G65" s="1"/>
      <c r="H65" s="1"/>
      <c r="I65" s="2"/>
      <c r="J65" s="2"/>
      <c r="K65" s="1"/>
      <c r="L65" s="1"/>
      <c r="M65" s="1"/>
      <c r="N65" s="1"/>
      <c r="O65" s="1"/>
      <c r="P65" s="1"/>
      <c r="Q65" s="1"/>
      <c r="R65" s="1"/>
      <c r="S65" s="1"/>
      <c r="T65" s="1"/>
      <c r="U65" s="1"/>
      <c r="V65" s="1"/>
      <c r="W65" s="1"/>
    </row>
    <row r="66" spans="1:23">
      <c r="A66" s="3"/>
      <c r="B66" s="1"/>
      <c r="C66" s="1"/>
      <c r="D66" s="1"/>
      <c r="E66" s="1"/>
      <c r="F66" s="1"/>
      <c r="G66" s="1"/>
      <c r="H66" s="1"/>
      <c r="I66" s="2"/>
      <c r="J66" s="2"/>
      <c r="K66" s="1"/>
      <c r="L66" s="1"/>
      <c r="M66" s="1"/>
      <c r="N66" s="1"/>
      <c r="O66" s="1"/>
      <c r="P66" s="1"/>
      <c r="Q66" s="1"/>
      <c r="R66" s="1"/>
      <c r="S66" s="1"/>
      <c r="T66" s="1"/>
      <c r="U66" s="1"/>
      <c r="V66" s="1"/>
      <c r="W66" s="1"/>
    </row>
    <row r="67" spans="1:23">
      <c r="A67" s="3"/>
      <c r="B67" s="1"/>
      <c r="C67" s="1"/>
      <c r="D67" s="1"/>
      <c r="E67" s="1"/>
      <c r="F67" s="1"/>
      <c r="G67" s="1"/>
      <c r="H67" s="1"/>
      <c r="I67" s="2"/>
      <c r="J67" s="2"/>
      <c r="K67" s="1"/>
      <c r="L67" s="1"/>
      <c r="M67" s="1"/>
      <c r="N67" s="1"/>
      <c r="O67" s="1"/>
      <c r="P67" s="1"/>
      <c r="Q67" s="1"/>
      <c r="R67" s="1"/>
      <c r="S67" s="1"/>
      <c r="T67" s="1"/>
      <c r="U67" s="1"/>
      <c r="V67" s="1"/>
      <c r="W67" s="1"/>
    </row>
    <row r="68" spans="1:23">
      <c r="A68" s="3"/>
      <c r="B68" s="1"/>
      <c r="C68" s="1"/>
      <c r="D68" s="1"/>
      <c r="E68" s="1"/>
      <c r="F68" s="1"/>
      <c r="G68" s="1"/>
      <c r="H68" s="1"/>
      <c r="I68" s="2"/>
      <c r="J68" s="2"/>
      <c r="K68" s="1"/>
      <c r="L68" s="1"/>
      <c r="M68" s="1"/>
      <c r="N68" s="1"/>
      <c r="O68" s="1"/>
      <c r="P68" s="1"/>
      <c r="Q68" s="1"/>
      <c r="R68" s="1"/>
      <c r="S68" s="1"/>
      <c r="T68" s="1"/>
      <c r="U68" s="1"/>
      <c r="V68" s="1"/>
      <c r="W68" s="1"/>
    </row>
    <row r="69" spans="1:23">
      <c r="A69" s="3"/>
      <c r="B69" s="1"/>
      <c r="C69" s="1"/>
      <c r="D69" s="1"/>
      <c r="E69" s="1"/>
      <c r="F69" s="1"/>
      <c r="G69" s="1"/>
      <c r="H69" s="1"/>
      <c r="I69" s="2"/>
      <c r="J69" s="2"/>
      <c r="K69" s="1"/>
      <c r="L69" s="1"/>
      <c r="M69" s="1"/>
      <c r="N69" s="1"/>
      <c r="O69" s="1"/>
      <c r="P69" s="1"/>
      <c r="Q69" s="1"/>
      <c r="R69" s="1"/>
      <c r="S69" s="1"/>
      <c r="T69" s="1"/>
      <c r="U69" s="1"/>
      <c r="V69" s="1"/>
      <c r="W69" s="1"/>
    </row>
    <row r="70" spans="1:23">
      <c r="A70" s="3"/>
      <c r="B70" s="1"/>
      <c r="C70" s="1"/>
      <c r="D70" s="1"/>
      <c r="E70" s="1"/>
      <c r="F70" s="1"/>
      <c r="G70" s="1"/>
      <c r="H70" s="1"/>
      <c r="I70" s="2"/>
      <c r="J70" s="2"/>
      <c r="K70" s="1"/>
      <c r="L70" s="1"/>
      <c r="M70" s="1"/>
      <c r="N70" s="1"/>
      <c r="O70" s="1"/>
      <c r="P70" s="1"/>
      <c r="Q70" s="1"/>
      <c r="R70" s="1"/>
      <c r="S70" s="1"/>
      <c r="T70" s="1"/>
      <c r="U70" s="1"/>
      <c r="V70" s="1"/>
      <c r="W70" s="1"/>
    </row>
    <row r="71" spans="1:23">
      <c r="A71" s="3"/>
      <c r="B71" s="1"/>
      <c r="C71" s="1"/>
      <c r="D71" s="1"/>
      <c r="E71" s="1"/>
      <c r="F71" s="1"/>
      <c r="G71" s="1"/>
      <c r="H71" s="1"/>
      <c r="I71" s="2"/>
      <c r="J71" s="2"/>
      <c r="K71" s="1"/>
      <c r="L71" s="1"/>
      <c r="M71" s="1"/>
      <c r="N71" s="1"/>
      <c r="O71" s="1"/>
      <c r="P71" s="1"/>
      <c r="Q71" s="1"/>
      <c r="R71" s="1"/>
      <c r="S71" s="1"/>
      <c r="T71" s="1"/>
      <c r="U71" s="1"/>
      <c r="V71" s="1"/>
      <c r="W71" s="1"/>
    </row>
    <row r="72" spans="1:23">
      <c r="A72" s="3"/>
      <c r="B72" s="1"/>
      <c r="C72" s="1"/>
      <c r="D72" s="1"/>
      <c r="E72" s="1"/>
      <c r="F72" s="1"/>
      <c r="G72" s="1"/>
      <c r="H72" s="1"/>
      <c r="I72" s="2"/>
      <c r="J72" s="2"/>
      <c r="K72" s="1"/>
      <c r="L72" s="1"/>
      <c r="M72" s="1"/>
      <c r="N72" s="1"/>
      <c r="O72" s="1"/>
      <c r="P72" s="1"/>
      <c r="Q72" s="1"/>
      <c r="R72" s="1"/>
      <c r="S72" s="1"/>
      <c r="T72" s="1"/>
      <c r="U72" s="1"/>
      <c r="V72" s="1"/>
      <c r="W72" s="1"/>
    </row>
    <row r="73" spans="1:23">
      <c r="A73" s="3"/>
      <c r="B73" s="1"/>
      <c r="C73" s="1"/>
      <c r="D73" s="1"/>
      <c r="E73" s="1"/>
      <c r="F73" s="1"/>
      <c r="G73" s="1"/>
      <c r="H73" s="1"/>
      <c r="I73" s="2"/>
      <c r="J73" s="2"/>
      <c r="K73" s="1"/>
      <c r="L73" s="1"/>
      <c r="M73" s="1"/>
      <c r="N73" s="1"/>
      <c r="O73" s="1"/>
      <c r="P73" s="1"/>
      <c r="Q73" s="1"/>
      <c r="R73" s="1"/>
      <c r="S73" s="1"/>
      <c r="T73" s="1"/>
      <c r="U73" s="1"/>
      <c r="V73" s="1"/>
      <c r="W73" s="1"/>
    </row>
    <row r="74" spans="1:23">
      <c r="A74" s="3"/>
      <c r="B74" s="1"/>
      <c r="C74" s="1"/>
      <c r="D74" s="1"/>
      <c r="E74" s="1"/>
      <c r="F74" s="1"/>
      <c r="G74" s="1"/>
      <c r="H74" s="1"/>
      <c r="I74" s="2"/>
      <c r="J74" s="2"/>
      <c r="K74" s="1"/>
      <c r="L74" s="1"/>
      <c r="M74" s="1"/>
      <c r="N74" s="1"/>
      <c r="O74" s="1"/>
      <c r="P74" s="1"/>
      <c r="Q74" s="1"/>
      <c r="R74" s="1"/>
      <c r="S74" s="1"/>
      <c r="T74" s="1"/>
      <c r="U74" s="1"/>
      <c r="V74" s="1"/>
      <c r="W74" s="1"/>
    </row>
    <row r="75" spans="1:23">
      <c r="A75" s="3"/>
      <c r="B75" s="1"/>
      <c r="C75" s="1"/>
      <c r="D75" s="1"/>
      <c r="E75" s="1"/>
      <c r="F75" s="1"/>
      <c r="G75" s="1"/>
      <c r="H75" s="1"/>
      <c r="I75" s="2"/>
      <c r="J75" s="2"/>
      <c r="K75" s="1"/>
      <c r="L75" s="1"/>
      <c r="M75" s="1"/>
      <c r="N75" s="1"/>
      <c r="O75" s="1"/>
      <c r="P75" s="1"/>
      <c r="Q75" s="1"/>
      <c r="R75" s="1"/>
      <c r="S75" s="1"/>
      <c r="T75" s="1"/>
      <c r="U75" s="1"/>
      <c r="V75" s="1"/>
      <c r="W75" s="1"/>
    </row>
    <row r="76" spans="1:23">
      <c r="A76" s="3"/>
      <c r="B76" s="1"/>
      <c r="C76" s="1"/>
      <c r="D76" s="1"/>
      <c r="E76" s="1"/>
      <c r="F76" s="1"/>
      <c r="G76" s="1"/>
      <c r="H76" s="1"/>
      <c r="I76" s="2"/>
      <c r="J76" s="2"/>
      <c r="K76" s="1"/>
      <c r="L76" s="1"/>
      <c r="M76" s="1"/>
      <c r="N76" s="1"/>
      <c r="O76" s="1"/>
      <c r="P76" s="1"/>
      <c r="Q76" s="1"/>
      <c r="R76" s="1"/>
      <c r="S76" s="1"/>
      <c r="T76" s="1"/>
      <c r="U76" s="1"/>
      <c r="V76" s="1"/>
      <c r="W76" s="1"/>
    </row>
    <row r="77" spans="1:23">
      <c r="A77" s="3"/>
      <c r="B77" s="1"/>
      <c r="C77" s="1"/>
      <c r="D77" s="1"/>
      <c r="E77" s="1"/>
      <c r="F77" s="1"/>
      <c r="G77" s="1"/>
      <c r="H77" s="1"/>
      <c r="I77" s="2"/>
      <c r="J77" s="2"/>
      <c r="K77" s="1"/>
      <c r="L77" s="1"/>
      <c r="M77" s="1"/>
      <c r="N77" s="1"/>
      <c r="O77" s="1"/>
      <c r="P77" s="1"/>
      <c r="Q77" s="1"/>
      <c r="R77" s="1"/>
      <c r="S77" s="1"/>
      <c r="T77" s="1"/>
      <c r="U77" s="1"/>
      <c r="V77" s="1"/>
      <c r="W77" s="1"/>
    </row>
    <row r="78" spans="1:23">
      <c r="A78" s="3"/>
      <c r="B78" s="1"/>
      <c r="C78" s="1"/>
      <c r="D78" s="1"/>
      <c r="E78" s="1"/>
      <c r="F78" s="1"/>
      <c r="G78" s="1"/>
      <c r="H78" s="1"/>
      <c r="I78" s="2"/>
      <c r="J78" s="2"/>
      <c r="K78" s="1"/>
      <c r="L78" s="1"/>
      <c r="M78" s="1"/>
      <c r="N78" s="1"/>
      <c r="O78" s="1"/>
      <c r="P78" s="1"/>
      <c r="Q78" s="1"/>
      <c r="R78" s="1"/>
      <c r="S78" s="1"/>
      <c r="T78" s="1"/>
      <c r="U78" s="1"/>
      <c r="V78" s="1"/>
      <c r="W78" s="1"/>
    </row>
    <row r="79" spans="1:23">
      <c r="A79" s="3"/>
      <c r="B79" s="1"/>
      <c r="C79" s="1"/>
      <c r="D79" s="1"/>
      <c r="E79" s="1"/>
      <c r="F79" s="1"/>
      <c r="G79" s="1"/>
      <c r="H79" s="1"/>
      <c r="I79" s="2"/>
      <c r="J79" s="2"/>
      <c r="K79" s="1"/>
      <c r="L79" s="1"/>
      <c r="M79" s="1"/>
      <c r="N79" s="1"/>
      <c r="O79" s="1"/>
      <c r="P79" s="1"/>
      <c r="Q79" s="1"/>
      <c r="R79" s="1"/>
      <c r="S79" s="1"/>
      <c r="T79" s="1"/>
      <c r="U79" s="1"/>
      <c r="V79" s="1"/>
      <c r="W79" s="1"/>
    </row>
    <row r="80" spans="1:23">
      <c r="A80" s="3"/>
      <c r="B80" s="1"/>
      <c r="C80" s="1"/>
      <c r="D80" s="1"/>
      <c r="E80" s="1"/>
      <c r="F80" s="1"/>
      <c r="G80" s="1"/>
      <c r="H80" s="1"/>
      <c r="I80" s="2"/>
      <c r="J80" s="2"/>
      <c r="K80" s="1"/>
      <c r="L80" s="1"/>
      <c r="M80" s="1"/>
      <c r="N80" s="1"/>
      <c r="O80" s="1"/>
      <c r="P80" s="1"/>
      <c r="Q80" s="1"/>
      <c r="R80" s="1"/>
      <c r="S80" s="1"/>
      <c r="T80" s="1"/>
      <c r="U80" s="1"/>
      <c r="V80" s="1"/>
      <c r="W80" s="1"/>
    </row>
    <row r="81" spans="1:23">
      <c r="A81" s="3"/>
      <c r="B81" s="1"/>
      <c r="C81" s="1"/>
      <c r="D81" s="1"/>
      <c r="E81" s="1"/>
      <c r="F81" s="1"/>
      <c r="G81" s="1"/>
      <c r="H81" s="1"/>
      <c r="I81" s="2"/>
      <c r="J81" s="2"/>
      <c r="K81" s="1"/>
      <c r="L81" s="1"/>
      <c r="M81" s="1"/>
      <c r="N81" s="1"/>
      <c r="O81" s="1"/>
      <c r="P81" s="1"/>
      <c r="Q81" s="1"/>
      <c r="R81" s="1"/>
      <c r="S81" s="1"/>
      <c r="T81" s="1"/>
      <c r="U81" s="1"/>
      <c r="V81" s="1"/>
      <c r="W81" s="1"/>
    </row>
    <row r="82" spans="1:23">
      <c r="A82" s="3"/>
      <c r="B82" s="1"/>
      <c r="C82" s="1"/>
      <c r="D82" s="1"/>
      <c r="E82" s="1"/>
      <c r="F82" s="1"/>
      <c r="G82" s="1"/>
      <c r="H82" s="1"/>
      <c r="I82" s="2"/>
      <c r="J82" s="2"/>
      <c r="K82" s="1"/>
      <c r="L82" s="1"/>
      <c r="M82" s="1"/>
      <c r="N82" s="1"/>
      <c r="O82" s="1"/>
      <c r="P82" s="1"/>
      <c r="Q82" s="1"/>
      <c r="R82" s="1"/>
      <c r="S82" s="1"/>
      <c r="T82" s="1"/>
      <c r="U82" s="1"/>
      <c r="V82" s="1"/>
      <c r="W82" s="1"/>
    </row>
    <row r="83" spans="1:23">
      <c r="A83" s="3"/>
      <c r="B83" s="1"/>
      <c r="C83" s="1"/>
      <c r="D83" s="1"/>
      <c r="E83" s="1"/>
      <c r="F83" s="1"/>
      <c r="G83" s="1"/>
      <c r="H83" s="1"/>
      <c r="I83" s="2"/>
      <c r="J83" s="2"/>
      <c r="K83" s="1"/>
      <c r="L83" s="1"/>
      <c r="M83" s="1"/>
      <c r="N83" s="1"/>
      <c r="O83" s="1"/>
      <c r="P83" s="1"/>
      <c r="Q83" s="1"/>
      <c r="R83" s="1"/>
      <c r="S83" s="1"/>
      <c r="T83" s="1"/>
      <c r="U83" s="1"/>
      <c r="V83" s="1"/>
      <c r="W83" s="1"/>
    </row>
    <row r="84" spans="1:23">
      <c r="A84" s="3"/>
      <c r="B84" s="1"/>
      <c r="C84" s="1"/>
      <c r="D84" s="1"/>
      <c r="E84" s="1"/>
      <c r="F84" s="1"/>
      <c r="G84" s="1"/>
      <c r="H84" s="1"/>
      <c r="I84" s="2"/>
      <c r="J84" s="2"/>
      <c r="K84" s="1"/>
      <c r="L84" s="1"/>
      <c r="M84" s="1"/>
      <c r="N84" s="1"/>
      <c r="O84" s="1"/>
      <c r="P84" s="1"/>
      <c r="Q84" s="1"/>
      <c r="R84" s="1"/>
      <c r="S84" s="1"/>
      <c r="T84" s="1"/>
      <c r="U84" s="1"/>
      <c r="V84" s="1"/>
      <c r="W84" s="1"/>
    </row>
    <row r="85" spans="1:23">
      <c r="A85" s="3"/>
      <c r="B85" s="1"/>
      <c r="C85" s="1"/>
      <c r="D85" s="1"/>
      <c r="E85" s="1"/>
      <c r="F85" s="1"/>
      <c r="G85" s="1"/>
      <c r="H85" s="1"/>
      <c r="I85" s="2"/>
      <c r="J85" s="2"/>
      <c r="K85" s="1"/>
      <c r="L85" s="1"/>
      <c r="M85" s="1"/>
      <c r="N85" s="1"/>
      <c r="O85" s="1"/>
      <c r="P85" s="1"/>
      <c r="Q85" s="1"/>
      <c r="R85" s="1"/>
      <c r="S85" s="1"/>
      <c r="T85" s="1"/>
      <c r="U85" s="1"/>
      <c r="V85" s="1"/>
      <c r="W85" s="1"/>
    </row>
    <row r="86" spans="1:23">
      <c r="A86" s="3"/>
      <c r="B86" s="1"/>
      <c r="C86" s="1"/>
      <c r="D86" s="1"/>
      <c r="E86" s="1"/>
      <c r="F86" s="1"/>
      <c r="G86" s="1"/>
      <c r="H86" s="1"/>
      <c r="I86" s="2"/>
      <c r="J86" s="2"/>
      <c r="K86" s="1"/>
      <c r="L86" s="1"/>
      <c r="M86" s="1"/>
      <c r="N86" s="1"/>
      <c r="O86" s="1"/>
      <c r="P86" s="1"/>
      <c r="Q86" s="1"/>
      <c r="R86" s="1"/>
      <c r="S86" s="1"/>
      <c r="T86" s="1"/>
      <c r="U86" s="1"/>
      <c r="V86" s="1"/>
      <c r="W86" s="1"/>
    </row>
    <row r="87" spans="1:23">
      <c r="A87" s="3"/>
      <c r="B87" s="1"/>
      <c r="C87" s="1"/>
      <c r="D87" s="1"/>
      <c r="E87" s="1"/>
      <c r="F87" s="1"/>
      <c r="G87" s="1"/>
      <c r="H87" s="1"/>
      <c r="I87" s="2"/>
      <c r="J87" s="2"/>
      <c r="K87" s="1"/>
      <c r="L87" s="1"/>
      <c r="M87" s="1"/>
      <c r="N87" s="1"/>
      <c r="O87" s="1"/>
      <c r="P87" s="1"/>
      <c r="Q87" s="1"/>
      <c r="R87" s="1"/>
      <c r="S87" s="1"/>
      <c r="T87" s="1"/>
      <c r="U87" s="1"/>
      <c r="V87" s="1"/>
      <c r="W87" s="1"/>
    </row>
    <row r="88" spans="1:23">
      <c r="A88" s="3"/>
      <c r="B88" s="1"/>
      <c r="C88" s="1"/>
      <c r="D88" s="1"/>
      <c r="E88" s="1"/>
      <c r="F88" s="1"/>
      <c r="G88" s="1"/>
      <c r="H88" s="1"/>
      <c r="I88" s="2"/>
      <c r="J88" s="2"/>
      <c r="K88" s="1"/>
      <c r="L88" s="1"/>
      <c r="M88" s="1"/>
      <c r="N88" s="1"/>
      <c r="O88" s="1"/>
      <c r="P88" s="1"/>
      <c r="Q88" s="1"/>
      <c r="R88" s="1"/>
      <c r="S88" s="1"/>
      <c r="T88" s="1"/>
      <c r="U88" s="1"/>
      <c r="V88" s="1"/>
      <c r="W88" s="1"/>
    </row>
    <row r="89" spans="1:23">
      <c r="A89" s="3"/>
      <c r="B89" s="1"/>
      <c r="C89" s="1"/>
      <c r="D89" s="1"/>
      <c r="E89" s="1"/>
      <c r="F89" s="1"/>
      <c r="G89" s="1"/>
      <c r="H89" s="1"/>
      <c r="I89" s="2"/>
      <c r="J89" s="2"/>
      <c r="K89" s="1"/>
      <c r="L89" s="1"/>
      <c r="M89" s="1"/>
      <c r="N89" s="1"/>
      <c r="O89" s="1"/>
      <c r="P89" s="1"/>
      <c r="Q89" s="1"/>
      <c r="R89" s="1"/>
      <c r="S89" s="1"/>
      <c r="T89" s="1"/>
      <c r="U89" s="1"/>
      <c r="V89" s="1"/>
      <c r="W89" s="1"/>
    </row>
    <row r="90" spans="1:23">
      <c r="A90" s="3"/>
      <c r="B90" s="1"/>
      <c r="C90" s="1"/>
      <c r="D90" s="1"/>
      <c r="E90" s="1"/>
      <c r="F90" s="1"/>
      <c r="G90" s="1"/>
      <c r="H90" s="1"/>
      <c r="I90" s="2"/>
      <c r="J90" s="2"/>
      <c r="K90" s="1"/>
      <c r="L90" s="1"/>
      <c r="M90" s="1"/>
      <c r="N90" s="1"/>
      <c r="O90" s="1"/>
      <c r="P90" s="1"/>
      <c r="Q90" s="1"/>
      <c r="R90" s="1"/>
      <c r="S90" s="1"/>
      <c r="T90" s="1"/>
      <c r="U90" s="1"/>
      <c r="V90" s="1"/>
      <c r="W90" s="1"/>
    </row>
    <row r="91" spans="1:23">
      <c r="A91" s="3"/>
      <c r="B91" s="1"/>
      <c r="C91" s="1"/>
      <c r="D91" s="1"/>
      <c r="E91" s="1"/>
      <c r="F91" s="1"/>
      <c r="G91" s="1"/>
      <c r="H91" s="1"/>
      <c r="I91" s="2"/>
      <c r="J91" s="2"/>
      <c r="K91" s="1"/>
      <c r="L91" s="1"/>
      <c r="M91" s="1"/>
      <c r="N91" s="1"/>
      <c r="O91" s="1"/>
      <c r="P91" s="1"/>
      <c r="Q91" s="1"/>
      <c r="R91" s="1"/>
      <c r="S91" s="1"/>
      <c r="T91" s="1"/>
      <c r="U91" s="1"/>
      <c r="V91" s="1"/>
      <c r="W91" s="1"/>
    </row>
    <row r="92" spans="1:23">
      <c r="A92" s="3"/>
      <c r="B92" s="1"/>
      <c r="C92" s="1"/>
      <c r="D92" s="1"/>
      <c r="E92" s="1"/>
      <c r="F92" s="1"/>
      <c r="G92" s="1"/>
      <c r="H92" s="1"/>
      <c r="I92" s="2"/>
      <c r="J92" s="2"/>
      <c r="K92" s="1"/>
      <c r="L92" s="1"/>
      <c r="M92" s="1"/>
      <c r="N92" s="1"/>
      <c r="O92" s="1"/>
      <c r="P92" s="1"/>
      <c r="Q92" s="1"/>
      <c r="R92" s="1"/>
      <c r="S92" s="1"/>
      <c r="T92" s="1"/>
      <c r="U92" s="1"/>
      <c r="V92" s="1"/>
      <c r="W92" s="1"/>
    </row>
    <row r="93" spans="1:23">
      <c r="A93" s="3"/>
      <c r="B93" s="1"/>
      <c r="C93" s="1"/>
      <c r="D93" s="1"/>
      <c r="E93" s="1"/>
      <c r="F93" s="1"/>
      <c r="G93" s="1"/>
      <c r="H93" s="1"/>
      <c r="I93" s="2"/>
      <c r="J93" s="2"/>
      <c r="K93" s="1"/>
      <c r="L93" s="1"/>
      <c r="M93" s="1"/>
      <c r="N93" s="1"/>
      <c r="O93" s="1"/>
      <c r="P93" s="1"/>
      <c r="Q93" s="1"/>
      <c r="R93" s="1"/>
      <c r="S93" s="1"/>
      <c r="T93" s="1"/>
      <c r="U93" s="1"/>
      <c r="V93" s="1"/>
      <c r="W93" s="1"/>
    </row>
    <row r="94" spans="1:23">
      <c r="A94" s="3"/>
      <c r="B94" s="1"/>
      <c r="C94" s="1"/>
      <c r="D94" s="1"/>
      <c r="E94" s="1"/>
      <c r="F94" s="1"/>
      <c r="G94" s="1"/>
      <c r="H94" s="1"/>
      <c r="I94" s="2"/>
      <c r="J94" s="2"/>
      <c r="K94" s="1"/>
      <c r="L94" s="1"/>
      <c r="M94" s="1"/>
      <c r="N94" s="1"/>
      <c r="O94" s="1"/>
      <c r="P94" s="1"/>
      <c r="Q94" s="1"/>
      <c r="R94" s="1"/>
      <c r="S94" s="1"/>
      <c r="T94" s="1"/>
      <c r="U94" s="1"/>
      <c r="V94" s="1"/>
      <c r="W94" s="1"/>
    </row>
    <row r="95" spans="1:23">
      <c r="A95" s="3"/>
      <c r="B95" s="1"/>
      <c r="C95" s="1"/>
      <c r="D95" s="1"/>
      <c r="E95" s="1"/>
      <c r="F95" s="1"/>
      <c r="G95" s="1"/>
      <c r="H95" s="1"/>
      <c r="I95" s="2"/>
      <c r="J95" s="2"/>
      <c r="K95" s="1"/>
      <c r="L95" s="1"/>
      <c r="M95" s="1"/>
      <c r="N95" s="1"/>
      <c r="O95" s="1"/>
      <c r="P95" s="1"/>
      <c r="Q95" s="1"/>
      <c r="R95" s="1"/>
      <c r="S95" s="1"/>
      <c r="T95" s="1"/>
      <c r="U95" s="1"/>
      <c r="V95" s="1"/>
      <c r="W95" s="1"/>
    </row>
    <row r="96" spans="1:23">
      <c r="A96" s="3"/>
      <c r="B96" s="1"/>
      <c r="C96" s="1"/>
      <c r="D96" s="1"/>
      <c r="E96" s="1"/>
      <c r="F96" s="1"/>
      <c r="G96" s="1"/>
      <c r="H96" s="1"/>
      <c r="I96" s="2"/>
      <c r="J96" s="2"/>
      <c r="K96" s="1"/>
      <c r="L96" s="1"/>
      <c r="M96" s="1"/>
      <c r="N96" s="1"/>
      <c r="O96" s="1"/>
      <c r="P96" s="1"/>
      <c r="Q96" s="1"/>
      <c r="R96" s="1"/>
      <c r="S96" s="1"/>
      <c r="T96" s="1"/>
      <c r="U96" s="1"/>
      <c r="V96" s="1"/>
      <c r="W96" s="1"/>
    </row>
    <row r="97" spans="1:23">
      <c r="A97" s="3"/>
      <c r="B97" s="1"/>
      <c r="C97" s="1"/>
      <c r="D97" s="1"/>
      <c r="E97" s="1"/>
      <c r="F97" s="1"/>
      <c r="G97" s="1"/>
      <c r="H97" s="1"/>
      <c r="I97" s="2"/>
      <c r="J97" s="2"/>
      <c r="K97" s="1"/>
      <c r="L97" s="1"/>
      <c r="M97" s="1"/>
      <c r="N97" s="1"/>
      <c r="O97" s="1"/>
      <c r="P97" s="1"/>
      <c r="Q97" s="1"/>
      <c r="R97" s="1"/>
      <c r="S97" s="1"/>
      <c r="T97" s="1"/>
      <c r="U97" s="1"/>
      <c r="V97" s="1"/>
      <c r="W97" s="1"/>
    </row>
    <row r="98" spans="1:23">
      <c r="A98" s="3"/>
      <c r="B98" s="1"/>
      <c r="C98" s="1"/>
      <c r="D98" s="1"/>
      <c r="E98" s="1"/>
      <c r="F98" s="1"/>
      <c r="G98" s="1"/>
      <c r="H98" s="1"/>
      <c r="I98" s="2"/>
      <c r="J98" s="2"/>
      <c r="K98" s="1"/>
      <c r="L98" s="1"/>
      <c r="M98" s="1"/>
      <c r="N98" s="1"/>
      <c r="O98" s="1"/>
      <c r="P98" s="1"/>
      <c r="Q98" s="1"/>
      <c r="R98" s="1"/>
      <c r="S98" s="1"/>
      <c r="T98" s="1"/>
      <c r="U98" s="1"/>
      <c r="V98" s="1"/>
      <c r="W98" s="1"/>
    </row>
    <row r="99" spans="1:23">
      <c r="A99" s="3"/>
      <c r="B99" s="1"/>
      <c r="C99" s="1"/>
      <c r="D99" s="1"/>
      <c r="E99" s="1"/>
      <c r="F99" s="1"/>
      <c r="G99" s="1"/>
      <c r="H99" s="1"/>
      <c r="I99" s="2"/>
      <c r="J99" s="2"/>
      <c r="K99" s="1"/>
      <c r="L99" s="1"/>
      <c r="M99" s="1"/>
      <c r="N99" s="1"/>
      <c r="O99" s="1"/>
      <c r="P99" s="1"/>
      <c r="Q99" s="1"/>
      <c r="R99" s="1"/>
      <c r="S99" s="1"/>
      <c r="T99" s="1"/>
      <c r="U99" s="1"/>
      <c r="V99" s="1"/>
      <c r="W99" s="1"/>
    </row>
    <row r="100" spans="1:23">
      <c r="A100" s="3"/>
      <c r="B100" s="1"/>
      <c r="C100" s="1"/>
      <c r="D100" s="1"/>
      <c r="E100" s="1"/>
      <c r="F100" s="1"/>
      <c r="G100" s="1"/>
      <c r="H100" s="1"/>
      <c r="I100" s="2"/>
      <c r="J100" s="2"/>
      <c r="K100" s="1"/>
      <c r="L100" s="1"/>
      <c r="M100" s="1"/>
      <c r="N100" s="1"/>
      <c r="O100" s="1"/>
      <c r="P100" s="1"/>
      <c r="Q100" s="1"/>
      <c r="R100" s="1"/>
      <c r="S100" s="1"/>
      <c r="T100" s="1"/>
      <c r="U100" s="1"/>
      <c r="V100" s="1"/>
      <c r="W100" s="1"/>
    </row>
    <row r="101" spans="1:23">
      <c r="A101" s="3"/>
      <c r="B101" s="1"/>
      <c r="C101" s="1"/>
      <c r="D101" s="1"/>
      <c r="E101" s="1"/>
      <c r="F101" s="1"/>
      <c r="G101" s="1"/>
      <c r="H101" s="1"/>
      <c r="I101" s="2"/>
      <c r="J101" s="2"/>
      <c r="K101" s="1"/>
      <c r="L101" s="1"/>
      <c r="M101" s="1"/>
      <c r="N101" s="1"/>
      <c r="O101" s="1"/>
      <c r="P101" s="1"/>
      <c r="Q101" s="1"/>
      <c r="R101" s="1"/>
      <c r="S101" s="1"/>
      <c r="T101" s="1"/>
      <c r="U101" s="1"/>
      <c r="V101" s="1"/>
      <c r="W101" s="1"/>
    </row>
    <row r="102" spans="1:23">
      <c r="A102" s="3"/>
      <c r="B102" s="1"/>
      <c r="C102" s="1"/>
      <c r="D102" s="1"/>
      <c r="E102" s="1"/>
      <c r="F102" s="1"/>
      <c r="G102" s="1"/>
      <c r="H102" s="1"/>
      <c r="I102" s="2"/>
      <c r="J102" s="2"/>
      <c r="K102" s="1"/>
      <c r="L102" s="1"/>
      <c r="M102" s="1"/>
      <c r="N102" s="1"/>
      <c r="O102" s="1"/>
      <c r="P102" s="1"/>
      <c r="Q102" s="1"/>
      <c r="R102" s="1"/>
      <c r="S102" s="1"/>
      <c r="T102" s="1"/>
      <c r="U102" s="1"/>
      <c r="V102" s="1"/>
      <c r="W102" s="1"/>
    </row>
    <row r="103" spans="1:23">
      <c r="A103" s="3"/>
      <c r="B103" s="1"/>
      <c r="C103" s="1"/>
      <c r="D103" s="1"/>
      <c r="E103" s="1"/>
      <c r="F103" s="1"/>
      <c r="G103" s="1"/>
      <c r="H103" s="1"/>
      <c r="I103" s="2"/>
      <c r="J103" s="2"/>
      <c r="K103" s="1"/>
      <c r="L103" s="1"/>
      <c r="M103" s="1"/>
      <c r="N103" s="1"/>
      <c r="O103" s="1"/>
      <c r="P103" s="1"/>
      <c r="Q103" s="1"/>
      <c r="R103" s="1"/>
      <c r="S103" s="1"/>
      <c r="T103" s="1"/>
      <c r="U103" s="1"/>
      <c r="V103" s="1"/>
      <c r="W103" s="1"/>
    </row>
    <row r="104" spans="1:23">
      <c r="A104" s="3"/>
      <c r="B104" s="1"/>
      <c r="C104" s="1"/>
      <c r="D104" s="1"/>
      <c r="E104" s="1"/>
      <c r="F104" s="1"/>
      <c r="G104" s="1"/>
      <c r="H104" s="1"/>
      <c r="I104" s="2"/>
      <c r="J104" s="2"/>
      <c r="K104" s="1"/>
      <c r="L104" s="1"/>
      <c r="M104" s="1"/>
      <c r="N104" s="1"/>
      <c r="O104" s="1"/>
      <c r="P104" s="1"/>
      <c r="Q104" s="1"/>
      <c r="R104" s="1"/>
      <c r="S104" s="1"/>
      <c r="T104" s="1"/>
      <c r="U104" s="1"/>
      <c r="V104" s="1"/>
      <c r="W104" s="1"/>
    </row>
    <row r="105" spans="1:23">
      <c r="A105" s="3"/>
      <c r="B105" s="1"/>
      <c r="C105" s="1"/>
      <c r="D105" s="1"/>
      <c r="E105" s="1"/>
      <c r="F105" s="1"/>
      <c r="G105" s="1"/>
      <c r="H105" s="1"/>
      <c r="I105" s="2"/>
      <c r="J105" s="2"/>
      <c r="K105" s="1"/>
      <c r="L105" s="1"/>
      <c r="M105" s="1"/>
      <c r="N105" s="1"/>
      <c r="O105" s="1"/>
      <c r="P105" s="1"/>
      <c r="Q105" s="1"/>
      <c r="R105" s="1"/>
      <c r="S105" s="1"/>
      <c r="T105" s="1"/>
      <c r="U105" s="1"/>
      <c r="V105" s="1"/>
      <c r="W105" s="1"/>
    </row>
    <row r="106" spans="1:23">
      <c r="A106" s="3"/>
      <c r="B106" s="1"/>
      <c r="C106" s="1"/>
      <c r="D106" s="1"/>
      <c r="E106" s="1"/>
      <c r="F106" s="1"/>
      <c r="G106" s="1"/>
      <c r="H106" s="1"/>
      <c r="I106" s="2"/>
      <c r="J106" s="2"/>
      <c r="K106" s="1"/>
      <c r="L106" s="1"/>
      <c r="M106" s="1"/>
      <c r="N106" s="1"/>
      <c r="O106" s="1"/>
      <c r="P106" s="1"/>
      <c r="Q106" s="1"/>
      <c r="R106" s="1"/>
      <c r="S106" s="1"/>
      <c r="T106" s="1"/>
      <c r="U106" s="1"/>
      <c r="V106" s="1"/>
      <c r="W106" s="1"/>
    </row>
    <row r="107" spans="1:23">
      <c r="A107" s="3"/>
      <c r="B107" s="1"/>
      <c r="C107" s="1"/>
      <c r="D107" s="1"/>
      <c r="E107" s="1"/>
      <c r="F107" s="1"/>
      <c r="G107" s="1"/>
      <c r="H107" s="1"/>
      <c r="I107" s="2"/>
      <c r="J107" s="2"/>
      <c r="K107" s="1"/>
      <c r="L107" s="1"/>
      <c r="M107" s="1"/>
      <c r="N107" s="1"/>
      <c r="O107" s="1"/>
      <c r="P107" s="1"/>
      <c r="Q107" s="1"/>
      <c r="R107" s="1"/>
      <c r="S107" s="1"/>
      <c r="T107" s="1"/>
      <c r="U107" s="1"/>
      <c r="V107" s="1"/>
      <c r="W107" s="1"/>
    </row>
    <row r="108" spans="1:23">
      <c r="A108" s="3"/>
      <c r="B108" s="1"/>
      <c r="C108" s="1"/>
      <c r="D108" s="1"/>
      <c r="E108" s="1"/>
      <c r="F108" s="1"/>
      <c r="G108" s="1"/>
      <c r="H108" s="1"/>
      <c r="I108" s="2"/>
      <c r="J108" s="2"/>
      <c r="K108" s="1"/>
      <c r="L108" s="1"/>
      <c r="M108" s="1"/>
      <c r="N108" s="1"/>
      <c r="O108" s="1"/>
      <c r="P108" s="1"/>
      <c r="Q108" s="1"/>
      <c r="R108" s="1"/>
      <c r="S108" s="1"/>
      <c r="T108" s="1"/>
      <c r="U108" s="1"/>
      <c r="V108" s="1"/>
      <c r="W108" s="1"/>
    </row>
    <row r="109" spans="1:23">
      <c r="A109" s="3"/>
      <c r="B109" s="1"/>
      <c r="C109" s="1"/>
      <c r="D109" s="1"/>
      <c r="E109" s="1"/>
      <c r="F109" s="1"/>
      <c r="G109" s="1"/>
      <c r="H109" s="1"/>
      <c r="I109" s="2"/>
      <c r="J109" s="2"/>
      <c r="K109" s="1"/>
      <c r="L109" s="1"/>
      <c r="M109" s="1"/>
      <c r="N109" s="1"/>
      <c r="O109" s="1"/>
      <c r="P109" s="1"/>
      <c r="Q109" s="1"/>
      <c r="R109" s="1"/>
      <c r="S109" s="1"/>
      <c r="T109" s="1"/>
      <c r="U109" s="1"/>
      <c r="V109" s="1"/>
      <c r="W109" s="1"/>
    </row>
    <row r="110" spans="1:23">
      <c r="A110" s="3"/>
      <c r="B110" s="1"/>
      <c r="C110" s="1"/>
      <c r="D110" s="1"/>
      <c r="E110" s="1"/>
      <c r="F110" s="1"/>
      <c r="G110" s="1"/>
      <c r="H110" s="1"/>
      <c r="I110" s="2"/>
      <c r="J110" s="2"/>
      <c r="K110" s="1"/>
      <c r="L110" s="1"/>
      <c r="M110" s="1"/>
      <c r="N110" s="1"/>
      <c r="O110" s="1"/>
      <c r="P110" s="1"/>
      <c r="Q110" s="1"/>
      <c r="R110" s="1"/>
      <c r="S110" s="1"/>
      <c r="T110" s="1"/>
      <c r="U110" s="1"/>
      <c r="V110" s="1"/>
      <c r="W110" s="1"/>
    </row>
    <row r="111" spans="1:23">
      <c r="A111" s="3"/>
      <c r="B111" s="1"/>
      <c r="C111" s="1"/>
      <c r="D111" s="1"/>
      <c r="E111" s="1"/>
      <c r="F111" s="1"/>
      <c r="G111" s="1"/>
      <c r="H111" s="1"/>
      <c r="I111" s="2"/>
      <c r="J111" s="2"/>
      <c r="K111" s="1"/>
      <c r="L111" s="1"/>
      <c r="M111" s="1"/>
      <c r="N111" s="1"/>
      <c r="O111" s="1"/>
      <c r="P111" s="1"/>
      <c r="Q111" s="1"/>
      <c r="R111" s="1"/>
      <c r="S111" s="1"/>
      <c r="T111" s="1"/>
      <c r="U111" s="1"/>
      <c r="V111" s="1"/>
      <c r="W111" s="1"/>
    </row>
    <row r="112" spans="1:23">
      <c r="A112" s="3"/>
      <c r="B112" s="1"/>
      <c r="C112" s="1"/>
      <c r="D112" s="1"/>
      <c r="E112" s="1"/>
      <c r="F112" s="1"/>
      <c r="G112" s="1"/>
      <c r="H112" s="1"/>
      <c r="I112" s="2"/>
      <c r="J112" s="2"/>
      <c r="K112" s="1"/>
      <c r="L112" s="1"/>
      <c r="M112" s="1"/>
      <c r="N112" s="1"/>
      <c r="O112" s="1"/>
      <c r="P112" s="1"/>
      <c r="Q112" s="1"/>
      <c r="R112" s="1"/>
      <c r="S112" s="1"/>
      <c r="T112" s="1"/>
      <c r="U112" s="1"/>
      <c r="V112" s="1"/>
      <c r="W112" s="1"/>
    </row>
    <row r="113" spans="1:23">
      <c r="A113" s="3"/>
      <c r="B113" s="1"/>
      <c r="C113" s="1"/>
      <c r="D113" s="1"/>
      <c r="E113" s="1"/>
      <c r="F113" s="1"/>
      <c r="G113" s="1"/>
      <c r="H113" s="1"/>
      <c r="I113" s="2"/>
      <c r="J113" s="2"/>
      <c r="K113" s="1"/>
      <c r="L113" s="1"/>
      <c r="M113" s="1"/>
      <c r="N113" s="1"/>
      <c r="O113" s="1"/>
      <c r="P113" s="1"/>
      <c r="Q113" s="1"/>
      <c r="R113" s="1"/>
      <c r="S113" s="1"/>
      <c r="T113" s="1"/>
      <c r="U113" s="1"/>
      <c r="V113" s="1"/>
      <c r="W113" s="1"/>
    </row>
    <row r="114" spans="1:23">
      <c r="A114" s="3"/>
      <c r="B114" s="1"/>
      <c r="C114" s="1"/>
      <c r="D114" s="1"/>
      <c r="E114" s="1"/>
      <c r="F114" s="1"/>
      <c r="G114" s="1"/>
      <c r="H114" s="1"/>
      <c r="I114" s="2"/>
      <c r="J114" s="2"/>
      <c r="K114" s="1"/>
      <c r="L114" s="1"/>
      <c r="M114" s="1"/>
      <c r="N114" s="1"/>
      <c r="O114" s="1"/>
      <c r="P114" s="1"/>
      <c r="Q114" s="1"/>
      <c r="R114" s="1"/>
      <c r="S114" s="1"/>
      <c r="T114" s="1"/>
      <c r="U114" s="1"/>
      <c r="V114" s="1"/>
      <c r="W114" s="1"/>
    </row>
    <row r="115" spans="1:23">
      <c r="A115" s="3"/>
      <c r="B115" s="1"/>
      <c r="C115" s="1"/>
      <c r="D115" s="1"/>
      <c r="E115" s="1"/>
      <c r="F115" s="1"/>
      <c r="G115" s="1"/>
      <c r="H115" s="1"/>
      <c r="I115" s="2"/>
      <c r="J115" s="2"/>
      <c r="K115" s="1"/>
      <c r="L115" s="1"/>
      <c r="M115" s="1"/>
      <c r="N115" s="1"/>
      <c r="O115" s="1"/>
      <c r="P115" s="1"/>
      <c r="Q115" s="1"/>
      <c r="R115" s="1"/>
      <c r="S115" s="1"/>
      <c r="T115" s="1"/>
      <c r="U115" s="1"/>
      <c r="V115" s="1"/>
      <c r="W115" s="1"/>
    </row>
    <row r="116" spans="1:23">
      <c r="A116" s="3"/>
      <c r="B116" s="1"/>
      <c r="C116" s="1"/>
      <c r="D116" s="1"/>
      <c r="E116" s="1"/>
      <c r="F116" s="1"/>
      <c r="G116" s="1"/>
      <c r="H116" s="1"/>
      <c r="I116" s="2"/>
      <c r="J116" s="2"/>
      <c r="K116" s="1"/>
      <c r="L116" s="1"/>
      <c r="M116" s="1"/>
      <c r="N116" s="1"/>
      <c r="O116" s="1"/>
      <c r="P116" s="1"/>
      <c r="Q116" s="1"/>
      <c r="R116" s="1"/>
      <c r="S116" s="1"/>
      <c r="T116" s="1"/>
      <c r="U116" s="1"/>
      <c r="V116" s="1"/>
      <c r="W116" s="1"/>
    </row>
    <row r="117" spans="1:23">
      <c r="A117" s="3"/>
      <c r="B117" s="1"/>
      <c r="C117" s="1"/>
      <c r="D117" s="1"/>
      <c r="E117" s="1"/>
      <c r="F117" s="1"/>
      <c r="G117" s="1"/>
      <c r="H117" s="1"/>
      <c r="I117" s="2"/>
      <c r="J117" s="2"/>
      <c r="K117" s="1"/>
      <c r="L117" s="1"/>
      <c r="M117" s="1"/>
      <c r="N117" s="1"/>
      <c r="O117" s="1"/>
      <c r="P117" s="1"/>
      <c r="Q117" s="1"/>
      <c r="R117" s="1"/>
      <c r="S117" s="1"/>
      <c r="T117" s="1"/>
      <c r="U117" s="1"/>
      <c r="V117" s="1"/>
      <c r="W117" s="1"/>
    </row>
    <row r="118" spans="1:23">
      <c r="A118" s="3"/>
      <c r="B118" s="1"/>
      <c r="C118" s="1"/>
      <c r="D118" s="1"/>
      <c r="E118" s="1"/>
      <c r="F118" s="1"/>
      <c r="G118" s="1"/>
      <c r="H118" s="1"/>
      <c r="I118" s="2"/>
      <c r="J118" s="2"/>
      <c r="K118" s="1"/>
      <c r="L118" s="1"/>
      <c r="M118" s="1"/>
      <c r="N118" s="1"/>
      <c r="O118" s="1"/>
      <c r="P118" s="1"/>
      <c r="Q118" s="1"/>
      <c r="R118" s="1"/>
      <c r="S118" s="1"/>
      <c r="T118" s="1"/>
      <c r="U118" s="1"/>
      <c r="V118" s="1"/>
      <c r="W118" s="1"/>
    </row>
    <row r="119" spans="1:23">
      <c r="A119" s="3"/>
      <c r="B119" s="1"/>
      <c r="C119" s="1"/>
      <c r="D119" s="1"/>
      <c r="E119" s="1"/>
      <c r="F119" s="1"/>
      <c r="G119" s="1"/>
      <c r="H119" s="1"/>
      <c r="I119" s="2"/>
      <c r="J119" s="2"/>
      <c r="K119" s="1"/>
      <c r="L119" s="1"/>
      <c r="M119" s="1"/>
      <c r="N119" s="1"/>
      <c r="O119" s="1"/>
      <c r="P119" s="1"/>
      <c r="Q119" s="1"/>
      <c r="R119" s="1"/>
      <c r="S119" s="1"/>
      <c r="T119" s="1"/>
      <c r="U119" s="1"/>
      <c r="V119" s="1"/>
      <c r="W119" s="1"/>
    </row>
    <row r="120" spans="1:23">
      <c r="A120" s="3"/>
      <c r="B120" s="1"/>
      <c r="C120" s="1"/>
      <c r="D120" s="1"/>
      <c r="E120" s="1"/>
      <c r="F120" s="1"/>
      <c r="G120" s="1"/>
      <c r="H120" s="1"/>
      <c r="I120" s="2"/>
      <c r="J120" s="2"/>
      <c r="K120" s="1"/>
      <c r="L120" s="1"/>
      <c r="M120" s="1"/>
      <c r="N120" s="1"/>
      <c r="O120" s="1"/>
      <c r="P120" s="1"/>
      <c r="Q120" s="1"/>
      <c r="R120" s="1"/>
      <c r="S120" s="1"/>
      <c r="T120" s="1"/>
      <c r="U120" s="1"/>
      <c r="V120" s="1"/>
      <c r="W120" s="1"/>
    </row>
    <row r="121" spans="1:23">
      <c r="A121" s="3"/>
      <c r="B121" s="1"/>
      <c r="C121" s="1"/>
      <c r="D121" s="1"/>
      <c r="E121" s="1"/>
      <c r="F121" s="1"/>
      <c r="G121" s="1"/>
      <c r="H121" s="1"/>
      <c r="I121" s="2"/>
      <c r="J121" s="2"/>
      <c r="K121" s="1"/>
      <c r="L121" s="1"/>
      <c r="M121" s="1"/>
      <c r="N121" s="1"/>
      <c r="O121" s="1"/>
      <c r="P121" s="1"/>
      <c r="Q121" s="1"/>
      <c r="R121" s="1"/>
      <c r="S121" s="1"/>
      <c r="T121" s="1"/>
      <c r="U121" s="1"/>
      <c r="V121" s="1"/>
      <c r="W121" s="1"/>
    </row>
    <row r="122" spans="1:23">
      <c r="A122" s="3"/>
      <c r="B122" s="1"/>
      <c r="C122" s="1"/>
      <c r="D122" s="1"/>
      <c r="E122" s="1"/>
      <c r="F122" s="1"/>
      <c r="G122" s="1"/>
      <c r="H122" s="1"/>
      <c r="I122" s="2"/>
      <c r="J122" s="2"/>
      <c r="K122" s="1"/>
      <c r="L122" s="1"/>
      <c r="M122" s="1"/>
      <c r="N122" s="1"/>
      <c r="O122" s="1"/>
      <c r="P122" s="1"/>
      <c r="Q122" s="1"/>
      <c r="R122" s="1"/>
      <c r="S122" s="1"/>
      <c r="T122" s="1"/>
      <c r="U122" s="1"/>
      <c r="V122" s="1"/>
      <c r="W122" s="1"/>
    </row>
    <row r="123" spans="1:23">
      <c r="A123" s="3"/>
      <c r="B123" s="1"/>
      <c r="C123" s="1"/>
      <c r="D123" s="1"/>
      <c r="E123" s="1"/>
      <c r="F123" s="1"/>
      <c r="G123" s="1"/>
      <c r="H123" s="1"/>
      <c r="I123" s="2"/>
      <c r="J123" s="2"/>
      <c r="K123" s="1"/>
      <c r="L123" s="1"/>
      <c r="M123" s="1"/>
      <c r="N123" s="1"/>
      <c r="O123" s="1"/>
      <c r="P123" s="1"/>
      <c r="Q123" s="1"/>
      <c r="R123" s="1"/>
      <c r="S123" s="1"/>
      <c r="T123" s="1"/>
      <c r="U123" s="1"/>
      <c r="V123" s="1"/>
      <c r="W123" s="1"/>
    </row>
    <row r="124" spans="1:23">
      <c r="A124" s="3"/>
      <c r="B124" s="1"/>
      <c r="C124" s="1"/>
      <c r="D124" s="1"/>
      <c r="E124" s="1"/>
      <c r="F124" s="1"/>
      <c r="G124" s="1"/>
      <c r="H124" s="1"/>
      <c r="I124" s="2"/>
      <c r="J124" s="2"/>
      <c r="K124" s="1"/>
      <c r="L124" s="1"/>
      <c r="M124" s="1"/>
      <c r="N124" s="1"/>
      <c r="O124" s="1"/>
      <c r="P124" s="1"/>
      <c r="Q124" s="1"/>
      <c r="R124" s="1"/>
      <c r="S124" s="1"/>
      <c r="T124" s="1"/>
      <c r="U124" s="1"/>
      <c r="V124" s="1"/>
      <c r="W124" s="1"/>
    </row>
    <row r="125" spans="1:23">
      <c r="A125" s="3"/>
      <c r="B125" s="1"/>
      <c r="C125" s="1"/>
      <c r="D125" s="1"/>
      <c r="E125" s="1"/>
      <c r="F125" s="1"/>
      <c r="G125" s="1"/>
      <c r="H125" s="1"/>
      <c r="I125" s="2"/>
      <c r="J125" s="2"/>
      <c r="K125" s="1"/>
      <c r="L125" s="1"/>
      <c r="M125" s="1"/>
      <c r="N125" s="1"/>
      <c r="O125" s="1"/>
      <c r="P125" s="1"/>
      <c r="Q125" s="1"/>
      <c r="R125" s="1"/>
      <c r="S125" s="1"/>
      <c r="T125" s="1"/>
      <c r="U125" s="1"/>
      <c r="V125" s="1"/>
      <c r="W125" s="1"/>
    </row>
    <row r="126" spans="1:23">
      <c r="A126" s="3"/>
      <c r="B126" s="1"/>
      <c r="C126" s="1"/>
      <c r="D126" s="1"/>
      <c r="E126" s="1"/>
      <c r="F126" s="1"/>
      <c r="G126" s="1"/>
      <c r="H126" s="1"/>
      <c r="I126" s="2"/>
      <c r="J126" s="2"/>
      <c r="K126" s="1"/>
      <c r="L126" s="1"/>
      <c r="M126" s="1"/>
      <c r="N126" s="1"/>
      <c r="O126" s="1"/>
      <c r="P126" s="1"/>
      <c r="Q126" s="1"/>
      <c r="R126" s="1"/>
      <c r="S126" s="1"/>
      <c r="T126" s="1"/>
      <c r="U126" s="1"/>
      <c r="V126" s="1"/>
      <c r="W126" s="1"/>
    </row>
    <row r="127" spans="1:23">
      <c r="A127" s="3"/>
      <c r="B127" s="1"/>
      <c r="C127" s="1"/>
      <c r="D127" s="1"/>
      <c r="E127" s="1"/>
      <c r="F127" s="1"/>
      <c r="G127" s="1"/>
      <c r="H127" s="1"/>
      <c r="I127" s="2"/>
      <c r="J127" s="2"/>
      <c r="K127" s="1"/>
      <c r="L127" s="1"/>
      <c r="M127" s="1"/>
      <c r="N127" s="1"/>
      <c r="O127" s="1"/>
      <c r="P127" s="1"/>
      <c r="Q127" s="1"/>
      <c r="R127" s="1"/>
      <c r="S127" s="1"/>
      <c r="T127" s="1"/>
      <c r="U127" s="1"/>
      <c r="V127" s="1"/>
      <c r="W127" s="1"/>
    </row>
    <row r="128" spans="1:23">
      <c r="A128" s="3"/>
      <c r="B128" s="1"/>
      <c r="C128" s="1"/>
      <c r="D128" s="1"/>
      <c r="E128" s="1"/>
      <c r="F128" s="1"/>
      <c r="G128" s="1"/>
      <c r="H128" s="1"/>
      <c r="I128" s="2"/>
      <c r="J128" s="2"/>
      <c r="K128" s="1"/>
      <c r="L128" s="1"/>
      <c r="M128" s="1"/>
      <c r="N128" s="1"/>
      <c r="O128" s="1"/>
      <c r="P128" s="1"/>
      <c r="Q128" s="1"/>
      <c r="R128" s="1"/>
      <c r="S128" s="1"/>
      <c r="T128" s="1"/>
      <c r="U128" s="1"/>
      <c r="V128" s="1"/>
      <c r="W128" s="1"/>
    </row>
    <row r="129" spans="1:23">
      <c r="A129" s="3"/>
      <c r="B129" s="1"/>
      <c r="C129" s="1"/>
      <c r="D129" s="1"/>
      <c r="E129" s="1"/>
      <c r="F129" s="1"/>
      <c r="G129" s="1"/>
      <c r="H129" s="1"/>
      <c r="I129" s="2"/>
      <c r="J129" s="2"/>
      <c r="K129" s="1"/>
      <c r="L129" s="1"/>
      <c r="M129" s="1"/>
      <c r="N129" s="1"/>
      <c r="O129" s="1"/>
      <c r="P129" s="1"/>
      <c r="Q129" s="1"/>
      <c r="R129" s="1"/>
      <c r="S129" s="1"/>
      <c r="T129" s="1"/>
      <c r="U129" s="1"/>
      <c r="V129" s="1"/>
      <c r="W129" s="1"/>
    </row>
    <row r="130" spans="1:23">
      <c r="A130" s="3"/>
      <c r="B130" s="1"/>
      <c r="C130" s="1"/>
      <c r="D130" s="1"/>
      <c r="E130" s="1"/>
      <c r="F130" s="1"/>
      <c r="G130" s="1"/>
      <c r="H130" s="1"/>
      <c r="I130" s="2"/>
      <c r="J130" s="2"/>
      <c r="K130" s="1"/>
      <c r="L130" s="1"/>
      <c r="M130" s="1"/>
      <c r="N130" s="1"/>
      <c r="O130" s="1"/>
      <c r="P130" s="1"/>
      <c r="Q130" s="1"/>
      <c r="R130" s="1"/>
      <c r="S130" s="1"/>
      <c r="T130" s="1"/>
      <c r="U130" s="1"/>
      <c r="V130" s="1"/>
      <c r="W130" s="1"/>
    </row>
    <row r="131" spans="1:23">
      <c r="A131" s="3"/>
      <c r="B131" s="1"/>
      <c r="C131" s="1"/>
      <c r="D131" s="1"/>
      <c r="E131" s="1"/>
      <c r="F131" s="1"/>
      <c r="G131" s="1"/>
      <c r="H131" s="1"/>
      <c r="I131" s="2"/>
      <c r="J131" s="2"/>
      <c r="K131" s="1"/>
      <c r="L131" s="1"/>
      <c r="M131" s="1"/>
      <c r="N131" s="1"/>
      <c r="O131" s="1"/>
      <c r="P131" s="1"/>
      <c r="Q131" s="1"/>
      <c r="R131" s="1"/>
      <c r="S131" s="1"/>
      <c r="T131" s="1"/>
      <c r="U131" s="1"/>
      <c r="V131" s="1"/>
      <c r="W131" s="1"/>
    </row>
    <row r="132" spans="1:23">
      <c r="A132" s="3"/>
      <c r="B132" s="1"/>
      <c r="C132" s="1"/>
      <c r="D132" s="1"/>
      <c r="E132" s="1"/>
      <c r="F132" s="1"/>
      <c r="G132" s="1"/>
      <c r="H132" s="1"/>
      <c r="I132" s="2"/>
      <c r="J132" s="2"/>
      <c r="K132" s="1"/>
      <c r="L132" s="1"/>
      <c r="M132" s="1"/>
      <c r="N132" s="1"/>
      <c r="O132" s="1"/>
      <c r="P132" s="1"/>
      <c r="Q132" s="1"/>
      <c r="R132" s="1"/>
      <c r="S132" s="1"/>
      <c r="T132" s="1"/>
      <c r="U132" s="1"/>
      <c r="V132" s="1"/>
      <c r="W132" s="1"/>
    </row>
    <row r="133" spans="1:23">
      <c r="A133" s="3"/>
      <c r="B133" s="1"/>
      <c r="C133" s="1"/>
      <c r="D133" s="1"/>
      <c r="E133" s="1"/>
      <c r="F133" s="1"/>
      <c r="G133" s="1"/>
      <c r="H133" s="1"/>
      <c r="I133" s="2"/>
      <c r="J133" s="2"/>
      <c r="K133" s="1"/>
      <c r="L133" s="1"/>
      <c r="M133" s="1"/>
      <c r="N133" s="1"/>
      <c r="O133" s="1"/>
      <c r="P133" s="1"/>
      <c r="Q133" s="1"/>
      <c r="R133" s="1"/>
      <c r="S133" s="1"/>
      <c r="T133" s="1"/>
      <c r="U133" s="1"/>
      <c r="V133" s="1"/>
      <c r="W133" s="1"/>
    </row>
    <row r="134" spans="1:23">
      <c r="A134" s="3"/>
      <c r="B134" s="1"/>
      <c r="C134" s="1"/>
      <c r="D134" s="1"/>
      <c r="E134" s="1"/>
      <c r="F134" s="1"/>
      <c r="G134" s="1"/>
      <c r="H134" s="1"/>
      <c r="I134" s="2"/>
      <c r="J134" s="2"/>
      <c r="K134" s="1"/>
      <c r="L134" s="1"/>
      <c r="M134" s="1"/>
      <c r="N134" s="1"/>
      <c r="O134" s="1"/>
      <c r="P134" s="1"/>
      <c r="Q134" s="1"/>
      <c r="R134" s="1"/>
      <c r="S134" s="1"/>
      <c r="T134" s="1"/>
      <c r="U134" s="1"/>
      <c r="V134" s="1"/>
      <c r="W134" s="1"/>
    </row>
    <row r="135" spans="1:23">
      <c r="A135" s="3"/>
      <c r="B135" s="1"/>
      <c r="C135" s="1"/>
      <c r="D135" s="1"/>
      <c r="E135" s="1"/>
      <c r="F135" s="1"/>
      <c r="G135" s="1"/>
      <c r="H135" s="1"/>
      <c r="I135" s="2"/>
      <c r="J135" s="2"/>
      <c r="K135" s="1"/>
      <c r="L135" s="1"/>
      <c r="M135" s="1"/>
      <c r="N135" s="1"/>
      <c r="O135" s="1"/>
      <c r="P135" s="1"/>
      <c r="Q135" s="1"/>
      <c r="R135" s="1"/>
      <c r="S135" s="1"/>
      <c r="T135" s="1"/>
      <c r="U135" s="1"/>
      <c r="V135" s="1"/>
      <c r="W135" s="1"/>
    </row>
    <row r="136" spans="1:23">
      <c r="A136" s="3"/>
      <c r="B136" s="1"/>
      <c r="C136" s="1"/>
      <c r="D136" s="1"/>
      <c r="E136" s="1"/>
      <c r="F136" s="1"/>
      <c r="G136" s="1"/>
      <c r="H136" s="1"/>
      <c r="I136" s="2"/>
      <c r="J136" s="2"/>
      <c r="K136" s="1"/>
      <c r="L136" s="1"/>
      <c r="M136" s="1"/>
      <c r="N136" s="1"/>
      <c r="O136" s="1"/>
      <c r="P136" s="1"/>
      <c r="Q136" s="1"/>
      <c r="R136" s="1"/>
      <c r="S136" s="1"/>
      <c r="T136" s="1"/>
      <c r="U136" s="1"/>
      <c r="V136" s="1"/>
      <c r="W136" s="1"/>
    </row>
    <row r="137" spans="1:23">
      <c r="A137" s="3"/>
      <c r="B137" s="1"/>
      <c r="C137" s="1"/>
      <c r="D137" s="1"/>
      <c r="E137" s="1"/>
      <c r="F137" s="1"/>
      <c r="G137" s="1"/>
      <c r="H137" s="1"/>
      <c r="I137" s="2"/>
      <c r="J137" s="2"/>
      <c r="K137" s="1"/>
      <c r="L137" s="1"/>
      <c r="M137" s="1"/>
      <c r="N137" s="1"/>
      <c r="O137" s="1"/>
      <c r="P137" s="1"/>
      <c r="Q137" s="1"/>
      <c r="R137" s="1"/>
      <c r="S137" s="1"/>
      <c r="T137" s="1"/>
      <c r="U137" s="1"/>
      <c r="V137" s="1"/>
      <c r="W137" s="1"/>
    </row>
    <row r="138" spans="1:23">
      <c r="A138" s="3"/>
      <c r="B138" s="1"/>
      <c r="C138" s="1"/>
      <c r="D138" s="1"/>
      <c r="E138" s="1"/>
      <c r="F138" s="1"/>
      <c r="G138" s="1"/>
      <c r="H138" s="1"/>
      <c r="I138" s="2"/>
      <c r="J138" s="2"/>
      <c r="K138" s="1"/>
      <c r="L138" s="1"/>
      <c r="M138" s="1"/>
      <c r="N138" s="1"/>
      <c r="O138" s="1"/>
      <c r="P138" s="1"/>
      <c r="Q138" s="1"/>
      <c r="R138" s="1"/>
      <c r="S138" s="1"/>
      <c r="T138" s="1"/>
      <c r="U138" s="1"/>
      <c r="V138" s="1"/>
      <c r="W138" s="1"/>
    </row>
    <row r="139" spans="1:23">
      <c r="A139" s="3"/>
      <c r="B139" s="1"/>
      <c r="C139" s="1"/>
      <c r="D139" s="1"/>
      <c r="E139" s="1"/>
      <c r="F139" s="1"/>
      <c r="G139" s="1"/>
      <c r="H139" s="1"/>
      <c r="I139" s="2"/>
      <c r="J139" s="2"/>
      <c r="K139" s="1"/>
      <c r="L139" s="1"/>
      <c r="M139" s="1"/>
      <c r="N139" s="1"/>
      <c r="O139" s="1"/>
      <c r="P139" s="1"/>
      <c r="Q139" s="1"/>
      <c r="R139" s="1"/>
      <c r="S139" s="1"/>
      <c r="T139" s="1"/>
      <c r="U139" s="1"/>
      <c r="V139" s="1"/>
      <c r="W139" s="1"/>
    </row>
    <row r="140" spans="1:23">
      <c r="A140" s="3"/>
      <c r="B140" s="1"/>
      <c r="C140" s="1"/>
      <c r="D140" s="1"/>
      <c r="E140" s="1"/>
      <c r="F140" s="1"/>
      <c r="G140" s="1"/>
      <c r="H140" s="1"/>
      <c r="I140" s="2"/>
      <c r="J140" s="2"/>
      <c r="K140" s="1"/>
      <c r="L140" s="1"/>
      <c r="M140" s="1"/>
      <c r="N140" s="1"/>
      <c r="O140" s="1"/>
      <c r="P140" s="1"/>
      <c r="Q140" s="1"/>
      <c r="R140" s="1"/>
      <c r="S140" s="1"/>
      <c r="T140" s="1"/>
      <c r="U140" s="1"/>
      <c r="V140" s="1"/>
      <c r="W140" s="1"/>
    </row>
    <row r="141" spans="1:23">
      <c r="A141" s="3"/>
      <c r="B141" s="1"/>
      <c r="C141" s="1"/>
      <c r="D141" s="1"/>
      <c r="E141" s="1"/>
      <c r="F141" s="1"/>
      <c r="G141" s="1"/>
      <c r="H141" s="1"/>
      <c r="I141" s="2"/>
      <c r="J141" s="2"/>
      <c r="K141" s="1"/>
      <c r="L141" s="1"/>
      <c r="M141" s="1"/>
      <c r="N141" s="1"/>
      <c r="O141" s="1"/>
      <c r="P141" s="1"/>
      <c r="Q141" s="1"/>
      <c r="R141" s="1"/>
      <c r="S141" s="1"/>
      <c r="T141" s="1"/>
      <c r="U141" s="1"/>
      <c r="V141" s="1"/>
      <c r="W141" s="1"/>
    </row>
    <row r="142" spans="1:23">
      <c r="A142" s="3"/>
      <c r="B142" s="1"/>
      <c r="C142" s="1"/>
      <c r="D142" s="1"/>
      <c r="E142" s="1"/>
      <c r="F142" s="1"/>
      <c r="G142" s="1"/>
      <c r="H142" s="1"/>
      <c r="I142" s="2"/>
      <c r="J142" s="2"/>
      <c r="K142" s="1"/>
      <c r="L142" s="1"/>
      <c r="M142" s="1"/>
      <c r="N142" s="1"/>
      <c r="O142" s="1"/>
      <c r="P142" s="1"/>
      <c r="Q142" s="1"/>
      <c r="R142" s="1"/>
      <c r="S142" s="1"/>
      <c r="T142" s="1"/>
      <c r="U142" s="1"/>
      <c r="V142" s="1"/>
      <c r="W142" s="1"/>
    </row>
    <row r="143" spans="1:23">
      <c r="A143" s="3"/>
      <c r="B143" s="1"/>
      <c r="C143" s="1"/>
      <c r="D143" s="1"/>
      <c r="E143" s="1"/>
      <c r="F143" s="1"/>
      <c r="G143" s="1"/>
      <c r="H143" s="1"/>
      <c r="I143" s="2"/>
      <c r="J143" s="2"/>
      <c r="K143" s="1"/>
      <c r="L143" s="1"/>
      <c r="M143" s="1"/>
      <c r="N143" s="1"/>
      <c r="O143" s="1"/>
      <c r="P143" s="1"/>
      <c r="Q143" s="1"/>
      <c r="R143" s="1"/>
      <c r="S143" s="1"/>
      <c r="T143" s="1"/>
      <c r="U143" s="1"/>
      <c r="V143" s="1"/>
      <c r="W143" s="1"/>
    </row>
    <row r="144" spans="1:23">
      <c r="A144" s="3"/>
      <c r="B144" s="1"/>
      <c r="C144" s="1"/>
      <c r="D144" s="1"/>
      <c r="E144" s="1"/>
      <c r="F144" s="1"/>
      <c r="G144" s="1"/>
      <c r="H144" s="1"/>
      <c r="I144" s="2"/>
      <c r="J144" s="2"/>
      <c r="K144" s="1"/>
      <c r="L144" s="1"/>
      <c r="M144" s="1"/>
      <c r="N144" s="1"/>
      <c r="O144" s="1"/>
      <c r="P144" s="1"/>
      <c r="Q144" s="1"/>
      <c r="R144" s="1"/>
      <c r="S144" s="1"/>
      <c r="T144" s="1"/>
      <c r="U144" s="1"/>
      <c r="V144" s="1"/>
      <c r="W144" s="1"/>
    </row>
    <row r="145" spans="1:23">
      <c r="A145" s="3"/>
      <c r="B145" s="1"/>
      <c r="C145" s="1"/>
      <c r="D145" s="1"/>
      <c r="E145" s="1"/>
      <c r="F145" s="1"/>
      <c r="G145" s="1"/>
      <c r="H145" s="1"/>
      <c r="I145" s="2"/>
      <c r="J145" s="2"/>
      <c r="K145" s="1"/>
      <c r="L145" s="1"/>
      <c r="M145" s="1"/>
      <c r="N145" s="1"/>
      <c r="O145" s="1"/>
      <c r="P145" s="1"/>
      <c r="Q145" s="1"/>
      <c r="R145" s="1"/>
      <c r="S145" s="1"/>
      <c r="T145" s="1"/>
      <c r="U145" s="1"/>
      <c r="V145" s="1"/>
      <c r="W145" s="1"/>
    </row>
    <row r="146" spans="1:23">
      <c r="A146" s="3"/>
      <c r="B146" s="1"/>
      <c r="C146" s="1"/>
      <c r="D146" s="1"/>
      <c r="E146" s="1"/>
      <c r="F146" s="1"/>
      <c r="G146" s="1"/>
      <c r="H146" s="1"/>
      <c r="I146" s="2"/>
      <c r="J146" s="2"/>
      <c r="K146" s="1"/>
      <c r="L146" s="1"/>
      <c r="M146" s="1"/>
      <c r="N146" s="1"/>
      <c r="O146" s="1"/>
      <c r="P146" s="1"/>
      <c r="Q146" s="1"/>
      <c r="R146" s="1"/>
      <c r="S146" s="1"/>
      <c r="T146" s="1"/>
      <c r="U146" s="1"/>
      <c r="V146" s="1"/>
      <c r="W146" s="1"/>
    </row>
    <row r="147" spans="1:23">
      <c r="A147" s="3"/>
      <c r="B147" s="1"/>
      <c r="C147" s="1"/>
      <c r="D147" s="1"/>
      <c r="E147" s="1"/>
      <c r="F147" s="1"/>
      <c r="G147" s="1"/>
      <c r="H147" s="1"/>
      <c r="I147" s="2"/>
      <c r="J147" s="2"/>
      <c r="K147" s="1"/>
      <c r="L147" s="1"/>
      <c r="M147" s="1"/>
      <c r="N147" s="1"/>
      <c r="O147" s="1"/>
      <c r="P147" s="1"/>
      <c r="Q147" s="1"/>
      <c r="R147" s="1"/>
      <c r="S147" s="1"/>
      <c r="T147" s="1"/>
      <c r="U147" s="1"/>
      <c r="V147" s="1"/>
      <c r="W147" s="1"/>
    </row>
    <row r="148" spans="1:23">
      <c r="A148" s="3"/>
      <c r="B148" s="1"/>
      <c r="C148" s="1"/>
      <c r="D148" s="1"/>
      <c r="E148" s="1"/>
      <c r="F148" s="1"/>
      <c r="G148" s="1"/>
      <c r="H148" s="1"/>
      <c r="I148" s="2"/>
      <c r="J148" s="2"/>
      <c r="K148" s="1"/>
      <c r="L148" s="1"/>
      <c r="M148" s="1"/>
      <c r="N148" s="1"/>
      <c r="O148" s="1"/>
      <c r="P148" s="1"/>
      <c r="Q148" s="1"/>
      <c r="R148" s="1"/>
      <c r="S148" s="1"/>
      <c r="T148" s="1"/>
      <c r="U148" s="1"/>
      <c r="V148" s="1"/>
      <c r="W148" s="1"/>
    </row>
    <row r="149" spans="1:23">
      <c r="A149" s="3"/>
      <c r="B149" s="1"/>
      <c r="C149" s="1"/>
      <c r="D149" s="1"/>
      <c r="E149" s="1"/>
      <c r="F149" s="1"/>
      <c r="G149" s="1"/>
      <c r="H149" s="1"/>
      <c r="I149" s="2"/>
      <c r="J149" s="2"/>
      <c r="K149" s="1"/>
      <c r="L149" s="1"/>
      <c r="M149" s="1"/>
      <c r="N149" s="1"/>
      <c r="O149" s="1"/>
      <c r="P149" s="1"/>
      <c r="Q149" s="1"/>
      <c r="R149" s="1"/>
      <c r="S149" s="1"/>
      <c r="T149" s="1"/>
      <c r="U149" s="1"/>
      <c r="V149" s="1"/>
      <c r="W149" s="1"/>
    </row>
    <row r="150" spans="1:23">
      <c r="A150" s="3"/>
      <c r="B150" s="1"/>
      <c r="C150" s="1"/>
      <c r="D150" s="1"/>
      <c r="E150" s="1"/>
      <c r="F150" s="1"/>
      <c r="G150" s="1"/>
      <c r="H150" s="1"/>
      <c r="I150" s="2"/>
      <c r="J150" s="2"/>
      <c r="K150" s="1"/>
      <c r="L150" s="1"/>
      <c r="M150" s="1"/>
      <c r="N150" s="1"/>
      <c r="O150" s="1"/>
      <c r="P150" s="1"/>
      <c r="Q150" s="1"/>
      <c r="R150" s="1"/>
      <c r="S150" s="1"/>
      <c r="T150" s="1"/>
      <c r="U150" s="1"/>
      <c r="V150" s="1"/>
      <c r="W150" s="1"/>
    </row>
    <row r="151" spans="1:23">
      <c r="A151" s="3"/>
      <c r="B151" s="1"/>
      <c r="C151" s="1"/>
      <c r="D151" s="1"/>
      <c r="E151" s="1"/>
      <c r="F151" s="1"/>
      <c r="G151" s="1"/>
      <c r="H151" s="1"/>
      <c r="I151" s="2"/>
      <c r="J151" s="2"/>
      <c r="K151" s="1"/>
      <c r="L151" s="1"/>
      <c r="M151" s="1"/>
      <c r="N151" s="1"/>
      <c r="O151" s="1"/>
      <c r="P151" s="1"/>
      <c r="Q151" s="1"/>
      <c r="R151" s="1"/>
      <c r="S151" s="1"/>
      <c r="T151" s="1"/>
      <c r="U151" s="1"/>
      <c r="V151" s="1"/>
      <c r="W151" s="1"/>
    </row>
    <row r="152" spans="1:23">
      <c r="A152" s="3"/>
      <c r="B152" s="1"/>
      <c r="C152" s="1"/>
      <c r="D152" s="1"/>
      <c r="E152" s="1"/>
      <c r="F152" s="1"/>
      <c r="G152" s="1"/>
      <c r="H152" s="1"/>
      <c r="I152" s="2"/>
      <c r="J152" s="2"/>
      <c r="K152" s="1"/>
      <c r="L152" s="1"/>
      <c r="M152" s="1"/>
      <c r="N152" s="1"/>
      <c r="O152" s="1"/>
      <c r="P152" s="1"/>
      <c r="Q152" s="1"/>
      <c r="R152" s="1"/>
      <c r="S152" s="1"/>
      <c r="T152" s="1"/>
      <c r="U152" s="1"/>
      <c r="V152" s="1"/>
      <c r="W152" s="1"/>
    </row>
    <row r="153" spans="1:23">
      <c r="A153" s="3"/>
      <c r="B153" s="1"/>
      <c r="C153" s="1"/>
      <c r="D153" s="1"/>
      <c r="E153" s="1"/>
      <c r="F153" s="1"/>
      <c r="G153" s="1"/>
      <c r="H153" s="1"/>
      <c r="I153" s="2"/>
      <c r="J153" s="2"/>
      <c r="K153" s="1"/>
      <c r="L153" s="1"/>
      <c r="M153" s="1"/>
      <c r="N153" s="1"/>
      <c r="O153" s="1"/>
      <c r="P153" s="1"/>
      <c r="Q153" s="1"/>
      <c r="R153" s="1"/>
      <c r="S153" s="1"/>
      <c r="T153" s="1"/>
      <c r="U153" s="1"/>
      <c r="V153" s="1"/>
      <c r="W153" s="1"/>
    </row>
    <row r="154" spans="1:23">
      <c r="A154" s="3"/>
      <c r="B154" s="1"/>
      <c r="C154" s="1"/>
      <c r="D154" s="1"/>
      <c r="E154" s="1"/>
      <c r="F154" s="1"/>
      <c r="G154" s="1"/>
      <c r="H154" s="1"/>
      <c r="I154" s="2"/>
      <c r="J154" s="2"/>
      <c r="K154" s="1"/>
      <c r="L154" s="1"/>
      <c r="M154" s="1"/>
      <c r="N154" s="1"/>
      <c r="O154" s="1"/>
      <c r="P154" s="1"/>
      <c r="Q154" s="1"/>
      <c r="R154" s="1"/>
      <c r="S154" s="1"/>
      <c r="T154" s="1"/>
      <c r="U154" s="1"/>
      <c r="V154" s="1"/>
      <c r="W154" s="1"/>
    </row>
    <row r="155" spans="1:23">
      <c r="A155" s="3"/>
      <c r="B155" s="1"/>
      <c r="C155" s="1"/>
      <c r="D155" s="1"/>
      <c r="E155" s="1"/>
      <c r="F155" s="1"/>
      <c r="G155" s="1"/>
      <c r="H155" s="1"/>
      <c r="I155" s="2"/>
      <c r="J155" s="2"/>
      <c r="K155" s="1"/>
      <c r="L155" s="1"/>
      <c r="M155" s="1"/>
      <c r="N155" s="1"/>
      <c r="O155" s="1"/>
      <c r="P155" s="1"/>
      <c r="Q155" s="1"/>
      <c r="R155" s="1"/>
      <c r="S155" s="1"/>
      <c r="T155" s="1"/>
      <c r="U155" s="1"/>
      <c r="V155" s="1"/>
      <c r="W155" s="1"/>
    </row>
    <row r="156" spans="1:23">
      <c r="A156" s="3"/>
      <c r="B156" s="1"/>
      <c r="C156" s="1"/>
      <c r="D156" s="1"/>
      <c r="E156" s="1"/>
      <c r="F156" s="1"/>
      <c r="G156" s="1"/>
      <c r="H156" s="1"/>
      <c r="I156" s="2"/>
      <c r="J156" s="2"/>
      <c r="K156" s="1"/>
      <c r="L156" s="1"/>
      <c r="M156" s="1"/>
      <c r="N156" s="1"/>
      <c r="O156" s="1"/>
      <c r="P156" s="1"/>
      <c r="Q156" s="1"/>
      <c r="R156" s="1"/>
      <c r="S156" s="1"/>
      <c r="T156" s="1"/>
      <c r="U156" s="1"/>
      <c r="V156" s="1"/>
      <c r="W156" s="1"/>
    </row>
    <row r="157" spans="1:23">
      <c r="A157" s="3"/>
      <c r="B157" s="1"/>
      <c r="C157" s="1"/>
      <c r="D157" s="1"/>
      <c r="E157" s="1"/>
      <c r="F157" s="1"/>
      <c r="G157" s="1"/>
      <c r="H157" s="1"/>
      <c r="I157" s="2"/>
      <c r="J157" s="2"/>
      <c r="K157" s="1"/>
      <c r="L157" s="1"/>
      <c r="M157" s="1"/>
      <c r="N157" s="1"/>
      <c r="O157" s="1"/>
      <c r="P157" s="1"/>
      <c r="Q157" s="1"/>
      <c r="R157" s="1"/>
      <c r="S157" s="1"/>
      <c r="T157" s="1"/>
      <c r="U157" s="1"/>
      <c r="V157" s="1"/>
      <c r="W157" s="1"/>
    </row>
    <row r="158" spans="1:23">
      <c r="A158" s="3"/>
      <c r="B158" s="1"/>
      <c r="C158" s="1"/>
      <c r="D158" s="1"/>
      <c r="E158" s="1"/>
      <c r="F158" s="1"/>
      <c r="G158" s="1"/>
      <c r="H158" s="1"/>
      <c r="I158" s="2"/>
      <c r="J158" s="2"/>
      <c r="K158" s="1"/>
      <c r="L158" s="1"/>
      <c r="M158" s="1"/>
      <c r="N158" s="1"/>
      <c r="O158" s="1"/>
      <c r="P158" s="1"/>
      <c r="Q158" s="1"/>
      <c r="R158" s="1"/>
      <c r="S158" s="1"/>
      <c r="T158" s="1"/>
      <c r="U158" s="1"/>
      <c r="V158" s="1"/>
      <c r="W158" s="1"/>
    </row>
    <row r="159" spans="1:23">
      <c r="A159" s="3"/>
      <c r="B159" s="1"/>
      <c r="C159" s="1"/>
      <c r="D159" s="1"/>
      <c r="E159" s="1"/>
      <c r="F159" s="1"/>
      <c r="G159" s="1"/>
      <c r="H159" s="1"/>
      <c r="I159" s="2"/>
      <c r="J159" s="2"/>
      <c r="K159" s="1"/>
      <c r="L159" s="1"/>
      <c r="M159" s="1"/>
      <c r="N159" s="1"/>
      <c r="O159" s="1"/>
      <c r="P159" s="1"/>
      <c r="Q159" s="1"/>
      <c r="R159" s="1"/>
      <c r="S159" s="1"/>
      <c r="T159" s="1"/>
      <c r="U159" s="1"/>
      <c r="V159" s="1"/>
      <c r="W159" s="1"/>
    </row>
    <row r="160" spans="1:23">
      <c r="A160" s="3"/>
      <c r="B160" s="1"/>
      <c r="C160" s="1"/>
      <c r="D160" s="1"/>
      <c r="E160" s="1"/>
      <c r="F160" s="1"/>
      <c r="G160" s="1"/>
      <c r="H160" s="1"/>
      <c r="I160" s="2"/>
      <c r="J160" s="2"/>
      <c r="K160" s="1"/>
      <c r="L160" s="1"/>
      <c r="M160" s="1"/>
      <c r="N160" s="1"/>
      <c r="O160" s="1"/>
      <c r="P160" s="1"/>
      <c r="Q160" s="1"/>
      <c r="R160" s="1"/>
      <c r="S160" s="1"/>
      <c r="T160" s="1"/>
      <c r="U160" s="1"/>
      <c r="V160" s="1"/>
      <c r="W160" s="1"/>
    </row>
    <row r="161" spans="1:23">
      <c r="A161" s="3"/>
      <c r="B161" s="1"/>
      <c r="C161" s="1"/>
      <c r="D161" s="1"/>
      <c r="E161" s="1"/>
      <c r="F161" s="1"/>
      <c r="G161" s="1"/>
      <c r="H161" s="1"/>
      <c r="I161" s="2"/>
      <c r="J161" s="2"/>
      <c r="K161" s="1"/>
      <c r="L161" s="1"/>
      <c r="M161" s="1"/>
      <c r="N161" s="1"/>
      <c r="O161" s="1"/>
      <c r="P161" s="1"/>
      <c r="Q161" s="1"/>
      <c r="R161" s="1"/>
      <c r="S161" s="1"/>
      <c r="T161" s="1"/>
      <c r="U161" s="1"/>
      <c r="V161" s="1"/>
      <c r="W161" s="1"/>
    </row>
    <row r="162" spans="1:23">
      <c r="A162" s="3"/>
      <c r="B162" s="1"/>
      <c r="C162" s="1"/>
      <c r="D162" s="1"/>
      <c r="E162" s="1"/>
      <c r="F162" s="1"/>
      <c r="G162" s="1"/>
      <c r="H162" s="1"/>
      <c r="I162" s="2"/>
      <c r="J162" s="2"/>
      <c r="K162" s="1"/>
      <c r="L162" s="1"/>
      <c r="M162" s="1"/>
      <c r="N162" s="1"/>
      <c r="O162" s="1"/>
      <c r="P162" s="1"/>
      <c r="Q162" s="1"/>
      <c r="R162" s="1"/>
      <c r="S162" s="1"/>
      <c r="T162" s="1"/>
      <c r="U162" s="1"/>
      <c r="V162" s="1"/>
      <c r="W162" s="1"/>
    </row>
    <row r="163" spans="1:23">
      <c r="A163" s="3"/>
      <c r="B163" s="1"/>
      <c r="C163" s="1"/>
      <c r="D163" s="1"/>
      <c r="E163" s="1"/>
      <c r="F163" s="1"/>
      <c r="G163" s="1"/>
      <c r="H163" s="1"/>
      <c r="I163" s="2"/>
      <c r="J163" s="2"/>
      <c r="K163" s="1"/>
      <c r="L163" s="1"/>
      <c r="M163" s="1"/>
      <c r="N163" s="1"/>
      <c r="O163" s="1"/>
      <c r="P163" s="1"/>
      <c r="Q163" s="1"/>
      <c r="R163" s="1"/>
      <c r="S163" s="1"/>
      <c r="T163" s="1"/>
      <c r="U163" s="1"/>
      <c r="V163" s="1"/>
      <c r="W163" s="1"/>
    </row>
    <row r="164" spans="1:23">
      <c r="A164" s="3"/>
      <c r="B164" s="1"/>
      <c r="C164" s="1"/>
      <c r="D164" s="1"/>
      <c r="E164" s="1"/>
      <c r="F164" s="1"/>
      <c r="G164" s="1"/>
      <c r="H164" s="1"/>
      <c r="I164" s="2"/>
      <c r="J164" s="2"/>
      <c r="K164" s="1"/>
      <c r="L164" s="1"/>
      <c r="M164" s="1"/>
      <c r="N164" s="1"/>
      <c r="O164" s="1"/>
      <c r="P164" s="1"/>
      <c r="Q164" s="1"/>
      <c r="R164" s="1"/>
      <c r="S164" s="1"/>
      <c r="T164" s="1"/>
      <c r="U164" s="1"/>
      <c r="V164" s="1"/>
      <c r="W164" s="1"/>
    </row>
    <row r="165" spans="1:23">
      <c r="A165" s="3"/>
      <c r="B165" s="1"/>
      <c r="C165" s="1"/>
      <c r="D165" s="1"/>
      <c r="E165" s="1"/>
      <c r="F165" s="1"/>
      <c r="G165" s="1"/>
      <c r="H165" s="1"/>
      <c r="I165" s="2"/>
      <c r="J165" s="2"/>
      <c r="K165" s="1"/>
      <c r="L165" s="1"/>
      <c r="M165" s="1"/>
      <c r="N165" s="1"/>
      <c r="O165" s="1"/>
      <c r="P165" s="1"/>
      <c r="Q165" s="1"/>
      <c r="R165" s="1"/>
      <c r="S165" s="1"/>
      <c r="T165" s="1"/>
      <c r="U165" s="1"/>
      <c r="V165" s="1"/>
      <c r="W165" s="1"/>
    </row>
    <row r="166" spans="1:23">
      <c r="A166" s="3"/>
      <c r="B166" s="1"/>
      <c r="C166" s="1"/>
      <c r="D166" s="1"/>
      <c r="E166" s="1"/>
      <c r="F166" s="1"/>
      <c r="G166" s="1"/>
      <c r="H166" s="1"/>
      <c r="I166" s="2"/>
      <c r="J166" s="2"/>
      <c r="K166" s="1"/>
      <c r="L166" s="1"/>
      <c r="M166" s="1"/>
      <c r="N166" s="1"/>
      <c r="O166" s="1"/>
      <c r="P166" s="1"/>
      <c r="Q166" s="1"/>
      <c r="R166" s="1"/>
      <c r="S166" s="1"/>
      <c r="T166" s="1"/>
      <c r="U166" s="1"/>
      <c r="V166" s="1"/>
      <c r="W166" s="1"/>
    </row>
    <row r="167" spans="1:23">
      <c r="A167" s="3"/>
      <c r="B167" s="1"/>
      <c r="C167" s="1"/>
      <c r="D167" s="1"/>
      <c r="E167" s="1"/>
      <c r="F167" s="1"/>
      <c r="G167" s="1"/>
      <c r="H167" s="1"/>
      <c r="I167" s="2"/>
      <c r="J167" s="2"/>
      <c r="K167" s="1"/>
      <c r="L167" s="1"/>
      <c r="M167" s="1"/>
      <c r="N167" s="1"/>
      <c r="O167" s="1"/>
      <c r="P167" s="1"/>
      <c r="Q167" s="1"/>
      <c r="R167" s="1"/>
      <c r="S167" s="1"/>
      <c r="T167" s="1"/>
      <c r="U167" s="1"/>
      <c r="V167" s="1"/>
      <c r="W167" s="1"/>
    </row>
    <row r="168" spans="1:23">
      <c r="A168" s="3"/>
      <c r="B168" s="1"/>
      <c r="C168" s="1"/>
      <c r="D168" s="1"/>
      <c r="E168" s="1"/>
      <c r="F168" s="1"/>
      <c r="G168" s="1"/>
      <c r="H168" s="1"/>
      <c r="I168" s="2"/>
      <c r="J168" s="2"/>
      <c r="K168" s="1"/>
      <c r="L168" s="1"/>
      <c r="M168" s="1"/>
      <c r="N168" s="1"/>
      <c r="O168" s="1"/>
      <c r="P168" s="1"/>
      <c r="Q168" s="1"/>
      <c r="R168" s="1"/>
      <c r="S168" s="1"/>
      <c r="T168" s="1"/>
      <c r="U168" s="1"/>
      <c r="V168" s="1"/>
      <c r="W168" s="1"/>
    </row>
    <row r="169" spans="1:23">
      <c r="A169" s="3"/>
      <c r="B169" s="1"/>
      <c r="C169" s="1"/>
      <c r="D169" s="1"/>
      <c r="E169" s="1"/>
      <c r="F169" s="1"/>
      <c r="G169" s="1"/>
      <c r="H169" s="1"/>
      <c r="I169" s="2"/>
      <c r="J169" s="2"/>
      <c r="K169" s="1"/>
      <c r="L169" s="1"/>
      <c r="M169" s="1"/>
      <c r="N169" s="1"/>
      <c r="O169" s="1"/>
      <c r="P169" s="1"/>
      <c r="Q169" s="1"/>
      <c r="R169" s="1"/>
      <c r="S169" s="1"/>
      <c r="T169" s="1"/>
      <c r="U169" s="1"/>
      <c r="V169" s="1"/>
      <c r="W169" s="1"/>
    </row>
    <row r="170" spans="1:23">
      <c r="A170" s="3"/>
      <c r="B170" s="1"/>
      <c r="C170" s="1"/>
      <c r="D170" s="1"/>
      <c r="E170" s="1"/>
      <c r="F170" s="1"/>
      <c r="G170" s="1"/>
      <c r="H170" s="1"/>
      <c r="I170" s="2"/>
      <c r="J170" s="2"/>
      <c r="K170" s="1"/>
      <c r="L170" s="1"/>
      <c r="M170" s="1"/>
      <c r="N170" s="1"/>
      <c r="O170" s="1"/>
      <c r="P170" s="1"/>
      <c r="Q170" s="1"/>
      <c r="R170" s="1"/>
      <c r="S170" s="1"/>
      <c r="T170" s="1"/>
      <c r="U170" s="1"/>
      <c r="V170" s="1"/>
      <c r="W170" s="1"/>
    </row>
    <row r="171" spans="1:23">
      <c r="A171" s="3"/>
      <c r="B171" s="1"/>
      <c r="C171" s="1"/>
      <c r="D171" s="1"/>
      <c r="E171" s="1"/>
      <c r="F171" s="1"/>
      <c r="G171" s="1"/>
      <c r="H171" s="1"/>
      <c r="I171" s="2"/>
      <c r="J171" s="2"/>
      <c r="K171" s="1"/>
      <c r="L171" s="1"/>
      <c r="M171" s="1"/>
      <c r="N171" s="1"/>
      <c r="O171" s="1"/>
      <c r="P171" s="1"/>
      <c r="Q171" s="1"/>
      <c r="R171" s="1"/>
      <c r="S171" s="1"/>
      <c r="T171" s="1"/>
      <c r="U171" s="1"/>
      <c r="V171" s="1"/>
      <c r="W171" s="1"/>
    </row>
    <row r="172" spans="1:23">
      <c r="A172" s="3"/>
      <c r="B172" s="1"/>
      <c r="C172" s="1"/>
      <c r="D172" s="1"/>
      <c r="E172" s="1"/>
      <c r="F172" s="1"/>
      <c r="G172" s="1"/>
      <c r="H172" s="1"/>
      <c r="I172" s="2"/>
      <c r="J172" s="2"/>
      <c r="K172" s="1"/>
      <c r="L172" s="1"/>
      <c r="M172" s="1"/>
      <c r="N172" s="1"/>
      <c r="O172" s="1"/>
      <c r="P172" s="1"/>
      <c r="Q172" s="1"/>
      <c r="R172" s="1"/>
      <c r="S172" s="1"/>
      <c r="T172" s="1"/>
      <c r="U172" s="1"/>
      <c r="V172" s="1"/>
      <c r="W172" s="1"/>
    </row>
    <row r="173" spans="1:23">
      <c r="A173" s="3"/>
      <c r="B173" s="1"/>
      <c r="C173" s="1"/>
      <c r="D173" s="1"/>
      <c r="E173" s="1"/>
      <c r="F173" s="1"/>
      <c r="G173" s="1"/>
      <c r="H173" s="1"/>
      <c r="I173" s="2"/>
      <c r="J173" s="2"/>
      <c r="K173" s="1"/>
      <c r="L173" s="1"/>
      <c r="M173" s="1"/>
      <c r="N173" s="1"/>
      <c r="O173" s="1"/>
      <c r="P173" s="1"/>
      <c r="Q173" s="1"/>
      <c r="R173" s="1"/>
      <c r="S173" s="1"/>
      <c r="T173" s="1"/>
      <c r="U173" s="1"/>
      <c r="V173" s="1"/>
      <c r="W173" s="1"/>
    </row>
    <row r="174" spans="1:23">
      <c r="A174" s="3"/>
      <c r="B174" s="1"/>
      <c r="C174" s="1"/>
      <c r="D174" s="1"/>
      <c r="E174" s="1"/>
      <c r="F174" s="1"/>
      <c r="G174" s="1"/>
      <c r="H174" s="1"/>
      <c r="I174" s="2"/>
      <c r="J174" s="2"/>
      <c r="K174" s="1"/>
      <c r="L174" s="1"/>
      <c r="M174" s="1"/>
      <c r="N174" s="1"/>
      <c r="O174" s="1"/>
      <c r="P174" s="1"/>
      <c r="Q174" s="1"/>
      <c r="R174" s="1"/>
      <c r="S174" s="1"/>
      <c r="T174" s="1"/>
      <c r="U174" s="1"/>
      <c r="V174" s="1"/>
      <c r="W174" s="1"/>
    </row>
    <row r="175" spans="1:23">
      <c r="A175" s="3"/>
      <c r="B175" s="1"/>
      <c r="C175" s="1"/>
      <c r="D175" s="1"/>
      <c r="E175" s="1"/>
      <c r="F175" s="1"/>
      <c r="G175" s="1"/>
      <c r="H175" s="1"/>
      <c r="I175" s="2"/>
      <c r="J175" s="2"/>
      <c r="K175" s="1"/>
      <c r="L175" s="1"/>
      <c r="M175" s="1"/>
      <c r="N175" s="1"/>
      <c r="O175" s="1"/>
      <c r="P175" s="1"/>
      <c r="Q175" s="1"/>
      <c r="R175" s="1"/>
      <c r="S175" s="1"/>
      <c r="T175" s="1"/>
      <c r="U175" s="1"/>
      <c r="V175" s="1"/>
      <c r="W175" s="1"/>
    </row>
    <row r="176" spans="1:23">
      <c r="A176" s="6"/>
      <c r="B176" s="1"/>
      <c r="C176" s="1"/>
      <c r="D176" s="1"/>
      <c r="E176" s="1"/>
      <c r="F176" s="1"/>
      <c r="G176" s="1"/>
      <c r="H176" s="1"/>
      <c r="I176" s="2"/>
      <c r="J176" s="2"/>
      <c r="K176" s="1"/>
      <c r="L176" s="1"/>
      <c r="M176" s="1"/>
      <c r="N176" s="1"/>
      <c r="O176" s="1"/>
      <c r="P176" s="1"/>
      <c r="Q176" s="1"/>
      <c r="R176" s="1"/>
      <c r="S176" s="1"/>
      <c r="T176" s="1"/>
      <c r="U176" s="1"/>
      <c r="V176" s="1"/>
      <c r="W176" s="1"/>
    </row>
    <row r="177" spans="1:23" ht="23.25">
      <c r="A177" s="8" t="s">
        <v>556</v>
      </c>
      <c r="B177" s="1"/>
      <c r="C177" s="1"/>
      <c r="D177" s="1"/>
      <c r="E177" s="1"/>
      <c r="F177" s="1"/>
      <c r="G177" s="1"/>
      <c r="H177" s="1"/>
      <c r="I177" s="2"/>
      <c r="J177" s="2"/>
      <c r="K177" s="1"/>
      <c r="L177" s="1"/>
      <c r="M177" s="1"/>
      <c r="N177" s="1"/>
      <c r="O177" s="1"/>
      <c r="P177" s="1"/>
      <c r="Q177" s="1"/>
      <c r="R177" s="1"/>
      <c r="S177" s="1"/>
      <c r="T177" s="1"/>
      <c r="U177" s="1"/>
      <c r="V177" s="1"/>
      <c r="W177" s="1"/>
    </row>
    <row r="178" spans="1:23">
      <c r="A178" s="9" t="s">
        <v>231</v>
      </c>
      <c r="B178" s="1"/>
      <c r="C178" s="1"/>
      <c r="D178" s="1"/>
      <c r="E178" s="1"/>
      <c r="F178" s="1"/>
      <c r="G178" s="1"/>
      <c r="H178" s="1"/>
      <c r="I178" s="2"/>
      <c r="J178" s="2"/>
      <c r="K178" s="1"/>
      <c r="L178" s="1"/>
      <c r="M178" s="1"/>
      <c r="N178" s="1"/>
      <c r="O178" s="1"/>
      <c r="P178" s="1"/>
      <c r="Q178" s="1"/>
      <c r="R178" s="1"/>
      <c r="S178" s="1"/>
      <c r="T178" s="1"/>
      <c r="U178" s="1"/>
      <c r="V178" s="1"/>
      <c r="W178" s="1"/>
    </row>
    <row r="179" spans="1:23">
      <c r="A179" s="6"/>
      <c r="B179" s="1"/>
      <c r="C179" s="1"/>
      <c r="D179" s="1"/>
      <c r="E179" s="1"/>
      <c r="F179" s="1"/>
      <c r="G179" s="1"/>
      <c r="H179" s="1"/>
      <c r="I179" s="2"/>
      <c r="J179" s="2"/>
      <c r="K179" s="1"/>
      <c r="L179" s="1"/>
      <c r="M179" s="1"/>
      <c r="N179" s="1"/>
      <c r="O179" s="1"/>
      <c r="P179" s="1"/>
      <c r="Q179" s="1"/>
      <c r="R179" s="1"/>
      <c r="S179" s="1"/>
      <c r="T179" s="1"/>
      <c r="U179" s="1"/>
      <c r="V179" s="1"/>
      <c r="W179" s="1"/>
    </row>
    <row r="180" spans="1:23" ht="15.75">
      <c r="A180" s="4" t="s">
        <v>125</v>
      </c>
      <c r="B180" s="4" t="s">
        <v>195</v>
      </c>
      <c r="C180" s="4" t="s">
        <v>196</v>
      </c>
      <c r="D180" s="4" t="s">
        <v>197</v>
      </c>
      <c r="E180" s="4" t="s">
        <v>198</v>
      </c>
      <c r="F180" s="4" t="s">
        <v>199</v>
      </c>
      <c r="G180" s="4" t="s">
        <v>200</v>
      </c>
      <c r="H180" s="4" t="s">
        <v>156</v>
      </c>
      <c r="I180" s="29" t="s">
        <v>156</v>
      </c>
      <c r="J180" s="1"/>
      <c r="K180" s="1"/>
      <c r="L180" s="1"/>
      <c r="M180" s="1"/>
      <c r="N180" s="1"/>
      <c r="O180" s="1"/>
      <c r="P180" s="1"/>
      <c r="Q180" s="1"/>
      <c r="R180" s="1"/>
      <c r="S180" s="1"/>
      <c r="T180" s="1"/>
      <c r="U180" s="1"/>
      <c r="V180" s="1"/>
      <c r="W180" s="1"/>
    </row>
    <row r="181" spans="1:23" ht="15.75">
      <c r="A181" s="6"/>
      <c r="B181" s="1"/>
      <c r="C181" s="1"/>
      <c r="D181" s="1"/>
      <c r="E181" s="1"/>
      <c r="F181" s="1"/>
      <c r="G181" s="1"/>
      <c r="H181" s="20" t="s">
        <v>193</v>
      </c>
      <c r="I181" s="29" t="s">
        <v>194</v>
      </c>
      <c r="J181" s="29" t="s">
        <v>223</v>
      </c>
      <c r="K181" s="20"/>
      <c r="L181" s="20"/>
      <c r="M181" s="20"/>
      <c r="N181" s="20"/>
      <c r="O181" s="20"/>
      <c r="P181" s="20"/>
      <c r="Q181" s="20"/>
      <c r="R181" s="1"/>
      <c r="S181" s="1"/>
      <c r="T181" s="1"/>
      <c r="U181" s="1"/>
      <c r="V181" s="1"/>
      <c r="W181" s="1"/>
    </row>
    <row r="182" spans="1:23">
      <c r="A182" s="49" t="s">
        <v>141</v>
      </c>
      <c r="B182" s="50">
        <f>(COUNTIF('Database - Tornado Segments'!$S$8:$S$1207, "CarsonF0")+COUNTIF('Database - Tornado Segments'!$S$8:$S$1207, "CarsonEF0"))</f>
        <v>60</v>
      </c>
      <c r="C182" s="50">
        <f>(COUNTIF('Database - Tornado Segments'!$S$8:$S$1207, "CarsonF1")+COUNTIF('Database - Tornado Segments'!$S$8:$S$1207, "CarsonEF1"))</f>
        <v>12</v>
      </c>
      <c r="D182" s="50">
        <f>(COUNTIF('Database - Tornado Segments'!$S$8:$S$1207, "CarsonF2")+COUNTIF('Database - Tornado Segments'!$S$8:$S$1207, "CarsonEF2"))</f>
        <v>9</v>
      </c>
      <c r="E182" s="50">
        <f>(COUNTIF('Database - Tornado Segments'!$S$8:$S$1207, "CarsonF3")+COUNTIF('Database - Tornado Segments'!$S$8:$S$1207, "CarsonEF3"))</f>
        <v>3</v>
      </c>
      <c r="F182" s="50">
        <f>(COUNTIF('Database - Tornado Segments'!$S$8:$S$1207, "CarsonF4")+COUNTIF('Database - Tornado Segments'!$S$8:$S$1207, "CarsonEF4"))</f>
        <v>1</v>
      </c>
      <c r="G182" s="50">
        <f>(COUNTIF('Database - Tornado Segments'!$S$8:$S$1207, "CarsonF5")+COUNTIF('Database - Tornado Segments'!$S$8:$S$1207, "CarsonEF5"))</f>
        <v>0</v>
      </c>
      <c r="H182" s="21">
        <f t="shared" ref="H182:H204" si="0">SUM(B182:G182)</f>
        <v>85</v>
      </c>
      <c r="I182" s="1">
        <f>COUNTIF('Database - Tornado Segments'!$G$8:$G$1207,"Carson")</f>
        <v>85</v>
      </c>
      <c r="J182" s="30">
        <f t="shared" ref="J182:J204" si="1">+H182/$H$206</f>
        <v>7.4955908289241618E-2</v>
      </c>
      <c r="K182" s="1"/>
      <c r="L182" s="1"/>
      <c r="M182" s="1"/>
      <c r="N182" s="1"/>
      <c r="O182" s="1"/>
      <c r="P182" s="1"/>
      <c r="Q182" s="1"/>
      <c r="R182" s="1"/>
      <c r="S182" s="1"/>
      <c r="T182" s="1"/>
      <c r="U182" s="1"/>
      <c r="V182" s="1"/>
      <c r="W182" s="1"/>
    </row>
    <row r="183" spans="1:23">
      <c r="A183" s="49" t="s">
        <v>142</v>
      </c>
      <c r="B183" s="50">
        <f>(COUNTIF('Database - Tornado Segments'!$S$8:$S$1207, "GrayF0")+COUNTIF('Database - Tornado Segments'!$S$8:$S$1207, "GrayEF0"))</f>
        <v>40</v>
      </c>
      <c r="C183" s="50">
        <f>(COUNTIF('Database - Tornado Segments'!$S$8:$S$1207, "GrayF1")+COUNTIF('Database - Tornado Segments'!$S$8:$S$1207, "GrayEF1"))</f>
        <v>17</v>
      </c>
      <c r="D183" s="50">
        <f>(COUNTIF('Database - Tornado Segments'!$S$8:$S$1207, "GrayF2")+COUNTIF('Database - Tornado Segments'!$S$8:$S$1207, "GrayEF2"))</f>
        <v>12</v>
      </c>
      <c r="E183" s="50">
        <f>(COUNTIF('Database - Tornado Segments'!$S$8:$S$1207, "GrayF3")+COUNTIF('Database - Tornado Segments'!$S$8:$S$1207, "GrayEF3"))</f>
        <v>8</v>
      </c>
      <c r="F183" s="50">
        <f>(COUNTIF('Database - Tornado Segments'!$S$8:$S$1207, "GrayF4")+COUNTIF('Database - Tornado Segments'!$S$8:$S$1207, "GrayEF4"))</f>
        <v>4</v>
      </c>
      <c r="G183" s="50">
        <f>(COUNTIF('Database - Tornado Segments'!$S$8:$S$1207, "GrayF5")+COUNTIF('Database - Tornado Segments'!$S$8:$S$1207, "GrayEF5"))</f>
        <v>0</v>
      </c>
      <c r="H183" s="21">
        <f>SUM(B183:G183)</f>
        <v>81</v>
      </c>
      <c r="I183" s="1">
        <f>COUNTIF('Database - Tornado Segments'!$G$8:$G$1207,"Gray")</f>
        <v>81</v>
      </c>
      <c r="J183" s="30">
        <f t="shared" si="1"/>
        <v>7.1428571428571425E-2</v>
      </c>
      <c r="K183" s="1"/>
      <c r="L183" s="1"/>
      <c r="M183" s="1"/>
      <c r="N183" s="1"/>
      <c r="O183" s="1"/>
      <c r="P183" s="1"/>
      <c r="Q183" s="1"/>
      <c r="R183" s="1"/>
      <c r="S183" s="1"/>
      <c r="T183" s="1"/>
      <c r="U183" s="1"/>
      <c r="V183" s="1"/>
      <c r="W183" s="1"/>
    </row>
    <row r="184" spans="1:23">
      <c r="A184" s="49" t="s">
        <v>145</v>
      </c>
      <c r="B184" s="50">
        <f>(COUNTIF('Database - Tornado Segments'!$S$8:$S$1207, "RandallF0")+COUNTIF('Database - Tornado Segments'!$S$8:$S$1207, "RandallEF0"))</f>
        <v>51</v>
      </c>
      <c r="C184" s="50">
        <f>(COUNTIF('Database - Tornado Segments'!$S$8:$S$1207, "RandallF1")+COUNTIF('Database - Tornado Segments'!$S$8:$S$1207, "RandallEF1"))</f>
        <v>12</v>
      </c>
      <c r="D184" s="50">
        <f>(COUNTIF('Database - Tornado Segments'!$S$8:$S$1207, "RandallF2")+COUNTIF('Database - Tornado Segments'!$S$8:$S$1207, "RandallEF2"))</f>
        <v>9</v>
      </c>
      <c r="E184" s="50">
        <f>(COUNTIF('Database - Tornado Segments'!$S$8:$S$1207, "RandallF3")+COUNTIF('Database - Tornado Segments'!$S$8:$S$1207, "RandallEF3"))</f>
        <v>1</v>
      </c>
      <c r="F184" s="50">
        <f>(COUNTIF('Database - Tornado Segments'!$S$8:$S$1207, "RandallF4")+COUNTIF('Database - Tornado Segments'!$S$8:$S$1207, "RandallEF4"))</f>
        <v>1</v>
      </c>
      <c r="G184" s="50">
        <f>(COUNTIF('Database - Tornado Segments'!$S$8:$S$1207, "RandallF5")+COUNTIF('Database - Tornado Segments'!$S$8:$S$1207, "RandallEF5"))</f>
        <v>0</v>
      </c>
      <c r="H184" s="21">
        <f t="shared" si="0"/>
        <v>74</v>
      </c>
      <c r="I184" s="1">
        <f>COUNTIF('Database - Tornado Segments'!$G$8:$G$1207,"Randall")</f>
        <v>74</v>
      </c>
      <c r="J184" s="30">
        <f t="shared" si="1"/>
        <v>6.5255731922398585E-2</v>
      </c>
      <c r="K184" s="1"/>
      <c r="L184" s="1"/>
      <c r="M184" s="1"/>
      <c r="N184" s="1"/>
      <c r="O184" s="1"/>
      <c r="P184" s="1"/>
      <c r="Q184" s="1"/>
      <c r="R184" s="1"/>
      <c r="S184" s="1"/>
      <c r="T184" s="1"/>
      <c r="U184" s="1"/>
      <c r="V184" s="1"/>
      <c r="W184" s="1"/>
    </row>
    <row r="185" spans="1:23">
      <c r="A185" s="49" t="s">
        <v>136</v>
      </c>
      <c r="B185" s="50">
        <f>(COUNTIF('Database - Tornado Segments'!$S$8:$S$1207, "HutchinsonF0")+COUNTIF('Database - Tornado Segments'!$S$8:$S$1207, "HutchinsonEF0"))</f>
        <v>37</v>
      </c>
      <c r="C185" s="50">
        <f>(COUNTIF('Database - Tornado Segments'!$S$8:$S$1207, "HutchinsonF1")+COUNTIF('Database - Tornado Segments'!$S$8:$S$1207, "HutchinsonEF1"))</f>
        <v>19</v>
      </c>
      <c r="D185" s="50">
        <f>(COUNTIF('Database - Tornado Segments'!$S$8:$S$1207, "HutchinsonF2")+COUNTIF('Database - Tornado Segments'!$S$8:$S$1207, "HutchinsonEF2"))</f>
        <v>11</v>
      </c>
      <c r="E185" s="50">
        <f>(COUNTIF('Database - Tornado Segments'!$S$8:$S$1207, "HutchinsonF3")+COUNTIF('Database - Tornado Segments'!$S$8:$S$1207, "HutchinsonEF3"))</f>
        <v>1</v>
      </c>
      <c r="F185" s="50">
        <f>(COUNTIF('Database - Tornado Segments'!$S$8:$S$1207, "HutchinsonF4")+COUNTIF('Database - Tornado Segments'!$S$8:$S$1207, "HutchinsonEF4"))</f>
        <v>1</v>
      </c>
      <c r="G185" s="50">
        <f>(COUNTIF('Database - Tornado Segments'!$S$8:$S$1207, "HutchinsonF5")+COUNTIF('Database - Tornado Segments'!$S$8:$S$1207, "HutchinsonEF5"))</f>
        <v>0</v>
      </c>
      <c r="H185" s="21">
        <f>SUM(B185:G185)</f>
        <v>69</v>
      </c>
      <c r="I185" s="1">
        <f>COUNTIF('Database - Tornado Segments'!$G$8:$G$1207,"Hutchinson")</f>
        <v>69</v>
      </c>
      <c r="J185" s="30">
        <f t="shared" si="1"/>
        <v>6.0846560846560843E-2</v>
      </c>
      <c r="K185" s="1"/>
      <c r="L185" s="1"/>
      <c r="M185" s="1"/>
      <c r="N185" s="1"/>
      <c r="O185" s="1"/>
      <c r="P185" s="1"/>
      <c r="Q185" s="1"/>
      <c r="R185" s="1"/>
      <c r="S185" s="1"/>
      <c r="T185" s="1"/>
      <c r="U185" s="1"/>
      <c r="V185" s="1"/>
      <c r="W185" s="1"/>
    </row>
    <row r="186" spans="1:23">
      <c r="A186" s="49" t="s">
        <v>127</v>
      </c>
      <c r="B186" s="50">
        <f>(COUNTIF('Database - Tornado Segments'!$S$8:$S$1207, "TexasF0")+COUNTIF('Database - Tornado Segments'!$S$8:$S$1207, "TexasEF0"))</f>
        <v>43</v>
      </c>
      <c r="C186" s="50">
        <f>(COUNTIF('Database - Tornado Segments'!$S$8:$S$1207, "TexasF1")+COUNTIF('Database - Tornado Segments'!$S$8:$S$1207, "TexasEF1"))</f>
        <v>16</v>
      </c>
      <c r="D186" s="50">
        <f>(COUNTIF('Database - Tornado Segments'!$S$8:$S$1207, "TexasF2")+COUNTIF('Database - Tornado Segments'!$S$8:$S$1207, "TexasEF2"))</f>
        <v>7</v>
      </c>
      <c r="E186" s="50">
        <f>(COUNTIF('Database - Tornado Segments'!$S$8:$S$1207, "TexasF3")+COUNTIF('Database - Tornado Segments'!$S$8:$S$1207, "TexasEF3"))</f>
        <v>2</v>
      </c>
      <c r="F186" s="50">
        <f>(COUNTIF('Database - Tornado Segments'!$S$8:$S$1207, "TexasF4")+COUNTIF('Database - Tornado Segments'!$S$8:$S$1207, "TexasEF4"))</f>
        <v>0</v>
      </c>
      <c r="G186" s="50">
        <f>(COUNTIF('Database - Tornado Segments'!$S$8:$S$1207, "TexasF5")+COUNTIF('Database - Tornado Segments'!$S$8:$S$1207, "TexasEF5"))</f>
        <v>0</v>
      </c>
      <c r="H186" s="21">
        <f>SUM(B186:G186)</f>
        <v>68</v>
      </c>
      <c r="I186" s="1">
        <f>COUNTIF('Database - Tornado Segments'!$G$8:$G$1207,"Texas")</f>
        <v>68</v>
      </c>
      <c r="J186" s="30">
        <f t="shared" si="1"/>
        <v>5.9964726631393295E-2</v>
      </c>
      <c r="K186" s="1"/>
      <c r="L186" s="1"/>
      <c r="M186" s="1"/>
      <c r="N186" s="1"/>
      <c r="O186" s="1"/>
      <c r="P186" s="1"/>
      <c r="Q186" s="1"/>
      <c r="R186" s="1"/>
      <c r="S186" s="1"/>
      <c r="T186" s="1"/>
      <c r="U186" s="1"/>
      <c r="V186" s="1"/>
      <c r="W186" s="1"/>
    </row>
    <row r="187" spans="1:23">
      <c r="A187" s="49" t="s">
        <v>128</v>
      </c>
      <c r="B187" s="50">
        <f>(COUNTIF('Database - Tornado Segments'!$S$8:$S$1207, "BeaverF0")+COUNTIF('Database - Tornado Segments'!$S$8:$S$1207, "BeaverEF0"))</f>
        <v>39</v>
      </c>
      <c r="C187" s="50">
        <f>(COUNTIF('Database - Tornado Segments'!$S$8:$S$1207, "BeaverF1")+COUNTIF('Database - Tornado Segments'!$S$8:$S$1207, "BeaverEF1"))</f>
        <v>16</v>
      </c>
      <c r="D187" s="50">
        <f>(COUNTIF('Database - Tornado Segments'!$S$8:$S$1207, "BeaverF2")+COUNTIF('Database - Tornado Segments'!$S$8:$S$1207, "BeaverEF2"))</f>
        <v>10</v>
      </c>
      <c r="E187" s="50">
        <f>(COUNTIF('Database - Tornado Segments'!$S$8:$S$1207, "BeaverF3")+COUNTIF('Database - Tornado Segments'!$S$8:$S$1207, "BeaverEF3"))</f>
        <v>2</v>
      </c>
      <c r="F187" s="50">
        <f>(COUNTIF('Database - Tornado Segments'!$S$8:$S$1207, "BeaverF4")+COUNTIF('Database - Tornado Segments'!$S$8:$S$1207, "BeaverEF4"))</f>
        <v>0</v>
      </c>
      <c r="G187" s="50">
        <f>(COUNTIF('Database - Tornado Segments'!$S$8:$S$1207, "BeaverF5")+COUNTIF('Database - Tornado Segments'!$S$8:$S$1207, "BeaverEF5"))</f>
        <v>0</v>
      </c>
      <c r="H187" s="1">
        <f t="shared" si="0"/>
        <v>67</v>
      </c>
      <c r="I187" s="1">
        <f>COUNTIF('Database - Tornado Segments'!$G$8:$G$1207,"Beaver")</f>
        <v>67</v>
      </c>
      <c r="J187" s="30">
        <f t="shared" si="1"/>
        <v>5.9082892416225746E-2</v>
      </c>
      <c r="K187" s="1"/>
      <c r="L187" s="1"/>
      <c r="M187" s="1"/>
      <c r="N187" s="1"/>
      <c r="O187" s="1"/>
      <c r="P187" s="1"/>
      <c r="Q187" s="1"/>
      <c r="R187" s="1"/>
      <c r="S187" s="1"/>
      <c r="T187" s="1"/>
      <c r="U187" s="1"/>
      <c r="V187" s="1"/>
      <c r="W187" s="1"/>
    </row>
    <row r="188" spans="1:23">
      <c r="A188" s="49" t="s">
        <v>131</v>
      </c>
      <c r="B188" s="50">
        <f>(COUNTIF('Database - Tornado Segments'!$S$8:$S$1207, "HansfordF0")+COUNTIF('Database - Tornado Segments'!$S$8:$S$1207, "HansfordEF0"))</f>
        <v>40</v>
      </c>
      <c r="C188" s="50">
        <f>(COUNTIF('Database - Tornado Segments'!$S$8:$S$1207, "HansfordF1")+COUNTIF('Database - Tornado Segments'!$S$8:$S$1207, "HansfordEF1"))</f>
        <v>9</v>
      </c>
      <c r="D188" s="50">
        <f>(COUNTIF('Database - Tornado Segments'!$S$8:$S$1207, "HansfordF2")+COUNTIF('Database - Tornado Segments'!$S$8:$S$1207, "HansfordEF2"))</f>
        <v>4</v>
      </c>
      <c r="E188" s="50">
        <f>(COUNTIF('Database - Tornado Segments'!$S$8:$S$1207, "HansfordF3")+COUNTIF('Database - Tornado Segments'!$S$8:$S$1207, "HansfordEF3"))</f>
        <v>1</v>
      </c>
      <c r="F188" s="50">
        <f>(COUNTIF('Database - Tornado Segments'!$S$8:$S$1207, "HansfordF4")+COUNTIF('Database - Tornado Segments'!$S$8:$S$1207, "HansfordEF4"))</f>
        <v>2</v>
      </c>
      <c r="G188" s="50">
        <f>(COUNTIF('Database - Tornado Segments'!$S$8:$S$1207, "HansfordF5")+COUNTIF('Database - Tornado Segments'!$S$8:$S$1207, "HansfordEF5"))</f>
        <v>0</v>
      </c>
      <c r="H188" s="1">
        <f t="shared" si="0"/>
        <v>56</v>
      </c>
      <c r="I188" s="1">
        <f>COUNTIF('Database - Tornado Segments'!$G$8:$G$1207,"Hansford")</f>
        <v>56</v>
      </c>
      <c r="J188" s="30">
        <f t="shared" si="1"/>
        <v>4.9382716049382713E-2</v>
      </c>
      <c r="K188" s="1"/>
      <c r="L188" s="1"/>
      <c r="M188" s="1"/>
      <c r="N188" s="1"/>
      <c r="O188" s="1"/>
      <c r="P188" s="1"/>
      <c r="Q188" s="1"/>
      <c r="R188" s="1"/>
      <c r="S188" s="1"/>
      <c r="T188" s="1"/>
      <c r="U188" s="1"/>
      <c r="V188" s="1"/>
      <c r="W188" s="1"/>
    </row>
    <row r="189" spans="1:23">
      <c r="A189" s="49" t="s">
        <v>132</v>
      </c>
      <c r="B189" s="50">
        <f>(COUNTIF('Database - Tornado Segments'!$S$8:$S$1207, "OchiltreeF0")+COUNTIF('Database - Tornado Segments'!$S$8:$S$1207, "OchiltreeEF0"))</f>
        <v>28</v>
      </c>
      <c r="C189" s="50">
        <f>(COUNTIF('Database - Tornado Segments'!$S$8:$S$1207, "OchiltreeF1")+COUNTIF('Database - Tornado Segments'!$S$8:$S$1207, "OchiltreeEF1"))</f>
        <v>16</v>
      </c>
      <c r="D189" s="50">
        <f>(COUNTIF('Database - Tornado Segments'!$S$8:$S$1207, "OchiltreeF2")+COUNTIF('Database - Tornado Segments'!$S$8:$S$1207, "OchiltreeEF2"))</f>
        <v>7</v>
      </c>
      <c r="E189" s="50">
        <f>(COUNTIF('Database - Tornado Segments'!$S$8:$S$1207, "OchiltreeF3")+COUNTIF('Database - Tornado Segments'!$S$8:$S$1207, "OchiltreeEF3"))</f>
        <v>3</v>
      </c>
      <c r="F189" s="50">
        <f>(COUNTIF('Database - Tornado Segments'!$S$8:$S$1207, "OchiltreeF4")+COUNTIF('Database - Tornado Segments'!$S$8:$S$1207, "OchiltreeEF4"))</f>
        <v>1</v>
      </c>
      <c r="G189" s="50">
        <f>(COUNTIF('Database - Tornado Segments'!$S$8:$S$1207, "OchiltreeF5")+COUNTIF('Database - Tornado Segments'!$S$8:$S$1207, "OchiltreeEF5"))</f>
        <v>0</v>
      </c>
      <c r="H189" s="1">
        <f>SUM(B189:G189)</f>
        <v>55</v>
      </c>
      <c r="I189" s="1">
        <f>COUNTIF('Database - Tornado Segments'!$G$8:$G$1207,"Ochiltree")</f>
        <v>55</v>
      </c>
      <c r="J189" s="30">
        <f t="shared" si="1"/>
        <v>4.8500881834215165E-2</v>
      </c>
      <c r="K189" s="1"/>
      <c r="L189" s="1"/>
      <c r="M189" s="1"/>
      <c r="N189" s="1"/>
      <c r="O189" s="1"/>
      <c r="P189" s="1"/>
      <c r="Q189" s="1"/>
      <c r="R189" s="1"/>
      <c r="S189" s="1"/>
      <c r="T189" s="1"/>
      <c r="U189" s="1"/>
      <c r="V189" s="1"/>
      <c r="W189" s="1"/>
    </row>
    <row r="190" spans="1:23">
      <c r="A190" s="49" t="s">
        <v>147</v>
      </c>
      <c r="B190" s="50">
        <f>(COUNTIF('Database - Tornado Segments'!$S$8:$S$1207, "DonleyF0")+COUNTIF('Database - Tornado Segments'!$S$8:$S$1207, "DonleyEF0"))</f>
        <v>33</v>
      </c>
      <c r="C190" s="50">
        <f>(COUNTIF('Database - Tornado Segments'!$S$8:$S$1207, "DonleyF1")+COUNTIF('Database - Tornado Segments'!$S$8:$S$1207, "DonleyEF1"))</f>
        <v>7</v>
      </c>
      <c r="D190" s="50">
        <f>(COUNTIF('Database - Tornado Segments'!$S$8:$S$1207, "DonleyF2")+COUNTIF('Database - Tornado Segments'!$S$8:$S$1207, "DonleyEF2"))</f>
        <v>8</v>
      </c>
      <c r="E190" s="50">
        <f>(COUNTIF('Database - Tornado Segments'!$S$8:$S$1207, "DonleyF3")+COUNTIF('Database - Tornado Segments'!$S$8:$S$1207, "DonleyEF3"))</f>
        <v>2</v>
      </c>
      <c r="F190" s="50">
        <f>(COUNTIF('Database - Tornado Segments'!$S$8:$S$1207, "DonleyF4")+COUNTIF('Database - Tornado Segments'!$S$8:$S$1207, "DonleyEF4"))</f>
        <v>4</v>
      </c>
      <c r="G190" s="50">
        <f>(COUNTIF('Database - Tornado Segments'!$S$8:$S$1207, "DonleyF5")+COUNTIF('Database - Tornado Segments'!$S$8:$S$1207, "DonleyEF5"))</f>
        <v>0</v>
      </c>
      <c r="H190" s="1">
        <f>SUM(B190:G190)</f>
        <v>54</v>
      </c>
      <c r="I190" s="1">
        <f>COUNTIF('Database - Tornado Segments'!$G$8:$G$1207,"Donley")</f>
        <v>54</v>
      </c>
      <c r="J190" s="30">
        <f t="shared" si="1"/>
        <v>4.7619047619047616E-2</v>
      </c>
      <c r="K190" s="1"/>
      <c r="L190" s="1"/>
      <c r="M190" s="1"/>
      <c r="N190" s="1"/>
      <c r="O190" s="1"/>
      <c r="P190" s="1"/>
      <c r="Q190" s="1"/>
      <c r="R190" s="1"/>
      <c r="S190" s="1"/>
      <c r="T190" s="1"/>
      <c r="U190" s="1"/>
      <c r="V190" s="1"/>
      <c r="W190" s="1"/>
    </row>
    <row r="191" spans="1:23">
      <c r="A191" s="49" t="s">
        <v>135</v>
      </c>
      <c r="B191" s="50">
        <f>(COUNTIF('Database - Tornado Segments'!$S$8:$S$1207, "MooreF0")+COUNTIF('Database - Tornado Segments'!$S$8:$S$1207, "MooreEF0"))</f>
        <v>36</v>
      </c>
      <c r="C191" s="50">
        <f>(COUNTIF('Database - Tornado Segments'!$S$8:$S$1207, "MooreF1")+COUNTIF('Database - Tornado Segments'!$S$8:$S$1207, "MooreEF1"))</f>
        <v>8</v>
      </c>
      <c r="D191" s="50">
        <f>(COUNTIF('Database - Tornado Segments'!$S$8:$S$1207, "MooreF2")+COUNTIF('Database - Tornado Segments'!$S$8:$S$1207, "MooreEF2"))</f>
        <v>6</v>
      </c>
      <c r="E191" s="50">
        <f>(COUNTIF('Database - Tornado Segments'!$S$8:$S$1207, "MooreF3")+COUNTIF('Database - Tornado Segments'!$S$8:$S$1207, "MooreEF3"))</f>
        <v>1</v>
      </c>
      <c r="F191" s="50">
        <f>(COUNTIF('Database - Tornado Segments'!$S$8:$S$1207, "MooreF4")+COUNTIF('Database - Tornado Segments'!$S$8:$S$1207, "MooreEF4"))</f>
        <v>2</v>
      </c>
      <c r="G191" s="50">
        <f>(COUNTIF('Database - Tornado Segments'!$S$8:$S$1207, "MooreF5")+COUNTIF('Database - Tornado Segments'!$S$8:$S$1207, "MooreEF5"))</f>
        <v>0</v>
      </c>
      <c r="H191" s="1">
        <f>SUM(B191:G191)</f>
        <v>53</v>
      </c>
      <c r="I191" s="1">
        <f>COUNTIF('Database - Tornado Segments'!$G$8:$G$1207,"Moore")</f>
        <v>53</v>
      </c>
      <c r="J191" s="30">
        <f t="shared" si="1"/>
        <v>4.6737213403880068E-2</v>
      </c>
      <c r="K191" s="1"/>
      <c r="L191" s="1"/>
      <c r="M191" s="1"/>
      <c r="N191" s="1"/>
      <c r="O191" s="1"/>
      <c r="P191" s="1"/>
      <c r="Q191" s="1"/>
      <c r="R191" s="1"/>
      <c r="S191" s="1"/>
      <c r="T191" s="1"/>
      <c r="U191" s="1"/>
      <c r="V191" s="1"/>
      <c r="W191" s="1"/>
    </row>
    <row r="192" spans="1:23">
      <c r="A192" s="49" t="s">
        <v>143</v>
      </c>
      <c r="B192" s="50">
        <f>(COUNTIF('Database - Tornado Segments'!$S$8:$S$1207, "WheelerF0")+COUNTIF('Database - Tornado Segments'!$S$8:$S$1207, "WheelerEF0"))</f>
        <v>27</v>
      </c>
      <c r="C192" s="50">
        <f>(COUNTIF('Database - Tornado Segments'!$S$8:$S$1207, "WheelerF1")+COUNTIF('Database - Tornado Segments'!$S$8:$S$1207, "WheelerEF1"))</f>
        <v>7</v>
      </c>
      <c r="D192" s="50">
        <f>(COUNTIF('Database - Tornado Segments'!$S$8:$S$1207, "WheelerF2")+COUNTIF('Database - Tornado Segments'!$S$8:$S$1207, "WheelerEF2"))</f>
        <v>6</v>
      </c>
      <c r="E192" s="50">
        <f>(COUNTIF('Database - Tornado Segments'!$S$8:$S$1207, "WheelerF3")+COUNTIF('Database - Tornado Segments'!$S$8:$S$1207, "WheelerEF3"))</f>
        <v>6</v>
      </c>
      <c r="F192" s="50">
        <f>(COUNTIF('Database - Tornado Segments'!$S$8:$S$1207, "WheelerF4")+COUNTIF('Database - Tornado Segments'!$S$8:$S$1207, "WheelerEF4"))</f>
        <v>3</v>
      </c>
      <c r="G192" s="50">
        <f>(COUNTIF('Database - Tornado Segments'!$S$8:$S$1207, "WheelerF5")+COUNTIF('Database - Tornado Segments'!$S$8:$S$1207, "WheelerEF5"))</f>
        <v>0</v>
      </c>
      <c r="H192" s="1">
        <f t="shared" si="0"/>
        <v>49</v>
      </c>
      <c r="I192" s="1">
        <f>COUNTIF('Database - Tornado Segments'!$G$8:$G$1207,"Wheeler")</f>
        <v>49</v>
      </c>
      <c r="J192" s="30">
        <f t="shared" si="1"/>
        <v>4.3209876543209874E-2</v>
      </c>
      <c r="K192" s="1"/>
      <c r="L192" s="1"/>
      <c r="M192" s="1"/>
      <c r="N192" s="1"/>
      <c r="O192" s="1"/>
      <c r="P192" s="1"/>
      <c r="Q192" s="1"/>
      <c r="R192" s="1"/>
      <c r="S192" s="1"/>
      <c r="T192" s="1"/>
      <c r="U192" s="1"/>
      <c r="V192" s="1"/>
      <c r="W192" s="1"/>
    </row>
    <row r="193" spans="1:23">
      <c r="A193" s="49" t="s">
        <v>138</v>
      </c>
      <c r="B193" s="50">
        <f>(COUNTIF('Database - Tornado Segments'!$S$8:$S$1207, "HemphillF0")+COUNTIF('Database - Tornado Segments'!$S$8:$S$1207, "HemphillEF0"))</f>
        <v>27</v>
      </c>
      <c r="C193" s="50">
        <f>(COUNTIF('Database - Tornado Segments'!$S$8:$S$1207, "HemphillF1")+COUNTIF('Database - Tornado Segments'!$S$8:$S$1207, "HemphillEF1"))</f>
        <v>11</v>
      </c>
      <c r="D193" s="50">
        <f>(COUNTIF('Database - Tornado Segments'!$S$8:$S$1207, "HemphillF2")+COUNTIF('Database - Tornado Segments'!$S$8:$S$1207, "HemphillEF2"))</f>
        <v>3</v>
      </c>
      <c r="E193" s="50">
        <f>(COUNTIF('Database - Tornado Segments'!$S$8:$S$1207, "HemphillF3")+COUNTIF('Database - Tornado Segments'!$S$8:$S$1207, "HemphillEF3"))</f>
        <v>2</v>
      </c>
      <c r="F193" s="50">
        <f>(COUNTIF('Database - Tornado Segments'!$S$8:$S$1207, "HemphillF4")+COUNTIF('Database - Tornado Segments'!$S$8:$S$1207, "HemphillEF4"))</f>
        <v>1</v>
      </c>
      <c r="G193" s="50">
        <f>(COUNTIF('Database - Tornado Segments'!$S$8:$S$1207, "HemphillF5")+COUNTIF('Database - Tornado Segments'!$S$8:$S$1207, "HemphillEF5"))</f>
        <v>0</v>
      </c>
      <c r="H193" s="1">
        <f>SUM(B193:G193)</f>
        <v>44</v>
      </c>
      <c r="I193" s="1">
        <f>COUNTIF('Database - Tornado Segments'!$G$8:$G$1207,"Hemphill")</f>
        <v>44</v>
      </c>
      <c r="J193" s="30">
        <f t="shared" si="1"/>
        <v>3.8800705467372132E-2</v>
      </c>
      <c r="K193" s="1"/>
      <c r="L193" s="1"/>
      <c r="M193" s="1"/>
      <c r="N193" s="1"/>
      <c r="O193" s="1"/>
      <c r="P193" s="1"/>
      <c r="Q193" s="1"/>
      <c r="R193" s="1"/>
      <c r="S193" s="1"/>
      <c r="T193" s="1"/>
      <c r="U193" s="1"/>
      <c r="V193" s="1"/>
      <c r="W193" s="1"/>
    </row>
    <row r="194" spans="1:23">
      <c r="A194" s="49" t="s">
        <v>126</v>
      </c>
      <c r="B194" s="50">
        <f>(COUNTIF('Database - Tornado Segments'!$S$8:$S$1207, "CimarronF0")+COUNTIF('Database - Tornado Segments'!$S$8:$S$1207, "CimarronEF0"))</f>
        <v>24</v>
      </c>
      <c r="C194" s="50">
        <f>(COUNTIF('Database - Tornado Segments'!$S$8:$S$1207, "CimarronF1")+COUNTIF('Database - Tornado Segments'!$S$8:$S$1207, "CimarronEF1"))</f>
        <v>10</v>
      </c>
      <c r="D194" s="50">
        <f>(COUNTIF('Database - Tornado Segments'!$S$8:$S$1207, "CimarronF2")+COUNTIF('Database - Tornado Segments'!$S$8:$S$1207, "CimarronEF2"))</f>
        <v>3</v>
      </c>
      <c r="E194" s="50">
        <f>(COUNTIF('Database - Tornado Segments'!$S$8:$S$1207, "CimarronF3")+COUNTIF('Database - Tornado Segments'!$S$8:$S$1207, "CimarronEF3"))</f>
        <v>0</v>
      </c>
      <c r="F194" s="50">
        <f>(COUNTIF('Database - Tornado Segments'!$S$8:$S$1207, "CimarronF4")+COUNTIF('Database - Tornado Segments'!$S$8:$S$1207, "CimarronEF4"))</f>
        <v>1</v>
      </c>
      <c r="G194" s="50">
        <f>(COUNTIF('Database - Tornado Segments'!$S$8:$S$1207, "CimarronF5")+COUNTIF('Database - Tornado Segments'!$S$8:$S$1207, "CimarronEF5"))</f>
        <v>0</v>
      </c>
      <c r="H194" s="1">
        <f>SUM(B194:G194)</f>
        <v>38</v>
      </c>
      <c r="I194" s="1">
        <f>COUNTIF('Database - Tornado Segments'!$G$8:$G$1207,"Cimarron")</f>
        <v>38</v>
      </c>
      <c r="J194" s="30">
        <f t="shared" si="1"/>
        <v>3.3509700176366841E-2</v>
      </c>
      <c r="K194" s="1"/>
      <c r="L194" s="1"/>
      <c r="M194" s="1"/>
      <c r="N194" s="1"/>
      <c r="O194" s="1"/>
      <c r="P194" s="1"/>
      <c r="Q194" s="1"/>
      <c r="R194" s="1"/>
      <c r="S194" s="1"/>
      <c r="T194" s="1"/>
      <c r="U194" s="1"/>
      <c r="V194" s="1"/>
      <c r="W194" s="1"/>
    </row>
    <row r="195" spans="1:23">
      <c r="A195" s="49" t="s">
        <v>148</v>
      </c>
      <c r="B195" s="50">
        <f>(COUNTIF('Database - Tornado Segments'!$S$8:$S$1207, "CollingsworthF0")+COUNTIF('Database - Tornado Segments'!$S$8:$S$1207, "CollingsworthEF0"))</f>
        <v>18</v>
      </c>
      <c r="C195" s="50">
        <f>(COUNTIF('Database - Tornado Segments'!$S$8:$S$1207, "CollingsworthF1")+COUNTIF('Database - Tornado Segments'!$S$8:$S$1207, "CollingsworthEF1"))</f>
        <v>11</v>
      </c>
      <c r="D195" s="50">
        <f>(COUNTIF('Database - Tornado Segments'!$S$8:$S$1207, "CollingsworthF2")+COUNTIF('Database - Tornado Segments'!$S$8:$S$1207, "CollingsworthEF2"))</f>
        <v>3</v>
      </c>
      <c r="E195" s="50">
        <f>(COUNTIF('Database - Tornado Segments'!$S$8:$S$1207, "CollingsworthF3")+COUNTIF('Database - Tornado Segments'!$S$8:$S$1207, "CollingsworthEF3"))</f>
        <v>5</v>
      </c>
      <c r="F195" s="50">
        <f>(COUNTIF('Database - Tornado Segments'!$S$8:$S$1207, "CollingsworthF4")+COUNTIF('Database - Tornado Segments'!$S$8:$S$1207, "CollingsworthEF4"))</f>
        <v>1</v>
      </c>
      <c r="G195" s="50">
        <f>(COUNTIF('Database - Tornado Segments'!$S$8:$S$1207, "CollingsworthF5")+COUNTIF('Database - Tornado Segments'!$S$8:$S$1207, "CollingsworthEF5"))</f>
        <v>0</v>
      </c>
      <c r="H195" s="1">
        <f>SUM(B195:G195)</f>
        <v>38</v>
      </c>
      <c r="I195" s="1">
        <f>COUNTIF('Database - Tornado Segments'!$G$8:$G$1207,"Collingsworth")</f>
        <v>38</v>
      </c>
      <c r="J195" s="30">
        <f t="shared" si="1"/>
        <v>3.3509700176366841E-2</v>
      </c>
      <c r="K195" s="1"/>
      <c r="L195" s="1"/>
      <c r="M195" s="1"/>
      <c r="N195" s="1"/>
      <c r="O195" s="1"/>
      <c r="P195" s="1"/>
      <c r="Q195" s="1"/>
      <c r="R195" s="1"/>
      <c r="S195" s="1"/>
      <c r="T195" s="1"/>
      <c r="U195" s="1"/>
      <c r="V195" s="1"/>
      <c r="W195" s="1"/>
    </row>
    <row r="196" spans="1:23">
      <c r="A196" s="49" t="s">
        <v>146</v>
      </c>
      <c r="B196" s="50">
        <f>(COUNTIF('Database - Tornado Segments'!$S$8:$S$1207, "ArmstrongF0")+COUNTIF('Database - Tornado Segments'!$S$8:$S$1207, "ArmstrongEF0"))</f>
        <v>27</v>
      </c>
      <c r="C196" s="50">
        <f>(COUNTIF('Database - Tornado Segments'!$S$8:$S$1207, "ArmstrongF1")+COUNTIF('Database - Tornado Segments'!$S$8:$S$1207, "ArmstrongEF1"))</f>
        <v>7</v>
      </c>
      <c r="D196" s="50">
        <f>(COUNTIF('Database - Tornado Segments'!$S$8:$S$1207, "ArmstrongF2")+COUNTIF('Database - Tornado Segments'!$S$8:$S$1207, "ArmstrongEF2"))</f>
        <v>4</v>
      </c>
      <c r="E196" s="50">
        <f>(COUNTIF('Database - Tornado Segments'!$S$8:$S$1207, "ArmstrongF3")+COUNTIF('Database - Tornado Segments'!$S$8:$S$1207, "ArmstrongEF3"))</f>
        <v>0</v>
      </c>
      <c r="F196" s="50">
        <f>(COUNTIF('Database - Tornado Segments'!$S$8:$S$1207, "ArmstrongF4")+COUNTIF('Database - Tornado Segments'!$S$8:$S$1207, "ArmstrongEF4"))</f>
        <v>0</v>
      </c>
      <c r="G196" s="50">
        <f>(COUNTIF('Database - Tornado Segments'!$S$8:$S$1207, "ArmstrongF5")+COUNTIF('Database - Tornado Segments'!$S$8:$S$1207, "ArmstrongEF5"))</f>
        <v>0</v>
      </c>
      <c r="H196" s="1">
        <f>SUM(B196:G196)</f>
        <v>38</v>
      </c>
      <c r="I196" s="1">
        <f>COUNTIF('Database - Tornado Segments'!$G$8:$G$1207,"Armstrong")</f>
        <v>38</v>
      </c>
      <c r="J196" s="30">
        <f t="shared" si="1"/>
        <v>3.3509700176366841E-2</v>
      </c>
      <c r="K196" s="1"/>
      <c r="L196" s="1"/>
      <c r="M196" s="1"/>
      <c r="N196" s="1"/>
      <c r="O196" s="1"/>
      <c r="P196" s="1"/>
      <c r="Q196" s="1"/>
      <c r="R196" s="1"/>
      <c r="S196" s="1"/>
      <c r="T196" s="1"/>
      <c r="U196" s="1"/>
      <c r="V196" s="1"/>
      <c r="W196" s="1"/>
    </row>
    <row r="197" spans="1:23">
      <c r="A197" s="49" t="s">
        <v>130</v>
      </c>
      <c r="B197" s="50">
        <f>(COUNTIF('Database - Tornado Segments'!$S$8:$S$1207, "ShermanF0")+COUNTIF('Database - Tornado Segments'!$S$8:$S$1207, "ShermanEF0"))</f>
        <v>27</v>
      </c>
      <c r="C197" s="50">
        <f>(COUNTIF('Database - Tornado Segments'!$S$8:$S$1207, "ShermanF1")+COUNTIF('Database - Tornado Segments'!$S$8:$S$1207, "ShermanEF1"))</f>
        <v>6</v>
      </c>
      <c r="D197" s="50">
        <f>(COUNTIF('Database - Tornado Segments'!$S$8:$S$1207, "ShermanF2")+COUNTIF('Database - Tornado Segments'!$S$8:$S$1207, "ShermanEF2"))</f>
        <v>4</v>
      </c>
      <c r="E197" s="50">
        <f>(COUNTIF('Database - Tornado Segments'!$S$8:$S$1207, "ShermanF3")+COUNTIF('Database - Tornado Segments'!$S$8:$S$1207, "ShermanEF3"))</f>
        <v>0</v>
      </c>
      <c r="F197" s="50">
        <f>(COUNTIF('Database - Tornado Segments'!$S$8:$S$1207, "ShermanF4")+COUNTIF('Database - Tornado Segments'!$S$8:$S$1207, "ShermanEF4"))</f>
        <v>1</v>
      </c>
      <c r="G197" s="50">
        <f>(COUNTIF('Database - Tornado Segments'!$S$8:$S$1207, "ShermanF5")+COUNTIF('Database - Tornado Segments'!$S$8:$S$1207, "ShermanEF5"))</f>
        <v>0</v>
      </c>
      <c r="H197" s="1">
        <f>SUM(B197:G197)</f>
        <v>38</v>
      </c>
      <c r="I197" s="1">
        <f>COUNTIF('Database - Tornado Segments'!$G$8:$G$1207,"Sherman")</f>
        <v>38</v>
      </c>
      <c r="J197" s="30">
        <f t="shared" si="1"/>
        <v>3.3509700176366841E-2</v>
      </c>
      <c r="K197" s="1"/>
      <c r="L197" s="1"/>
      <c r="M197" s="1"/>
      <c r="N197" s="1"/>
      <c r="O197" s="1"/>
      <c r="P197" s="1"/>
      <c r="Q197" s="1"/>
      <c r="R197" s="1"/>
      <c r="S197" s="1"/>
      <c r="T197" s="1"/>
      <c r="U197" s="1"/>
      <c r="V197" s="1"/>
      <c r="W197" s="1"/>
    </row>
    <row r="198" spans="1:23">
      <c r="A198" s="49" t="s">
        <v>144</v>
      </c>
      <c r="B198" s="50">
        <f>(COUNTIF('Database - Tornado Segments'!$S$8:$S$1207, "Deaf SmithF0")+COUNTIF('Database - Tornado Segments'!$S$8:$S$1207, "Deaf SmithEF0"))</f>
        <v>26</v>
      </c>
      <c r="C198" s="50">
        <f>(COUNTIF('Database - Tornado Segments'!$S$8:$S$1207, "Deaf SmithF1")+COUNTIF('Database - Tornado Segments'!$S$8:$S$1207, "Deaf SmithEF1"))</f>
        <v>8</v>
      </c>
      <c r="D198" s="50">
        <f>(COUNTIF('Database - Tornado Segments'!$S$8:$S$1207, "Deaf SmithF2")+COUNTIF('Database - Tornado Segments'!$S$8:$S$1207, "Deaf SmithEF2"))</f>
        <v>2</v>
      </c>
      <c r="E198" s="50">
        <f>(COUNTIF('Database - Tornado Segments'!$S$8:$S$1207, "Deaf SmithF3")+COUNTIF('Database - Tornado Segments'!$S$8:$S$1207, "Deaf SmithEF3"))</f>
        <v>1</v>
      </c>
      <c r="F198" s="50">
        <f>(COUNTIF('Database - Tornado Segments'!$S$8:$S$1207, "Deaf SmithF4")+COUNTIF('Database - Tornado Segments'!$S$8:$S$1207, "Deaf SmithEF4"))</f>
        <v>0</v>
      </c>
      <c r="G198" s="50">
        <f>(COUNTIF('Database - Tornado Segments'!$S$8:$S$1207, "Deaf SmithF5")+COUNTIF('Database - Tornado Segments'!$S$8:$S$1207, "Deaf SmithEF5"))</f>
        <v>0</v>
      </c>
      <c r="H198" s="1">
        <f t="shared" si="0"/>
        <v>37</v>
      </c>
      <c r="I198" s="1">
        <f>COUNTIF('Database - Tornado Segments'!$G$8:$G$1207,"Deaf Smith")</f>
        <v>37</v>
      </c>
      <c r="J198" s="30">
        <f t="shared" si="1"/>
        <v>3.2627865961199293E-2</v>
      </c>
      <c r="K198" s="1"/>
      <c r="L198" s="1"/>
      <c r="M198" s="1"/>
      <c r="N198" s="1"/>
      <c r="O198" s="1"/>
      <c r="P198" s="1"/>
      <c r="Q198" s="1"/>
      <c r="R198" s="1"/>
      <c r="S198" s="1"/>
      <c r="T198" s="1"/>
      <c r="U198" s="1"/>
      <c r="V198" s="1"/>
      <c r="W198" s="1"/>
    </row>
    <row r="199" spans="1:23">
      <c r="A199" s="49" t="s">
        <v>137</v>
      </c>
      <c r="B199" s="50">
        <f>(COUNTIF('Database - Tornado Segments'!$S$8:$S$1207, "RobertsF0")+COUNTIF('Database - Tornado Segments'!$S$8:$S$1207, "RobertsEF0"))</f>
        <v>22</v>
      </c>
      <c r="C199" s="50">
        <f>(COUNTIF('Database - Tornado Segments'!$S$8:$S$1207, "RobertsF1")+COUNTIF('Database - Tornado Segments'!$S$8:$S$1207, "RobertsEF1"))</f>
        <v>11</v>
      </c>
      <c r="D199" s="50">
        <f>(COUNTIF('Database - Tornado Segments'!$S$8:$S$1207, "RobertsF2")+COUNTIF('Database - Tornado Segments'!$S$8:$S$1207, "RobertsEF2"))</f>
        <v>2</v>
      </c>
      <c r="E199" s="50">
        <f>(COUNTIF('Database - Tornado Segments'!$S$8:$S$1207, "RobertsF3")+COUNTIF('Database - Tornado Segments'!$S$8:$S$1207, "RobertsEF3"))</f>
        <v>2</v>
      </c>
      <c r="F199" s="50">
        <f>(COUNTIF('Database - Tornado Segments'!$S$8:$S$1207, "RobertsF4")+COUNTIF('Database - Tornado Segments'!$S$8:$S$1207, "RobertsEF4"))</f>
        <v>0</v>
      </c>
      <c r="G199" s="50">
        <f>(COUNTIF('Database - Tornado Segments'!$S$8:$S$1207, "RobertsF5")+COUNTIF('Database - Tornado Segments'!$S$8:$S$1207, "RobertsEF5"))</f>
        <v>0</v>
      </c>
      <c r="H199" s="1">
        <f>SUM(B199:G199)</f>
        <v>37</v>
      </c>
      <c r="I199" s="1">
        <f>COUNTIF('Database - Tornado Segments'!$G$8:$G$1207,"Roberts")</f>
        <v>37</v>
      </c>
      <c r="J199" s="30">
        <f t="shared" si="1"/>
        <v>3.2627865961199293E-2</v>
      </c>
      <c r="K199" s="1"/>
      <c r="L199" s="1"/>
      <c r="M199" s="1"/>
      <c r="N199" s="1"/>
      <c r="O199" s="1"/>
      <c r="P199" s="1"/>
      <c r="Q199" s="1"/>
      <c r="R199" s="1"/>
      <c r="S199" s="1"/>
      <c r="T199" s="1"/>
      <c r="U199" s="1"/>
      <c r="V199" s="1"/>
      <c r="W199" s="1"/>
    </row>
    <row r="200" spans="1:23">
      <c r="A200" s="49" t="s">
        <v>140</v>
      </c>
      <c r="B200" s="50">
        <f>(COUNTIF('Database - Tornado Segments'!$S$8:$S$1207, "PotterF0")+COUNTIF('Database - Tornado Segments'!$S$8:$S$1207, "PotterEF0"))</f>
        <v>21</v>
      </c>
      <c r="C200" s="50">
        <f>(COUNTIF('Database - Tornado Segments'!$S$8:$S$1207, "PotterF1")+COUNTIF('Database - Tornado Segments'!$S$8:$S$1207, "PotterEF1"))</f>
        <v>9</v>
      </c>
      <c r="D200" s="50">
        <f>(COUNTIF('Database - Tornado Segments'!$S$8:$S$1207, "PotterF2")+COUNTIF('Database - Tornado Segments'!$S$8:$S$1207, "PotterEF2"))</f>
        <v>5</v>
      </c>
      <c r="E200" s="50">
        <f>(COUNTIF('Database - Tornado Segments'!$S$8:$S$1207, "PotterF3")+COUNTIF('Database - Tornado Segments'!$S$8:$S$1207, "PotterEF3"))</f>
        <v>1</v>
      </c>
      <c r="F200" s="50">
        <f>(COUNTIF('Database - Tornado Segments'!$S$8:$S$1207, "PotterF4")+COUNTIF('Database - Tornado Segments'!$S$8:$S$1207, "PotterEF4"))</f>
        <v>0</v>
      </c>
      <c r="G200" s="50">
        <f>(COUNTIF('Database - Tornado Segments'!$S$8:$S$1207, "PotterF5")+COUNTIF('Database - Tornado Segments'!$S$8:$S$1207, "PotterEF5"))</f>
        <v>0</v>
      </c>
      <c r="H200" s="1">
        <f t="shared" si="0"/>
        <v>36</v>
      </c>
      <c r="I200" s="1">
        <f>COUNTIF('Database - Tornado Segments'!$G$8:$G$1207,"Potter")</f>
        <v>36</v>
      </c>
      <c r="J200" s="30">
        <f t="shared" si="1"/>
        <v>3.1746031746031744E-2</v>
      </c>
      <c r="K200" s="1"/>
      <c r="L200" s="1"/>
      <c r="M200" s="1"/>
      <c r="N200" s="1"/>
      <c r="O200" s="1"/>
      <c r="P200" s="1"/>
      <c r="Q200" s="1"/>
      <c r="R200" s="1"/>
      <c r="S200" s="1"/>
      <c r="T200" s="1"/>
      <c r="U200" s="1"/>
      <c r="V200" s="1"/>
      <c r="W200" s="1"/>
    </row>
    <row r="201" spans="1:23">
      <c r="A201" s="49" t="s">
        <v>133</v>
      </c>
      <c r="B201" s="50">
        <f>(COUNTIF('Database - Tornado Segments'!$S$8:$S$1207, "LipscombF0")+COUNTIF('Database - Tornado Segments'!$S$8:$S$1207, "LipscombEF0"))</f>
        <v>16</v>
      </c>
      <c r="C201" s="50">
        <f>(COUNTIF('Database - Tornado Segments'!$S$8:$S$1207, "LipscombF1")+COUNTIF('Database - Tornado Segments'!$S$8:$S$1207, "LipscombEF1"))</f>
        <v>11</v>
      </c>
      <c r="D201" s="50">
        <f>(COUNTIF('Database - Tornado Segments'!$S$8:$S$1207, "LipscombF2")+COUNTIF('Database - Tornado Segments'!$S$8:$S$1207, "LipscombEF2"))</f>
        <v>6</v>
      </c>
      <c r="E201" s="50">
        <f>(COUNTIF('Database - Tornado Segments'!$S$8:$S$1207, "LipscombF3")+COUNTIF('Database - Tornado Segments'!$S$8:$S$1207, "LipscombEF3"))</f>
        <v>2</v>
      </c>
      <c r="F201" s="50">
        <f>(COUNTIF('Database - Tornado Segments'!$S$8:$S$1207, "LipscombF4")+COUNTIF('Database - Tornado Segments'!$S$8:$S$1207, "LipscombEF4"))</f>
        <v>0</v>
      </c>
      <c r="G201" s="50">
        <f>(COUNTIF('Database - Tornado Segments'!$S$8:$S$1207, "LipscombF5")+COUNTIF('Database - Tornado Segments'!$S$8:$S$1207, "LipscombEF5"))</f>
        <v>0</v>
      </c>
      <c r="H201" s="1">
        <f>SUM(B201:G201)</f>
        <v>35</v>
      </c>
      <c r="I201" s="1">
        <f>COUNTIF('Database - Tornado Segments'!$G$8:$G$1207,"Lipscomb")</f>
        <v>35</v>
      </c>
      <c r="J201" s="30">
        <f t="shared" si="1"/>
        <v>3.0864197530864196E-2</v>
      </c>
      <c r="K201" s="1"/>
      <c r="L201" s="1"/>
      <c r="M201" s="1"/>
      <c r="N201" s="1"/>
      <c r="O201" s="1"/>
      <c r="P201" s="1"/>
      <c r="Q201" s="1"/>
      <c r="R201" s="1"/>
      <c r="S201" s="1"/>
      <c r="T201" s="1"/>
      <c r="U201" s="1"/>
      <c r="V201" s="1"/>
      <c r="W201" s="1"/>
    </row>
    <row r="202" spans="1:23">
      <c r="A202" s="49" t="s">
        <v>134</v>
      </c>
      <c r="B202" s="50">
        <f>(COUNTIF('Database - Tornado Segments'!$S$8:$S$1207, "HartleyF0")+COUNTIF('Database - Tornado Segments'!$S$8:$S$1207, "HartleyEF0"))</f>
        <v>24</v>
      </c>
      <c r="C202" s="50">
        <f>(COUNTIF('Database - Tornado Segments'!$S$8:$S$1207, "HartleyF1")+COUNTIF('Database - Tornado Segments'!$S$8:$S$1207, "HartleyEF1"))</f>
        <v>7</v>
      </c>
      <c r="D202" s="50">
        <f>(COUNTIF('Database - Tornado Segments'!$S$8:$S$1207, "HartleyF2")+COUNTIF('Database - Tornado Segments'!$S$8:$S$1207, "HartleyEF2"))</f>
        <v>3</v>
      </c>
      <c r="E202" s="50">
        <f>(COUNTIF('Database - Tornado Segments'!$S$8:$S$1207, "HartleyF3")+COUNTIF('Database - Tornado Segments'!$S$8:$S$1207, "HartleyEF3"))</f>
        <v>0</v>
      </c>
      <c r="F202" s="50">
        <f>(COUNTIF('Database - Tornado Segments'!$S$8:$S$1207, "HartleyF4")+COUNTIF('Database - Tornado Segments'!$S$8:$S$1207, "HartleyEF4"))</f>
        <v>0</v>
      </c>
      <c r="G202" s="50">
        <f>(COUNTIF('Database - Tornado Segments'!$S$8:$S$1207, "HartleyF5")+COUNTIF('Database - Tornado Segments'!$S$8:$S$1207, "HartleyEF5"))</f>
        <v>0</v>
      </c>
      <c r="H202" s="1">
        <f>SUM(B202:G202)</f>
        <v>34</v>
      </c>
      <c r="I202" s="1">
        <f>COUNTIF('Database - Tornado Segments'!$G$8:$G$1207,"Hartley")</f>
        <v>34</v>
      </c>
      <c r="J202" s="30">
        <f t="shared" si="1"/>
        <v>2.9982363315696647E-2</v>
      </c>
      <c r="K202" s="1"/>
      <c r="L202" s="1"/>
      <c r="M202" s="1"/>
      <c r="N202" s="1"/>
      <c r="O202" s="1"/>
      <c r="P202" s="1"/>
      <c r="Q202" s="1"/>
      <c r="R202" s="1"/>
      <c r="S202" s="1"/>
      <c r="T202" s="1"/>
      <c r="U202" s="1"/>
      <c r="V202" s="1"/>
      <c r="W202" s="1"/>
    </row>
    <row r="203" spans="1:23">
      <c r="A203" s="49" t="s">
        <v>129</v>
      </c>
      <c r="B203" s="50">
        <f>(COUNTIF('Database - Tornado Segments'!$S$8:$S$1207, "DallamF0")+COUNTIF('Database - Tornado Segments'!$S$8:$S$1207, "DallamEF0"))</f>
        <v>16</v>
      </c>
      <c r="C203" s="50">
        <f>(COUNTIF('Database - Tornado Segments'!$S$8:$S$1207, "DallamF1")+COUNTIF('Database - Tornado Segments'!$S$8:$S$1207, "DallamEF1"))</f>
        <v>9</v>
      </c>
      <c r="D203" s="50">
        <f>(COUNTIF('Database - Tornado Segments'!$S$8:$S$1207, "DallamF2")+COUNTIF('Database - Tornado Segments'!$S$8:$S$1207, "DallamEF2"))</f>
        <v>4</v>
      </c>
      <c r="E203" s="50">
        <f>(COUNTIF('Database - Tornado Segments'!$S$8:$S$1207, "DallamF3")+COUNTIF('Database - Tornado Segments'!$S$8:$S$1207, "DallamEF3"))</f>
        <v>0</v>
      </c>
      <c r="F203" s="50">
        <f>(COUNTIF('Database - Tornado Segments'!$S$8:$S$1207, "DallamF4")+COUNTIF('Database - Tornado Segments'!$S$8:$S$1207, "DallamEF4"))</f>
        <v>0</v>
      </c>
      <c r="G203" s="50">
        <f>(COUNTIF('Database - Tornado Segments'!$S$8:$S$1207, "DallamF5")+COUNTIF('Database - Tornado Segments'!$S$8:$S$1207, "DallamEF5"))</f>
        <v>0</v>
      </c>
      <c r="H203" s="1">
        <f t="shared" si="0"/>
        <v>29</v>
      </c>
      <c r="I203" s="1">
        <f>COUNTIF('Database - Tornado Segments'!$G$8:$G$1207,"Dallam")</f>
        <v>29</v>
      </c>
      <c r="J203" s="30">
        <f t="shared" si="1"/>
        <v>2.5573192239858905E-2</v>
      </c>
      <c r="K203" s="1"/>
      <c r="L203" s="1"/>
      <c r="M203" s="1"/>
      <c r="N203" s="1"/>
      <c r="O203" s="1"/>
      <c r="P203" s="1"/>
      <c r="Q203" s="1"/>
      <c r="R203" s="1"/>
      <c r="S203" s="1"/>
      <c r="T203" s="1"/>
      <c r="U203" s="1"/>
      <c r="V203" s="1"/>
      <c r="W203" s="1"/>
    </row>
    <row r="204" spans="1:23">
      <c r="A204" s="49" t="s">
        <v>139</v>
      </c>
      <c r="B204" s="50">
        <f>(COUNTIF('Database - Tornado Segments'!$S$8:$S$1207, "OldhamF0")+COUNTIF('Database - Tornado Segments'!$S$8:$S$1207, "OldhamEF0"))</f>
        <v>15</v>
      </c>
      <c r="C204" s="50">
        <f>(COUNTIF('Database - Tornado Segments'!$S$8:$S$1207, "OldhamF1")+COUNTIF('Database - Tornado Segments'!$S$8:$S$1207, "OldhamEF1"))</f>
        <v>4</v>
      </c>
      <c r="D204" s="50">
        <f>(COUNTIF('Database - Tornado Segments'!$S$8:$S$1207, "OldhamF2")+COUNTIF('Database - Tornado Segments'!$S$8:$S$1207, "OldhamEF2"))</f>
        <v>0</v>
      </c>
      <c r="E204" s="50">
        <f>(COUNTIF('Database - Tornado Segments'!$S$8:$S$1207, "OldhamF3")+COUNTIF('Database - Tornado Segments'!$S$8:$S$1207, "OldhamEF3"))</f>
        <v>0</v>
      </c>
      <c r="F204" s="50">
        <f>(COUNTIF('Database - Tornado Segments'!$S$8:$S$1207, "OldhamF4")+COUNTIF('Database - Tornado Segments'!$S$8:$S$1207, "OldhamEF4"))</f>
        <v>0</v>
      </c>
      <c r="G204" s="50">
        <f>(COUNTIF('Database - Tornado Segments'!$S$8:$S$1207, "OldhamF5")+COUNTIF('Database - Tornado Segments'!$S$8:$S$1207, "OldhamEF5"))</f>
        <v>0</v>
      </c>
      <c r="H204" s="1">
        <f t="shared" si="0"/>
        <v>19</v>
      </c>
      <c r="I204" s="1">
        <f>COUNTIF('Database - Tornado Segments'!$G$8:$G$1207,"Oldham")</f>
        <v>19</v>
      </c>
      <c r="J204" s="30">
        <f t="shared" si="1"/>
        <v>1.6754850088183421E-2</v>
      </c>
      <c r="K204" s="1"/>
      <c r="L204" s="1"/>
      <c r="M204" s="1"/>
      <c r="N204" s="1"/>
      <c r="O204" s="1"/>
      <c r="P204" s="1"/>
      <c r="Q204" s="1"/>
      <c r="R204" s="1"/>
      <c r="S204" s="1"/>
      <c r="T204" s="1"/>
      <c r="U204" s="1"/>
      <c r="V204" s="1"/>
      <c r="W204" s="1"/>
    </row>
    <row r="205" spans="1:23">
      <c r="A205" s="10"/>
      <c r="B205" s="1"/>
      <c r="C205" s="1"/>
      <c r="D205" s="1"/>
      <c r="E205" s="1"/>
      <c r="F205" s="1"/>
      <c r="G205" s="1"/>
      <c r="H205" s="1"/>
      <c r="I205" s="2"/>
      <c r="J205" s="2"/>
      <c r="K205" s="1"/>
      <c r="L205" s="1"/>
      <c r="M205" s="1"/>
      <c r="N205" s="1"/>
      <c r="O205" s="1"/>
      <c r="P205" s="1"/>
      <c r="Q205" s="1"/>
      <c r="R205" s="1"/>
      <c r="S205" s="1"/>
      <c r="T205" s="1"/>
      <c r="U205" s="1"/>
      <c r="V205" s="1"/>
      <c r="W205" s="1"/>
    </row>
    <row r="206" spans="1:23" ht="15.75">
      <c r="A206" s="4" t="s">
        <v>124</v>
      </c>
      <c r="B206" s="7">
        <f t="shared" ref="B206:I206" si="2">SUM(B182:B204)</f>
        <v>697</v>
      </c>
      <c r="C206" s="7">
        <f t="shared" si="2"/>
        <v>243</v>
      </c>
      <c r="D206" s="7">
        <f t="shared" si="2"/>
        <v>128</v>
      </c>
      <c r="E206" s="7">
        <f t="shared" si="2"/>
        <v>43</v>
      </c>
      <c r="F206" s="7">
        <f t="shared" si="2"/>
        <v>23</v>
      </c>
      <c r="G206" s="7">
        <f t="shared" si="2"/>
        <v>0</v>
      </c>
      <c r="H206" s="7">
        <f t="shared" si="2"/>
        <v>1134</v>
      </c>
      <c r="I206" s="7">
        <f t="shared" si="2"/>
        <v>1134</v>
      </c>
      <c r="J206" s="2"/>
      <c r="K206" s="1"/>
      <c r="L206" s="1"/>
      <c r="M206" s="1"/>
      <c r="N206" s="1"/>
      <c r="O206" s="1"/>
      <c r="P206" s="1"/>
      <c r="Q206" s="1"/>
      <c r="R206" s="1"/>
      <c r="S206" s="1"/>
      <c r="T206" s="1"/>
      <c r="U206" s="1"/>
      <c r="V206" s="1"/>
      <c r="W206" s="1"/>
    </row>
    <row r="207" spans="1:23">
      <c r="A207" s="6"/>
      <c r="B207" s="1"/>
      <c r="C207" s="1"/>
      <c r="D207" s="1"/>
      <c r="E207" s="1"/>
      <c r="F207" s="1"/>
      <c r="G207" s="1"/>
      <c r="H207" s="1"/>
      <c r="I207" s="2"/>
      <c r="J207" s="2"/>
      <c r="K207" s="1"/>
      <c r="L207" s="1"/>
      <c r="M207" s="1"/>
      <c r="N207" s="1"/>
      <c r="O207" s="1"/>
      <c r="P207" s="1"/>
      <c r="Q207" s="1"/>
      <c r="R207" s="1"/>
      <c r="S207" s="1"/>
      <c r="T207" s="1"/>
      <c r="U207" s="1"/>
      <c r="V207" s="1"/>
      <c r="W207" s="1"/>
    </row>
    <row r="208" spans="1:23">
      <c r="A208" s="6"/>
      <c r="B208" s="1"/>
      <c r="C208" s="1"/>
      <c r="D208" s="1"/>
      <c r="E208" s="1"/>
      <c r="F208" s="1"/>
      <c r="G208" s="1"/>
      <c r="H208" s="1"/>
      <c r="I208" s="2"/>
      <c r="J208" s="2"/>
      <c r="K208" s="1"/>
      <c r="L208" s="1"/>
      <c r="M208" s="1"/>
      <c r="N208" s="1"/>
      <c r="O208" s="1"/>
      <c r="P208" s="1"/>
      <c r="Q208" s="1"/>
      <c r="R208" s="1"/>
      <c r="S208" s="1"/>
      <c r="T208" s="1"/>
      <c r="U208" s="1"/>
      <c r="V208" s="1"/>
      <c r="W208" s="1"/>
    </row>
    <row r="209" spans="1:23" ht="15.75">
      <c r="A209" s="250" t="s">
        <v>162</v>
      </c>
      <c r="B209" s="254"/>
      <c r="C209" s="249">
        <f>+H206-C210</f>
        <v>961</v>
      </c>
      <c r="E209" s="250" t="s">
        <v>623</v>
      </c>
      <c r="F209" s="16"/>
      <c r="G209" s="16"/>
      <c r="H209" s="251" t="s">
        <v>187</v>
      </c>
      <c r="I209" s="252" t="s">
        <v>188</v>
      </c>
      <c r="J209" s="2"/>
      <c r="K209" s="1"/>
      <c r="L209" s="1"/>
      <c r="M209" s="1"/>
      <c r="N209" s="1"/>
      <c r="O209" s="1"/>
      <c r="P209" s="1"/>
      <c r="Q209" s="1"/>
      <c r="R209" s="1"/>
      <c r="S209" s="1"/>
      <c r="T209" s="1"/>
      <c r="U209" s="1"/>
      <c r="V209" s="1"/>
      <c r="W209" s="1"/>
    </row>
    <row r="210" spans="1:23">
      <c r="A210" s="250" t="s">
        <v>163</v>
      </c>
      <c r="B210" s="254"/>
      <c r="C210" s="249">
        <f>+H186+H187+H194</f>
        <v>173</v>
      </c>
      <c r="D210" s="1"/>
      <c r="E210" s="1"/>
      <c r="F210" s="1"/>
      <c r="G210" s="1"/>
      <c r="H210" s="253">
        <f>+C209/'Summary - Tornado Segments'!$D$5/Counties!H13</f>
        <v>7.0412525076677117E-4</v>
      </c>
      <c r="I210" s="253">
        <f>+C210/'Summary - Tornado Segments'!$D$5/Counties!H12</f>
        <v>4.5921726019833937E-4</v>
      </c>
      <c r="J210" s="2"/>
      <c r="K210" s="1"/>
      <c r="L210" s="1"/>
      <c r="M210" s="1"/>
      <c r="N210" s="1"/>
      <c r="O210" s="1"/>
      <c r="P210" s="1"/>
      <c r="Q210" s="1"/>
      <c r="R210" s="1"/>
      <c r="S210" s="1"/>
      <c r="T210" s="1"/>
      <c r="U210" s="1"/>
      <c r="V210" s="1"/>
      <c r="W210" s="1"/>
    </row>
    <row r="211" spans="1:23">
      <c r="A211" s="250"/>
      <c r="B211" s="255" t="s">
        <v>531</v>
      </c>
      <c r="C211" s="250">
        <f>+C209+C210</f>
        <v>1134</v>
      </c>
      <c r="D211" s="1"/>
      <c r="E211" s="1"/>
      <c r="F211" s="1"/>
      <c r="G211" s="1"/>
      <c r="H211" s="1"/>
      <c r="I211" s="2"/>
      <c r="J211" s="2"/>
      <c r="K211" s="1"/>
      <c r="L211" s="1"/>
      <c r="M211" s="1"/>
      <c r="N211" s="1"/>
      <c r="O211" s="1"/>
      <c r="P211" s="1"/>
      <c r="Q211" s="1"/>
      <c r="R211" s="1"/>
      <c r="S211" s="1"/>
      <c r="T211" s="1"/>
      <c r="U211" s="1"/>
      <c r="V211" s="1"/>
      <c r="W211" s="1"/>
    </row>
    <row r="212" spans="1:23" ht="15.75">
      <c r="A212" s="16"/>
      <c r="B212" s="22"/>
      <c r="C212" s="23"/>
      <c r="D212" s="24"/>
      <c r="E212" s="1"/>
      <c r="F212" s="1"/>
      <c r="G212" s="1"/>
      <c r="H212" s="1"/>
      <c r="I212" s="2"/>
      <c r="J212" s="2"/>
      <c r="K212" s="1"/>
      <c r="L212" s="1"/>
      <c r="M212" s="1"/>
      <c r="N212" s="1"/>
      <c r="O212" s="1"/>
      <c r="P212" s="1"/>
      <c r="Q212" s="1"/>
      <c r="R212" s="1"/>
      <c r="S212" s="1"/>
      <c r="T212" s="1"/>
      <c r="U212" s="1"/>
      <c r="V212" s="1"/>
      <c r="W212" s="1"/>
    </row>
    <row r="213" spans="1:23" ht="15.75">
      <c r="A213" s="16"/>
      <c r="B213" s="22"/>
      <c r="C213" s="23"/>
      <c r="D213" s="24"/>
      <c r="E213" s="1"/>
      <c r="F213" s="1"/>
      <c r="G213" s="1"/>
      <c r="H213" s="1"/>
      <c r="I213" s="2"/>
      <c r="J213" s="2"/>
      <c r="K213" s="1"/>
      <c r="L213" s="1"/>
      <c r="M213" s="1"/>
      <c r="N213" s="1"/>
      <c r="O213" s="1"/>
      <c r="P213" s="1"/>
      <c r="Q213" s="1"/>
      <c r="R213" s="1"/>
      <c r="S213" s="1"/>
      <c r="T213" s="1"/>
      <c r="U213" s="1"/>
      <c r="V213" s="1"/>
      <c r="W213" s="1"/>
    </row>
    <row r="214" spans="1:23" ht="15.75">
      <c r="A214" s="16"/>
      <c r="B214" s="22"/>
      <c r="C214" s="23"/>
      <c r="D214" s="24"/>
      <c r="E214" s="1"/>
      <c r="F214" s="1"/>
      <c r="G214" s="1"/>
      <c r="H214" s="1"/>
      <c r="I214" s="2"/>
      <c r="J214" s="2"/>
      <c r="K214" s="1"/>
      <c r="L214" s="1"/>
      <c r="M214" s="1"/>
      <c r="N214" s="1"/>
      <c r="O214" s="1"/>
      <c r="P214" s="1"/>
      <c r="Q214" s="1"/>
      <c r="R214" s="1"/>
      <c r="S214" s="1"/>
      <c r="T214" s="1"/>
      <c r="U214" s="1"/>
      <c r="V214" s="1"/>
      <c r="W214" s="1"/>
    </row>
    <row r="215" spans="1:23" ht="15.75">
      <c r="A215" s="16"/>
      <c r="B215" s="22"/>
      <c r="C215" s="23"/>
      <c r="D215" s="24"/>
      <c r="E215" s="1"/>
      <c r="F215" s="1"/>
      <c r="G215" s="1"/>
      <c r="H215" s="1"/>
      <c r="I215" s="2"/>
      <c r="J215" s="2"/>
      <c r="K215" s="1"/>
      <c r="L215" s="1"/>
      <c r="M215" s="1"/>
      <c r="N215" s="1"/>
      <c r="O215" s="1"/>
      <c r="P215" s="1"/>
      <c r="Q215" s="1"/>
      <c r="R215" s="1"/>
      <c r="S215" s="1"/>
      <c r="T215" s="1"/>
      <c r="U215" s="1"/>
      <c r="V215" s="1"/>
      <c r="W215" s="1"/>
    </row>
    <row r="216" spans="1:23" ht="15.75">
      <c r="A216" s="16"/>
      <c r="B216" s="22"/>
      <c r="C216" s="23"/>
      <c r="D216" s="24"/>
      <c r="E216" s="1"/>
      <c r="F216" s="1"/>
      <c r="G216" s="1"/>
      <c r="H216" s="1"/>
      <c r="I216" s="2"/>
      <c r="J216" s="2"/>
      <c r="K216" s="1"/>
      <c r="L216" s="1"/>
      <c r="M216" s="1"/>
      <c r="N216" s="1"/>
      <c r="O216" s="1"/>
      <c r="P216" s="1"/>
      <c r="Q216" s="1"/>
      <c r="R216" s="1"/>
      <c r="S216" s="1"/>
      <c r="T216" s="1"/>
      <c r="U216" s="1"/>
      <c r="V216" s="1"/>
      <c r="W216" s="1"/>
    </row>
    <row r="217" spans="1:23" ht="15.75">
      <c r="A217" s="16"/>
      <c r="B217" s="22"/>
      <c r="C217" s="23"/>
      <c r="D217" s="24"/>
      <c r="E217" s="1"/>
      <c r="F217" s="1"/>
      <c r="G217" s="1"/>
      <c r="H217" s="1"/>
      <c r="I217" s="2"/>
      <c r="J217" s="2"/>
      <c r="K217" s="1"/>
      <c r="L217" s="1"/>
      <c r="M217" s="1"/>
      <c r="N217" s="1"/>
      <c r="O217" s="1"/>
      <c r="P217" s="1"/>
      <c r="Q217" s="1"/>
      <c r="R217" s="1"/>
      <c r="S217" s="1"/>
      <c r="T217" s="1"/>
      <c r="U217" s="1"/>
      <c r="V217" s="1"/>
      <c r="W217" s="1"/>
    </row>
    <row r="218" spans="1:23" ht="15.75">
      <c r="A218" s="16"/>
      <c r="B218" s="22"/>
      <c r="C218" s="23"/>
      <c r="D218" s="24"/>
      <c r="E218" s="1"/>
      <c r="F218" s="1"/>
      <c r="G218" s="1"/>
      <c r="H218" s="1"/>
      <c r="I218" s="2"/>
      <c r="J218" s="2"/>
      <c r="K218" s="1"/>
      <c r="L218" s="1"/>
      <c r="M218" s="1"/>
      <c r="N218" s="1"/>
      <c r="O218" s="1"/>
      <c r="P218" s="1"/>
      <c r="Q218" s="1"/>
      <c r="R218" s="1"/>
      <c r="S218" s="1"/>
      <c r="T218" s="1"/>
      <c r="U218" s="1"/>
      <c r="V218" s="1"/>
      <c r="W218" s="1"/>
    </row>
    <row r="219" spans="1:23" ht="15.75">
      <c r="A219" s="16"/>
      <c r="B219" s="22"/>
      <c r="C219" s="23"/>
      <c r="D219" s="24"/>
      <c r="E219" s="1"/>
      <c r="F219" s="1"/>
      <c r="G219" s="1"/>
      <c r="H219" s="1"/>
      <c r="I219" s="2"/>
      <c r="J219" s="2"/>
      <c r="K219" s="1"/>
      <c r="L219" s="1"/>
      <c r="M219" s="1"/>
      <c r="N219" s="1"/>
      <c r="O219" s="1"/>
      <c r="P219" s="1"/>
      <c r="Q219" s="1"/>
      <c r="R219" s="1"/>
      <c r="S219" s="1"/>
      <c r="T219" s="1"/>
      <c r="U219" s="1"/>
      <c r="V219" s="1"/>
      <c r="W219" s="1"/>
    </row>
    <row r="220" spans="1:23" ht="15.75">
      <c r="A220" s="16"/>
      <c r="B220" s="22"/>
      <c r="C220" s="23"/>
      <c r="D220" s="24"/>
      <c r="E220" s="1"/>
      <c r="F220" s="1"/>
      <c r="G220" s="1"/>
      <c r="H220" s="1"/>
      <c r="I220" s="2"/>
      <c r="J220" s="2"/>
      <c r="K220" s="1"/>
      <c r="L220" s="1"/>
      <c r="M220" s="1"/>
      <c r="N220" s="1"/>
      <c r="O220" s="1"/>
      <c r="P220" s="1"/>
      <c r="Q220" s="1"/>
      <c r="R220" s="1"/>
      <c r="S220" s="1"/>
      <c r="T220" s="1"/>
      <c r="U220" s="1"/>
      <c r="V220" s="1"/>
      <c r="W220" s="1"/>
    </row>
    <row r="221" spans="1:23" ht="15.75">
      <c r="A221" s="16"/>
      <c r="B221" s="22"/>
      <c r="C221" s="23"/>
      <c r="D221" s="24"/>
      <c r="E221" s="1"/>
      <c r="F221" s="1"/>
      <c r="G221" s="1"/>
      <c r="H221" s="1"/>
      <c r="I221" s="2"/>
      <c r="J221" s="2"/>
      <c r="K221" s="1"/>
      <c r="L221" s="1"/>
      <c r="M221" s="1"/>
      <c r="N221" s="1"/>
      <c r="O221" s="1"/>
      <c r="P221" s="1"/>
      <c r="Q221" s="1"/>
      <c r="R221" s="1"/>
      <c r="S221" s="1"/>
      <c r="T221" s="1"/>
      <c r="U221" s="1"/>
      <c r="V221" s="1"/>
      <c r="W221" s="1"/>
    </row>
    <row r="222" spans="1:23" ht="15.75">
      <c r="A222" s="16"/>
      <c r="B222" s="22"/>
      <c r="C222" s="23"/>
      <c r="D222" s="24"/>
      <c r="E222" s="1"/>
      <c r="F222" s="1"/>
      <c r="G222" s="1"/>
      <c r="H222" s="1"/>
      <c r="I222" s="2"/>
      <c r="J222" s="2"/>
      <c r="K222" s="1"/>
      <c r="L222" s="1"/>
      <c r="M222" s="1"/>
      <c r="N222" s="1"/>
      <c r="O222" s="1"/>
      <c r="P222" s="1"/>
      <c r="Q222" s="1"/>
      <c r="R222" s="1"/>
      <c r="S222" s="1"/>
      <c r="T222" s="1"/>
      <c r="U222" s="1"/>
      <c r="V222" s="1"/>
      <c r="W222" s="1"/>
    </row>
    <row r="223" spans="1:23" ht="15.75">
      <c r="A223" s="16"/>
      <c r="B223" s="22"/>
      <c r="C223" s="23"/>
      <c r="D223" s="24"/>
      <c r="E223" s="1"/>
      <c r="F223" s="1"/>
      <c r="G223" s="1"/>
      <c r="H223" s="1"/>
      <c r="I223" s="2"/>
      <c r="J223" s="2"/>
      <c r="K223" s="1"/>
      <c r="L223" s="1"/>
      <c r="M223" s="1"/>
      <c r="N223" s="1"/>
      <c r="O223" s="1"/>
      <c r="P223" s="1"/>
      <c r="Q223" s="1"/>
      <c r="R223" s="1"/>
      <c r="S223" s="1"/>
      <c r="T223" s="1"/>
      <c r="U223" s="1"/>
      <c r="V223" s="1"/>
      <c r="W223" s="1"/>
    </row>
    <row r="224" spans="1:23" ht="15.75">
      <c r="A224" s="16"/>
      <c r="B224" s="22"/>
      <c r="C224" s="23"/>
      <c r="D224" s="24"/>
      <c r="E224" s="1"/>
      <c r="F224" s="1"/>
      <c r="G224" s="1"/>
      <c r="H224" s="1"/>
      <c r="I224" s="2"/>
      <c r="J224" s="2"/>
      <c r="K224" s="1"/>
      <c r="L224" s="1"/>
      <c r="M224" s="1"/>
      <c r="N224" s="1"/>
      <c r="O224" s="1"/>
      <c r="P224" s="1"/>
      <c r="Q224" s="1"/>
      <c r="R224" s="1"/>
      <c r="S224" s="1"/>
      <c r="T224" s="1"/>
      <c r="U224" s="1"/>
      <c r="V224" s="1"/>
      <c r="W224" s="1"/>
    </row>
    <row r="225" spans="1:23" ht="15.75">
      <c r="A225" s="16"/>
      <c r="B225" s="22"/>
      <c r="C225" s="23"/>
      <c r="D225" s="24"/>
      <c r="E225" s="1"/>
      <c r="F225" s="1"/>
      <c r="G225" s="1"/>
      <c r="H225" s="1"/>
      <c r="I225" s="2"/>
      <c r="J225" s="2"/>
      <c r="K225" s="1"/>
      <c r="L225" s="1"/>
      <c r="M225" s="1"/>
      <c r="N225" s="1"/>
      <c r="O225" s="1"/>
      <c r="P225" s="1"/>
      <c r="Q225" s="1"/>
      <c r="R225" s="1"/>
      <c r="S225" s="1"/>
      <c r="T225" s="1"/>
      <c r="U225" s="1"/>
      <c r="V225" s="1"/>
      <c r="W225" s="1"/>
    </row>
    <row r="226" spans="1:23" ht="15.75">
      <c r="A226" s="16"/>
      <c r="B226" s="22"/>
      <c r="C226" s="23"/>
      <c r="D226" s="24"/>
      <c r="E226" s="1"/>
      <c r="F226" s="1"/>
      <c r="G226" s="1"/>
      <c r="H226" s="1"/>
      <c r="I226" s="2"/>
      <c r="J226" s="2"/>
      <c r="K226" s="1"/>
      <c r="L226" s="1"/>
      <c r="M226" s="1"/>
      <c r="N226" s="1"/>
      <c r="O226" s="1"/>
      <c r="P226" s="1"/>
      <c r="Q226" s="1"/>
      <c r="R226" s="1"/>
      <c r="S226" s="1"/>
      <c r="T226" s="1"/>
      <c r="U226" s="1"/>
      <c r="V226" s="1"/>
      <c r="W226" s="1"/>
    </row>
    <row r="227" spans="1:23" ht="15.75">
      <c r="A227" s="16"/>
      <c r="B227" s="22"/>
      <c r="C227" s="23"/>
      <c r="D227" s="24"/>
      <c r="E227" s="1"/>
      <c r="F227" s="1"/>
      <c r="G227" s="1"/>
      <c r="H227" s="1"/>
      <c r="I227" s="2"/>
      <c r="J227" s="2"/>
      <c r="K227" s="1"/>
      <c r="L227" s="1"/>
      <c r="M227" s="1"/>
      <c r="N227" s="1"/>
      <c r="O227" s="1"/>
      <c r="P227" s="1"/>
      <c r="Q227" s="1"/>
      <c r="R227" s="1"/>
      <c r="S227" s="1"/>
      <c r="T227" s="1"/>
      <c r="U227" s="1"/>
      <c r="V227" s="1"/>
      <c r="W227" s="1"/>
    </row>
    <row r="228" spans="1:23" ht="15.75">
      <c r="A228" s="16"/>
      <c r="B228" s="22"/>
      <c r="C228" s="23"/>
      <c r="D228" s="24"/>
      <c r="E228" s="1"/>
      <c r="F228" s="1"/>
      <c r="G228" s="1"/>
      <c r="H228" s="1"/>
      <c r="I228" s="2"/>
      <c r="J228" s="2"/>
      <c r="K228" s="1"/>
      <c r="L228" s="1"/>
      <c r="M228" s="1"/>
      <c r="N228" s="1"/>
      <c r="O228" s="1"/>
      <c r="P228" s="1"/>
      <c r="Q228" s="1"/>
      <c r="R228" s="1"/>
      <c r="S228" s="1"/>
      <c r="T228" s="1"/>
      <c r="U228" s="1"/>
      <c r="V228" s="1"/>
      <c r="W228" s="1"/>
    </row>
    <row r="229" spans="1:23" ht="15.75">
      <c r="A229" s="16"/>
      <c r="B229" s="22"/>
      <c r="C229" s="23"/>
      <c r="D229" s="24"/>
      <c r="E229" s="1"/>
      <c r="F229" s="1"/>
      <c r="G229" s="1"/>
      <c r="H229" s="1"/>
      <c r="I229" s="2"/>
      <c r="J229" s="2"/>
      <c r="K229" s="1"/>
      <c r="L229" s="1"/>
      <c r="M229" s="1"/>
      <c r="N229" s="1"/>
      <c r="O229" s="1"/>
      <c r="P229" s="1"/>
      <c r="Q229" s="1"/>
      <c r="R229" s="1"/>
      <c r="S229" s="1"/>
      <c r="T229" s="1"/>
      <c r="U229" s="1"/>
      <c r="V229" s="1"/>
      <c r="W229" s="1"/>
    </row>
    <row r="230" spans="1:23" ht="15.75">
      <c r="A230" s="16"/>
      <c r="B230" s="22"/>
      <c r="C230" s="23"/>
      <c r="D230" s="24"/>
      <c r="E230" s="1"/>
      <c r="F230" s="1"/>
      <c r="G230" s="1"/>
      <c r="H230" s="1"/>
      <c r="I230" s="2"/>
      <c r="J230" s="2"/>
      <c r="K230" s="1"/>
      <c r="L230" s="1"/>
      <c r="M230" s="1"/>
      <c r="N230" s="1"/>
      <c r="O230" s="1"/>
      <c r="P230" s="1"/>
      <c r="Q230" s="1"/>
      <c r="R230" s="1"/>
      <c r="S230" s="1"/>
      <c r="T230" s="1"/>
      <c r="U230" s="1"/>
      <c r="V230" s="1"/>
      <c r="W230" s="1"/>
    </row>
    <row r="231" spans="1:23" ht="15.75">
      <c r="A231" s="16"/>
      <c r="B231" s="22"/>
      <c r="C231" s="23"/>
      <c r="D231" s="24"/>
      <c r="E231" s="1"/>
      <c r="F231" s="1"/>
      <c r="G231" s="1"/>
      <c r="H231" s="1"/>
      <c r="I231" s="2"/>
      <c r="J231" s="2"/>
      <c r="K231" s="1"/>
      <c r="L231" s="1"/>
      <c r="M231" s="1"/>
      <c r="N231" s="1"/>
      <c r="O231" s="1"/>
      <c r="P231" s="1"/>
      <c r="Q231" s="1"/>
      <c r="R231" s="1"/>
      <c r="S231" s="1"/>
      <c r="T231" s="1"/>
      <c r="U231" s="1"/>
      <c r="V231" s="1"/>
      <c r="W231" s="1"/>
    </row>
    <row r="232" spans="1:23" ht="15.75">
      <c r="A232" s="16"/>
      <c r="B232" s="22"/>
      <c r="C232" s="23"/>
      <c r="D232" s="24"/>
      <c r="E232" s="1"/>
      <c r="F232" s="1"/>
      <c r="G232" s="1"/>
      <c r="H232" s="1"/>
      <c r="I232" s="2"/>
      <c r="J232" s="2"/>
      <c r="K232" s="1"/>
      <c r="L232" s="1"/>
      <c r="M232" s="1"/>
      <c r="N232" s="1"/>
      <c r="O232" s="1"/>
      <c r="P232" s="1"/>
      <c r="Q232" s="1"/>
      <c r="R232" s="1"/>
      <c r="S232" s="1"/>
      <c r="T232" s="1"/>
      <c r="U232" s="1"/>
      <c r="V232" s="1"/>
      <c r="W232" s="1"/>
    </row>
    <row r="233" spans="1:23" ht="15.75">
      <c r="A233" s="16"/>
      <c r="B233" s="22"/>
      <c r="C233" s="23"/>
      <c r="D233" s="24"/>
      <c r="E233" s="1"/>
      <c r="F233" s="1"/>
      <c r="G233" s="1"/>
      <c r="H233" s="1"/>
      <c r="I233" s="2"/>
      <c r="J233" s="2"/>
      <c r="K233" s="1"/>
      <c r="L233" s="1"/>
      <c r="M233" s="1"/>
      <c r="N233" s="1"/>
      <c r="O233" s="1"/>
      <c r="P233" s="1"/>
      <c r="Q233" s="1"/>
      <c r="R233" s="1"/>
      <c r="S233" s="1"/>
      <c r="T233" s="1"/>
      <c r="U233" s="1"/>
      <c r="V233" s="1"/>
      <c r="W233" s="1"/>
    </row>
    <row r="234" spans="1:23" ht="15.75">
      <c r="A234" s="16"/>
      <c r="B234" s="22"/>
      <c r="C234" s="23"/>
      <c r="D234" s="24"/>
      <c r="E234" s="1"/>
      <c r="F234" s="1"/>
      <c r="G234" s="1"/>
      <c r="H234" s="1"/>
      <c r="I234" s="2"/>
      <c r="J234" s="2"/>
      <c r="K234" s="1"/>
      <c r="L234" s="1"/>
      <c r="M234" s="1"/>
      <c r="N234" s="1"/>
      <c r="O234" s="1"/>
      <c r="P234" s="1"/>
      <c r="Q234" s="1"/>
      <c r="R234" s="1"/>
      <c r="S234" s="1"/>
      <c r="T234" s="1"/>
      <c r="U234" s="1"/>
      <c r="V234" s="1"/>
      <c r="W234" s="1"/>
    </row>
    <row r="235" spans="1:23" ht="15.75">
      <c r="A235" s="16"/>
      <c r="B235" s="22"/>
      <c r="C235" s="23"/>
      <c r="D235" s="24"/>
      <c r="E235" s="1"/>
      <c r="F235" s="1"/>
      <c r="G235" s="1"/>
      <c r="H235" s="1"/>
      <c r="I235" s="2"/>
      <c r="J235" s="2"/>
      <c r="K235" s="1"/>
      <c r="L235" s="1"/>
      <c r="M235" s="1"/>
      <c r="N235" s="1"/>
      <c r="O235" s="1"/>
      <c r="P235" s="1"/>
      <c r="Q235" s="1"/>
      <c r="R235" s="1"/>
      <c r="S235" s="1"/>
      <c r="T235" s="1"/>
      <c r="U235" s="1"/>
      <c r="V235" s="1"/>
      <c r="W235" s="1"/>
    </row>
    <row r="236" spans="1:23" ht="15.75">
      <c r="A236" s="16"/>
      <c r="B236" s="22"/>
      <c r="C236" s="23"/>
      <c r="D236" s="24"/>
      <c r="E236" s="1"/>
      <c r="F236" s="1"/>
      <c r="G236" s="1"/>
      <c r="H236" s="1"/>
      <c r="I236" s="2"/>
      <c r="J236" s="2"/>
      <c r="K236" s="1"/>
      <c r="L236" s="1"/>
      <c r="M236" s="1"/>
      <c r="N236" s="1"/>
      <c r="O236" s="1"/>
      <c r="P236" s="1"/>
      <c r="Q236" s="1"/>
      <c r="R236" s="1"/>
      <c r="S236" s="1"/>
      <c r="T236" s="1"/>
      <c r="U236" s="1"/>
      <c r="V236" s="1"/>
      <c r="W236" s="1"/>
    </row>
    <row r="237" spans="1:23" ht="15.75">
      <c r="A237" s="16"/>
      <c r="B237" s="22"/>
      <c r="C237" s="23"/>
      <c r="D237" s="24"/>
      <c r="E237" s="1"/>
      <c r="F237" s="1"/>
      <c r="G237" s="1"/>
      <c r="H237" s="1"/>
      <c r="I237" s="2"/>
      <c r="J237" s="2"/>
      <c r="K237" s="1"/>
      <c r="L237" s="1"/>
      <c r="M237" s="1"/>
      <c r="N237" s="1"/>
      <c r="O237" s="1"/>
      <c r="P237" s="1"/>
      <c r="Q237" s="1"/>
      <c r="R237" s="1"/>
      <c r="S237" s="1"/>
      <c r="T237" s="1"/>
      <c r="U237" s="1"/>
      <c r="V237" s="1"/>
      <c r="W237" s="1"/>
    </row>
    <row r="238" spans="1:23" ht="15.75">
      <c r="A238" s="16"/>
      <c r="B238" s="22"/>
      <c r="C238" s="23"/>
      <c r="D238" s="24"/>
      <c r="E238" s="1"/>
      <c r="F238" s="1"/>
      <c r="G238" s="1"/>
      <c r="H238" s="1"/>
      <c r="I238" s="2"/>
      <c r="J238" s="2"/>
      <c r="K238" s="1"/>
      <c r="L238" s="1"/>
      <c r="M238" s="1"/>
      <c r="N238" s="1"/>
      <c r="O238" s="1"/>
      <c r="P238" s="1"/>
      <c r="Q238" s="1"/>
      <c r="R238" s="1"/>
      <c r="S238" s="1"/>
      <c r="T238" s="1"/>
      <c r="U238" s="1"/>
      <c r="V238" s="1"/>
      <c r="W238" s="1"/>
    </row>
    <row r="239" spans="1:23" ht="15.75">
      <c r="A239" s="16"/>
      <c r="B239" s="22"/>
      <c r="C239" s="23"/>
      <c r="D239" s="24"/>
      <c r="E239" s="1"/>
      <c r="F239" s="1"/>
      <c r="G239" s="1"/>
      <c r="H239" s="1"/>
      <c r="I239" s="2"/>
      <c r="J239" s="2"/>
      <c r="K239" s="1"/>
      <c r="L239" s="1"/>
      <c r="M239" s="1"/>
      <c r="N239" s="1"/>
      <c r="O239" s="1"/>
      <c r="P239" s="1"/>
      <c r="Q239" s="1"/>
      <c r="R239" s="1"/>
      <c r="S239" s="1"/>
      <c r="T239" s="1"/>
      <c r="U239" s="1"/>
      <c r="V239" s="1"/>
      <c r="W239" s="1"/>
    </row>
    <row r="240" spans="1:23" ht="15.75">
      <c r="A240" s="16"/>
      <c r="K240" s="1"/>
      <c r="L240" s="1"/>
      <c r="M240" s="1"/>
      <c r="N240" s="1"/>
      <c r="O240" s="1"/>
      <c r="P240" s="1"/>
      <c r="Q240" s="1"/>
      <c r="R240" s="1"/>
      <c r="S240" s="1"/>
      <c r="T240" s="1"/>
      <c r="U240" s="1"/>
      <c r="V240" s="1"/>
      <c r="W240" s="1"/>
    </row>
    <row r="241" spans="1:23" ht="15.75">
      <c r="A241" s="16"/>
      <c r="B241" s="1112" t="s">
        <v>841</v>
      </c>
      <c r="C241" s="1113"/>
      <c r="D241" s="1113"/>
      <c r="E241" s="1113"/>
      <c r="F241" s="1113"/>
      <c r="G241" s="1113"/>
      <c r="H241" s="1113"/>
      <c r="I241" s="1113"/>
      <c r="J241" s="169"/>
      <c r="K241" s="1"/>
      <c r="L241" s="1"/>
      <c r="M241" s="1"/>
      <c r="N241" s="1"/>
      <c r="O241" s="1"/>
      <c r="P241" s="1"/>
      <c r="Q241" s="1"/>
      <c r="R241" s="1"/>
      <c r="S241" s="1"/>
      <c r="T241" s="1"/>
      <c r="U241" s="1"/>
      <c r="V241" s="1"/>
      <c r="W241" s="1"/>
    </row>
    <row r="242" spans="1:23" ht="16.5" thickBot="1">
      <c r="A242" s="16"/>
      <c r="B242" s="22"/>
      <c r="C242" s="23"/>
      <c r="D242" s="24"/>
      <c r="E242" s="1"/>
      <c r="F242" s="1"/>
      <c r="G242" s="1"/>
      <c r="H242" s="1"/>
      <c r="I242" s="2"/>
      <c r="K242" s="1"/>
      <c r="L242" s="1"/>
      <c r="M242" s="1"/>
      <c r="N242" s="1"/>
      <c r="O242" s="1"/>
      <c r="P242" s="1"/>
      <c r="Q242" s="1"/>
      <c r="R242" s="1"/>
      <c r="S242" s="1"/>
      <c r="T242" s="1"/>
      <c r="U242" s="1"/>
      <c r="V242" s="1"/>
      <c r="W242" s="1"/>
    </row>
    <row r="243" spans="1:23" ht="31.5" thickTop="1" thickBot="1">
      <c r="A243" s="16"/>
      <c r="B243" s="22"/>
      <c r="C243" s="1120">
        <f>+H194</f>
        <v>38</v>
      </c>
      <c r="D243" s="1121"/>
      <c r="E243" s="1122">
        <f>+H186</f>
        <v>68</v>
      </c>
      <c r="F243" s="1123"/>
      <c r="G243" s="1122">
        <f>+H187</f>
        <v>67</v>
      </c>
      <c r="H243" s="1123"/>
      <c r="I243" s="2"/>
      <c r="J243" s="2"/>
      <c r="K243" s="1"/>
      <c r="L243" s="1"/>
      <c r="M243" s="1"/>
      <c r="N243" s="1"/>
      <c r="O243" s="1"/>
      <c r="P243" s="1"/>
      <c r="Q243" s="1"/>
      <c r="R243" s="1"/>
      <c r="S243" s="1"/>
      <c r="T243" s="1"/>
      <c r="U243" s="1"/>
      <c r="V243" s="1"/>
      <c r="W243" s="1"/>
    </row>
    <row r="244" spans="1:23" ht="17.25" thickTop="1" thickBot="1">
      <c r="A244" s="16"/>
      <c r="B244" s="22"/>
      <c r="C244" s="1116" t="s">
        <v>76</v>
      </c>
      <c r="D244" s="1117"/>
      <c r="E244" s="1118" t="s">
        <v>127</v>
      </c>
      <c r="F244" s="1119"/>
      <c r="G244" s="1118" t="s">
        <v>128</v>
      </c>
      <c r="H244" s="1119"/>
      <c r="I244" s="2"/>
      <c r="K244" s="1"/>
      <c r="L244" s="1"/>
      <c r="M244" s="1"/>
      <c r="N244" s="1"/>
      <c r="O244" s="1"/>
      <c r="P244" s="1"/>
      <c r="Q244" s="1"/>
      <c r="R244" s="1"/>
      <c r="S244" s="1"/>
      <c r="T244" s="1"/>
      <c r="U244" s="1"/>
      <c r="V244" s="1"/>
      <c r="W244" s="1"/>
    </row>
    <row r="245" spans="1:23" ht="31.5" thickTop="1" thickBot="1">
      <c r="A245" s="16"/>
      <c r="B245" s="22"/>
      <c r="C245" s="1110">
        <f>+H203</f>
        <v>29</v>
      </c>
      <c r="D245" s="1111"/>
      <c r="E245" s="516">
        <f>+H197</f>
        <v>38</v>
      </c>
      <c r="F245" s="510">
        <f>+H188</f>
        <v>56</v>
      </c>
      <c r="G245" s="722">
        <f>+H189</f>
        <v>55</v>
      </c>
      <c r="H245" s="828">
        <f>+H201</f>
        <v>35</v>
      </c>
      <c r="I245" s="2"/>
      <c r="J245" s="2"/>
      <c r="K245" s="1"/>
      <c r="L245" s="1"/>
      <c r="M245" s="1"/>
      <c r="N245" s="1"/>
      <c r="O245" s="1"/>
      <c r="P245" s="1"/>
      <c r="Q245" s="1"/>
      <c r="R245" s="1"/>
      <c r="S245" s="1"/>
      <c r="T245" s="1"/>
      <c r="U245" s="1"/>
      <c r="V245" s="1"/>
      <c r="W245" s="1"/>
    </row>
    <row r="246" spans="1:23" ht="17.25" thickTop="1" thickBot="1">
      <c r="A246" s="16"/>
      <c r="B246" s="22"/>
      <c r="C246" s="1114" t="s">
        <v>129</v>
      </c>
      <c r="D246" s="1115"/>
      <c r="E246" s="518" t="s">
        <v>130</v>
      </c>
      <c r="F246" s="511" t="s">
        <v>131</v>
      </c>
      <c r="G246" s="782" t="s">
        <v>132</v>
      </c>
      <c r="H246" s="829" t="s">
        <v>133</v>
      </c>
      <c r="I246" s="2"/>
      <c r="K246" s="1"/>
      <c r="L246" s="1"/>
      <c r="M246" s="1"/>
      <c r="N246" s="1"/>
      <c r="O246" s="1"/>
      <c r="P246" s="1"/>
      <c r="Q246" s="1"/>
      <c r="R246" s="1"/>
      <c r="S246" s="1"/>
      <c r="T246" s="1"/>
      <c r="U246" s="1"/>
      <c r="V246" s="1"/>
      <c r="W246" s="1"/>
    </row>
    <row r="247" spans="1:23" ht="31.5" thickTop="1" thickBot="1">
      <c r="A247" s="16"/>
      <c r="B247" s="22"/>
      <c r="C247" s="1126">
        <f>+H202</f>
        <v>34</v>
      </c>
      <c r="D247" s="1127"/>
      <c r="E247" s="722">
        <f>+H191</f>
        <v>53</v>
      </c>
      <c r="F247" s="499">
        <f>+H185</f>
        <v>69</v>
      </c>
      <c r="G247" s="516">
        <f>+H199</f>
        <v>37</v>
      </c>
      <c r="H247" s="514">
        <f>+H193</f>
        <v>44</v>
      </c>
      <c r="I247" s="2"/>
      <c r="J247" s="2"/>
      <c r="K247" s="1"/>
      <c r="L247" s="1"/>
      <c r="M247" s="1"/>
      <c r="N247" s="1"/>
      <c r="O247" s="1"/>
      <c r="P247" s="1"/>
      <c r="Q247" s="1"/>
      <c r="R247" s="1"/>
      <c r="S247" s="1"/>
      <c r="T247" s="1"/>
      <c r="U247" s="1"/>
      <c r="V247" s="1"/>
      <c r="W247" s="1"/>
    </row>
    <row r="248" spans="1:23" ht="17.25" thickTop="1" thickBot="1">
      <c r="A248" s="16"/>
      <c r="B248" s="22"/>
      <c r="C248" s="1116" t="s">
        <v>134</v>
      </c>
      <c r="D248" s="1117"/>
      <c r="E248" s="723" t="s">
        <v>135</v>
      </c>
      <c r="F248" s="500" t="s">
        <v>136</v>
      </c>
      <c r="G248" s="518" t="s">
        <v>137</v>
      </c>
      <c r="H248" s="519" t="s">
        <v>138</v>
      </c>
      <c r="I248" s="2"/>
      <c r="K248" s="1"/>
      <c r="L248" s="1"/>
      <c r="M248" s="1"/>
      <c r="N248" s="1"/>
      <c r="O248" s="1"/>
      <c r="P248" s="1"/>
      <c r="Q248" s="1"/>
      <c r="R248" s="1"/>
      <c r="S248" s="1"/>
      <c r="T248" s="1"/>
      <c r="U248" s="1"/>
      <c r="V248" s="1"/>
      <c r="W248" s="1"/>
    </row>
    <row r="249" spans="1:23" ht="31.5" thickTop="1" thickBot="1">
      <c r="A249" s="16"/>
      <c r="B249" s="22"/>
      <c r="C249" s="1128">
        <f>+H204</f>
        <v>19</v>
      </c>
      <c r="D249" s="1129"/>
      <c r="E249" s="516">
        <f>+H200</f>
        <v>36</v>
      </c>
      <c r="F249" s="541">
        <f>+H182</f>
        <v>85</v>
      </c>
      <c r="G249" s="541">
        <f>+H183</f>
        <v>81</v>
      </c>
      <c r="H249" s="535">
        <f>+H192</f>
        <v>49</v>
      </c>
      <c r="I249" s="2"/>
      <c r="J249" s="2"/>
      <c r="K249" s="1"/>
      <c r="L249" s="1"/>
      <c r="M249" s="1"/>
      <c r="N249" s="1"/>
      <c r="O249" s="1"/>
      <c r="P249" s="1"/>
      <c r="Q249" s="1"/>
      <c r="R249" s="1"/>
      <c r="S249" s="1"/>
      <c r="T249" s="1"/>
      <c r="U249" s="1"/>
      <c r="V249" s="1"/>
      <c r="W249" s="1"/>
    </row>
    <row r="250" spans="1:23" ht="17.25" thickTop="1" thickBot="1">
      <c r="A250" s="16"/>
      <c r="B250" s="22"/>
      <c r="C250" s="1130" t="s">
        <v>139</v>
      </c>
      <c r="D250" s="1131"/>
      <c r="E250" s="518" t="s">
        <v>140</v>
      </c>
      <c r="F250" s="542" t="s">
        <v>141</v>
      </c>
      <c r="G250" s="542" t="s">
        <v>142</v>
      </c>
      <c r="H250" s="536" t="s">
        <v>143</v>
      </c>
      <c r="I250" s="2"/>
      <c r="K250" s="1"/>
      <c r="L250" s="1"/>
      <c r="M250" s="1"/>
      <c r="N250" s="1"/>
      <c r="O250" s="1"/>
      <c r="P250" s="1"/>
      <c r="Q250" s="1"/>
      <c r="R250" s="1"/>
      <c r="S250" s="1"/>
      <c r="T250" s="1"/>
      <c r="U250" s="1"/>
      <c r="V250" s="1"/>
      <c r="W250" s="1"/>
    </row>
    <row r="251" spans="1:23" ht="31.5" thickTop="1" thickBot="1">
      <c r="A251" s="16"/>
      <c r="B251" s="22"/>
      <c r="C251" s="1126">
        <f>+H198</f>
        <v>37</v>
      </c>
      <c r="D251" s="1127"/>
      <c r="E251" s="538">
        <f>+H184</f>
        <v>74</v>
      </c>
      <c r="F251" s="516">
        <f>+H196</f>
        <v>38</v>
      </c>
      <c r="G251" s="510">
        <f>+H190</f>
        <v>54</v>
      </c>
      <c r="H251" s="514">
        <f>+H195</f>
        <v>38</v>
      </c>
      <c r="I251" s="2"/>
      <c r="J251" s="169"/>
      <c r="K251" s="1"/>
      <c r="L251" s="1"/>
      <c r="M251" s="1"/>
      <c r="N251" s="1"/>
      <c r="O251" s="1"/>
      <c r="P251" s="1"/>
      <c r="Q251" s="1"/>
      <c r="R251" s="1"/>
      <c r="S251" s="1"/>
      <c r="T251" s="1"/>
      <c r="U251" s="1"/>
      <c r="V251" s="1"/>
      <c r="W251" s="1"/>
    </row>
    <row r="252" spans="1:23" ht="17.25" thickTop="1" thickBot="1">
      <c r="A252" s="16"/>
      <c r="B252" s="22"/>
      <c r="C252" s="1124" t="s">
        <v>144</v>
      </c>
      <c r="D252" s="1125"/>
      <c r="E252" s="539" t="s">
        <v>145</v>
      </c>
      <c r="F252" s="517" t="s">
        <v>146</v>
      </c>
      <c r="G252" s="733" t="s">
        <v>147</v>
      </c>
      <c r="H252" s="515" t="s">
        <v>148</v>
      </c>
      <c r="I252" s="2"/>
      <c r="K252" s="1"/>
      <c r="L252" s="1"/>
      <c r="M252" s="1"/>
      <c r="N252" s="1"/>
      <c r="O252" s="1"/>
      <c r="P252" s="1"/>
      <c r="Q252" s="1"/>
      <c r="R252" s="1"/>
      <c r="S252" s="1"/>
      <c r="T252" s="1"/>
      <c r="U252" s="1"/>
      <c r="V252" s="1"/>
      <c r="W252" s="1"/>
    </row>
    <row r="253" spans="1:23" ht="16.5" thickTop="1">
      <c r="A253" s="16"/>
      <c r="B253" s="22"/>
      <c r="C253" s="23"/>
      <c r="D253" s="24"/>
      <c r="E253" s="1"/>
      <c r="F253" s="1"/>
      <c r="G253" s="1"/>
      <c r="H253" s="1"/>
      <c r="I253" s="2"/>
      <c r="J253" s="2"/>
      <c r="K253" s="1"/>
      <c r="L253" s="1"/>
      <c r="M253" s="1"/>
      <c r="N253" s="1"/>
      <c r="O253" s="1"/>
      <c r="P253" s="1"/>
      <c r="Q253" s="1"/>
      <c r="R253" s="1"/>
      <c r="S253" s="1"/>
      <c r="T253" s="1"/>
      <c r="U253" s="1"/>
      <c r="V253" s="1"/>
      <c r="W253" s="1"/>
    </row>
    <row r="254" spans="1:23" ht="15.75">
      <c r="A254" s="506" t="s">
        <v>798</v>
      </c>
      <c r="B254" s="508" t="s">
        <v>791</v>
      </c>
      <c r="C254" s="520" t="s">
        <v>792</v>
      </c>
      <c r="D254" s="513" t="s">
        <v>793</v>
      </c>
      <c r="E254" s="534" t="s">
        <v>794</v>
      </c>
      <c r="F254" s="512" t="s">
        <v>795</v>
      </c>
      <c r="G254" s="504" t="s">
        <v>796</v>
      </c>
      <c r="H254" s="537" t="s">
        <v>797</v>
      </c>
      <c r="I254" s="540" t="s">
        <v>799</v>
      </c>
      <c r="J254" s="505" t="s">
        <v>842</v>
      </c>
      <c r="R254" s="1"/>
      <c r="S254" s="1"/>
      <c r="T254" s="1"/>
      <c r="U254" s="1"/>
      <c r="V254" s="1"/>
      <c r="W254" s="1"/>
    </row>
    <row r="255" spans="1:23" ht="15.75">
      <c r="A255" s="16"/>
      <c r="B255" s="22"/>
      <c r="C255" s="509"/>
      <c r="D255" s="507"/>
      <c r="E255" s="1"/>
      <c r="F255" s="1"/>
      <c r="G255" s="1"/>
      <c r="H255" s="1"/>
      <c r="I255" s="2"/>
      <c r="J255" s="2"/>
      <c r="K255" s="1"/>
      <c r="L255" s="1"/>
      <c r="M255" s="1"/>
      <c r="N255" s="1"/>
      <c r="O255" s="1"/>
      <c r="P255" s="1"/>
      <c r="Q255" s="1"/>
      <c r="R255" s="1"/>
      <c r="S255" s="1"/>
      <c r="T255" s="1"/>
      <c r="U255" s="1"/>
      <c r="V255" s="1"/>
      <c r="W255" s="1"/>
    </row>
    <row r="256" spans="1:23" ht="15.75">
      <c r="A256" s="16"/>
      <c r="B256" s="22"/>
      <c r="C256" s="23"/>
      <c r="D256" s="24"/>
      <c r="E256" s="1"/>
      <c r="F256" s="1"/>
      <c r="G256" s="1"/>
      <c r="H256" s="1"/>
      <c r="I256" s="2"/>
      <c r="K256" s="1"/>
      <c r="L256" s="1"/>
      <c r="M256" s="1"/>
      <c r="N256" s="1"/>
      <c r="O256" s="1"/>
      <c r="P256" s="1"/>
      <c r="Q256" s="1"/>
      <c r="R256" s="1"/>
      <c r="S256" s="1"/>
      <c r="T256" s="1"/>
      <c r="U256" s="1"/>
      <c r="V256" s="1"/>
      <c r="W256" s="1"/>
    </row>
    <row r="257" spans="1:23" ht="15.75">
      <c r="A257" s="16"/>
      <c r="B257" s="22"/>
      <c r="C257" s="23"/>
      <c r="D257" s="24"/>
      <c r="E257" s="1"/>
      <c r="F257" s="1"/>
      <c r="G257" s="1"/>
      <c r="H257" s="1"/>
      <c r="I257" s="2"/>
      <c r="J257" s="2"/>
      <c r="K257" s="1"/>
      <c r="L257" s="1"/>
      <c r="M257" s="1"/>
      <c r="N257" s="1"/>
      <c r="O257" s="1"/>
      <c r="P257" s="1"/>
      <c r="Q257" s="1"/>
      <c r="R257" s="1"/>
      <c r="S257" s="1"/>
      <c r="T257" s="1"/>
      <c r="U257" s="1"/>
      <c r="V257" s="1"/>
      <c r="W257" s="1"/>
    </row>
    <row r="258" spans="1:23" ht="23.25">
      <c r="A258" s="11" t="s">
        <v>892</v>
      </c>
      <c r="B258" s="1"/>
      <c r="C258" s="1"/>
      <c r="D258" s="1"/>
      <c r="E258" s="1"/>
      <c r="F258" s="1"/>
      <c r="G258" s="1"/>
      <c r="H258" s="1"/>
      <c r="I258" s="2"/>
      <c r="J258" s="2"/>
      <c r="K258" s="1"/>
      <c r="L258" s="1"/>
      <c r="M258" s="1"/>
      <c r="N258" s="1"/>
      <c r="O258" s="1"/>
      <c r="P258" s="1"/>
      <c r="Q258" s="1"/>
      <c r="R258" s="1"/>
      <c r="S258" s="1"/>
      <c r="T258" s="1"/>
      <c r="U258" s="1"/>
      <c r="V258" s="1"/>
      <c r="W258" s="1"/>
    </row>
    <row r="259" spans="1:23" ht="15.75">
      <c r="A259" s="19"/>
      <c r="B259" s="1"/>
      <c r="C259" s="1"/>
      <c r="D259" s="1"/>
      <c r="E259" s="1"/>
      <c r="F259" s="1"/>
      <c r="G259" s="1"/>
      <c r="H259" s="1"/>
      <c r="I259" s="2"/>
      <c r="J259" s="2"/>
      <c r="K259" s="1"/>
      <c r="L259" s="1"/>
      <c r="M259" s="1"/>
      <c r="N259" s="1"/>
      <c r="O259" s="1"/>
      <c r="P259" s="1"/>
      <c r="Q259" s="1"/>
      <c r="R259" s="1"/>
      <c r="S259" s="1"/>
      <c r="T259" s="1"/>
      <c r="U259" s="1"/>
      <c r="V259" s="1"/>
      <c r="W259" s="1"/>
    </row>
    <row r="260" spans="1:23">
      <c r="A260" s="12" t="s">
        <v>195</v>
      </c>
      <c r="B260" s="13">
        <f t="shared" ref="B260:B265" si="3">C260/$C$267</f>
        <v>0.63186813186813184</v>
      </c>
      <c r="C260" s="12">
        <f>'Summary - Whole Tornadoes'!C89</f>
        <v>690</v>
      </c>
      <c r="D260" s="1"/>
      <c r="E260" s="1"/>
      <c r="F260" s="3"/>
      <c r="G260" s="1"/>
      <c r="H260" s="1"/>
      <c r="I260" s="1"/>
      <c r="J260" s="1"/>
      <c r="K260" s="1"/>
      <c r="L260" s="1"/>
      <c r="M260" s="1"/>
      <c r="N260" s="1"/>
      <c r="O260" s="1"/>
      <c r="P260" s="1"/>
      <c r="Q260" s="1"/>
      <c r="R260" s="1"/>
      <c r="S260" s="1"/>
      <c r="T260" s="1"/>
      <c r="U260" s="1"/>
      <c r="V260" s="1"/>
      <c r="W260" s="1"/>
    </row>
    <row r="261" spans="1:23">
      <c r="A261" s="12" t="s">
        <v>196</v>
      </c>
      <c r="B261" s="13">
        <f t="shared" si="3"/>
        <v>0.21336996336996336</v>
      </c>
      <c r="C261" s="12">
        <f>'Summary - Whole Tornadoes'!D89</f>
        <v>233</v>
      </c>
      <c r="D261" s="1"/>
      <c r="E261" s="1"/>
      <c r="F261" s="1"/>
      <c r="G261" s="1"/>
      <c r="H261" s="1"/>
      <c r="I261" s="1"/>
      <c r="J261" s="1"/>
      <c r="K261" s="1"/>
      <c r="L261" s="1"/>
      <c r="M261" s="1"/>
      <c r="N261" s="1"/>
      <c r="O261" s="1"/>
      <c r="P261" s="1"/>
      <c r="Q261" s="1"/>
      <c r="R261" s="1"/>
      <c r="S261" s="1"/>
      <c r="T261" s="1"/>
      <c r="U261" s="1"/>
      <c r="V261" s="1"/>
      <c r="W261" s="1"/>
    </row>
    <row r="262" spans="1:23">
      <c r="A262" s="12" t="s">
        <v>197</v>
      </c>
      <c r="B262" s="13">
        <f t="shared" si="3"/>
        <v>0.10989010989010989</v>
      </c>
      <c r="C262" s="12">
        <f>'Summary - Whole Tornadoes'!E89</f>
        <v>120</v>
      </c>
      <c r="D262" s="1"/>
      <c r="E262" s="1"/>
      <c r="F262" s="1"/>
      <c r="G262" s="1"/>
      <c r="H262" s="1"/>
      <c r="I262" s="1"/>
      <c r="J262" s="1"/>
      <c r="K262" s="1"/>
      <c r="L262" s="1"/>
      <c r="M262" s="1"/>
      <c r="N262" s="1"/>
      <c r="O262" s="1"/>
      <c r="P262" s="1"/>
      <c r="Q262" s="1"/>
      <c r="R262" s="1"/>
      <c r="S262" s="1"/>
      <c r="T262" s="1"/>
      <c r="U262" s="1"/>
      <c r="V262" s="1"/>
      <c r="W262" s="1"/>
    </row>
    <row r="263" spans="1:23">
      <c r="A263" s="12" t="s">
        <v>198</v>
      </c>
      <c r="B263" s="13">
        <f t="shared" si="3"/>
        <v>3.388278388278388E-2</v>
      </c>
      <c r="C263" s="12">
        <f>'Summary - Whole Tornadoes'!F89</f>
        <v>37</v>
      </c>
      <c r="D263" s="1"/>
      <c r="E263" s="1"/>
      <c r="F263" s="1"/>
      <c r="G263" s="1"/>
      <c r="H263" s="1"/>
      <c r="I263" s="1"/>
      <c r="J263" s="1"/>
      <c r="K263" s="1"/>
      <c r="L263" s="1"/>
      <c r="M263" s="1"/>
      <c r="N263" s="1"/>
      <c r="O263" s="1"/>
      <c r="P263" s="1"/>
      <c r="Q263" s="1"/>
      <c r="R263" s="1"/>
      <c r="S263" s="1"/>
      <c r="T263" s="1"/>
      <c r="U263" s="1"/>
      <c r="V263" s="1"/>
      <c r="W263" s="1"/>
    </row>
    <row r="264" spans="1:23">
      <c r="A264" s="12" t="s">
        <v>199</v>
      </c>
      <c r="B264" s="13">
        <f t="shared" si="3"/>
        <v>1.098901098901099E-2</v>
      </c>
      <c r="C264" s="12">
        <f>'Summary - Whole Tornadoes'!G89</f>
        <v>12</v>
      </c>
      <c r="D264" s="1"/>
      <c r="E264" s="1"/>
      <c r="F264" s="1"/>
      <c r="G264" s="1"/>
      <c r="H264" s="1"/>
      <c r="I264" s="1"/>
      <c r="J264" s="1"/>
      <c r="K264" s="1"/>
      <c r="L264" s="1"/>
      <c r="M264" s="1"/>
      <c r="N264" s="1"/>
      <c r="O264" s="1"/>
      <c r="P264" s="1"/>
      <c r="Q264" s="1"/>
      <c r="R264" s="1"/>
      <c r="S264" s="1"/>
      <c r="T264" s="1"/>
      <c r="U264" s="1"/>
      <c r="V264" s="1"/>
      <c r="W264" s="1"/>
    </row>
    <row r="265" spans="1:23">
      <c r="A265" s="12" t="s">
        <v>200</v>
      </c>
      <c r="B265" s="13">
        <f t="shared" si="3"/>
        <v>0</v>
      </c>
      <c r="C265" s="12">
        <f>'Summary - Whole Tornadoes'!H89</f>
        <v>0</v>
      </c>
      <c r="D265" s="1"/>
      <c r="E265" s="1"/>
      <c r="F265" s="1"/>
      <c r="G265" s="1"/>
      <c r="H265" s="1"/>
      <c r="I265" s="1"/>
      <c r="J265" s="1"/>
      <c r="K265" s="1"/>
      <c r="L265" s="1"/>
      <c r="M265" s="1"/>
      <c r="N265" s="1"/>
      <c r="O265" s="1"/>
      <c r="P265" s="1"/>
      <c r="Q265" s="1"/>
      <c r="R265" s="1"/>
      <c r="S265" s="1"/>
      <c r="T265" s="1"/>
      <c r="U265" s="1"/>
      <c r="V265" s="1"/>
      <c r="W265" s="1"/>
    </row>
    <row r="266" spans="1:23">
      <c r="A266" s="12"/>
      <c r="B266" s="13"/>
      <c r="C266" s="1"/>
      <c r="D266" s="1"/>
      <c r="E266" s="1"/>
      <c r="F266" s="1"/>
      <c r="G266" s="1"/>
      <c r="H266" s="1"/>
      <c r="I266" s="1"/>
      <c r="J266" s="1"/>
      <c r="K266" s="1"/>
      <c r="L266" s="1"/>
      <c r="M266" s="1"/>
      <c r="N266" s="1"/>
      <c r="O266" s="1"/>
      <c r="P266" s="1"/>
      <c r="Q266" s="1"/>
      <c r="R266" s="1"/>
      <c r="S266" s="1"/>
      <c r="T266" s="1"/>
      <c r="U266" s="1"/>
      <c r="V266" s="1"/>
      <c r="W266" s="1"/>
    </row>
    <row r="267" spans="1:23" ht="15.75">
      <c r="A267" s="12"/>
      <c r="B267" s="75" t="s">
        <v>531</v>
      </c>
      <c r="C267" s="16">
        <f>SUM(C260:C265)</f>
        <v>1092</v>
      </c>
      <c r="D267" s="1"/>
      <c r="E267" s="1"/>
      <c r="F267" s="1"/>
      <c r="G267" s="1"/>
      <c r="H267" s="1"/>
      <c r="I267" s="1"/>
      <c r="J267" s="1"/>
      <c r="K267" s="1"/>
      <c r="L267" s="1"/>
      <c r="M267" s="1"/>
      <c r="N267" s="1"/>
      <c r="O267" s="1"/>
      <c r="P267" s="1"/>
      <c r="Q267" s="1"/>
      <c r="R267" s="1"/>
      <c r="S267" s="1"/>
      <c r="T267" s="1"/>
      <c r="U267" s="1"/>
      <c r="V267" s="1"/>
      <c r="W267" s="1"/>
    </row>
    <row r="268" spans="1:23">
      <c r="A268" s="12"/>
      <c r="B268" s="13"/>
      <c r="C268" s="12"/>
      <c r="D268" s="1"/>
      <c r="E268" s="1"/>
      <c r="F268" s="1"/>
      <c r="G268" s="1"/>
      <c r="H268" s="1"/>
      <c r="I268" s="1"/>
      <c r="J268" s="1"/>
      <c r="K268" s="1"/>
      <c r="L268" s="1"/>
      <c r="M268" s="1"/>
      <c r="N268" s="1"/>
      <c r="O268" s="1"/>
      <c r="P268" s="1"/>
      <c r="Q268" s="1"/>
      <c r="R268" s="1"/>
      <c r="S268" s="1"/>
      <c r="T268" s="1"/>
      <c r="U268" s="1"/>
      <c r="V268" s="1"/>
      <c r="W268" s="1"/>
    </row>
    <row r="269" spans="1:23" ht="15" customHeight="1">
      <c r="A269" s="12"/>
      <c r="B269" s="13"/>
      <c r="C269" s="12"/>
      <c r="D269" s="1"/>
      <c r="E269" s="1"/>
      <c r="F269" s="1"/>
      <c r="G269" s="1"/>
      <c r="H269" s="1"/>
      <c r="I269" s="1"/>
      <c r="J269" s="1"/>
      <c r="K269" s="1"/>
      <c r="L269" s="1"/>
      <c r="M269" s="1"/>
      <c r="N269" s="1"/>
      <c r="O269" s="1"/>
      <c r="P269" s="1"/>
      <c r="Q269" s="1"/>
      <c r="R269" s="1"/>
      <c r="S269" s="1"/>
      <c r="T269" s="1"/>
      <c r="U269" s="1"/>
      <c r="V269" s="1"/>
      <c r="W269" s="1"/>
    </row>
    <row r="270" spans="1:23">
      <c r="A270" s="12"/>
      <c r="B270" s="13"/>
      <c r="C270" s="12"/>
      <c r="D270" s="1"/>
      <c r="E270" s="1"/>
      <c r="F270" s="1"/>
      <c r="G270" s="1"/>
      <c r="H270" s="1"/>
      <c r="I270" s="1"/>
      <c r="J270" s="1"/>
      <c r="K270" s="1"/>
      <c r="L270" s="1"/>
      <c r="M270" s="1"/>
      <c r="N270" s="1"/>
      <c r="O270" s="1"/>
      <c r="P270" s="1"/>
      <c r="Q270" s="1"/>
      <c r="R270" s="1"/>
      <c r="S270" s="1"/>
      <c r="T270" s="1"/>
      <c r="U270" s="1"/>
      <c r="V270" s="1"/>
      <c r="W270" s="1"/>
    </row>
    <row r="271" spans="1:23">
      <c r="A271" s="12"/>
      <c r="B271" s="13"/>
      <c r="C271" s="12"/>
      <c r="D271" s="1"/>
      <c r="E271" s="1"/>
      <c r="F271" s="1"/>
      <c r="G271" s="1"/>
      <c r="H271" s="1"/>
      <c r="I271" s="1"/>
      <c r="J271" s="1"/>
      <c r="K271" s="1"/>
      <c r="L271" s="1"/>
      <c r="M271" s="1"/>
      <c r="N271" s="1"/>
      <c r="O271" s="1"/>
      <c r="P271" s="1"/>
      <c r="Q271" s="1"/>
      <c r="R271" s="1"/>
      <c r="S271" s="1"/>
      <c r="T271" s="1"/>
      <c r="U271" s="1"/>
      <c r="V271" s="1"/>
      <c r="W271" s="1"/>
    </row>
    <row r="272" spans="1:23">
      <c r="A272" s="12"/>
      <c r="B272" s="13"/>
      <c r="C272" s="12"/>
      <c r="D272" s="1"/>
      <c r="E272" s="1"/>
      <c r="F272" s="1"/>
      <c r="G272" s="1"/>
      <c r="H272" s="1"/>
      <c r="I272" s="1"/>
      <c r="J272" s="1"/>
      <c r="K272" s="1"/>
      <c r="L272" s="1"/>
      <c r="M272" s="1"/>
      <c r="N272" s="1"/>
      <c r="O272" s="1"/>
      <c r="P272" s="1"/>
      <c r="Q272" s="1"/>
      <c r="R272" s="1"/>
      <c r="S272" s="1"/>
      <c r="T272" s="1"/>
      <c r="U272" s="1"/>
      <c r="V272" s="1"/>
      <c r="W272" s="1"/>
    </row>
    <row r="273" spans="1:23">
      <c r="A273" s="12"/>
      <c r="B273" s="13"/>
      <c r="C273" s="12"/>
      <c r="D273" s="1"/>
      <c r="E273" s="1"/>
      <c r="F273" s="1"/>
      <c r="G273" s="1"/>
      <c r="H273" s="1"/>
      <c r="I273" s="1"/>
      <c r="J273" s="1"/>
      <c r="K273" s="1"/>
      <c r="L273" s="1"/>
      <c r="M273" s="1"/>
      <c r="N273" s="1"/>
      <c r="O273" s="1"/>
      <c r="P273" s="1"/>
      <c r="Q273" s="1"/>
      <c r="R273" s="1"/>
      <c r="S273" s="1"/>
      <c r="T273" s="1"/>
      <c r="U273" s="1"/>
      <c r="V273" s="1"/>
      <c r="W273" s="1"/>
    </row>
    <row r="274" spans="1:23">
      <c r="A274" s="12"/>
      <c r="B274" s="13"/>
      <c r="C274" s="12"/>
      <c r="D274" s="1"/>
      <c r="E274" s="1"/>
      <c r="F274" s="1"/>
      <c r="G274" s="1"/>
      <c r="H274" s="1"/>
      <c r="I274" s="1"/>
      <c r="J274" s="1"/>
      <c r="K274" s="1"/>
      <c r="L274" s="1"/>
      <c r="M274" s="1"/>
      <c r="N274" s="1"/>
      <c r="O274" s="1"/>
      <c r="P274" s="1"/>
      <c r="Q274" s="1"/>
      <c r="R274" s="1"/>
      <c r="S274" s="1"/>
      <c r="T274" s="1"/>
      <c r="U274" s="1"/>
      <c r="V274" s="1"/>
      <c r="W274" s="1"/>
    </row>
    <row r="275" spans="1:23">
      <c r="A275" s="12"/>
      <c r="B275" s="13"/>
      <c r="C275" s="12"/>
      <c r="D275" s="1"/>
      <c r="E275" s="1"/>
      <c r="F275" s="1"/>
      <c r="G275" s="1"/>
      <c r="H275" s="1"/>
      <c r="I275" s="1"/>
      <c r="J275" s="1"/>
      <c r="K275" s="1"/>
      <c r="L275" s="1"/>
      <c r="M275" s="1"/>
      <c r="N275" s="1"/>
      <c r="O275" s="1"/>
      <c r="P275" s="1"/>
      <c r="Q275" s="1"/>
      <c r="R275" s="1"/>
      <c r="S275" s="1"/>
      <c r="T275" s="1"/>
      <c r="U275" s="1"/>
      <c r="V275" s="1"/>
      <c r="W275" s="1"/>
    </row>
    <row r="276" spans="1:23">
      <c r="A276" s="12"/>
      <c r="B276" s="13"/>
      <c r="C276" s="12"/>
      <c r="D276" s="1"/>
      <c r="E276" s="1"/>
      <c r="F276" s="1"/>
      <c r="G276" s="1"/>
      <c r="H276" s="1"/>
      <c r="I276" s="1"/>
      <c r="J276" s="1"/>
      <c r="K276" s="1"/>
      <c r="L276" s="1"/>
      <c r="M276" s="1"/>
      <c r="N276" s="1"/>
      <c r="O276" s="1"/>
      <c r="P276" s="1"/>
      <c r="Q276" s="1"/>
      <c r="R276" s="1"/>
      <c r="S276" s="1"/>
      <c r="T276" s="1"/>
      <c r="U276" s="1"/>
      <c r="V276" s="1"/>
      <c r="W276" s="1"/>
    </row>
    <row r="277" spans="1:23">
      <c r="A277" s="12"/>
      <c r="B277" s="13"/>
      <c r="C277" s="12"/>
      <c r="D277" s="1"/>
      <c r="E277" s="1"/>
      <c r="F277" s="1"/>
      <c r="G277" s="1"/>
      <c r="H277" s="1"/>
      <c r="I277" s="1"/>
      <c r="J277" s="1"/>
      <c r="K277" s="1"/>
      <c r="L277" s="1"/>
      <c r="M277" s="1"/>
      <c r="N277" s="1"/>
      <c r="O277" s="1"/>
      <c r="P277" s="1"/>
      <c r="Q277" s="1"/>
      <c r="R277" s="1"/>
      <c r="S277" s="1"/>
      <c r="T277" s="1"/>
      <c r="U277" s="1"/>
      <c r="V277" s="1"/>
      <c r="W277" s="1"/>
    </row>
    <row r="278" spans="1:23">
      <c r="A278" s="12"/>
      <c r="B278" s="13"/>
      <c r="C278" s="12"/>
      <c r="D278" s="1"/>
      <c r="E278" s="1"/>
      <c r="F278" s="1"/>
      <c r="G278" s="1"/>
      <c r="H278" s="1"/>
      <c r="I278" s="1"/>
      <c r="J278" s="1"/>
      <c r="K278" s="1"/>
      <c r="L278" s="1"/>
      <c r="M278" s="1"/>
      <c r="N278" s="1"/>
      <c r="O278" s="1"/>
      <c r="P278" s="1"/>
      <c r="Q278" s="1"/>
      <c r="R278" s="1"/>
      <c r="S278" s="1"/>
      <c r="T278" s="1"/>
      <c r="U278" s="1"/>
      <c r="V278" s="1"/>
      <c r="W278" s="1"/>
    </row>
    <row r="279" spans="1:23">
      <c r="A279" s="12"/>
      <c r="B279" s="13"/>
      <c r="C279" s="12"/>
      <c r="D279" s="1"/>
      <c r="E279" s="1"/>
      <c r="F279" s="1"/>
      <c r="G279" s="1"/>
      <c r="H279" s="1"/>
      <c r="I279" s="1"/>
      <c r="J279" s="1"/>
      <c r="K279" s="1"/>
      <c r="L279" s="1"/>
      <c r="M279" s="1"/>
      <c r="N279" s="1"/>
      <c r="O279" s="1"/>
      <c r="P279" s="1"/>
      <c r="Q279" s="1"/>
      <c r="R279" s="1"/>
      <c r="S279" s="1"/>
      <c r="T279" s="1"/>
      <c r="U279" s="1"/>
      <c r="V279" s="1"/>
      <c r="W279" s="1"/>
    </row>
    <row r="280" spans="1:23">
      <c r="A280" s="12"/>
      <c r="B280" s="13"/>
      <c r="C280" s="12"/>
      <c r="D280" s="1"/>
      <c r="E280" s="1"/>
      <c r="F280" s="1"/>
      <c r="G280" s="1"/>
      <c r="H280" s="1"/>
      <c r="I280" s="1"/>
      <c r="J280" s="1"/>
      <c r="K280" s="1"/>
      <c r="L280" s="1"/>
      <c r="M280" s="1"/>
      <c r="N280" s="1"/>
      <c r="O280" s="1"/>
      <c r="P280" s="1"/>
      <c r="Q280" s="1"/>
      <c r="R280" s="1"/>
      <c r="S280" s="1"/>
      <c r="T280" s="1"/>
      <c r="U280" s="1"/>
      <c r="V280" s="1"/>
      <c r="W280" s="1"/>
    </row>
    <row r="281" spans="1:23">
      <c r="A281" s="12"/>
      <c r="B281" s="13"/>
      <c r="C281" s="12"/>
      <c r="D281" s="1"/>
      <c r="E281" s="1"/>
      <c r="F281" s="1"/>
      <c r="G281" s="1"/>
      <c r="H281" s="1"/>
      <c r="I281" s="1"/>
      <c r="J281" s="1"/>
      <c r="K281" s="1"/>
      <c r="L281" s="1"/>
      <c r="M281" s="1"/>
      <c r="N281" s="1"/>
      <c r="O281" s="1"/>
      <c r="P281" s="1"/>
      <c r="Q281" s="1"/>
      <c r="R281" s="1"/>
      <c r="S281" s="1"/>
      <c r="T281" s="1"/>
      <c r="U281" s="1"/>
      <c r="V281" s="1"/>
      <c r="W281" s="1"/>
    </row>
    <row r="282" spans="1:23">
      <c r="A282" s="12"/>
      <c r="B282" s="13"/>
      <c r="C282" s="12"/>
      <c r="D282" s="1"/>
      <c r="E282" s="1"/>
      <c r="F282" s="1"/>
      <c r="G282" s="1"/>
      <c r="H282" s="1"/>
      <c r="I282" s="1"/>
      <c r="J282" s="1"/>
      <c r="K282" s="1"/>
      <c r="L282" s="1"/>
      <c r="M282" s="1"/>
      <c r="N282" s="1"/>
      <c r="O282" s="1"/>
      <c r="P282" s="1"/>
      <c r="Q282" s="1"/>
      <c r="R282" s="1"/>
      <c r="S282" s="1"/>
      <c r="T282" s="1"/>
      <c r="U282" s="1"/>
      <c r="V282" s="1"/>
      <c r="W282" s="1"/>
    </row>
    <row r="283" spans="1:23">
      <c r="A283" s="12"/>
      <c r="B283" s="13"/>
      <c r="C283" s="12"/>
      <c r="D283" s="1"/>
      <c r="E283" s="1"/>
      <c r="F283" s="1"/>
      <c r="G283" s="1"/>
      <c r="H283" s="1"/>
      <c r="I283" s="1"/>
      <c r="J283" s="1"/>
      <c r="K283" s="1"/>
      <c r="L283" s="1"/>
      <c r="M283" s="1"/>
      <c r="N283" s="1"/>
      <c r="O283" s="1"/>
      <c r="P283" s="1"/>
      <c r="Q283" s="1"/>
      <c r="R283" s="1"/>
      <c r="S283" s="1"/>
      <c r="T283" s="1"/>
      <c r="U283" s="1"/>
      <c r="V283" s="1"/>
      <c r="W283" s="1"/>
    </row>
    <row r="284" spans="1:23">
      <c r="A284" s="12"/>
      <c r="B284" s="13"/>
      <c r="C284" s="12"/>
      <c r="D284" s="1"/>
      <c r="E284" s="1"/>
      <c r="F284" s="1"/>
      <c r="G284" s="1"/>
      <c r="H284" s="1"/>
      <c r="I284" s="1"/>
      <c r="J284" s="1"/>
      <c r="K284" s="1"/>
      <c r="L284" s="1"/>
      <c r="M284" s="1"/>
      <c r="N284" s="1"/>
      <c r="O284" s="1"/>
      <c r="P284" s="1"/>
      <c r="Q284" s="1"/>
      <c r="R284" s="1"/>
      <c r="S284" s="1"/>
      <c r="T284" s="1"/>
      <c r="U284" s="1"/>
      <c r="V284" s="1"/>
      <c r="W284" s="1"/>
    </row>
    <row r="285" spans="1:23">
      <c r="A285" s="12"/>
      <c r="B285" s="13"/>
      <c r="C285" s="12"/>
      <c r="D285" s="1"/>
      <c r="E285" s="1"/>
      <c r="F285" s="1"/>
      <c r="G285" s="1"/>
      <c r="H285" s="1"/>
      <c r="I285" s="1"/>
      <c r="J285" s="1"/>
      <c r="K285" s="1"/>
      <c r="L285" s="1"/>
      <c r="M285" s="1"/>
      <c r="N285" s="1"/>
      <c r="O285" s="1"/>
      <c r="P285" s="1"/>
      <c r="Q285" s="1"/>
      <c r="R285" s="1"/>
      <c r="S285" s="1"/>
      <c r="T285" s="1"/>
      <c r="U285" s="1"/>
      <c r="V285" s="1"/>
      <c r="W285" s="1"/>
    </row>
    <row r="286" spans="1:23">
      <c r="A286" s="12"/>
      <c r="B286" s="13"/>
      <c r="C286" s="12"/>
      <c r="D286" s="1"/>
      <c r="E286" s="1"/>
      <c r="F286" s="1"/>
      <c r="G286" s="1"/>
      <c r="H286" s="1"/>
      <c r="I286" s="1"/>
      <c r="J286" s="1"/>
      <c r="K286" s="1"/>
      <c r="L286" s="1"/>
      <c r="M286" s="1"/>
      <c r="N286" s="1"/>
      <c r="O286" s="1"/>
      <c r="P286" s="1"/>
      <c r="Q286" s="1"/>
      <c r="R286" s="1"/>
      <c r="S286" s="1"/>
      <c r="T286" s="1"/>
      <c r="U286" s="1"/>
      <c r="V286" s="1"/>
      <c r="W286" s="1"/>
    </row>
    <row r="287" spans="1:23">
      <c r="A287" s="12"/>
      <c r="B287" s="13"/>
      <c r="C287" s="12"/>
      <c r="D287" s="1"/>
      <c r="E287" s="1"/>
      <c r="F287" s="1"/>
      <c r="G287" s="1"/>
      <c r="H287" s="1"/>
      <c r="I287" s="1"/>
      <c r="J287" s="1"/>
      <c r="K287" s="1"/>
      <c r="L287" s="1"/>
      <c r="M287" s="1"/>
      <c r="N287" s="1"/>
      <c r="O287" s="1"/>
      <c r="P287" s="1"/>
      <c r="Q287" s="1"/>
      <c r="R287" s="1"/>
      <c r="S287" s="1"/>
      <c r="T287" s="1"/>
      <c r="U287" s="1"/>
      <c r="V287" s="1"/>
      <c r="W287" s="1"/>
    </row>
    <row r="288" spans="1:23">
      <c r="A288" s="12"/>
      <c r="B288" s="13"/>
      <c r="C288" s="12"/>
      <c r="D288" s="1"/>
      <c r="E288" s="1"/>
      <c r="F288" s="1"/>
      <c r="G288" s="1"/>
      <c r="H288" s="1"/>
      <c r="I288" s="1"/>
      <c r="J288" s="1"/>
      <c r="K288" s="1"/>
      <c r="L288" s="1"/>
      <c r="M288" s="1"/>
      <c r="N288" s="1"/>
      <c r="O288" s="1"/>
      <c r="P288" s="1"/>
      <c r="Q288" s="1"/>
      <c r="R288" s="1"/>
      <c r="S288" s="1"/>
      <c r="T288" s="1"/>
      <c r="U288" s="1"/>
      <c r="V288" s="1"/>
      <c r="W288" s="1"/>
    </row>
    <row r="289" spans="1:23">
      <c r="A289" s="12"/>
      <c r="B289" s="13"/>
      <c r="C289" s="12"/>
      <c r="D289" s="1"/>
      <c r="E289" s="1"/>
      <c r="F289" s="1"/>
      <c r="G289" s="1"/>
      <c r="H289" s="1"/>
      <c r="I289" s="1"/>
      <c r="J289" s="1"/>
      <c r="K289" s="1"/>
      <c r="L289" s="1"/>
      <c r="M289" s="1"/>
      <c r="N289" s="1"/>
      <c r="O289" s="1"/>
      <c r="P289" s="1"/>
      <c r="Q289" s="1"/>
      <c r="R289" s="1"/>
      <c r="S289" s="1"/>
      <c r="T289" s="1"/>
      <c r="U289" s="1"/>
      <c r="V289" s="1"/>
      <c r="W289" s="1"/>
    </row>
    <row r="290" spans="1:23">
      <c r="A290" s="12"/>
      <c r="B290" s="13"/>
      <c r="C290" s="12"/>
      <c r="D290" s="1"/>
      <c r="E290" s="1"/>
      <c r="F290" s="1"/>
      <c r="G290" s="1"/>
      <c r="H290" s="1"/>
      <c r="I290" s="1"/>
      <c r="J290" s="1"/>
      <c r="K290" s="1"/>
      <c r="L290" s="1"/>
      <c r="M290" s="1"/>
      <c r="N290" s="1"/>
      <c r="O290" s="1"/>
      <c r="P290" s="1"/>
      <c r="Q290" s="1"/>
      <c r="R290" s="1"/>
      <c r="S290" s="1"/>
      <c r="T290" s="1"/>
      <c r="U290" s="1"/>
      <c r="V290" s="1"/>
      <c r="W290" s="1"/>
    </row>
    <row r="291" spans="1:23">
      <c r="A291" s="12"/>
      <c r="B291" s="13"/>
      <c r="C291" s="12"/>
      <c r="D291" s="1"/>
      <c r="E291" s="1"/>
      <c r="F291" s="1"/>
      <c r="G291" s="1"/>
      <c r="H291" s="1"/>
      <c r="I291" s="1"/>
      <c r="J291" s="1"/>
      <c r="K291" s="1"/>
      <c r="L291" s="1"/>
      <c r="M291" s="1"/>
      <c r="N291" s="1"/>
      <c r="O291" s="1"/>
      <c r="P291" s="1"/>
      <c r="Q291" s="1"/>
      <c r="R291" s="1"/>
      <c r="S291" s="1"/>
      <c r="T291" s="1"/>
      <c r="U291" s="1"/>
      <c r="V291" s="1"/>
      <c r="W291" s="1"/>
    </row>
    <row r="292" spans="1:23">
      <c r="A292" s="12"/>
      <c r="B292" s="13"/>
      <c r="C292" s="12"/>
      <c r="D292" s="1"/>
      <c r="E292" s="1"/>
      <c r="F292" s="1"/>
      <c r="G292" s="1"/>
      <c r="H292" s="1"/>
      <c r="I292" s="1"/>
      <c r="J292" s="1"/>
      <c r="K292" s="1"/>
      <c r="L292" s="1"/>
      <c r="M292" s="1"/>
      <c r="N292" s="1"/>
      <c r="O292" s="1"/>
      <c r="P292" s="1"/>
      <c r="Q292" s="1"/>
      <c r="R292" s="1"/>
      <c r="S292" s="1"/>
      <c r="T292" s="1"/>
      <c r="U292" s="1"/>
      <c r="V292" s="1"/>
      <c r="W292" s="1"/>
    </row>
    <row r="293" spans="1:23">
      <c r="A293" s="12"/>
      <c r="B293" s="13"/>
      <c r="C293" s="12"/>
      <c r="D293" s="1"/>
      <c r="E293" s="1"/>
      <c r="F293" s="1"/>
      <c r="G293" s="1"/>
      <c r="H293" s="1"/>
      <c r="I293" s="1"/>
      <c r="J293" s="1"/>
      <c r="K293" s="1"/>
      <c r="L293" s="1"/>
      <c r="M293" s="1"/>
      <c r="N293" s="1"/>
      <c r="O293" s="1"/>
      <c r="P293" s="1"/>
      <c r="Q293" s="1"/>
      <c r="R293" s="1"/>
      <c r="S293" s="1"/>
      <c r="T293" s="1"/>
      <c r="U293" s="1"/>
      <c r="V293" s="1"/>
      <c r="W293" s="1"/>
    </row>
    <row r="294" spans="1:23">
      <c r="A294" s="12"/>
      <c r="B294" s="13"/>
      <c r="C294" s="12"/>
      <c r="D294" s="1"/>
      <c r="E294" s="1"/>
      <c r="F294" s="1"/>
      <c r="G294" s="1"/>
      <c r="H294" s="1"/>
      <c r="I294" s="1"/>
      <c r="J294" s="1"/>
      <c r="K294" s="1"/>
      <c r="L294" s="1"/>
      <c r="M294" s="1"/>
      <c r="N294" s="1"/>
      <c r="O294" s="1"/>
      <c r="P294" s="1"/>
      <c r="Q294" s="1"/>
      <c r="R294" s="1"/>
      <c r="S294" s="1"/>
      <c r="T294" s="1"/>
      <c r="U294" s="1"/>
      <c r="V294" s="1"/>
      <c r="W294" s="1"/>
    </row>
    <row r="295" spans="1:23">
      <c r="A295" s="12"/>
      <c r="B295" s="13"/>
      <c r="C295" s="12"/>
      <c r="D295" s="1"/>
      <c r="E295" s="1"/>
      <c r="F295" s="1"/>
      <c r="G295" s="1"/>
      <c r="H295" s="1"/>
      <c r="I295" s="1"/>
      <c r="J295" s="1"/>
      <c r="K295" s="1"/>
      <c r="L295" s="1"/>
      <c r="M295" s="1"/>
      <c r="N295" s="1"/>
      <c r="O295" s="1"/>
      <c r="P295" s="1"/>
      <c r="Q295" s="1"/>
      <c r="R295" s="1"/>
      <c r="S295" s="1"/>
      <c r="T295" s="1"/>
      <c r="U295" s="1"/>
      <c r="V295" s="1"/>
      <c r="W295" s="1"/>
    </row>
    <row r="296" spans="1:23">
      <c r="A296" s="12"/>
      <c r="B296" s="13"/>
      <c r="C296" s="12"/>
      <c r="D296" s="1"/>
      <c r="E296" s="1"/>
      <c r="F296" s="1"/>
      <c r="G296" s="1"/>
      <c r="H296" s="1"/>
      <c r="I296" s="1"/>
      <c r="J296" s="1"/>
      <c r="K296" s="1"/>
      <c r="L296" s="1"/>
      <c r="M296" s="1"/>
      <c r="N296" s="1"/>
      <c r="O296" s="1"/>
      <c r="P296" s="1"/>
      <c r="Q296" s="1"/>
      <c r="R296" s="1"/>
      <c r="S296" s="1"/>
      <c r="T296" s="1"/>
      <c r="U296" s="1"/>
      <c r="V296" s="1"/>
      <c r="W296" s="1"/>
    </row>
    <row r="297" spans="1:23" ht="23.25">
      <c r="A297" s="8" t="s">
        <v>893</v>
      </c>
      <c r="B297" s="14"/>
      <c r="C297" s="12"/>
      <c r="D297" s="1"/>
      <c r="E297" s="1"/>
      <c r="F297" s="1"/>
      <c r="G297" s="1"/>
      <c r="H297" s="1"/>
      <c r="I297" s="1"/>
      <c r="J297" s="1"/>
      <c r="K297" s="1"/>
      <c r="L297" s="1"/>
      <c r="M297" s="1"/>
      <c r="N297" s="1"/>
      <c r="O297" s="1"/>
      <c r="P297" s="1"/>
      <c r="Q297" s="1"/>
      <c r="R297" s="1"/>
      <c r="S297" s="1"/>
      <c r="T297" s="1"/>
      <c r="U297" s="1"/>
      <c r="V297" s="1"/>
      <c r="W297" s="1"/>
    </row>
    <row r="298" spans="1:23" ht="15.75">
      <c r="A298" s="16"/>
      <c r="B298" s="14"/>
      <c r="C298" s="12"/>
      <c r="D298" s="1"/>
      <c r="E298" s="1"/>
      <c r="F298" s="1"/>
      <c r="G298" s="1"/>
      <c r="H298" s="1"/>
      <c r="I298" s="1"/>
      <c r="J298" s="1"/>
      <c r="K298" s="1"/>
      <c r="L298" s="1"/>
      <c r="M298" s="1"/>
      <c r="N298" s="1"/>
      <c r="O298" s="1"/>
      <c r="P298" s="1"/>
      <c r="Q298" s="1"/>
      <c r="R298" s="1"/>
      <c r="S298" s="1"/>
      <c r="T298" s="1"/>
      <c r="U298" s="1"/>
      <c r="V298" s="1"/>
      <c r="W298" s="1"/>
    </row>
    <row r="299" spans="1:23">
      <c r="A299" s="12" t="s">
        <v>201</v>
      </c>
      <c r="B299" s="1"/>
      <c r="C299" s="1"/>
      <c r="D299" s="13">
        <f>B260+B261</f>
        <v>0.84523809523809523</v>
      </c>
      <c r="E299" s="1">
        <f>+C260+C261</f>
        <v>923</v>
      </c>
      <c r="F299" s="1"/>
      <c r="G299" s="1"/>
      <c r="H299" s="1"/>
      <c r="I299" s="1"/>
      <c r="J299" s="1"/>
      <c r="K299" s="1"/>
      <c r="L299" s="1"/>
      <c r="M299" s="1"/>
      <c r="N299" s="1"/>
      <c r="O299" s="1"/>
      <c r="P299" s="1"/>
      <c r="Q299" s="1"/>
      <c r="R299" s="1"/>
      <c r="S299" s="1"/>
      <c r="T299" s="1"/>
      <c r="U299" s="1"/>
      <c r="V299" s="1"/>
      <c r="W299" s="1"/>
    </row>
    <row r="300" spans="1:23">
      <c r="A300" s="12" t="s">
        <v>202</v>
      </c>
      <c r="B300" s="1"/>
      <c r="C300" s="1"/>
      <c r="D300" s="13">
        <f>B262+B263</f>
        <v>0.14377289377289376</v>
      </c>
      <c r="E300" s="1">
        <f>+C262+C263</f>
        <v>157</v>
      </c>
      <c r="F300" s="1"/>
      <c r="G300" s="1"/>
      <c r="H300" s="1"/>
      <c r="I300" s="1"/>
      <c r="J300" s="1"/>
      <c r="K300" s="1"/>
      <c r="L300" s="1"/>
      <c r="M300" s="1"/>
      <c r="N300" s="1"/>
      <c r="O300" s="1"/>
      <c r="P300" s="1"/>
      <c r="Q300" s="1"/>
      <c r="R300" s="1"/>
      <c r="S300" s="1"/>
      <c r="T300" s="1"/>
      <c r="U300" s="1"/>
      <c r="V300" s="1"/>
      <c r="W300" s="1"/>
    </row>
    <row r="301" spans="1:23">
      <c r="A301" s="12" t="s">
        <v>203</v>
      </c>
      <c r="B301" s="1"/>
      <c r="C301" s="1"/>
      <c r="D301" s="13">
        <f>B264+B265</f>
        <v>1.098901098901099E-2</v>
      </c>
      <c r="E301" s="1">
        <f>+C264+C265</f>
        <v>12</v>
      </c>
      <c r="F301" s="1"/>
      <c r="G301" s="1"/>
      <c r="H301" s="1"/>
      <c r="I301" s="1"/>
      <c r="J301" s="1"/>
      <c r="K301" s="1"/>
      <c r="L301" s="1"/>
      <c r="M301" s="1"/>
      <c r="N301" s="1"/>
      <c r="O301" s="1"/>
      <c r="P301" s="1"/>
      <c r="Q301" s="1"/>
      <c r="R301" s="1"/>
      <c r="S301" s="1"/>
      <c r="T301" s="1"/>
      <c r="U301" s="1"/>
      <c r="V301" s="1"/>
      <c r="W301" s="1"/>
    </row>
    <row r="302" spans="1:23">
      <c r="A302" s="12"/>
      <c r="B302" s="1"/>
      <c r="C302" s="1"/>
      <c r="D302" s="14"/>
      <c r="E302" s="13"/>
      <c r="F302" s="1"/>
      <c r="G302" s="1"/>
      <c r="H302" s="1"/>
      <c r="I302" s="1"/>
      <c r="J302" s="1"/>
      <c r="K302" s="1"/>
      <c r="L302" s="1"/>
      <c r="M302" s="1"/>
      <c r="N302" s="1"/>
      <c r="O302" s="1"/>
      <c r="P302" s="1"/>
      <c r="Q302" s="1"/>
      <c r="R302" s="1"/>
      <c r="S302" s="1"/>
      <c r="T302" s="1"/>
      <c r="U302" s="1"/>
      <c r="V302" s="1"/>
      <c r="W302" s="1"/>
    </row>
    <row r="303" spans="1:23" ht="15.75">
      <c r="A303" s="12"/>
      <c r="B303" s="1"/>
      <c r="C303" s="1"/>
      <c r="D303" s="75" t="s">
        <v>531</v>
      </c>
      <c r="E303" s="16">
        <f>SUM(E299:E301)</f>
        <v>1092</v>
      </c>
      <c r="F303" s="1"/>
      <c r="G303" s="1"/>
      <c r="H303" s="1"/>
      <c r="I303" s="1"/>
      <c r="J303" s="1"/>
      <c r="K303" s="1"/>
      <c r="L303" s="1"/>
      <c r="M303" s="1"/>
      <c r="N303" s="1"/>
      <c r="O303" s="1"/>
      <c r="P303" s="1"/>
      <c r="Q303" s="1"/>
      <c r="R303" s="1"/>
      <c r="S303" s="1"/>
      <c r="T303" s="1"/>
      <c r="U303" s="1"/>
      <c r="V303" s="1"/>
      <c r="W303" s="1"/>
    </row>
    <row r="304" spans="1:23" ht="15.75">
      <c r="A304" s="12"/>
      <c r="B304" s="14"/>
      <c r="C304" s="16"/>
      <c r="D304" s="1"/>
      <c r="E304" s="1"/>
      <c r="F304" s="1"/>
      <c r="G304" s="1"/>
      <c r="H304" s="1"/>
      <c r="I304" s="1"/>
      <c r="J304" s="1"/>
      <c r="K304" s="1"/>
      <c r="L304" s="1"/>
      <c r="M304" s="1"/>
      <c r="N304" s="1"/>
      <c r="O304" s="1"/>
      <c r="P304" s="1"/>
      <c r="Q304" s="1"/>
      <c r="R304" s="1"/>
      <c r="S304" s="1"/>
      <c r="T304" s="1"/>
      <c r="U304" s="1"/>
      <c r="V304" s="1"/>
      <c r="W304" s="1"/>
    </row>
    <row r="305" spans="1:23" ht="15.75">
      <c r="A305" s="12"/>
      <c r="B305" s="14"/>
      <c r="C305" s="16"/>
      <c r="D305" s="1"/>
      <c r="E305" s="1"/>
      <c r="F305" s="1"/>
      <c r="G305" s="1"/>
      <c r="H305" s="1"/>
      <c r="I305" s="1"/>
      <c r="J305" s="1"/>
      <c r="K305" s="1"/>
      <c r="L305" s="1"/>
      <c r="M305" s="1"/>
      <c r="N305" s="1"/>
      <c r="O305" s="1"/>
      <c r="P305" s="1"/>
      <c r="Q305" s="1"/>
      <c r="R305" s="1"/>
      <c r="S305" s="1"/>
      <c r="T305" s="1"/>
      <c r="U305" s="1"/>
      <c r="V305" s="1"/>
      <c r="W305" s="1"/>
    </row>
    <row r="306" spans="1:23" ht="15.75">
      <c r="A306" s="12"/>
      <c r="B306" s="14"/>
      <c r="C306" s="16"/>
      <c r="D306" s="1"/>
      <c r="E306" s="1"/>
      <c r="F306" s="1"/>
      <c r="G306" s="1"/>
      <c r="H306" s="1"/>
      <c r="I306" s="1"/>
      <c r="J306" s="1"/>
      <c r="K306" s="1"/>
      <c r="L306" s="1"/>
      <c r="M306" s="1"/>
      <c r="N306" s="1"/>
      <c r="O306" s="1"/>
      <c r="P306" s="1"/>
      <c r="Q306" s="1"/>
      <c r="R306" s="1"/>
      <c r="S306" s="1"/>
      <c r="T306" s="1"/>
      <c r="U306" s="1"/>
      <c r="V306" s="1"/>
      <c r="W306" s="1"/>
    </row>
    <row r="307" spans="1:23" ht="15.75">
      <c r="A307" s="12"/>
      <c r="B307" s="14"/>
      <c r="C307" s="16"/>
      <c r="D307" s="1"/>
      <c r="E307" s="1"/>
      <c r="F307" s="1"/>
      <c r="G307" s="1"/>
      <c r="H307" s="1"/>
      <c r="I307" s="1"/>
      <c r="J307" s="1"/>
      <c r="K307" s="1"/>
      <c r="L307" s="1"/>
      <c r="M307" s="1"/>
      <c r="N307" s="1"/>
      <c r="O307" s="1"/>
      <c r="P307" s="1"/>
      <c r="Q307" s="1"/>
      <c r="R307" s="1"/>
      <c r="S307" s="1"/>
      <c r="T307" s="1"/>
      <c r="U307" s="1"/>
      <c r="V307" s="1"/>
      <c r="W307" s="1"/>
    </row>
    <row r="308" spans="1:23" ht="15.75">
      <c r="A308" s="12"/>
      <c r="B308" s="14"/>
      <c r="C308" s="16"/>
      <c r="D308" s="1"/>
      <c r="E308" s="1"/>
      <c r="F308" s="1"/>
      <c r="G308" s="1"/>
      <c r="H308" s="1"/>
      <c r="I308" s="1"/>
      <c r="J308" s="1"/>
      <c r="K308" s="1"/>
      <c r="L308" s="1"/>
      <c r="M308" s="1"/>
      <c r="N308" s="1"/>
      <c r="O308" s="1"/>
      <c r="P308" s="1"/>
      <c r="Q308" s="1"/>
      <c r="R308" s="1"/>
      <c r="S308" s="1"/>
      <c r="T308" s="1"/>
      <c r="U308" s="1"/>
      <c r="V308" s="1"/>
      <c r="W308" s="1"/>
    </row>
    <row r="309" spans="1:23" ht="15.75">
      <c r="A309" s="12"/>
      <c r="B309" s="14"/>
      <c r="C309" s="16"/>
      <c r="D309" s="1"/>
      <c r="E309" s="1"/>
      <c r="F309" s="1"/>
      <c r="G309" s="1"/>
      <c r="H309" s="1"/>
      <c r="I309" s="1"/>
      <c r="J309" s="1"/>
      <c r="K309" s="1"/>
      <c r="L309" s="1"/>
      <c r="M309" s="1"/>
      <c r="N309" s="1"/>
      <c r="O309" s="1"/>
      <c r="P309" s="1"/>
      <c r="Q309" s="1"/>
      <c r="R309" s="1"/>
      <c r="S309" s="1"/>
      <c r="T309" s="1"/>
      <c r="U309" s="1"/>
      <c r="V309" s="1"/>
      <c r="W309" s="1"/>
    </row>
    <row r="310" spans="1:23" ht="15.75">
      <c r="A310" s="12"/>
      <c r="B310" s="14"/>
      <c r="C310" s="16"/>
      <c r="D310" s="1"/>
      <c r="E310" s="1"/>
      <c r="F310" s="1"/>
      <c r="G310" s="1"/>
      <c r="H310" s="1"/>
      <c r="I310" s="1"/>
      <c r="J310" s="1"/>
      <c r="K310" s="1"/>
      <c r="L310" s="1"/>
      <c r="M310" s="1"/>
      <c r="N310" s="1"/>
      <c r="O310" s="1"/>
      <c r="P310" s="1"/>
      <c r="Q310" s="1"/>
      <c r="R310" s="1"/>
      <c r="S310" s="1"/>
      <c r="T310" s="1"/>
      <c r="U310" s="1"/>
      <c r="V310" s="1"/>
      <c r="W310" s="1"/>
    </row>
    <row r="311" spans="1:23" ht="15.75">
      <c r="A311" s="12"/>
      <c r="B311" s="14"/>
      <c r="C311" s="16"/>
      <c r="D311" s="1"/>
      <c r="E311" s="1"/>
      <c r="F311" s="1"/>
      <c r="G311" s="1"/>
      <c r="H311" s="1"/>
      <c r="I311" s="1"/>
      <c r="J311" s="1"/>
      <c r="K311" s="1"/>
      <c r="L311" s="1"/>
      <c r="M311" s="1"/>
      <c r="N311" s="1"/>
      <c r="O311" s="1"/>
      <c r="P311" s="1"/>
      <c r="Q311" s="1"/>
      <c r="R311" s="1"/>
      <c r="S311" s="1"/>
      <c r="T311" s="1"/>
      <c r="U311" s="1"/>
      <c r="V311" s="1"/>
      <c r="W311" s="1"/>
    </row>
    <row r="312" spans="1:23" ht="15.75">
      <c r="A312" s="12"/>
      <c r="B312" s="14"/>
      <c r="C312" s="16"/>
      <c r="D312" s="1"/>
      <c r="E312" s="1"/>
      <c r="F312" s="1"/>
      <c r="G312" s="1"/>
      <c r="H312" s="1"/>
      <c r="I312" s="1"/>
      <c r="J312" s="1"/>
      <c r="K312" s="1"/>
      <c r="L312" s="1"/>
      <c r="M312" s="1"/>
      <c r="N312" s="1"/>
      <c r="O312" s="1"/>
      <c r="P312" s="1"/>
      <c r="Q312" s="1"/>
      <c r="R312" s="1"/>
      <c r="S312" s="1"/>
      <c r="T312" s="1"/>
      <c r="U312" s="1"/>
      <c r="V312" s="1"/>
      <c r="W312" s="1"/>
    </row>
    <row r="313" spans="1:23" ht="15.75">
      <c r="A313" s="12"/>
      <c r="B313" s="14"/>
      <c r="C313" s="16"/>
      <c r="D313" s="1"/>
      <c r="E313" s="1"/>
      <c r="F313" s="1"/>
      <c r="G313" s="1"/>
      <c r="H313" s="1"/>
      <c r="I313" s="1"/>
      <c r="J313" s="1"/>
      <c r="K313" s="1"/>
      <c r="L313" s="1"/>
      <c r="M313" s="1"/>
      <c r="N313" s="1"/>
      <c r="O313" s="1"/>
      <c r="P313" s="1"/>
      <c r="Q313" s="1"/>
      <c r="R313" s="1"/>
      <c r="S313" s="1"/>
      <c r="T313" s="1"/>
      <c r="U313" s="1"/>
      <c r="V313" s="1"/>
      <c r="W313" s="1"/>
    </row>
    <row r="314" spans="1:23" ht="15.75">
      <c r="A314" s="12"/>
      <c r="B314" s="14"/>
      <c r="C314" s="16"/>
      <c r="D314" s="1"/>
      <c r="E314" s="1"/>
      <c r="F314" s="1"/>
      <c r="G314" s="1"/>
      <c r="H314" s="1"/>
      <c r="I314" s="1"/>
      <c r="J314" s="1"/>
      <c r="K314" s="1"/>
      <c r="L314" s="1"/>
      <c r="M314" s="1"/>
      <c r="N314" s="1"/>
      <c r="O314" s="1"/>
      <c r="P314" s="1"/>
      <c r="Q314" s="1"/>
      <c r="R314" s="1"/>
      <c r="S314" s="1"/>
      <c r="T314" s="1"/>
      <c r="U314" s="1"/>
      <c r="V314" s="1"/>
      <c r="W314" s="1"/>
    </row>
    <row r="315" spans="1:23" ht="15.75">
      <c r="A315" s="12"/>
      <c r="B315" s="14"/>
      <c r="C315" s="16"/>
      <c r="D315" s="1"/>
      <c r="E315" s="1"/>
      <c r="F315" s="1"/>
      <c r="G315" s="1"/>
      <c r="H315" s="1"/>
      <c r="I315" s="1"/>
      <c r="J315" s="1"/>
      <c r="K315" s="1"/>
      <c r="L315" s="1"/>
      <c r="M315" s="1"/>
      <c r="N315" s="1"/>
      <c r="O315" s="1"/>
      <c r="P315" s="1"/>
      <c r="Q315" s="1"/>
      <c r="R315" s="1"/>
      <c r="S315" s="1"/>
      <c r="T315" s="1"/>
      <c r="U315" s="1"/>
      <c r="V315" s="1"/>
      <c r="W315" s="1"/>
    </row>
    <row r="316" spans="1:23" ht="15.75">
      <c r="A316" s="12"/>
      <c r="B316" s="14"/>
      <c r="C316" s="16"/>
      <c r="D316" s="1"/>
      <c r="E316" s="1"/>
      <c r="F316" s="1"/>
      <c r="G316" s="1"/>
      <c r="H316" s="1"/>
      <c r="I316" s="1"/>
      <c r="J316" s="1"/>
      <c r="K316" s="1"/>
      <c r="L316" s="1"/>
      <c r="M316" s="1"/>
      <c r="N316" s="1"/>
      <c r="O316" s="1"/>
      <c r="P316" s="1"/>
      <c r="Q316" s="1"/>
      <c r="R316" s="1"/>
      <c r="S316" s="1"/>
      <c r="T316" s="1"/>
      <c r="U316" s="1"/>
      <c r="V316" s="1"/>
      <c r="W316" s="1"/>
    </row>
    <row r="317" spans="1:23" ht="15.75">
      <c r="A317" s="12"/>
      <c r="B317" s="14"/>
      <c r="C317" s="16"/>
      <c r="D317" s="1"/>
      <c r="E317" s="1"/>
      <c r="F317" s="1"/>
      <c r="G317" s="1"/>
      <c r="H317" s="1"/>
      <c r="I317" s="1"/>
      <c r="J317" s="1"/>
      <c r="K317" s="1"/>
      <c r="L317" s="1"/>
      <c r="M317" s="1"/>
      <c r="N317" s="1"/>
      <c r="O317" s="1"/>
      <c r="P317" s="1"/>
      <c r="Q317" s="1"/>
      <c r="R317" s="1"/>
      <c r="S317" s="1"/>
      <c r="T317" s="1"/>
      <c r="U317" s="1"/>
      <c r="V317" s="1"/>
      <c r="W317" s="1"/>
    </row>
    <row r="318" spans="1:23" ht="15.75">
      <c r="A318" s="12"/>
      <c r="B318" s="14"/>
      <c r="C318" s="16"/>
      <c r="D318" s="1"/>
      <c r="E318" s="1"/>
      <c r="F318" s="1"/>
      <c r="G318" s="1"/>
      <c r="H318" s="1"/>
      <c r="I318" s="1"/>
      <c r="J318" s="1"/>
      <c r="K318" s="1"/>
      <c r="L318" s="1"/>
      <c r="M318" s="1"/>
      <c r="N318" s="1"/>
      <c r="O318" s="1"/>
      <c r="P318" s="1"/>
      <c r="Q318" s="1"/>
      <c r="R318" s="1"/>
      <c r="S318" s="1"/>
      <c r="T318" s="1"/>
      <c r="U318" s="1"/>
      <c r="V318" s="1"/>
      <c r="W318" s="1"/>
    </row>
    <row r="319" spans="1:23" ht="15.75">
      <c r="A319" s="12"/>
      <c r="B319" s="14"/>
      <c r="C319" s="16"/>
      <c r="D319" s="1"/>
      <c r="E319" s="1"/>
      <c r="F319" s="1"/>
      <c r="G319" s="1"/>
      <c r="H319" s="1"/>
      <c r="I319" s="1"/>
      <c r="J319" s="1"/>
      <c r="K319" s="1"/>
      <c r="L319" s="1"/>
      <c r="M319" s="1"/>
      <c r="N319" s="1"/>
      <c r="O319" s="1"/>
      <c r="P319" s="1"/>
      <c r="Q319" s="1"/>
      <c r="R319" s="1"/>
      <c r="S319" s="1"/>
      <c r="T319" s="1"/>
      <c r="U319" s="1"/>
      <c r="V319" s="1"/>
      <c r="W319" s="1"/>
    </row>
    <row r="320" spans="1:23" ht="15.75">
      <c r="A320" s="12"/>
      <c r="B320" s="14"/>
      <c r="C320" s="16"/>
      <c r="D320" s="1"/>
      <c r="E320" s="1"/>
      <c r="F320" s="1"/>
      <c r="G320" s="1"/>
      <c r="H320" s="1"/>
      <c r="I320" s="1"/>
      <c r="J320" s="1"/>
      <c r="K320" s="1"/>
      <c r="L320" s="1"/>
      <c r="M320" s="1"/>
      <c r="N320" s="1"/>
      <c r="O320" s="1"/>
      <c r="P320" s="1"/>
      <c r="Q320" s="1"/>
      <c r="R320" s="1"/>
      <c r="S320" s="1"/>
      <c r="T320" s="1"/>
      <c r="U320" s="1"/>
      <c r="V320" s="1"/>
      <c r="W320" s="1"/>
    </row>
    <row r="321" spans="1:23">
      <c r="A321" s="12"/>
      <c r="B321" s="14"/>
      <c r="C321" s="13"/>
      <c r="D321" s="1"/>
      <c r="E321" s="1"/>
      <c r="F321" s="1"/>
      <c r="G321" s="1"/>
      <c r="H321" s="1"/>
      <c r="I321" s="1"/>
      <c r="J321" s="1"/>
      <c r="K321" s="1"/>
      <c r="L321" s="1"/>
      <c r="M321" s="1"/>
      <c r="N321" s="1"/>
      <c r="O321" s="1"/>
      <c r="P321" s="1"/>
      <c r="Q321" s="1"/>
      <c r="R321" s="1"/>
      <c r="S321" s="1"/>
      <c r="T321" s="1"/>
      <c r="U321" s="1"/>
      <c r="V321" s="1"/>
      <c r="W321" s="1"/>
    </row>
    <row r="322" spans="1:23">
      <c r="A322" s="12"/>
      <c r="B322" s="14"/>
      <c r="C322" s="13"/>
      <c r="D322" s="1"/>
      <c r="E322" s="1"/>
      <c r="F322" s="1"/>
      <c r="G322" s="1"/>
      <c r="H322" s="1"/>
      <c r="I322" s="1"/>
      <c r="J322" s="1"/>
      <c r="K322" s="1"/>
      <c r="L322" s="1"/>
      <c r="M322" s="1"/>
      <c r="N322" s="1"/>
      <c r="O322" s="1"/>
      <c r="P322" s="1"/>
      <c r="Q322" s="1"/>
      <c r="R322" s="1"/>
      <c r="S322" s="1"/>
      <c r="T322" s="1"/>
      <c r="U322" s="1"/>
      <c r="V322" s="1"/>
      <c r="W322" s="1"/>
    </row>
    <row r="323" spans="1:23">
      <c r="A323" s="12"/>
      <c r="B323" s="14"/>
      <c r="C323" s="13"/>
      <c r="D323" s="1"/>
      <c r="E323" s="1"/>
      <c r="F323" s="1"/>
      <c r="G323" s="1"/>
      <c r="H323" s="1"/>
      <c r="I323" s="1"/>
      <c r="J323" s="1"/>
      <c r="K323" s="1"/>
      <c r="L323" s="1"/>
      <c r="M323" s="1"/>
      <c r="N323" s="1"/>
      <c r="O323" s="1"/>
      <c r="P323" s="1"/>
      <c r="Q323" s="1"/>
      <c r="R323" s="1"/>
      <c r="S323" s="1"/>
      <c r="T323" s="1"/>
      <c r="U323" s="1"/>
      <c r="V323" s="1"/>
      <c r="W323" s="1"/>
    </row>
    <row r="324" spans="1:23">
      <c r="A324" s="12"/>
      <c r="B324" s="14"/>
      <c r="C324" s="13"/>
      <c r="D324" s="1"/>
      <c r="E324" s="1"/>
      <c r="F324" s="1"/>
      <c r="G324" s="1"/>
      <c r="H324" s="1"/>
      <c r="I324" s="1"/>
      <c r="J324" s="1"/>
      <c r="K324" s="1"/>
      <c r="L324" s="1"/>
      <c r="M324" s="1"/>
      <c r="N324" s="1"/>
      <c r="O324" s="1"/>
      <c r="P324" s="1"/>
      <c r="Q324" s="1"/>
      <c r="R324" s="1"/>
      <c r="S324" s="1"/>
      <c r="T324" s="1"/>
      <c r="U324" s="1"/>
      <c r="V324" s="1"/>
      <c r="W324" s="1"/>
    </row>
    <row r="325" spans="1:23">
      <c r="A325" s="1"/>
      <c r="B325" s="1"/>
      <c r="C325" s="1"/>
      <c r="D325" s="1"/>
      <c r="E325" s="1"/>
      <c r="F325" s="1"/>
      <c r="G325" s="1"/>
      <c r="H325" s="1"/>
      <c r="I325" s="1"/>
      <c r="J325" s="1"/>
      <c r="K325" s="1"/>
      <c r="L325" s="1"/>
      <c r="M325" s="1"/>
      <c r="N325" s="1"/>
      <c r="O325" s="1"/>
      <c r="P325" s="1"/>
      <c r="Q325" s="1"/>
      <c r="R325" s="1"/>
      <c r="S325" s="1"/>
      <c r="T325" s="1"/>
      <c r="U325" s="1"/>
      <c r="V325" s="1"/>
      <c r="W325" s="1"/>
    </row>
    <row r="326" spans="1:23">
      <c r="A326" s="1"/>
      <c r="B326" s="1"/>
      <c r="C326" s="1"/>
      <c r="D326" s="1"/>
      <c r="E326" s="1"/>
      <c r="F326" s="1"/>
      <c r="G326" s="1"/>
      <c r="H326" s="1"/>
      <c r="I326" s="1"/>
      <c r="J326" s="1"/>
      <c r="K326" s="1"/>
      <c r="L326" s="1"/>
      <c r="M326" s="1"/>
      <c r="N326" s="1"/>
      <c r="O326" s="1"/>
      <c r="P326" s="1"/>
      <c r="Q326" s="1"/>
      <c r="R326" s="1"/>
      <c r="S326" s="1"/>
      <c r="T326" s="1"/>
      <c r="U326" s="1"/>
      <c r="V326" s="1"/>
      <c r="W326" s="1"/>
    </row>
    <row r="327" spans="1:23">
      <c r="A327" s="1"/>
      <c r="B327" s="1"/>
      <c r="C327" s="1"/>
      <c r="D327" s="1"/>
      <c r="E327" s="1"/>
      <c r="F327" s="1"/>
      <c r="G327" s="1"/>
      <c r="H327" s="1"/>
      <c r="I327" s="1"/>
      <c r="J327" s="1"/>
      <c r="K327" s="1"/>
      <c r="L327" s="1"/>
      <c r="M327" s="1"/>
      <c r="N327" s="1"/>
      <c r="O327" s="1"/>
      <c r="P327" s="1"/>
      <c r="Q327" s="1"/>
      <c r="R327" s="1"/>
      <c r="S327" s="1"/>
      <c r="T327" s="1"/>
      <c r="U327" s="1"/>
      <c r="V327" s="1"/>
      <c r="W327" s="1"/>
    </row>
    <row r="328" spans="1:23">
      <c r="A328" s="1"/>
      <c r="B328" s="1"/>
      <c r="C328" s="1"/>
      <c r="D328" s="1"/>
      <c r="E328" s="1"/>
      <c r="F328" s="1"/>
      <c r="G328" s="1"/>
      <c r="H328" s="1"/>
      <c r="I328" s="1"/>
      <c r="J328" s="1"/>
      <c r="K328" s="1"/>
      <c r="L328" s="1"/>
      <c r="M328" s="1"/>
      <c r="N328" s="1"/>
      <c r="O328" s="1"/>
      <c r="P328" s="1"/>
      <c r="Q328" s="1"/>
      <c r="R328" s="1"/>
      <c r="S328" s="1"/>
      <c r="T328" s="1"/>
      <c r="U328" s="1"/>
      <c r="V328" s="1"/>
      <c r="W328" s="1"/>
    </row>
    <row r="329" spans="1:23">
      <c r="A329" s="1"/>
      <c r="B329" s="1"/>
      <c r="C329" s="1"/>
      <c r="D329" s="1"/>
      <c r="E329" s="1"/>
      <c r="F329" s="1"/>
      <c r="G329" s="1"/>
      <c r="H329" s="1"/>
      <c r="I329" s="1"/>
      <c r="J329" s="1"/>
      <c r="K329" s="1"/>
      <c r="L329" s="1"/>
      <c r="M329" s="1"/>
      <c r="N329" s="1"/>
      <c r="O329" s="1"/>
      <c r="P329" s="1"/>
      <c r="Q329" s="1"/>
      <c r="R329" s="1"/>
      <c r="S329" s="1"/>
      <c r="T329" s="1"/>
      <c r="U329" s="1"/>
      <c r="V329" s="1"/>
      <c r="W329" s="1"/>
    </row>
    <row r="330" spans="1:23">
      <c r="A330" s="1"/>
      <c r="B330" s="1"/>
      <c r="C330" s="1"/>
      <c r="D330" s="1"/>
      <c r="E330" s="1"/>
      <c r="F330" s="1"/>
      <c r="G330" s="1"/>
      <c r="H330" s="1"/>
      <c r="I330" s="1"/>
      <c r="J330" s="1"/>
      <c r="K330" s="1"/>
      <c r="L330" s="1"/>
      <c r="M330" s="1"/>
      <c r="N330" s="1"/>
      <c r="O330" s="1"/>
      <c r="P330" s="1"/>
      <c r="Q330" s="1"/>
      <c r="R330" s="1"/>
      <c r="S330" s="1"/>
      <c r="T330" s="1"/>
      <c r="U330" s="1"/>
      <c r="V330" s="1"/>
      <c r="W330" s="1"/>
    </row>
    <row r="331" spans="1:23">
      <c r="A331" s="1"/>
      <c r="B331" s="1"/>
      <c r="C331" s="1"/>
      <c r="D331" s="1"/>
      <c r="E331" s="1"/>
      <c r="F331" s="1"/>
      <c r="G331" s="1"/>
      <c r="H331" s="1"/>
      <c r="I331" s="1"/>
      <c r="J331" s="1"/>
      <c r="K331" s="1"/>
      <c r="L331" s="1"/>
      <c r="M331" s="1"/>
      <c r="N331" s="1"/>
      <c r="O331" s="1"/>
      <c r="P331" s="1"/>
      <c r="Q331" s="1"/>
      <c r="R331" s="1"/>
      <c r="S331" s="1"/>
      <c r="T331" s="1"/>
      <c r="U331" s="1"/>
      <c r="V331" s="1"/>
      <c r="W331" s="1"/>
    </row>
    <row r="332" spans="1:23">
      <c r="A332" s="1"/>
      <c r="B332" s="1"/>
      <c r="C332" s="1"/>
      <c r="D332" s="1"/>
      <c r="E332" s="1"/>
      <c r="F332" s="1"/>
      <c r="G332" s="1"/>
      <c r="H332" s="1"/>
      <c r="I332" s="1"/>
      <c r="J332" s="1"/>
      <c r="K332" s="1"/>
      <c r="L332" s="1"/>
      <c r="M332" s="1"/>
      <c r="N332" s="1"/>
      <c r="O332" s="1"/>
      <c r="P332" s="1"/>
      <c r="Q332" s="1"/>
      <c r="R332" s="1"/>
      <c r="S332" s="1"/>
      <c r="T332" s="1"/>
      <c r="U332" s="1"/>
      <c r="V332" s="1"/>
      <c r="W332" s="1"/>
    </row>
    <row r="333" spans="1:23" ht="23.25">
      <c r="A333" s="8" t="s">
        <v>894</v>
      </c>
      <c r="B333" s="1"/>
      <c r="C333" s="1"/>
      <c r="D333" s="1"/>
      <c r="E333" s="1"/>
      <c r="F333" s="1"/>
      <c r="G333" s="1"/>
      <c r="H333" s="1"/>
      <c r="I333" s="1"/>
      <c r="J333" s="1"/>
      <c r="K333" s="1"/>
      <c r="L333" s="1"/>
      <c r="M333" s="1"/>
      <c r="N333" s="1"/>
      <c r="O333" s="1"/>
      <c r="P333" s="1"/>
      <c r="Q333" s="1"/>
      <c r="R333" s="1"/>
      <c r="S333" s="1"/>
      <c r="T333" s="1"/>
      <c r="U333" s="1"/>
      <c r="V333" s="1"/>
      <c r="W333" s="1"/>
    </row>
    <row r="334" spans="1:23">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 r="A335" s="1" t="s">
        <v>173</v>
      </c>
      <c r="B335" s="16">
        <f>COUNTIF('Database - Whole Tornadoes'!D5:D1197,"January")</f>
        <v>0</v>
      </c>
      <c r="C335" s="26">
        <f t="shared" ref="C335:C346" si="4">+B335/$B$348</f>
        <v>0</v>
      </c>
      <c r="D335" s="1"/>
      <c r="E335" s="1"/>
      <c r="F335" s="1"/>
      <c r="G335" s="1"/>
      <c r="H335" s="1"/>
      <c r="I335" s="1"/>
      <c r="J335" s="1"/>
      <c r="K335" s="1"/>
      <c r="L335" s="1"/>
      <c r="M335" s="1"/>
      <c r="N335" s="1"/>
      <c r="O335" s="1"/>
      <c r="P335" s="1"/>
      <c r="Q335" s="1"/>
      <c r="R335" s="1"/>
      <c r="S335" s="1"/>
      <c r="T335" s="1"/>
      <c r="U335" s="1"/>
      <c r="V335" s="1"/>
      <c r="W335" s="1"/>
    </row>
    <row r="336" spans="1:23" ht="15.75">
      <c r="A336" s="1" t="s">
        <v>174</v>
      </c>
      <c r="B336" s="16">
        <f>COUNTIF('Database - Whole Tornadoes'!D5:D1197,"February")</f>
        <v>4</v>
      </c>
      <c r="C336" s="26">
        <f t="shared" si="4"/>
        <v>3.663003663003663E-3</v>
      </c>
      <c r="D336" s="1"/>
      <c r="E336" s="1"/>
      <c r="F336" s="1"/>
      <c r="G336" s="1"/>
      <c r="H336" s="1"/>
      <c r="I336" s="1"/>
      <c r="J336" s="1"/>
      <c r="K336" s="1"/>
      <c r="L336" s="1"/>
      <c r="M336" s="1"/>
      <c r="N336" s="1"/>
      <c r="O336" s="1"/>
      <c r="P336" s="1"/>
      <c r="Q336" s="1"/>
      <c r="R336" s="1"/>
      <c r="S336" s="1"/>
      <c r="T336" s="1"/>
      <c r="U336" s="1"/>
      <c r="V336" s="1"/>
      <c r="W336" s="1"/>
    </row>
    <row r="337" spans="1:23" ht="15.75">
      <c r="A337" s="1" t="s">
        <v>175</v>
      </c>
      <c r="B337" s="16">
        <f>COUNTIF('Database - Whole Tornadoes'!D5:D1197,"March")</f>
        <v>37</v>
      </c>
      <c r="C337" s="26">
        <f t="shared" si="4"/>
        <v>3.388278388278388E-2</v>
      </c>
      <c r="D337" s="1"/>
      <c r="E337" s="1"/>
      <c r="F337" s="1"/>
      <c r="G337" s="1"/>
      <c r="H337" s="1"/>
      <c r="I337" s="1"/>
      <c r="J337" s="1"/>
      <c r="K337" s="1"/>
      <c r="L337" s="1"/>
      <c r="M337" s="1"/>
      <c r="N337" s="1"/>
      <c r="O337" s="1"/>
      <c r="P337" s="1"/>
      <c r="Q337" s="1"/>
      <c r="R337" s="1"/>
      <c r="S337" s="1"/>
      <c r="T337" s="1"/>
      <c r="U337" s="1"/>
      <c r="V337" s="1"/>
      <c r="W337" s="1"/>
    </row>
    <row r="338" spans="1:23" ht="15.75">
      <c r="A338" s="1" t="s">
        <v>176</v>
      </c>
      <c r="B338" s="16">
        <f>COUNTIF('Database - Whole Tornadoes'!D5:D1197,"April")</f>
        <v>111</v>
      </c>
      <c r="C338" s="26">
        <f t="shared" si="4"/>
        <v>0.10164835164835165</v>
      </c>
      <c r="D338" s="1"/>
      <c r="E338" s="1"/>
      <c r="F338" s="1"/>
      <c r="G338" s="1"/>
      <c r="H338" s="1"/>
      <c r="I338" s="1"/>
      <c r="J338" s="1"/>
      <c r="K338" s="1"/>
      <c r="L338" s="1"/>
      <c r="M338" s="1"/>
      <c r="N338" s="1"/>
      <c r="O338" s="1"/>
      <c r="P338" s="1"/>
      <c r="Q338" s="1"/>
      <c r="R338" s="1"/>
      <c r="S338" s="1"/>
      <c r="T338" s="1"/>
      <c r="U338" s="1"/>
      <c r="V338" s="1"/>
      <c r="W338" s="1"/>
    </row>
    <row r="339" spans="1:23" ht="15.75">
      <c r="A339" s="1" t="s">
        <v>177</v>
      </c>
      <c r="B339" s="16">
        <f>COUNTIF('Database - Whole Tornadoes'!D5:D1197,"May")</f>
        <v>431</v>
      </c>
      <c r="C339" s="26">
        <f t="shared" si="4"/>
        <v>0.39468864468864467</v>
      </c>
      <c r="D339" s="1"/>
      <c r="E339" s="1"/>
      <c r="F339" s="1"/>
      <c r="G339" s="1"/>
      <c r="H339" s="1"/>
      <c r="I339" s="1"/>
      <c r="J339" s="1"/>
      <c r="K339" s="1"/>
      <c r="L339" s="1"/>
      <c r="M339" s="1"/>
      <c r="N339" s="1"/>
      <c r="O339" s="1"/>
      <c r="P339" s="1"/>
      <c r="Q339" s="1"/>
      <c r="R339" s="1"/>
      <c r="S339" s="1"/>
      <c r="T339" s="1"/>
      <c r="U339" s="1"/>
      <c r="V339" s="1"/>
      <c r="W339" s="1"/>
    </row>
    <row r="340" spans="1:23" ht="15.75">
      <c r="A340" s="1" t="s">
        <v>178</v>
      </c>
      <c r="B340" s="16">
        <f>COUNTIF('Database - Whole Tornadoes'!D5:D1197,"June")</f>
        <v>356</v>
      </c>
      <c r="C340" s="26">
        <f t="shared" si="4"/>
        <v>0.32600732600732601</v>
      </c>
      <c r="D340" s="1"/>
      <c r="E340" s="1"/>
      <c r="F340" s="1"/>
      <c r="G340" s="1"/>
      <c r="H340" s="1"/>
      <c r="I340" s="1"/>
      <c r="J340" s="1"/>
      <c r="K340" s="1"/>
      <c r="L340" s="1"/>
      <c r="M340" s="1"/>
      <c r="N340" s="1"/>
      <c r="O340" s="1"/>
      <c r="P340" s="1"/>
      <c r="Q340" s="1"/>
      <c r="R340" s="1"/>
      <c r="S340" s="1"/>
      <c r="T340" s="1"/>
      <c r="U340" s="1"/>
      <c r="V340" s="1"/>
      <c r="W340" s="1"/>
    </row>
    <row r="341" spans="1:23" ht="15.75">
      <c r="A341" s="1" t="s">
        <v>179</v>
      </c>
      <c r="B341" s="16">
        <f>COUNTIF('Database - Whole Tornadoes'!D5:D1197,"July")</f>
        <v>63</v>
      </c>
      <c r="C341" s="26">
        <f t="shared" si="4"/>
        <v>5.7692307692307696E-2</v>
      </c>
      <c r="D341" s="1"/>
      <c r="E341" s="1"/>
      <c r="F341" s="1"/>
      <c r="G341" s="1"/>
      <c r="H341" s="1"/>
      <c r="I341" s="1"/>
      <c r="J341" s="1"/>
      <c r="K341" s="1"/>
      <c r="L341" s="1"/>
      <c r="M341" s="1"/>
      <c r="N341" s="1"/>
      <c r="O341" s="1"/>
      <c r="P341" s="1"/>
      <c r="Q341" s="1"/>
      <c r="R341" s="1"/>
      <c r="S341" s="1"/>
      <c r="T341" s="1"/>
      <c r="U341" s="1"/>
      <c r="V341" s="1"/>
      <c r="W341" s="1"/>
    </row>
    <row r="342" spans="1:23" ht="15.75">
      <c r="A342" s="1" t="s">
        <v>180</v>
      </c>
      <c r="B342" s="16">
        <f>COUNTIF('Database - Whole Tornadoes'!D5:D1197,"August")</f>
        <v>35</v>
      </c>
      <c r="C342" s="26">
        <f t="shared" si="4"/>
        <v>3.2051282051282048E-2</v>
      </c>
      <c r="D342" s="1"/>
      <c r="E342" s="1"/>
      <c r="F342" s="1"/>
      <c r="G342" s="1"/>
      <c r="H342" s="1"/>
      <c r="I342" s="1"/>
      <c r="J342" s="1"/>
      <c r="K342" s="1"/>
      <c r="L342" s="1"/>
      <c r="M342" s="1"/>
      <c r="N342" s="1"/>
      <c r="O342" s="1"/>
      <c r="P342" s="1"/>
      <c r="Q342" s="1"/>
      <c r="R342" s="1"/>
      <c r="S342" s="1"/>
      <c r="T342" s="1"/>
      <c r="U342" s="1"/>
      <c r="V342" s="1"/>
      <c r="W342" s="1"/>
    </row>
    <row r="343" spans="1:23" ht="15.75">
      <c r="A343" s="1" t="s">
        <v>181</v>
      </c>
      <c r="B343" s="16">
        <f>COUNTIF('Database - Whole Tornadoes'!D5:D1197,"September")</f>
        <v>16</v>
      </c>
      <c r="C343" s="26">
        <f t="shared" si="4"/>
        <v>1.4652014652014652E-2</v>
      </c>
      <c r="D343" s="1"/>
      <c r="E343" s="1"/>
      <c r="F343" s="1"/>
      <c r="G343" s="1"/>
      <c r="H343" s="1"/>
      <c r="I343" s="1"/>
      <c r="J343" s="1"/>
      <c r="K343" s="1"/>
      <c r="L343" s="1"/>
      <c r="M343" s="1"/>
      <c r="N343" s="1"/>
      <c r="O343" s="1"/>
      <c r="P343" s="1"/>
      <c r="Q343" s="1"/>
      <c r="R343" s="1"/>
      <c r="S343" s="1"/>
      <c r="T343" s="1"/>
      <c r="U343" s="1"/>
      <c r="V343" s="1"/>
      <c r="W343" s="1"/>
    </row>
    <row r="344" spans="1:23" ht="15.75">
      <c r="A344" s="1" t="s">
        <v>182</v>
      </c>
      <c r="B344" s="16">
        <f>COUNTIF('Database - Whole Tornadoes'!D5:D1197,"October")</f>
        <v>15</v>
      </c>
      <c r="C344" s="26">
        <f t="shared" si="4"/>
        <v>1.3736263736263736E-2</v>
      </c>
      <c r="D344" s="1"/>
      <c r="E344" s="1"/>
      <c r="F344" s="1"/>
      <c r="G344" s="1"/>
      <c r="H344" s="1"/>
      <c r="I344" s="1"/>
      <c r="J344" s="1"/>
      <c r="K344" s="1"/>
      <c r="L344" s="1"/>
      <c r="M344" s="1"/>
      <c r="N344" s="1"/>
      <c r="O344" s="1"/>
      <c r="P344" s="1"/>
      <c r="Q344" s="1"/>
      <c r="R344" s="1"/>
      <c r="S344" s="1"/>
      <c r="T344" s="1"/>
      <c r="U344" s="1"/>
      <c r="V344" s="1"/>
      <c r="W344" s="1"/>
    </row>
    <row r="345" spans="1:23" ht="15.75">
      <c r="A345" s="1" t="s">
        <v>183</v>
      </c>
      <c r="B345" s="16">
        <f>COUNTIF('Database - Whole Tornadoes'!D5:D1197,"November")</f>
        <v>20</v>
      </c>
      <c r="C345" s="26">
        <f t="shared" si="4"/>
        <v>1.8315018315018316E-2</v>
      </c>
      <c r="D345" s="1"/>
      <c r="E345" s="1"/>
      <c r="F345" s="1"/>
      <c r="G345" s="1"/>
      <c r="H345" s="1"/>
      <c r="I345" s="1"/>
      <c r="J345" s="1"/>
      <c r="K345" s="1"/>
      <c r="L345" s="1"/>
      <c r="M345" s="1"/>
      <c r="N345" s="1"/>
      <c r="O345" s="1"/>
      <c r="P345" s="1"/>
      <c r="Q345" s="1"/>
      <c r="R345" s="1"/>
      <c r="S345" s="1"/>
      <c r="T345" s="1"/>
      <c r="U345" s="1"/>
      <c r="V345" s="1"/>
      <c r="W345" s="1"/>
    </row>
    <row r="346" spans="1:23" ht="15.75">
      <c r="A346" s="1" t="s">
        <v>184</v>
      </c>
      <c r="B346" s="16">
        <f>COUNTIF('Database - Whole Tornadoes'!D5:D1197,"December")</f>
        <v>4</v>
      </c>
      <c r="C346" s="26">
        <f t="shared" si="4"/>
        <v>3.663003663003663E-3</v>
      </c>
      <c r="D346" s="1"/>
      <c r="E346" s="1"/>
      <c r="F346" s="1"/>
      <c r="G346" s="1"/>
      <c r="H346" s="1"/>
      <c r="I346" s="1"/>
      <c r="J346" s="1"/>
      <c r="K346" s="1"/>
      <c r="L346" s="1"/>
      <c r="M346" s="1"/>
      <c r="N346" s="1"/>
      <c r="O346" s="1"/>
      <c r="P346" s="1"/>
      <c r="Q346" s="1"/>
      <c r="R346" s="1"/>
      <c r="S346" s="1"/>
      <c r="T346" s="1"/>
      <c r="U346" s="1"/>
      <c r="V346" s="1"/>
      <c r="W346" s="1"/>
    </row>
    <row r="347" spans="1:23">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 r="A348" s="75" t="s">
        <v>531</v>
      </c>
      <c r="B348" s="16">
        <f>SUM(B335:B346)</f>
        <v>1092</v>
      </c>
      <c r="C348" s="13"/>
      <c r="D348" s="1"/>
      <c r="E348" s="1"/>
      <c r="F348" s="1"/>
      <c r="G348" s="1"/>
      <c r="H348" s="1"/>
      <c r="I348" s="1"/>
      <c r="J348" s="1"/>
      <c r="K348" s="1"/>
      <c r="L348" s="1"/>
      <c r="M348" s="1"/>
      <c r="N348" s="1"/>
      <c r="O348" s="1"/>
      <c r="P348" s="1"/>
      <c r="Q348" s="1"/>
      <c r="R348" s="1"/>
      <c r="S348" s="1"/>
      <c r="T348" s="1"/>
      <c r="U348" s="1"/>
      <c r="V348" s="1"/>
      <c r="W348" s="1"/>
    </row>
    <row r="349" spans="1:23" ht="15.75">
      <c r="A349" s="12"/>
      <c r="B349" s="16"/>
      <c r="C349" s="13"/>
      <c r="D349" s="1"/>
      <c r="E349" s="1"/>
      <c r="F349" s="1"/>
      <c r="G349" s="1"/>
      <c r="H349" s="1"/>
      <c r="I349" s="1"/>
      <c r="J349" s="1"/>
      <c r="K349" s="1"/>
      <c r="L349" s="1"/>
      <c r="M349" s="1"/>
      <c r="N349" s="1"/>
      <c r="O349" s="1"/>
      <c r="P349" s="1"/>
      <c r="Q349" s="1"/>
      <c r="R349" s="1"/>
      <c r="S349" s="1"/>
      <c r="T349" s="1"/>
      <c r="U349" s="1"/>
      <c r="V349" s="1"/>
      <c r="W349" s="1"/>
    </row>
    <row r="350" spans="1:23" ht="15.75">
      <c r="A350" s="12"/>
      <c r="B350" s="16"/>
      <c r="C350" s="13"/>
      <c r="D350" s="1"/>
      <c r="E350" s="1"/>
      <c r="F350" s="1"/>
      <c r="G350" s="1"/>
      <c r="H350" s="1"/>
      <c r="I350" s="1"/>
      <c r="J350" s="1"/>
      <c r="K350" s="1"/>
      <c r="L350" s="1"/>
      <c r="M350" s="1"/>
      <c r="N350" s="1"/>
      <c r="O350" s="1"/>
      <c r="P350" s="1"/>
      <c r="Q350" s="1"/>
      <c r="R350" s="1"/>
      <c r="S350" s="1"/>
      <c r="T350" s="1"/>
      <c r="U350" s="1"/>
      <c r="V350" s="1"/>
      <c r="W350" s="1"/>
    </row>
    <row r="351" spans="1:23" ht="15.75">
      <c r="A351" s="12"/>
      <c r="B351" s="16"/>
      <c r="C351" s="13"/>
      <c r="D351" s="1"/>
      <c r="E351" s="1"/>
      <c r="F351" s="1"/>
      <c r="G351" s="1"/>
      <c r="H351" s="1"/>
      <c r="I351" s="1"/>
      <c r="J351" s="1"/>
      <c r="K351" s="1"/>
      <c r="L351" s="1"/>
      <c r="M351" s="1"/>
      <c r="N351" s="1"/>
      <c r="O351" s="1"/>
      <c r="P351" s="1"/>
      <c r="Q351" s="1"/>
      <c r="R351" s="1"/>
      <c r="S351" s="1"/>
      <c r="T351" s="1"/>
      <c r="U351" s="1"/>
      <c r="V351" s="1"/>
      <c r="W351" s="1"/>
    </row>
    <row r="352" spans="1:23" ht="15.75">
      <c r="A352" s="12"/>
      <c r="B352" s="16"/>
      <c r="C352" s="13"/>
      <c r="D352" s="1"/>
      <c r="E352" s="1"/>
      <c r="F352" s="1"/>
      <c r="G352" s="1"/>
      <c r="H352" s="1"/>
      <c r="I352" s="1"/>
      <c r="J352" s="1"/>
      <c r="K352" s="1"/>
      <c r="L352" s="1"/>
      <c r="M352" s="1"/>
      <c r="N352" s="1"/>
      <c r="O352" s="1"/>
      <c r="P352" s="1"/>
      <c r="Q352" s="1"/>
      <c r="R352" s="1"/>
      <c r="S352" s="1"/>
      <c r="T352" s="1"/>
      <c r="U352" s="1"/>
      <c r="V352" s="1"/>
      <c r="W352" s="1"/>
    </row>
    <row r="353" spans="1:23" ht="15.75">
      <c r="A353" s="12"/>
      <c r="B353" s="16"/>
      <c r="C353" s="13"/>
      <c r="D353" s="1"/>
      <c r="E353" s="1"/>
      <c r="F353" s="1"/>
      <c r="G353" s="1"/>
      <c r="H353" s="1"/>
      <c r="I353" s="1"/>
      <c r="J353" s="1"/>
      <c r="K353" s="1"/>
      <c r="L353" s="1"/>
      <c r="M353" s="1"/>
      <c r="N353" s="1"/>
      <c r="O353" s="1"/>
      <c r="P353" s="1"/>
      <c r="Q353" s="1"/>
      <c r="R353" s="1"/>
      <c r="S353" s="1"/>
      <c r="T353" s="1"/>
      <c r="U353" s="1"/>
      <c r="V353" s="1"/>
      <c r="W353" s="1"/>
    </row>
    <row r="354" spans="1:23" ht="15.75">
      <c r="A354" s="12"/>
      <c r="B354" s="16"/>
      <c r="C354" s="13"/>
      <c r="D354" s="1"/>
      <c r="E354" s="1"/>
      <c r="F354" s="1"/>
      <c r="G354" s="1"/>
      <c r="H354" s="1"/>
      <c r="I354" s="1"/>
      <c r="J354" s="1"/>
      <c r="K354" s="1"/>
      <c r="L354" s="1"/>
      <c r="M354" s="1"/>
      <c r="N354" s="1"/>
      <c r="O354" s="1"/>
      <c r="P354" s="1"/>
      <c r="Q354" s="1"/>
      <c r="R354" s="1"/>
      <c r="S354" s="1"/>
      <c r="T354" s="1"/>
      <c r="U354" s="1"/>
      <c r="V354" s="1"/>
      <c r="W354" s="1"/>
    </row>
    <row r="355" spans="1:23" ht="15.75">
      <c r="A355" s="12"/>
      <c r="B355" s="16"/>
      <c r="C355" s="13"/>
      <c r="D355" s="1"/>
      <c r="E355" s="1"/>
      <c r="F355" s="1"/>
      <c r="G355" s="1"/>
      <c r="H355" s="1"/>
      <c r="I355" s="1"/>
      <c r="J355" s="1"/>
      <c r="K355" s="1"/>
      <c r="L355" s="1"/>
      <c r="M355" s="1"/>
      <c r="N355" s="1"/>
      <c r="O355" s="1"/>
      <c r="P355" s="1"/>
      <c r="Q355" s="1"/>
      <c r="R355" s="1"/>
      <c r="S355" s="1"/>
      <c r="T355" s="1"/>
      <c r="U355" s="1"/>
      <c r="V355" s="1"/>
      <c r="W355" s="1"/>
    </row>
    <row r="356" spans="1:23" ht="15.75">
      <c r="A356" s="12"/>
      <c r="B356" s="16"/>
      <c r="C356" s="13"/>
      <c r="D356" s="1"/>
      <c r="E356" s="1"/>
      <c r="F356" s="1"/>
      <c r="G356" s="1"/>
      <c r="H356" s="1"/>
      <c r="I356" s="1"/>
      <c r="J356" s="1"/>
      <c r="K356" s="1"/>
      <c r="L356" s="1"/>
      <c r="M356" s="1"/>
      <c r="N356" s="1"/>
      <c r="O356" s="1"/>
      <c r="P356" s="1"/>
      <c r="Q356" s="1"/>
      <c r="R356" s="1"/>
      <c r="S356" s="1"/>
      <c r="T356" s="1"/>
      <c r="U356" s="1"/>
      <c r="V356" s="1"/>
      <c r="W356" s="1"/>
    </row>
    <row r="357" spans="1:23" ht="15.75">
      <c r="A357" s="12"/>
      <c r="B357" s="16"/>
      <c r="C357" s="13"/>
      <c r="D357" s="1"/>
      <c r="E357" s="1"/>
      <c r="F357" s="1"/>
      <c r="G357" s="1"/>
      <c r="H357" s="1"/>
      <c r="I357" s="1"/>
      <c r="J357" s="1"/>
      <c r="K357" s="1"/>
      <c r="L357" s="1"/>
      <c r="M357" s="1"/>
      <c r="N357" s="1"/>
      <c r="O357" s="1"/>
      <c r="P357" s="1"/>
      <c r="Q357" s="1"/>
      <c r="R357" s="1"/>
      <c r="S357" s="1"/>
      <c r="T357" s="1"/>
      <c r="U357" s="1"/>
      <c r="V357" s="1"/>
      <c r="W357" s="1"/>
    </row>
    <row r="358" spans="1:23" ht="15.75">
      <c r="A358" s="12"/>
      <c r="B358" s="16"/>
      <c r="C358" s="13"/>
      <c r="D358" s="1"/>
      <c r="E358" s="1"/>
      <c r="F358" s="1"/>
      <c r="G358" s="1"/>
      <c r="H358" s="1"/>
      <c r="I358" s="1"/>
      <c r="J358" s="1"/>
      <c r="K358" s="1"/>
      <c r="L358" s="1"/>
      <c r="M358" s="1"/>
      <c r="N358" s="1"/>
      <c r="O358" s="1"/>
      <c r="P358" s="1"/>
      <c r="Q358" s="1"/>
      <c r="R358" s="1"/>
      <c r="S358" s="1"/>
      <c r="T358" s="1"/>
      <c r="U358" s="1"/>
      <c r="V358" s="1"/>
      <c r="W358" s="1"/>
    </row>
    <row r="359" spans="1:23" ht="15.75">
      <c r="A359" s="12"/>
      <c r="B359" s="16"/>
      <c r="C359" s="13"/>
      <c r="D359" s="1"/>
      <c r="E359" s="1"/>
      <c r="F359" s="1"/>
      <c r="G359" s="1"/>
      <c r="H359" s="1"/>
      <c r="I359" s="1"/>
      <c r="J359" s="1"/>
      <c r="K359" s="1"/>
      <c r="L359" s="1"/>
      <c r="M359" s="1"/>
      <c r="N359" s="1"/>
      <c r="O359" s="1"/>
      <c r="P359" s="1"/>
      <c r="Q359" s="1"/>
      <c r="R359" s="1"/>
      <c r="S359" s="1"/>
      <c r="T359" s="1"/>
      <c r="U359" s="1"/>
      <c r="V359" s="1"/>
      <c r="W359" s="1"/>
    </row>
    <row r="360" spans="1:23" s="850" customFormat="1" ht="15.75">
      <c r="A360" s="12"/>
      <c r="B360" s="16"/>
      <c r="C360" s="13"/>
      <c r="D360" s="1"/>
      <c r="E360" s="1"/>
      <c r="F360" s="1"/>
      <c r="G360" s="1"/>
      <c r="H360" s="1"/>
      <c r="I360" s="1"/>
      <c r="J360" s="1"/>
      <c r="K360" s="1"/>
      <c r="L360" s="1"/>
      <c r="M360" s="1"/>
      <c r="N360" s="1"/>
      <c r="O360" s="1"/>
      <c r="P360" s="1"/>
      <c r="Q360" s="1"/>
      <c r="R360" s="1"/>
      <c r="S360" s="1"/>
      <c r="T360" s="1"/>
      <c r="U360" s="1"/>
      <c r="V360" s="1"/>
      <c r="W360" s="1"/>
    </row>
    <row r="361" spans="1:23" s="850" customFormat="1" ht="16.5" thickBot="1">
      <c r="A361" s="12"/>
      <c r="B361" s="16"/>
      <c r="C361" s="13"/>
      <c r="D361" s="1"/>
      <c r="E361" s="1"/>
      <c r="F361" s="1"/>
      <c r="G361" s="1"/>
      <c r="H361" s="1"/>
      <c r="I361" s="1"/>
      <c r="J361" s="1"/>
      <c r="K361" s="1"/>
      <c r="L361" s="1"/>
      <c r="M361" s="1"/>
      <c r="N361" s="1"/>
      <c r="O361" s="1"/>
      <c r="P361" s="1"/>
      <c r="Q361" s="1"/>
      <c r="R361" s="1"/>
      <c r="S361" s="1"/>
      <c r="T361" s="1"/>
      <c r="U361" s="1"/>
      <c r="V361" s="1"/>
      <c r="W361" s="1"/>
    </row>
    <row r="362" spans="1:23" s="850" customFormat="1" ht="17.25" thickTop="1" thickBot="1">
      <c r="A362" s="876" t="s">
        <v>185</v>
      </c>
      <c r="B362" s="877" t="s">
        <v>1059</v>
      </c>
      <c r="C362" s="878" t="s">
        <v>1060</v>
      </c>
      <c r="D362" s="877" t="s">
        <v>1061</v>
      </c>
      <c r="E362" s="877" t="s">
        <v>1062</v>
      </c>
      <c r="F362" s="877" t="s">
        <v>177</v>
      </c>
      <c r="G362" s="877" t="s">
        <v>1063</v>
      </c>
      <c r="H362" s="877" t="s">
        <v>1064</v>
      </c>
      <c r="I362" s="877" t="s">
        <v>1065</v>
      </c>
      <c r="J362" s="877" t="s">
        <v>1066</v>
      </c>
      <c r="K362" s="877" t="s">
        <v>1067</v>
      </c>
      <c r="L362" s="877" t="s">
        <v>1068</v>
      </c>
      <c r="M362" s="877" t="s">
        <v>1069</v>
      </c>
      <c r="N362" s="906" t="s">
        <v>220</v>
      </c>
      <c r="O362" s="908"/>
      <c r="P362" s="1"/>
      <c r="Q362" s="1"/>
      <c r="R362" s="1"/>
      <c r="S362" s="1"/>
      <c r="T362" s="1"/>
      <c r="U362" s="1"/>
      <c r="V362" s="1"/>
      <c r="W362" s="1"/>
    </row>
    <row r="363" spans="1:23" s="850" customFormat="1" ht="17.25" thickTop="1" thickBot="1">
      <c r="A363" s="887" t="s">
        <v>220</v>
      </c>
      <c r="B363" s="888">
        <f>SUM(B365:B370)</f>
        <v>0</v>
      </c>
      <c r="C363" s="888">
        <f t="shared" ref="C363:M363" si="5">SUM(C365:C370)</f>
        <v>4</v>
      </c>
      <c r="D363" s="888">
        <f t="shared" si="5"/>
        <v>37</v>
      </c>
      <c r="E363" s="888">
        <f t="shared" si="5"/>
        <v>111</v>
      </c>
      <c r="F363" s="888">
        <f t="shared" si="5"/>
        <v>431</v>
      </c>
      <c r="G363" s="888">
        <f t="shared" si="5"/>
        <v>356</v>
      </c>
      <c r="H363" s="888">
        <f t="shared" si="5"/>
        <v>63</v>
      </c>
      <c r="I363" s="888">
        <f t="shared" si="5"/>
        <v>35</v>
      </c>
      <c r="J363" s="888">
        <f t="shared" si="5"/>
        <v>16</v>
      </c>
      <c r="K363" s="888">
        <f t="shared" si="5"/>
        <v>15</v>
      </c>
      <c r="L363" s="888">
        <f t="shared" si="5"/>
        <v>20</v>
      </c>
      <c r="M363" s="888">
        <f t="shared" si="5"/>
        <v>4</v>
      </c>
      <c r="N363" s="907">
        <f>SUM(B363:M363)</f>
        <v>1092</v>
      </c>
      <c r="O363" s="909"/>
      <c r="P363" s="1"/>
      <c r="Q363" s="1"/>
      <c r="R363" s="1"/>
      <c r="S363" s="1"/>
      <c r="T363" s="1"/>
      <c r="U363" s="1"/>
      <c r="V363" s="1"/>
      <c r="W363" s="1"/>
    </row>
    <row r="364" spans="1:23" s="850" customFormat="1" ht="16.5" thickTop="1">
      <c r="A364" s="889" t="s">
        <v>1070</v>
      </c>
      <c r="B364" s="890">
        <f>+(B363/$N$363)</f>
        <v>0</v>
      </c>
      <c r="C364" s="890">
        <f t="shared" ref="C364:M364" si="6">+(C363/$N$363)</f>
        <v>3.663003663003663E-3</v>
      </c>
      <c r="D364" s="890">
        <f t="shared" si="6"/>
        <v>3.388278388278388E-2</v>
      </c>
      <c r="E364" s="890">
        <f t="shared" si="6"/>
        <v>0.10164835164835165</v>
      </c>
      <c r="F364" s="890">
        <f t="shared" si="6"/>
        <v>0.39468864468864467</v>
      </c>
      <c r="G364" s="890">
        <f t="shared" si="6"/>
        <v>0.32600732600732601</v>
      </c>
      <c r="H364" s="890">
        <f t="shared" si="6"/>
        <v>5.7692307692307696E-2</v>
      </c>
      <c r="I364" s="890">
        <f t="shared" si="6"/>
        <v>3.2051282051282048E-2</v>
      </c>
      <c r="J364" s="890">
        <f t="shared" si="6"/>
        <v>1.4652014652014652E-2</v>
      </c>
      <c r="K364" s="890">
        <f t="shared" si="6"/>
        <v>1.3736263736263736E-2</v>
      </c>
      <c r="L364" s="890">
        <f t="shared" si="6"/>
        <v>1.8315018315018316E-2</v>
      </c>
      <c r="M364" s="890">
        <f t="shared" si="6"/>
        <v>3.663003663003663E-3</v>
      </c>
      <c r="N364" s="905">
        <f>SUM(B364:M364)</f>
        <v>1</v>
      </c>
      <c r="O364" s="905">
        <f>SUM(O365:O370)</f>
        <v>1</v>
      </c>
      <c r="P364" s="1"/>
      <c r="Q364" s="1"/>
      <c r="R364" s="1"/>
      <c r="S364" s="1"/>
      <c r="T364" s="1"/>
      <c r="U364" s="1"/>
      <c r="V364" s="1"/>
      <c r="W364" s="1"/>
    </row>
    <row r="365" spans="1:23" s="850" customFormat="1" ht="15.75">
      <c r="A365" s="885" t="s">
        <v>1071</v>
      </c>
      <c r="B365" s="886">
        <f>COUNTIF('Database - Whole Tornadoes'!$R$5:$R$1197,"JanuaryF5")+COUNTIF('Database - Whole Tornadoes'!$R$5:$R$1197,"JanuaryEF5")</f>
        <v>0</v>
      </c>
      <c r="C365" s="886">
        <f>COUNTIF('Database - Whole Tornadoes'!$R$5:$R$1197,"FebruaryF5")+COUNTIF('Database - Whole Tornadoes'!$R$5:$R$1197,"FebruaryEF5")</f>
        <v>0</v>
      </c>
      <c r="D365" s="886">
        <f>COUNTIF('Database - Whole Tornadoes'!$R$5:$R$1197,"MarchF5")+COUNTIF('Database - Whole Tornadoes'!$R$5:$R$1197,"MarchEF5")</f>
        <v>0</v>
      </c>
      <c r="E365" s="886">
        <f>COUNTIF('Database - Whole Tornadoes'!$R$5:$R$1197,"AprilF5")+COUNTIF('Database - Whole Tornadoes'!$R$5:$R$1197,"AprilEF5")</f>
        <v>0</v>
      </c>
      <c r="F365" s="886">
        <f>COUNTIF('Database - Whole Tornadoes'!$R$5:$R$1197,"MayF5")+COUNTIF('Database - Whole Tornadoes'!$R$5:$R$1197,"MayEF5")</f>
        <v>0</v>
      </c>
      <c r="G365" s="886">
        <f>COUNTIF('Database - Whole Tornadoes'!$R$5:$R$1197,"JuneF5")+COUNTIF('Database - Whole Tornadoes'!$R$5:$R$1197,"JuneEF5")</f>
        <v>0</v>
      </c>
      <c r="H365" s="886">
        <f>COUNTIF('Database - Whole Tornadoes'!$R$5:$R$1197,"JulyF5")+COUNTIF('Database - Whole Tornadoes'!$R$5:$R$1197,"JulyEF5")</f>
        <v>0</v>
      </c>
      <c r="I365" s="886">
        <f>COUNTIF('Database - Whole Tornadoes'!$R$5:$R$1197,"AugustF5")+COUNTIF('Database - Whole Tornadoes'!$R$5:$R$1197,"AugustEF5")</f>
        <v>0</v>
      </c>
      <c r="J365" s="886">
        <f>COUNTIF('Database - Whole Tornadoes'!$R$5:$R$1197,"SeptemberF5")+COUNTIF('Database - Whole Tornadoes'!$R$5:$R$1197,"SeptemberEF5")</f>
        <v>0</v>
      </c>
      <c r="K365" s="886">
        <f>COUNTIF('Database - Whole Tornadoes'!$R$5:$R$1197,"OctoberF5")+COUNTIF('Database - Whole Tornadoes'!$R$5:$R$1197,"OctoberEF5")</f>
        <v>0</v>
      </c>
      <c r="L365" s="886">
        <f>COUNTIF('Database - Whole Tornadoes'!$R$5:$R$1197,"NovemberF5")+COUNTIF('Database - Whole Tornadoes'!$R$5:$R$1197,"NovemberEF5")</f>
        <v>0</v>
      </c>
      <c r="M365" s="886">
        <f>COUNTIF('Database - Whole Tornadoes'!$R$5:$R$1197,"DecemberF5")+COUNTIF('Database - Whole Tornadoes'!$R$5:$R$1197,"DecemberEF5")</f>
        <v>0</v>
      </c>
      <c r="N365" s="886">
        <f t="shared" ref="N365:N370" si="7">SUM(B365:M365)</f>
        <v>0</v>
      </c>
      <c r="O365" s="893">
        <f t="shared" ref="O365:O369" si="8">+N365/$N$363</f>
        <v>0</v>
      </c>
      <c r="P365" s="1"/>
      <c r="Q365" s="1"/>
      <c r="R365" s="1"/>
      <c r="S365" s="1"/>
      <c r="T365" s="1"/>
      <c r="U365" s="1"/>
      <c r="V365" s="1"/>
      <c r="W365" s="1"/>
    </row>
    <row r="366" spans="1:23" s="850" customFormat="1" ht="15.75">
      <c r="A366" s="885" t="s">
        <v>1076</v>
      </c>
      <c r="B366" s="886">
        <f>COUNTIF('Database - Whole Tornadoes'!$R$5:$R$1197,"JanuaryF4")+COUNTIF('Database - Whole Tornadoes'!$R$5:$R$1197,"JanuaryEF4")</f>
        <v>0</v>
      </c>
      <c r="C366" s="886">
        <f>COUNTIF('Database - Whole Tornadoes'!$R$5:$R$1197,"FebruaryF4")+COUNTIF('Database - Whole Tornadoes'!$R$5:$R$1197,"FebruaryEF4")</f>
        <v>0</v>
      </c>
      <c r="D366" s="886">
        <f>COUNTIF('Database - Whole Tornadoes'!$R$5:$R$1197,"MarchF4")+COUNTIF('Database - Whole Tornadoes'!$R$5:$R$1197,"MarchEF4")</f>
        <v>1</v>
      </c>
      <c r="E366" s="886">
        <f>COUNTIF('Database - Whole Tornadoes'!$R$5:$R$1197,"AprilF4")+COUNTIF('Database - Whole Tornadoes'!$R$5:$R$1197,"AprilEF4")</f>
        <v>3</v>
      </c>
      <c r="F366" s="886">
        <f>COUNTIF('Database - Whole Tornadoes'!$R$5:$R$1197,"MayF4")+COUNTIF('Database - Whole Tornadoes'!$R$5:$R$1197,"MayEF4")</f>
        <v>2</v>
      </c>
      <c r="G366" s="886">
        <f>COUNTIF('Database - Whole Tornadoes'!$R$5:$R$1197,"JuneF4")+COUNTIF('Database - Whole Tornadoes'!$R$5:$R$1197,"JuneEF4")</f>
        <v>6</v>
      </c>
      <c r="H366" s="886">
        <f>COUNTIF('Database - Whole Tornadoes'!$R$5:$R$1197,"JulyF4")+COUNTIF('Database - Whole Tornadoes'!$R$5:$R$1197,"JulyEF4")</f>
        <v>0</v>
      </c>
      <c r="I366" s="886">
        <f>COUNTIF('Database - Whole Tornadoes'!$R$5:$R$1197,"AugustF4")+COUNTIF('Database - Whole Tornadoes'!$R$5:$R$1197,"AugustEF4")</f>
        <v>0</v>
      </c>
      <c r="J366" s="886">
        <f>COUNTIF('Database - Whole Tornadoes'!$R$5:$R$1197,"SeptemberF4")+COUNTIF('Database - Whole Tornadoes'!$R$5:$R$1197,"SeptemberEF4")</f>
        <v>0</v>
      </c>
      <c r="K366" s="886">
        <f>COUNTIF('Database - Whole Tornadoes'!$R$5:$R$1197,"OctoberF4")+COUNTIF('Database - Whole Tornadoes'!$R$5:$R$1197,"OctoberEF4")</f>
        <v>0</v>
      </c>
      <c r="L366" s="886">
        <f>COUNTIF('Database - Whole Tornadoes'!$R$5:$R$1197,"NovemberF4")+COUNTIF('Database - Whole Tornadoes'!$R$5:$R$1197,"NovemberEF4")</f>
        <v>0</v>
      </c>
      <c r="M366" s="886">
        <f>COUNTIF('Database - Whole Tornadoes'!$R$5:$R$1197,"DecemberF4")+COUNTIF('Database - Whole Tornadoes'!$R$5:$R$1197,"DecemberEF4")</f>
        <v>0</v>
      </c>
      <c r="N366" s="886">
        <f t="shared" si="7"/>
        <v>12</v>
      </c>
      <c r="O366" s="893">
        <f t="shared" si="8"/>
        <v>1.098901098901099E-2</v>
      </c>
      <c r="P366" s="1"/>
      <c r="Q366" s="1"/>
      <c r="R366" s="1"/>
      <c r="S366" s="1"/>
      <c r="T366" s="1"/>
      <c r="U366" s="1"/>
      <c r="V366" s="1"/>
      <c r="W366" s="1"/>
    </row>
    <row r="367" spans="1:23" s="850" customFormat="1" ht="15.75">
      <c r="A367" s="883" t="s">
        <v>1075</v>
      </c>
      <c r="B367" s="884">
        <f>COUNTIF('Database - Whole Tornadoes'!$R$5:$R$1197,"JanuaryF3")+COUNTIF('Database - Whole Tornadoes'!$R$5:$R$1197,"JanuaryEF3")</f>
        <v>0</v>
      </c>
      <c r="C367" s="884">
        <f>COUNTIF('Database - Whole Tornadoes'!$R$5:$R$1197,"FebruaryF3")+COUNTIF('Database - Whole Tornadoes'!$R$5:$R$1197,"FebruaryEF3")</f>
        <v>0</v>
      </c>
      <c r="D367" s="884">
        <f>COUNTIF('Database - Whole Tornadoes'!$R$5:$R$1197,"MarchF3")+COUNTIF('Database - Whole Tornadoes'!$R$5:$R$1197,"MarchEF3")</f>
        <v>5</v>
      </c>
      <c r="E367" s="884">
        <f>COUNTIF('Database - Whole Tornadoes'!$R$5:$R$1197,"AprilF3")+COUNTIF('Database - Whole Tornadoes'!$R$5:$R$1197,"AprilEF3")</f>
        <v>3</v>
      </c>
      <c r="F367" s="884">
        <f>COUNTIF('Database - Whole Tornadoes'!$R$5:$R$1197,"MayF3")+COUNTIF('Database - Whole Tornadoes'!$R$5:$R$1197,"MayEF3")</f>
        <v>17</v>
      </c>
      <c r="G367" s="884">
        <f>COUNTIF('Database - Whole Tornadoes'!$R$5:$R$1197,"JuneF3")+COUNTIF('Database - Whole Tornadoes'!$R$5:$R$1197,"JuneEF3")</f>
        <v>7</v>
      </c>
      <c r="H367" s="884">
        <f>COUNTIF('Database - Whole Tornadoes'!$R$5:$R$1197,"JulyF3")+COUNTIF('Database - Whole Tornadoes'!$R$5:$R$1197,"JulyEF3")</f>
        <v>2</v>
      </c>
      <c r="I367" s="884">
        <f>COUNTIF('Database - Whole Tornadoes'!$R$5:$R$1197,"AugustF3")+COUNTIF('Database - Whole Tornadoes'!$R$5:$R$1197,"AugustEF3")</f>
        <v>0</v>
      </c>
      <c r="J367" s="884">
        <f>COUNTIF('Database - Whole Tornadoes'!$R$5:$R$1197,"SeptemberF3")+COUNTIF('Database - Whole Tornadoes'!$R$5:$R$1197,"SeptemberEF3")</f>
        <v>0</v>
      </c>
      <c r="K367" s="884">
        <f>COUNTIF('Database - Whole Tornadoes'!$R$5:$R$1197,"OctoberF3")+COUNTIF('Database - Whole Tornadoes'!$R$5:$R$1197,"OctoberEF3")</f>
        <v>1</v>
      </c>
      <c r="L367" s="884">
        <f>COUNTIF('Database - Whole Tornadoes'!$R$5:$R$1197,"NovemberF3")+COUNTIF('Database - Whole Tornadoes'!$R$5:$R$1197,"NovemberEF3")</f>
        <v>2</v>
      </c>
      <c r="M367" s="884">
        <f>COUNTIF('Database - Whole Tornadoes'!$R$5:$R$1197,"DecemberF3")+COUNTIF('Database - Whole Tornadoes'!$R$5:$R$1197,"DecemberEF3")</f>
        <v>0</v>
      </c>
      <c r="N367" s="884">
        <f t="shared" si="7"/>
        <v>37</v>
      </c>
      <c r="O367" s="894">
        <f t="shared" si="8"/>
        <v>3.388278388278388E-2</v>
      </c>
      <c r="P367" s="1"/>
      <c r="Q367" s="1"/>
      <c r="R367" s="1"/>
      <c r="S367" s="1"/>
      <c r="T367" s="1"/>
      <c r="U367" s="1"/>
      <c r="V367" s="1"/>
      <c r="W367" s="1"/>
    </row>
    <row r="368" spans="1:23" s="850" customFormat="1" ht="15.75">
      <c r="A368" s="883" t="s">
        <v>1074</v>
      </c>
      <c r="B368" s="884">
        <f>COUNTIF('Database - Whole Tornadoes'!$R$5:$R$1197,"JanuaryF2")+COUNTIF('Database - Whole Tornadoes'!$R$5:$R$1197,"JanuaryEF2")</f>
        <v>0</v>
      </c>
      <c r="C368" s="884">
        <f>COUNTIF('Database - Whole Tornadoes'!$R$5:$R$1197,"FebruaryF2")+COUNTIF('Database - Whole Tornadoes'!$R$5:$R$1197,"FebruaryEF2")</f>
        <v>0</v>
      </c>
      <c r="D368" s="884">
        <f>COUNTIF('Database - Whole Tornadoes'!$R$5:$R$1197,"MarchF2")+COUNTIF('Database - Whole Tornadoes'!$R$5:$R$1197,"MarchEF2")</f>
        <v>9</v>
      </c>
      <c r="E368" s="884">
        <f>COUNTIF('Database - Whole Tornadoes'!$R$5:$R$1197,"AprilF2")+COUNTIF('Database - Whole Tornadoes'!$R$5:$R$1197,"AprilEF2")</f>
        <v>16</v>
      </c>
      <c r="F368" s="884">
        <f>COUNTIF('Database - Whole Tornadoes'!$R$5:$R$1197,"MayF2")+COUNTIF('Database - Whole Tornadoes'!$R$5:$R$1197,"MayEF2")</f>
        <v>37</v>
      </c>
      <c r="G368" s="884">
        <f>COUNTIF('Database - Whole Tornadoes'!$R$5:$R$1197,"JuneF2")+COUNTIF('Database - Whole Tornadoes'!$R$5:$R$1197,"JuneEF2")</f>
        <v>46</v>
      </c>
      <c r="H368" s="884">
        <f>COUNTIF('Database - Whole Tornadoes'!$R$5:$R$1197,"JulyF2")+COUNTIF('Database - Whole Tornadoes'!$R$5:$R$1197,"JulyEF2")</f>
        <v>7</v>
      </c>
      <c r="I368" s="884">
        <f>COUNTIF('Database - Whole Tornadoes'!$R$5:$R$1197,"AugustF2")+COUNTIF('Database - Whole Tornadoes'!$R$5:$R$1197,"AugustEF2")</f>
        <v>1</v>
      </c>
      <c r="J368" s="884">
        <f>COUNTIF('Database - Whole Tornadoes'!$R$5:$R$1197,"SeptemberF2")+COUNTIF('Database - Whole Tornadoes'!$R$5:$R$1197,"SeptemberEF2")</f>
        <v>2</v>
      </c>
      <c r="K368" s="884">
        <f>COUNTIF('Database - Whole Tornadoes'!$R$5:$R$1197,"OctoberF2")+COUNTIF('Database - Whole Tornadoes'!$R$5:$R$1197,"OctoberEF2")</f>
        <v>0</v>
      </c>
      <c r="L368" s="884">
        <f>COUNTIF('Database - Whole Tornadoes'!$R$5:$R$1197,"NovemberF2")+COUNTIF('Database - Whole Tornadoes'!$R$5:$R$1197,"NovemberEF2")</f>
        <v>2</v>
      </c>
      <c r="M368" s="884">
        <f>COUNTIF('Database - Whole Tornadoes'!$R$5:$R$1197,"DecemberF2")+COUNTIF('Database - Whole Tornadoes'!$R$5:$R$1197,"DecemberEF2")</f>
        <v>0</v>
      </c>
      <c r="N368" s="884">
        <f t="shared" si="7"/>
        <v>120</v>
      </c>
      <c r="O368" s="894">
        <f t="shared" si="8"/>
        <v>0.10989010989010989</v>
      </c>
      <c r="P368" s="1"/>
      <c r="Q368" s="1"/>
      <c r="R368" s="1"/>
      <c r="S368" s="1"/>
      <c r="T368" s="1"/>
      <c r="U368" s="1"/>
      <c r="V368" s="1"/>
      <c r="W368" s="1"/>
    </row>
    <row r="369" spans="1:23" s="850" customFormat="1" ht="15.75">
      <c r="A369" s="879" t="s">
        <v>1073</v>
      </c>
      <c r="B369" s="880">
        <f>COUNTIF('Database - Whole Tornadoes'!$R$5:$R$1197,"JanuaryF1")+COUNTIF('Database - Whole Tornadoes'!$R$5:$R$1197,"JanuaryEF1")</f>
        <v>0</v>
      </c>
      <c r="C369" s="880">
        <f>COUNTIF('Database - Whole Tornadoes'!$R$5:$R$1197,"FebruaryF1")+COUNTIF('Database - Whole Tornadoes'!$R$5:$R$1197,"FebruaryEF1")</f>
        <v>2</v>
      </c>
      <c r="D369" s="880">
        <f>COUNTIF('Database - Whole Tornadoes'!$R$5:$R$1197,"MarchF1")+COUNTIF('Database - Whole Tornadoes'!$R$5:$R$1197,"MarchEF1")</f>
        <v>9</v>
      </c>
      <c r="E369" s="880">
        <f>COUNTIF('Database - Whole Tornadoes'!$R$5:$R$1197,"AprilF1")+COUNTIF('Database - Whole Tornadoes'!$R$5:$R$1197,"AprilEF1")</f>
        <v>36</v>
      </c>
      <c r="F369" s="880">
        <f>COUNTIF('Database - Whole Tornadoes'!$R$5:$R$1197,"MayF1")+COUNTIF('Database - Whole Tornadoes'!$R$5:$R$1197,"MayEF1")</f>
        <v>72</v>
      </c>
      <c r="G369" s="880">
        <f>COUNTIF('Database - Whole Tornadoes'!$R$5:$R$1197,"JuneF1")+COUNTIF('Database - Whole Tornadoes'!$R$5:$R$1197,"JuneEF1")</f>
        <v>73</v>
      </c>
      <c r="H369" s="880">
        <f>COUNTIF('Database - Whole Tornadoes'!$R$5:$R$1197,"JulyF1")+COUNTIF('Database - Whole Tornadoes'!$R$5:$R$1197,"JulyEF1")</f>
        <v>16</v>
      </c>
      <c r="I369" s="880">
        <f>COUNTIF('Database - Whole Tornadoes'!$R$5:$R$1197,"AugustF1")+COUNTIF('Database - Whole Tornadoes'!$R$5:$R$1197,"AugustEF1")</f>
        <v>8</v>
      </c>
      <c r="J369" s="880">
        <f>COUNTIF('Database - Whole Tornadoes'!$R$5:$R$1197,"SeptemberF1")+COUNTIF('Database - Whole Tornadoes'!$R$5:$R$1197,"SeptemberEF1")</f>
        <v>2</v>
      </c>
      <c r="K369" s="880">
        <f>COUNTIF('Database - Whole Tornadoes'!$R$5:$R$1197,"OctoberF1")+COUNTIF('Database - Whole Tornadoes'!$R$5:$R$1197,"OctoberEF1")</f>
        <v>9</v>
      </c>
      <c r="L369" s="880">
        <f>COUNTIF('Database - Whole Tornadoes'!$R$5:$R$1197,"NovemberF1")+COUNTIF('Database - Whole Tornadoes'!$R$5:$R$1197,"NovemberEF1")</f>
        <v>6</v>
      </c>
      <c r="M369" s="880">
        <f>COUNTIF('Database - Whole Tornadoes'!$R$5:$R$1197,"DecemberF1")+COUNTIF('Database - Whole Tornadoes'!$R$5:$R$1197,"DecemberEF1")</f>
        <v>0</v>
      </c>
      <c r="N369" s="880">
        <f t="shared" si="7"/>
        <v>233</v>
      </c>
      <c r="O369" s="891">
        <f t="shared" si="8"/>
        <v>0.21336996336996336</v>
      </c>
      <c r="P369" s="1"/>
      <c r="Q369" s="1"/>
      <c r="R369" s="1"/>
      <c r="S369" s="1"/>
      <c r="T369" s="1"/>
      <c r="U369" s="1"/>
      <c r="V369" s="1"/>
      <c r="W369" s="1"/>
    </row>
    <row r="370" spans="1:23" s="850" customFormat="1" ht="16.5" thickBot="1">
      <c r="A370" s="881" t="s">
        <v>1072</v>
      </c>
      <c r="B370" s="882">
        <f>COUNTIF('Database - Whole Tornadoes'!$R$5:$R$1197,"JanuaryF0")+COUNTIF('Database - Whole Tornadoes'!$R$5:$R$1197,"JanuaryEF0")</f>
        <v>0</v>
      </c>
      <c r="C370" s="882">
        <f>COUNTIF('Database - Whole Tornadoes'!$R$5:$R$1197,"FebruaryF0")+COUNTIF('Database - Whole Tornadoes'!$R$5:$R$1197,"FebruaryEF0")</f>
        <v>2</v>
      </c>
      <c r="D370" s="882">
        <f>COUNTIF('Database - Whole Tornadoes'!$R$5:$R$1197,"MarchF0")+COUNTIF('Database - Whole Tornadoes'!$R$5:$R$1197,"MarchEF0")</f>
        <v>13</v>
      </c>
      <c r="E370" s="882">
        <f>COUNTIF('Database - Whole Tornadoes'!$R$5:$R$1197,"AprilF0")+COUNTIF('Database - Whole Tornadoes'!$R$5:$R$1197,"AprilEF0")</f>
        <v>53</v>
      </c>
      <c r="F370" s="882">
        <f>COUNTIF('Database - Whole Tornadoes'!$R$5:$R$1197,"MayF0")+COUNTIF('Database - Whole Tornadoes'!$R$5:$R$1197,"MayEF0")</f>
        <v>303</v>
      </c>
      <c r="G370" s="882">
        <f>COUNTIF('Database - Whole Tornadoes'!$R$5:$R$1197,"JuneF0")+COUNTIF('Database - Whole Tornadoes'!$R$5:$R$1197,"JuneEF0")</f>
        <v>224</v>
      </c>
      <c r="H370" s="882">
        <f>COUNTIF('Database - Whole Tornadoes'!$R$5:$R$1197,"JulyF0")+COUNTIF('Database - Whole Tornadoes'!$R$5:$R$1197,"JulyEF0")</f>
        <v>38</v>
      </c>
      <c r="I370" s="882">
        <f>COUNTIF('Database - Whole Tornadoes'!$R$5:$R$1197,"AugustF0")+COUNTIF('Database - Whole Tornadoes'!$R$5:$R$1197,"AugustEF0")</f>
        <v>26</v>
      </c>
      <c r="J370" s="882">
        <f>COUNTIF('Database - Whole Tornadoes'!$R$5:$R$1197,"SeptemberF0")+COUNTIF('Database - Whole Tornadoes'!$R$5:$R$1197,"SeptemberEF0")</f>
        <v>12</v>
      </c>
      <c r="K370" s="882">
        <f>COUNTIF('Database - Whole Tornadoes'!$R$5:$R$1197,"OctoberF0")+COUNTIF('Database - Whole Tornadoes'!$R$5:$R$1197,"OctoberEF0")</f>
        <v>5</v>
      </c>
      <c r="L370" s="882">
        <f>COUNTIF('Database - Whole Tornadoes'!$R$5:$R$1197,"NovemberF0")+COUNTIF('Database - Whole Tornadoes'!$R$5:$R$1197,"NovemberEF0")</f>
        <v>10</v>
      </c>
      <c r="M370" s="882">
        <f>COUNTIF('Database - Whole Tornadoes'!$R$5:$R$1197,"DecemberF0")+COUNTIF('Database - Whole Tornadoes'!$R$5:$R$1197,"DecemberEF0")</f>
        <v>4</v>
      </c>
      <c r="N370" s="882">
        <f t="shared" si="7"/>
        <v>690</v>
      </c>
      <c r="O370" s="892">
        <f>+N370/$N$363</f>
        <v>0.63186813186813184</v>
      </c>
      <c r="P370" s="1"/>
      <c r="Q370" s="1"/>
      <c r="R370" s="1"/>
      <c r="S370" s="1"/>
      <c r="T370" s="1"/>
      <c r="U370" s="1"/>
      <c r="V370" s="1"/>
      <c r="W370" s="1"/>
    </row>
    <row r="371" spans="1:23" s="850" customFormat="1" ht="16.5" thickTop="1">
      <c r="A371" s="12"/>
      <c r="B371" s="16"/>
      <c r="C371" s="13"/>
      <c r="D371" s="1"/>
      <c r="E371" s="1"/>
      <c r="F371" s="1"/>
      <c r="G371" s="1"/>
      <c r="H371" s="1"/>
      <c r="I371" s="1"/>
      <c r="J371" s="1"/>
      <c r="K371" s="1"/>
      <c r="L371" s="1"/>
      <c r="M371" s="1"/>
      <c r="N371" s="1"/>
      <c r="O371" s="1"/>
      <c r="P371" s="1"/>
      <c r="Q371" s="1"/>
      <c r="R371" s="1"/>
      <c r="S371" s="1"/>
      <c r="T371" s="1"/>
      <c r="U371" s="1"/>
      <c r="V371" s="1"/>
      <c r="W371" s="1"/>
    </row>
    <row r="372" spans="1:23" s="850" customFormat="1" ht="15.75">
      <c r="A372" s="12"/>
      <c r="B372" s="16"/>
      <c r="C372" s="13"/>
      <c r="D372" s="1"/>
      <c r="E372" s="1"/>
      <c r="F372" s="1"/>
      <c r="G372" s="1"/>
      <c r="H372" s="1"/>
      <c r="I372" s="1"/>
      <c r="J372" s="1"/>
      <c r="K372" s="1"/>
      <c r="L372" s="1"/>
      <c r="M372" s="1"/>
      <c r="N372" s="1"/>
      <c r="O372" s="1"/>
      <c r="P372" s="1"/>
      <c r="Q372" s="1"/>
      <c r="R372" s="1"/>
      <c r="S372" s="1"/>
      <c r="T372" s="1"/>
      <c r="U372" s="1"/>
      <c r="V372" s="1"/>
      <c r="W372" s="1"/>
    </row>
    <row r="373" spans="1:23" s="850" customFormat="1" ht="15.75">
      <c r="A373" s="12"/>
      <c r="B373" s="16"/>
      <c r="C373" s="13"/>
      <c r="D373" s="1"/>
      <c r="E373" s="1"/>
      <c r="F373" s="1"/>
      <c r="G373" s="1"/>
      <c r="H373" s="1"/>
      <c r="I373" s="1"/>
      <c r="J373" s="1"/>
      <c r="K373" s="1"/>
      <c r="L373" s="1"/>
      <c r="M373" s="1"/>
      <c r="N373" s="1"/>
      <c r="O373" s="1"/>
      <c r="P373" s="1"/>
      <c r="Q373" s="1"/>
      <c r="R373" s="1"/>
      <c r="S373" s="1"/>
      <c r="T373" s="1"/>
      <c r="U373" s="1"/>
      <c r="V373" s="1"/>
      <c r="W373" s="1"/>
    </row>
    <row r="374" spans="1:23" ht="15.75">
      <c r="A374" s="12"/>
      <c r="B374" s="16"/>
      <c r="C374" s="13"/>
      <c r="D374" s="1"/>
      <c r="E374" s="1"/>
      <c r="F374" s="1"/>
      <c r="G374" s="1"/>
      <c r="H374" s="1"/>
      <c r="I374" s="1"/>
      <c r="J374" s="1"/>
      <c r="K374" s="1"/>
      <c r="L374" s="1"/>
      <c r="M374" s="1"/>
      <c r="N374" s="1"/>
      <c r="O374" s="1"/>
      <c r="P374" s="1"/>
      <c r="Q374" s="1"/>
      <c r="R374" s="1"/>
      <c r="S374" s="1"/>
      <c r="T374" s="1"/>
      <c r="U374" s="1"/>
      <c r="V374" s="1"/>
      <c r="W374" s="1"/>
    </row>
    <row r="375" spans="1:23" ht="15.75">
      <c r="A375" s="12"/>
      <c r="B375" s="16"/>
      <c r="C375" s="13"/>
      <c r="D375" s="1"/>
      <c r="E375" s="1"/>
      <c r="F375" s="1"/>
      <c r="G375" s="1"/>
      <c r="H375" s="1"/>
      <c r="I375" s="1"/>
      <c r="J375" s="1"/>
      <c r="K375" s="1"/>
      <c r="L375" s="1"/>
      <c r="M375" s="1"/>
      <c r="N375" s="1"/>
      <c r="O375" s="1"/>
      <c r="P375" s="1"/>
      <c r="Q375" s="1"/>
      <c r="R375" s="1"/>
      <c r="S375" s="1"/>
      <c r="T375" s="1"/>
      <c r="U375" s="1"/>
      <c r="V375" s="1"/>
      <c r="W375" s="1"/>
    </row>
    <row r="376" spans="1:23" ht="23.25">
      <c r="A376" s="8" t="s">
        <v>895</v>
      </c>
      <c r="B376" s="16"/>
      <c r="C376" s="13"/>
      <c r="D376" s="1"/>
      <c r="E376" s="1"/>
      <c r="F376" s="1"/>
      <c r="G376" s="1"/>
      <c r="H376" s="1"/>
      <c r="I376" s="1"/>
      <c r="J376" s="1"/>
      <c r="K376" s="1"/>
      <c r="L376" s="1"/>
      <c r="M376" s="1"/>
      <c r="N376" s="1"/>
      <c r="O376" s="1"/>
      <c r="P376" s="1"/>
      <c r="Q376" s="1"/>
      <c r="R376" s="1"/>
      <c r="S376" s="1"/>
      <c r="T376" s="1"/>
      <c r="U376" s="1"/>
      <c r="V376" s="1"/>
      <c r="W376" s="1"/>
    </row>
    <row r="377" spans="1:23" ht="15.75">
      <c r="A377" s="12"/>
      <c r="B377" s="16"/>
      <c r="C377" s="13"/>
      <c r="D377" s="1"/>
      <c r="E377" s="1"/>
      <c r="F377" s="1"/>
      <c r="G377" s="1"/>
      <c r="H377" s="1"/>
      <c r="I377" s="1"/>
      <c r="J377" s="1"/>
      <c r="K377" s="1"/>
      <c r="L377" s="1"/>
      <c r="M377" s="1"/>
      <c r="N377" s="1"/>
      <c r="O377" s="1"/>
      <c r="P377" s="1"/>
      <c r="Q377" s="1"/>
      <c r="R377" s="1"/>
      <c r="S377" s="1"/>
      <c r="T377" s="1"/>
      <c r="U377" s="1"/>
      <c r="V377" s="1"/>
      <c r="W377" s="1"/>
    </row>
    <row r="378" spans="1:23" ht="15.75">
      <c r="A378" s="557" t="s">
        <v>843</v>
      </c>
      <c r="B378" s="16">
        <f>COUNTIF('Database - Whole Tornadoes'!$K$5:$K$1197,0)</f>
        <v>16</v>
      </c>
      <c r="C378" s="13">
        <f>+B378/$B$403</f>
        <v>1.4652014652014652E-2</v>
      </c>
      <c r="D378" s="1"/>
      <c r="E378" s="1"/>
      <c r="F378" s="1"/>
      <c r="G378" s="1"/>
      <c r="H378" s="1"/>
      <c r="I378" s="1"/>
      <c r="J378" s="1"/>
      <c r="K378" s="1"/>
      <c r="L378" s="1"/>
      <c r="M378" s="1"/>
      <c r="N378" s="1"/>
      <c r="O378" s="1"/>
      <c r="P378" s="1"/>
      <c r="Q378" s="1"/>
      <c r="R378" s="1"/>
      <c r="S378" s="1"/>
      <c r="T378" s="1"/>
      <c r="U378" s="1"/>
      <c r="V378" s="1"/>
      <c r="W378" s="1"/>
    </row>
    <row r="379" spans="1:23" ht="15.75">
      <c r="A379" s="557" t="s">
        <v>844</v>
      </c>
      <c r="B379" s="16">
        <f>COUNTIF('Database - Whole Tornadoes'!$K$5:$K$1197,1)</f>
        <v>10</v>
      </c>
      <c r="C379" s="13">
        <f t="shared" ref="C379:C401" si="9">+B379/$B$403</f>
        <v>9.1575091575091579E-3</v>
      </c>
      <c r="D379" s="1"/>
      <c r="E379" s="1"/>
      <c r="F379" s="1"/>
      <c r="G379" s="1"/>
      <c r="H379" s="1"/>
      <c r="I379" s="1"/>
      <c r="J379" s="1"/>
      <c r="K379" s="1"/>
      <c r="L379" s="1"/>
      <c r="M379" s="1"/>
      <c r="N379" s="1"/>
      <c r="O379" s="1"/>
      <c r="P379" s="1"/>
      <c r="Q379" s="1"/>
      <c r="R379" s="1"/>
      <c r="S379" s="1"/>
      <c r="T379" s="1"/>
      <c r="U379" s="1"/>
      <c r="V379" s="1"/>
      <c r="W379" s="1"/>
    </row>
    <row r="380" spans="1:23" ht="15.75">
      <c r="A380" s="557" t="s">
        <v>845</v>
      </c>
      <c r="B380" s="16">
        <f>COUNTIF('Database - Whole Tornadoes'!$K$5:$K$1197,2)</f>
        <v>5</v>
      </c>
      <c r="C380" s="13">
        <f t="shared" si="9"/>
        <v>4.578754578754579E-3</v>
      </c>
      <c r="D380" s="1"/>
      <c r="E380" s="1"/>
      <c r="F380" s="1"/>
      <c r="G380" s="1"/>
      <c r="H380" s="1"/>
      <c r="I380" s="1"/>
      <c r="J380" s="1"/>
      <c r="K380" s="1"/>
      <c r="L380" s="1"/>
      <c r="M380" s="1"/>
      <c r="N380" s="1"/>
      <c r="O380" s="1"/>
      <c r="P380" s="1"/>
      <c r="Q380" s="1"/>
      <c r="R380" s="1"/>
      <c r="S380" s="1"/>
      <c r="T380" s="1"/>
      <c r="U380" s="1"/>
      <c r="V380" s="1"/>
      <c r="W380" s="1"/>
    </row>
    <row r="381" spans="1:23" ht="15.75">
      <c r="A381" s="557" t="s">
        <v>846</v>
      </c>
      <c r="B381" s="16">
        <f>COUNTIF('Database - Whole Tornadoes'!$K$5:$K$1197,3)</f>
        <v>3</v>
      </c>
      <c r="C381" s="13">
        <f t="shared" si="9"/>
        <v>2.7472527472527475E-3</v>
      </c>
      <c r="D381" s="1"/>
      <c r="E381" s="1"/>
      <c r="F381" s="1"/>
      <c r="G381" s="1"/>
      <c r="H381" s="1"/>
      <c r="I381" s="1"/>
      <c r="J381" s="1"/>
      <c r="K381" s="1"/>
      <c r="L381" s="1"/>
      <c r="M381" s="1"/>
      <c r="N381" s="1"/>
      <c r="O381" s="1"/>
      <c r="P381" s="1"/>
      <c r="Q381" s="1"/>
      <c r="R381" s="1"/>
      <c r="S381" s="1"/>
      <c r="T381" s="1"/>
      <c r="U381" s="1"/>
      <c r="V381" s="1"/>
      <c r="W381" s="1"/>
    </row>
    <row r="382" spans="1:23" ht="15.75">
      <c r="A382" s="558" t="s">
        <v>847</v>
      </c>
      <c r="B382" s="16">
        <f>COUNTIF('Database - Whole Tornadoes'!$K$5:$K$1197,4)</f>
        <v>1</v>
      </c>
      <c r="C382" s="13">
        <f t="shared" si="9"/>
        <v>9.1575091575091575E-4</v>
      </c>
      <c r="D382" s="1"/>
      <c r="E382" s="1"/>
      <c r="F382" s="1"/>
      <c r="G382" s="1"/>
      <c r="H382" s="1"/>
      <c r="I382" s="1"/>
      <c r="J382" s="1"/>
      <c r="K382" s="1"/>
      <c r="L382" s="1"/>
      <c r="M382" s="1"/>
      <c r="N382" s="1"/>
      <c r="O382" s="1"/>
      <c r="P382" s="1"/>
      <c r="Q382" s="1"/>
      <c r="R382" s="1"/>
      <c r="S382" s="1"/>
      <c r="T382" s="1"/>
      <c r="U382" s="1"/>
      <c r="V382" s="1"/>
      <c r="W382" s="1"/>
    </row>
    <row r="383" spans="1:23" ht="15.75">
      <c r="A383" s="557" t="s">
        <v>848</v>
      </c>
      <c r="B383" s="16">
        <f>COUNTIF('Database - Whole Tornadoes'!$K$5:$K$1197,5)</f>
        <v>0</v>
      </c>
      <c r="C383" s="13">
        <f t="shared" si="9"/>
        <v>0</v>
      </c>
      <c r="D383" s="1"/>
      <c r="E383" s="1"/>
      <c r="F383" s="1"/>
      <c r="G383" s="1"/>
      <c r="H383" s="1"/>
      <c r="I383" s="1"/>
      <c r="J383" s="1"/>
      <c r="K383" s="1"/>
      <c r="L383" s="1"/>
      <c r="M383" s="1"/>
      <c r="N383" s="1"/>
      <c r="O383" s="1"/>
      <c r="P383" s="1"/>
      <c r="Q383" s="1"/>
      <c r="R383" s="1"/>
      <c r="S383" s="1"/>
      <c r="T383" s="1"/>
      <c r="U383" s="1"/>
      <c r="V383" s="1"/>
      <c r="W383" s="1"/>
    </row>
    <row r="384" spans="1:23" ht="15.75">
      <c r="A384" s="557" t="s">
        <v>849</v>
      </c>
      <c r="B384" s="16">
        <f>COUNTIF('Database - Whole Tornadoes'!$K$5:$K$1197,6)</f>
        <v>1</v>
      </c>
      <c r="C384" s="13">
        <f t="shared" si="9"/>
        <v>9.1575091575091575E-4</v>
      </c>
      <c r="D384" s="1"/>
      <c r="E384" s="1"/>
      <c r="F384" s="1"/>
      <c r="G384" s="1"/>
      <c r="H384" s="1"/>
      <c r="I384" s="1"/>
      <c r="J384" s="1"/>
      <c r="K384" s="1"/>
      <c r="L384" s="1"/>
      <c r="M384" s="1"/>
      <c r="N384" s="1"/>
      <c r="O384" s="1"/>
      <c r="P384" s="1"/>
      <c r="Q384" s="1"/>
      <c r="R384" s="1"/>
      <c r="S384" s="1"/>
      <c r="T384" s="1"/>
      <c r="U384" s="1"/>
      <c r="V384" s="1"/>
      <c r="W384" s="1"/>
    </row>
    <row r="385" spans="1:23" ht="15.75">
      <c r="A385" s="557" t="s">
        <v>850</v>
      </c>
      <c r="B385" s="16">
        <f>COUNTIF('Database - Whole Tornadoes'!$K$5:$K$1197,7)</f>
        <v>2</v>
      </c>
      <c r="C385" s="13">
        <f t="shared" si="9"/>
        <v>1.8315018315018315E-3</v>
      </c>
      <c r="D385" s="1"/>
      <c r="E385" s="1"/>
      <c r="F385" s="1"/>
      <c r="G385" s="1"/>
      <c r="H385" s="1"/>
      <c r="I385" s="1"/>
      <c r="J385" s="1"/>
      <c r="K385" s="1"/>
      <c r="L385" s="1"/>
      <c r="M385" s="1"/>
      <c r="N385" s="1"/>
      <c r="O385" s="1"/>
      <c r="P385" s="1"/>
      <c r="Q385" s="1"/>
      <c r="R385" s="1"/>
      <c r="S385" s="1"/>
      <c r="T385" s="1"/>
      <c r="U385" s="1"/>
      <c r="V385" s="1"/>
      <c r="W385" s="1"/>
    </row>
    <row r="386" spans="1:23" ht="15.75">
      <c r="A386" s="557" t="s">
        <v>851</v>
      </c>
      <c r="B386" s="16">
        <f>COUNTIF('Database - Whole Tornadoes'!$K$5:$K$1197,8)</f>
        <v>2</v>
      </c>
      <c r="C386" s="13">
        <f t="shared" si="9"/>
        <v>1.8315018315018315E-3</v>
      </c>
      <c r="D386" s="1"/>
      <c r="E386" s="1"/>
      <c r="F386" s="1"/>
      <c r="G386" s="1"/>
      <c r="H386" s="1"/>
      <c r="I386" s="1"/>
      <c r="J386" s="1"/>
      <c r="K386" s="1"/>
      <c r="L386" s="1"/>
      <c r="M386" s="1"/>
      <c r="N386" s="1"/>
      <c r="O386" s="1"/>
      <c r="P386" s="1"/>
      <c r="Q386" s="1"/>
      <c r="R386" s="1"/>
      <c r="S386" s="1"/>
      <c r="T386" s="1"/>
      <c r="U386" s="1"/>
      <c r="V386" s="1"/>
      <c r="W386" s="1"/>
    </row>
    <row r="387" spans="1:23" ht="15.75">
      <c r="A387" s="557" t="s">
        <v>852</v>
      </c>
      <c r="B387" s="16">
        <f>COUNTIF('Database - Whole Tornadoes'!$K$5:$K$1197,9)</f>
        <v>2</v>
      </c>
      <c r="C387" s="13">
        <f t="shared" si="9"/>
        <v>1.8315018315018315E-3</v>
      </c>
      <c r="D387" s="1"/>
      <c r="E387" s="1"/>
      <c r="F387" s="1"/>
      <c r="G387" s="1"/>
      <c r="H387" s="1"/>
      <c r="I387" s="1"/>
      <c r="J387" s="1"/>
      <c r="K387" s="1"/>
      <c r="L387" s="1"/>
      <c r="M387" s="1"/>
      <c r="N387" s="1"/>
      <c r="O387" s="1"/>
      <c r="P387" s="1"/>
      <c r="Q387" s="1"/>
      <c r="R387" s="1"/>
      <c r="S387" s="1"/>
      <c r="T387" s="1"/>
      <c r="U387" s="1"/>
      <c r="V387" s="1"/>
      <c r="W387" s="1"/>
    </row>
    <row r="388" spans="1:23" ht="15.75">
      <c r="A388" s="557" t="s">
        <v>853</v>
      </c>
      <c r="B388" s="16">
        <f>COUNTIF('Database - Whole Tornadoes'!$K$5:$K$1197,10)</f>
        <v>0</v>
      </c>
      <c r="C388" s="13">
        <f t="shared" si="9"/>
        <v>0</v>
      </c>
      <c r="D388" s="1"/>
      <c r="E388" s="1"/>
      <c r="F388" s="1"/>
      <c r="G388" s="1"/>
      <c r="H388" s="1"/>
      <c r="I388" s="1"/>
      <c r="J388" s="1"/>
      <c r="K388" s="1"/>
      <c r="L388" s="1"/>
      <c r="M388" s="1"/>
      <c r="N388" s="1"/>
      <c r="O388" s="1"/>
      <c r="P388" s="1"/>
      <c r="Q388" s="1"/>
      <c r="R388" s="1"/>
      <c r="S388" s="1"/>
      <c r="T388" s="1"/>
      <c r="U388" s="1"/>
      <c r="V388" s="1"/>
      <c r="W388" s="1"/>
    </row>
    <row r="389" spans="1:23" ht="15.75">
      <c r="A389" s="557" t="s">
        <v>854</v>
      </c>
      <c r="B389" s="16">
        <f>COUNTIF('Database - Whole Tornadoes'!$K$5:$K$1197,11)</f>
        <v>2</v>
      </c>
      <c r="C389" s="13">
        <f t="shared" si="9"/>
        <v>1.8315018315018315E-3</v>
      </c>
      <c r="D389" s="1"/>
      <c r="E389" s="1"/>
      <c r="F389" s="1"/>
      <c r="G389" s="1"/>
      <c r="H389" s="1"/>
      <c r="I389" s="1"/>
      <c r="J389" s="1"/>
      <c r="K389" s="1"/>
      <c r="L389" s="1"/>
      <c r="M389" s="1"/>
      <c r="N389" s="1"/>
      <c r="O389" s="1"/>
      <c r="P389" s="1"/>
      <c r="Q389" s="1"/>
      <c r="R389" s="1"/>
      <c r="S389" s="1"/>
      <c r="T389" s="1"/>
      <c r="U389" s="1"/>
      <c r="V389" s="1"/>
      <c r="W389" s="1"/>
    </row>
    <row r="390" spans="1:23" ht="15.75">
      <c r="A390" s="557" t="s">
        <v>843</v>
      </c>
      <c r="B390" s="16">
        <f>COUNTIF('Database - Whole Tornadoes'!$K$5:$K$1197,12)</f>
        <v>11</v>
      </c>
      <c r="C390" s="13">
        <f t="shared" si="9"/>
        <v>1.0073260073260074E-2</v>
      </c>
      <c r="D390" s="1"/>
      <c r="E390" s="1"/>
      <c r="F390" s="1"/>
      <c r="G390" s="1"/>
      <c r="H390" s="1"/>
      <c r="I390" s="1"/>
      <c r="J390" s="1"/>
      <c r="K390" s="1"/>
      <c r="L390" s="1"/>
      <c r="M390" s="1"/>
      <c r="N390" s="1"/>
      <c r="O390" s="1"/>
      <c r="P390" s="1"/>
      <c r="Q390" s="1"/>
      <c r="R390" s="1"/>
      <c r="S390" s="1"/>
      <c r="T390" s="1"/>
      <c r="U390" s="1"/>
      <c r="V390" s="1"/>
      <c r="W390" s="1"/>
    </row>
    <row r="391" spans="1:23" ht="15.75">
      <c r="A391" s="558" t="s">
        <v>855</v>
      </c>
      <c r="B391" s="16">
        <f>COUNTIF('Database - Whole Tornadoes'!$K$5:$K$1197,13)</f>
        <v>25</v>
      </c>
      <c r="C391" s="13">
        <f t="shared" si="9"/>
        <v>2.2893772893772892E-2</v>
      </c>
      <c r="D391" s="1"/>
      <c r="E391" s="1"/>
      <c r="F391" s="1"/>
      <c r="G391" s="1"/>
      <c r="H391" s="1"/>
      <c r="I391" s="1"/>
      <c r="J391" s="1"/>
      <c r="K391" s="1"/>
      <c r="L391" s="1"/>
      <c r="M391" s="1"/>
      <c r="N391" s="1"/>
      <c r="O391" s="1"/>
      <c r="P391" s="1"/>
      <c r="Q391" s="1"/>
      <c r="R391" s="1"/>
      <c r="S391" s="1"/>
      <c r="T391" s="1"/>
      <c r="U391" s="1"/>
      <c r="V391" s="1"/>
      <c r="W391" s="1"/>
    </row>
    <row r="392" spans="1:23" ht="15.75">
      <c r="A392" s="557" t="s">
        <v>856</v>
      </c>
      <c r="B392" s="16">
        <f>COUNTIF('Database - Whole Tornadoes'!$K$5:$K$1197,14)</f>
        <v>45</v>
      </c>
      <c r="C392" s="13">
        <f t="shared" si="9"/>
        <v>4.1208791208791208E-2</v>
      </c>
      <c r="D392" s="1"/>
      <c r="E392" s="1"/>
      <c r="F392" s="1"/>
      <c r="G392" s="1"/>
      <c r="H392" s="1"/>
      <c r="I392" s="1"/>
      <c r="J392" s="1"/>
      <c r="K392" s="1"/>
      <c r="L392" s="1"/>
      <c r="M392" s="1"/>
      <c r="N392" s="1"/>
      <c r="O392" s="1"/>
      <c r="P392" s="1"/>
      <c r="Q392" s="1"/>
      <c r="R392" s="1"/>
      <c r="S392" s="1"/>
      <c r="T392" s="1"/>
      <c r="U392" s="1"/>
      <c r="V392" s="1"/>
      <c r="W392" s="1"/>
    </row>
    <row r="393" spans="1:23" ht="15.75">
      <c r="A393" s="557" t="s">
        <v>857</v>
      </c>
      <c r="B393" s="16">
        <f>COUNTIF('Database - Whole Tornadoes'!$K$5:$K$1197,15)</f>
        <v>82</v>
      </c>
      <c r="C393" s="13">
        <f t="shared" si="9"/>
        <v>7.5091575091575088E-2</v>
      </c>
      <c r="D393" s="1"/>
      <c r="E393" s="1"/>
      <c r="F393" s="1"/>
      <c r="G393" s="1"/>
      <c r="H393" s="1"/>
      <c r="I393" s="1"/>
      <c r="J393" s="1"/>
      <c r="K393" s="1"/>
      <c r="L393" s="1"/>
      <c r="M393" s="1"/>
      <c r="N393" s="1"/>
      <c r="O393" s="1"/>
      <c r="P393" s="1"/>
      <c r="Q393" s="1"/>
      <c r="R393" s="1"/>
      <c r="S393" s="1"/>
      <c r="T393" s="1"/>
      <c r="U393" s="1"/>
      <c r="V393" s="1"/>
      <c r="W393" s="1"/>
    </row>
    <row r="394" spans="1:23" ht="15.75">
      <c r="A394" s="557" t="s">
        <v>858</v>
      </c>
      <c r="B394" s="16">
        <f>COUNTIF('Database - Whole Tornadoes'!$K$5:$K$1197,16)</f>
        <v>149</v>
      </c>
      <c r="C394" s="13">
        <f t="shared" si="9"/>
        <v>0.13644688644688643</v>
      </c>
      <c r="D394" s="1"/>
      <c r="E394" s="1"/>
      <c r="F394" s="1"/>
      <c r="G394" s="1"/>
      <c r="H394" s="1"/>
      <c r="I394" s="1"/>
      <c r="J394" s="1"/>
      <c r="K394" s="1"/>
      <c r="L394" s="1"/>
      <c r="M394" s="1"/>
      <c r="N394" s="1"/>
      <c r="O394" s="1"/>
      <c r="P394" s="1"/>
      <c r="Q394" s="1"/>
      <c r="R394" s="1"/>
      <c r="S394" s="1"/>
      <c r="T394" s="1"/>
      <c r="U394" s="1"/>
      <c r="V394" s="1"/>
      <c r="W394" s="1"/>
    </row>
    <row r="395" spans="1:23" ht="15.75">
      <c r="A395" s="557" t="s">
        <v>859</v>
      </c>
      <c r="B395" s="16">
        <f>COUNTIF('Database - Whole Tornadoes'!$K$5:$K$1197,17)</f>
        <v>180</v>
      </c>
      <c r="C395" s="13">
        <f t="shared" si="9"/>
        <v>0.16483516483516483</v>
      </c>
      <c r="D395" s="1"/>
      <c r="E395" s="1"/>
      <c r="F395" s="1"/>
      <c r="G395" s="1"/>
      <c r="H395" s="1"/>
      <c r="I395" s="1"/>
      <c r="J395" s="1"/>
      <c r="K395" s="1"/>
      <c r="L395" s="1"/>
      <c r="M395" s="1"/>
      <c r="N395" s="1"/>
      <c r="O395" s="1"/>
      <c r="P395" s="1"/>
      <c r="Q395" s="1"/>
      <c r="R395" s="1"/>
      <c r="S395" s="1"/>
      <c r="T395" s="1"/>
      <c r="U395" s="1"/>
      <c r="V395" s="1"/>
      <c r="W395" s="1"/>
    </row>
    <row r="396" spans="1:23" ht="15.75">
      <c r="A396" s="557" t="s">
        <v>860</v>
      </c>
      <c r="B396" s="16">
        <f>COUNTIF('Database - Whole Tornadoes'!$K$5:$K$1197,18)</f>
        <v>186</v>
      </c>
      <c r="C396" s="13">
        <f t="shared" si="9"/>
        <v>0.17032967032967034</v>
      </c>
      <c r="D396" s="1"/>
      <c r="E396" s="1"/>
      <c r="F396" s="1"/>
      <c r="G396" s="1"/>
      <c r="H396" s="1"/>
      <c r="I396" s="1"/>
      <c r="J396" s="1"/>
      <c r="K396" s="1"/>
      <c r="L396" s="1"/>
      <c r="M396" s="1"/>
      <c r="N396" s="1"/>
      <c r="O396" s="1"/>
      <c r="P396" s="1"/>
      <c r="Q396" s="1"/>
      <c r="R396" s="1"/>
      <c r="S396" s="1"/>
      <c r="T396" s="1"/>
      <c r="U396" s="1"/>
      <c r="V396" s="1"/>
      <c r="W396" s="1"/>
    </row>
    <row r="397" spans="1:23" ht="15.75">
      <c r="A397" s="557" t="s">
        <v>861</v>
      </c>
      <c r="B397" s="16">
        <f>COUNTIF('Database - Whole Tornadoes'!$K$5:$K$1197,19)</f>
        <v>164</v>
      </c>
      <c r="C397" s="13">
        <f t="shared" si="9"/>
        <v>0.15018315018315018</v>
      </c>
      <c r="D397" s="1"/>
      <c r="E397" s="1"/>
      <c r="F397" s="1"/>
      <c r="G397" s="1"/>
      <c r="H397" s="1"/>
      <c r="I397" s="1"/>
      <c r="J397" s="1"/>
      <c r="K397" s="1"/>
      <c r="L397" s="1"/>
      <c r="M397" s="1"/>
      <c r="N397" s="1"/>
      <c r="O397" s="1"/>
      <c r="P397" s="1"/>
      <c r="Q397" s="1"/>
      <c r="R397" s="1"/>
      <c r="S397" s="1"/>
      <c r="T397" s="1"/>
      <c r="U397" s="1"/>
      <c r="V397" s="1"/>
      <c r="W397" s="1"/>
    </row>
    <row r="398" spans="1:23" ht="15.75">
      <c r="A398" s="557" t="s">
        <v>862</v>
      </c>
      <c r="B398" s="16">
        <f>COUNTIF('Database - Whole Tornadoes'!$K$5:$K$1197,20)</f>
        <v>96</v>
      </c>
      <c r="C398" s="13">
        <f t="shared" si="9"/>
        <v>8.7912087912087919E-2</v>
      </c>
      <c r="D398" s="1"/>
      <c r="E398" s="1"/>
      <c r="F398" s="1"/>
      <c r="G398" s="1"/>
      <c r="H398" s="1"/>
      <c r="I398" s="1"/>
      <c r="J398" s="1"/>
      <c r="K398" s="1"/>
      <c r="L398" s="1"/>
      <c r="M398" s="1"/>
      <c r="N398" s="1"/>
      <c r="O398" s="1"/>
      <c r="P398" s="1"/>
      <c r="Q398" s="1"/>
      <c r="R398" s="1"/>
      <c r="S398" s="1"/>
      <c r="T398" s="1"/>
      <c r="U398" s="1"/>
      <c r="V398" s="1"/>
      <c r="W398" s="1"/>
    </row>
    <row r="399" spans="1:23" ht="15.75">
      <c r="A399" s="557" t="s">
        <v>863</v>
      </c>
      <c r="B399" s="16">
        <f>COUNTIF('Database - Whole Tornadoes'!$K$5:$K$1197,21)</f>
        <v>50</v>
      </c>
      <c r="C399" s="13">
        <f t="shared" si="9"/>
        <v>4.5787545787545784E-2</v>
      </c>
      <c r="D399" s="1"/>
      <c r="E399" s="1"/>
      <c r="F399" s="1"/>
      <c r="G399" s="1"/>
      <c r="H399" s="1"/>
      <c r="I399" s="1"/>
      <c r="J399" s="1"/>
      <c r="K399" s="1"/>
      <c r="L399" s="1"/>
      <c r="M399" s="1"/>
      <c r="N399" s="1"/>
      <c r="O399" s="1"/>
      <c r="P399" s="1"/>
      <c r="Q399" s="1"/>
      <c r="R399" s="1"/>
      <c r="S399" s="1"/>
      <c r="T399" s="1"/>
      <c r="U399" s="1"/>
      <c r="V399" s="1"/>
      <c r="W399" s="1"/>
    </row>
    <row r="400" spans="1:23" ht="15.75">
      <c r="A400" s="557" t="s">
        <v>864</v>
      </c>
      <c r="B400" s="16">
        <f>COUNTIF('Database - Whole Tornadoes'!$K$5:$K$1197,22)</f>
        <v>30</v>
      </c>
      <c r="C400" s="13">
        <f t="shared" si="9"/>
        <v>2.7472527472527472E-2</v>
      </c>
      <c r="D400" s="1"/>
      <c r="E400" s="1"/>
      <c r="F400" s="1"/>
      <c r="G400" s="1"/>
      <c r="H400" s="1"/>
      <c r="I400" s="1"/>
      <c r="J400" s="1"/>
      <c r="K400" s="1"/>
      <c r="L400" s="1"/>
      <c r="M400" s="1"/>
      <c r="N400" s="1"/>
      <c r="O400" s="1"/>
      <c r="P400" s="1"/>
      <c r="Q400" s="1"/>
      <c r="R400" s="1"/>
      <c r="S400" s="1"/>
      <c r="T400" s="1"/>
      <c r="U400" s="1"/>
      <c r="V400" s="1"/>
      <c r="W400" s="1"/>
    </row>
    <row r="401" spans="1:23" ht="15.75">
      <c r="A401" s="557" t="s">
        <v>865</v>
      </c>
      <c r="B401" s="16">
        <f>COUNTIF('Database - Whole Tornadoes'!$K$5:$K$1197,23)</f>
        <v>30</v>
      </c>
      <c r="C401" s="13">
        <f t="shared" si="9"/>
        <v>2.7472527472527472E-2</v>
      </c>
      <c r="D401" s="1"/>
      <c r="E401" s="1"/>
      <c r="F401" s="1"/>
      <c r="G401" s="1"/>
      <c r="H401" s="1"/>
      <c r="I401" s="1"/>
      <c r="J401" s="1"/>
      <c r="K401" s="1"/>
      <c r="L401" s="1"/>
      <c r="M401" s="1"/>
      <c r="N401" s="1"/>
      <c r="O401" s="1"/>
      <c r="P401" s="1"/>
      <c r="Q401" s="1"/>
      <c r="R401" s="1"/>
      <c r="S401" s="1"/>
      <c r="T401" s="1"/>
      <c r="U401" s="1"/>
      <c r="V401" s="1"/>
      <c r="W401" s="1"/>
    </row>
    <row r="402" spans="1:23">
      <c r="A402" s="12"/>
      <c r="B402" s="1"/>
      <c r="C402" s="13"/>
      <c r="D402" s="1"/>
      <c r="E402" s="1"/>
      <c r="F402" s="1"/>
      <c r="G402" s="1"/>
      <c r="H402" s="1"/>
      <c r="I402" s="1"/>
      <c r="J402" s="1"/>
      <c r="K402" s="1"/>
      <c r="L402" s="1"/>
      <c r="M402" s="1"/>
      <c r="N402" s="1"/>
      <c r="O402" s="1"/>
      <c r="P402" s="1"/>
      <c r="Q402" s="1"/>
      <c r="R402" s="1"/>
      <c r="S402" s="1"/>
      <c r="T402" s="1"/>
      <c r="U402" s="1"/>
      <c r="V402" s="1"/>
      <c r="W402" s="1"/>
    </row>
    <row r="403" spans="1:23" ht="15.75">
      <c r="A403" s="75" t="s">
        <v>531</v>
      </c>
      <c r="B403" s="16">
        <f>SUM(B378:B401)</f>
        <v>1092</v>
      </c>
      <c r="C403" s="13"/>
      <c r="D403" s="1"/>
      <c r="E403" s="1"/>
      <c r="F403" s="1"/>
      <c r="G403" s="1"/>
      <c r="H403" s="1"/>
      <c r="I403" s="1"/>
      <c r="J403" s="1"/>
      <c r="K403" s="1"/>
      <c r="L403" s="1"/>
      <c r="M403" s="1"/>
      <c r="N403" s="1"/>
      <c r="O403" s="1"/>
      <c r="P403" s="1"/>
      <c r="Q403" s="1"/>
      <c r="R403" s="1"/>
      <c r="S403" s="1"/>
      <c r="T403" s="1"/>
      <c r="U403" s="1"/>
      <c r="V403" s="1"/>
      <c r="W403" s="1"/>
    </row>
    <row r="404" spans="1:23" ht="15.75">
      <c r="A404" s="12"/>
      <c r="B404" s="16"/>
      <c r="C404" s="13"/>
      <c r="D404" s="1"/>
      <c r="E404" s="1"/>
      <c r="F404" s="1"/>
      <c r="G404" s="1"/>
      <c r="H404" s="1"/>
      <c r="I404" s="1"/>
      <c r="J404" s="1"/>
      <c r="K404" s="1"/>
      <c r="L404" s="1"/>
      <c r="M404" s="1"/>
      <c r="N404" s="1"/>
      <c r="O404" s="1"/>
      <c r="P404" s="1"/>
      <c r="Q404" s="1"/>
      <c r="R404" s="1"/>
      <c r="S404" s="1"/>
      <c r="T404" s="1"/>
      <c r="U404" s="1"/>
      <c r="V404" s="1"/>
      <c r="W404" s="1"/>
    </row>
    <row r="405" spans="1:23" ht="15.75">
      <c r="A405" s="12"/>
      <c r="B405" s="16"/>
      <c r="C405" s="13"/>
      <c r="D405" s="1"/>
      <c r="E405" s="1"/>
      <c r="F405" s="1"/>
      <c r="G405" s="1"/>
      <c r="H405" s="1"/>
      <c r="I405" s="1"/>
      <c r="J405" s="1"/>
      <c r="K405" s="1"/>
      <c r="L405" s="1"/>
      <c r="M405" s="1"/>
      <c r="N405" s="1"/>
      <c r="O405" s="1"/>
      <c r="P405" s="1"/>
      <c r="Q405" s="1"/>
      <c r="R405" s="1"/>
      <c r="S405" s="1"/>
      <c r="T405" s="1"/>
      <c r="U405" s="1"/>
      <c r="V405" s="1"/>
      <c r="W405" s="1"/>
    </row>
    <row r="406" spans="1:23" ht="23.25">
      <c r="A406" s="8" t="s">
        <v>897</v>
      </c>
      <c r="B406" s="1"/>
      <c r="C406" s="1"/>
      <c r="D406" s="1"/>
      <c r="E406" s="1"/>
      <c r="F406" s="1"/>
      <c r="G406" s="1"/>
      <c r="H406" s="1"/>
      <c r="I406" s="1"/>
      <c r="J406" s="1"/>
      <c r="K406" s="1"/>
      <c r="L406" s="1"/>
      <c r="M406" s="1"/>
      <c r="N406" s="1"/>
      <c r="O406" s="1"/>
      <c r="P406" s="1"/>
      <c r="Q406" s="1"/>
      <c r="R406" s="1"/>
      <c r="S406" s="1"/>
      <c r="T406" s="1"/>
      <c r="U406" s="1"/>
      <c r="V406" s="1"/>
      <c r="W406" s="1"/>
    </row>
    <row r="407" spans="1:23"/>
    <row r="408" spans="1:23" ht="15.75">
      <c r="A408" s="557" t="s">
        <v>843</v>
      </c>
      <c r="B408" s="521">
        <f>COUNTIF('Database - Whole Tornadoes'!$Q$5:$Q$1197,"F40")+COUNTIF('Database - Whole Tornadoes'!$Q$5:$Q$1197,"EF40")+COUNTIF('Database - Whole Tornadoes'!$Q$5:$Q$1197,"F50")+COUNTIF('Database - Whole Tornadoes'!$Q$5:$Q$1197,"EF50")</f>
        <v>0</v>
      </c>
      <c r="C408" s="523">
        <f t="shared" ref="C408:C431" si="10">+B408/$B$433</f>
        <v>0</v>
      </c>
    </row>
    <row r="409" spans="1:23" ht="15.75">
      <c r="A409" s="557" t="s">
        <v>844</v>
      </c>
      <c r="B409" s="521">
        <f>COUNTIF('Database - Whole Tornadoes'!$Q$5:$Q$1197,"F41")+COUNTIF('Database - Whole Tornadoes'!$Q$5:$Q$1197,"EF41")+COUNTIF('Database - Whole Tornadoes'!$Q$5:$Q$1197,"F51")+COUNTIF('Database - Whole Tornadoes'!$Q$5:$Q$1197,"EF51")</f>
        <v>1</v>
      </c>
      <c r="C409" s="523">
        <f t="shared" si="10"/>
        <v>8.3333333333333329E-2</v>
      </c>
    </row>
    <row r="410" spans="1:23" ht="15.75">
      <c r="A410" s="557" t="s">
        <v>845</v>
      </c>
      <c r="B410" s="521">
        <f>COUNTIF('Database - Whole Tornadoes'!$Q$5:$Q$1197,"F42")+COUNTIF('Database - Whole Tornadoes'!$Q$5:$Q$1197,"EF42")+COUNTIF('Database - Whole Tornadoes'!$Q$5:$Q$1197,"F52")+COUNTIF('Database - Whole Tornadoes'!$Q$5:$Q$1197,"EF52")</f>
        <v>0</v>
      </c>
      <c r="C410" s="523">
        <f t="shared" si="10"/>
        <v>0</v>
      </c>
    </row>
    <row r="411" spans="1:23" ht="15.75">
      <c r="A411" s="557" t="s">
        <v>846</v>
      </c>
      <c r="B411" s="521">
        <f>COUNTIF('Database - Whole Tornadoes'!$Q$5:$Q$1197,"F43")+COUNTIF('Database - Whole Tornadoes'!$Q$5:$Q$1197,"EF43")+COUNTIF('Database - Whole Tornadoes'!$Q$5:$Q$1197,"F53")+COUNTIF('Database - Whole Tornadoes'!$Q$5:$Q$1197,"EF53")</f>
        <v>0</v>
      </c>
      <c r="C411" s="523">
        <f t="shared" si="10"/>
        <v>0</v>
      </c>
    </row>
    <row r="412" spans="1:23" ht="15.75">
      <c r="A412" s="558" t="s">
        <v>847</v>
      </c>
      <c r="B412" s="521">
        <f>COUNTIF('Database - Whole Tornadoes'!$Q$5:$Q$1197,"F44")+COUNTIF('Database - Whole Tornadoes'!$Q$5:$Q$1197,"EF44")+COUNTIF('Database - Whole Tornadoes'!$Q$5:$Q$1197,"F54")+COUNTIF('Database - Whole Tornadoes'!$Q$5:$Q$1197,"EF54")</f>
        <v>0</v>
      </c>
      <c r="C412" s="523">
        <f t="shared" si="10"/>
        <v>0</v>
      </c>
    </row>
    <row r="413" spans="1:23" ht="15.75">
      <c r="A413" s="557" t="s">
        <v>848</v>
      </c>
      <c r="B413" s="521">
        <f>COUNTIF('Database - Whole Tornadoes'!$Q$5:$Q$1197,"F45")+COUNTIF('Database - Whole Tornadoes'!$Q$5:$Q$1197,"EF45")+COUNTIF('Database - Whole Tornadoes'!$Q$5:$Q$1197,"F55")+COUNTIF('Database - Whole Tornadoes'!$Q$5:$Q$1197,"EF55")</f>
        <v>0</v>
      </c>
      <c r="C413" s="523">
        <f t="shared" si="10"/>
        <v>0</v>
      </c>
    </row>
    <row r="414" spans="1:23" ht="15.75">
      <c r="A414" s="557" t="s">
        <v>849</v>
      </c>
      <c r="B414" s="521">
        <f>COUNTIF('Database - Whole Tornadoes'!$Q$5:$Q$1197,"F46")+COUNTIF('Database - Whole Tornadoes'!$Q$5:$Q$1197,"EF46")+COUNTIF('Database - Whole Tornadoes'!$Q$5:$Q$1197,"F56")+COUNTIF('Database - Whole Tornadoes'!$Q$5:$Q$1197,"EF56")</f>
        <v>0</v>
      </c>
      <c r="C414" s="523">
        <f t="shared" si="10"/>
        <v>0</v>
      </c>
    </row>
    <row r="415" spans="1:23" ht="15.75">
      <c r="A415" s="557" t="s">
        <v>850</v>
      </c>
      <c r="B415" s="521">
        <f>COUNTIF('Database - Whole Tornadoes'!$Q$5:$Q$1197,"F47")+COUNTIF('Database - Whole Tornadoes'!$Q$5:$Q$1197,"EF47")+COUNTIF('Database - Whole Tornadoes'!$Q$5:$Q$1197,"F57")+COUNTIF('Database - Whole Tornadoes'!$Q$5:$Q$1197,"EF57")</f>
        <v>0</v>
      </c>
      <c r="C415" s="523">
        <f t="shared" si="10"/>
        <v>0</v>
      </c>
    </row>
    <row r="416" spans="1:23" ht="15.75">
      <c r="A416" s="557" t="s">
        <v>851</v>
      </c>
      <c r="B416" s="521">
        <f>COUNTIF('Database - Whole Tornadoes'!$Q$5:$Q$1197,"F48")+COUNTIF('Database - Whole Tornadoes'!$Q$5:$Q$1197,"EF48")+COUNTIF('Database - Whole Tornadoes'!$Q$5:$Q$1197,"F58")+COUNTIF('Database - Whole Tornadoes'!$Q$5:$Q$1197,"EF58")</f>
        <v>0</v>
      </c>
      <c r="C416" s="523">
        <f t="shared" si="10"/>
        <v>0</v>
      </c>
    </row>
    <row r="417" spans="1:3" ht="15.75">
      <c r="A417" s="557" t="s">
        <v>852</v>
      </c>
      <c r="B417" s="521">
        <f>COUNTIF('Database - Whole Tornadoes'!$Q$5:$Q$1197,"F49")+COUNTIF('Database - Whole Tornadoes'!$Q$5:$Q$1197,"EF49")+COUNTIF('Database - Whole Tornadoes'!$Q$5:$Q$1197,"F59")+COUNTIF('Database - Whole Tornadoes'!$Q$5:$Q$1197,"EF59")</f>
        <v>0</v>
      </c>
      <c r="C417" s="523">
        <f t="shared" si="10"/>
        <v>0</v>
      </c>
    </row>
    <row r="418" spans="1:3" ht="15.75">
      <c r="A418" s="557" t="s">
        <v>853</v>
      </c>
      <c r="B418" s="521">
        <f>COUNTIF('Database - Whole Tornadoes'!$Q$5:$Q$1197,"F410")+COUNTIF('Database - Whole Tornadoes'!$Q$5:$Q$1197,"EF410")+COUNTIF('Database - Whole Tornadoes'!$Q$5:$Q$1197,"F510")+COUNTIF('Database - Whole Tornadoes'!$Q$5:$Q$1197,"EF510")</f>
        <v>0</v>
      </c>
      <c r="C418" s="523">
        <f t="shared" si="10"/>
        <v>0</v>
      </c>
    </row>
    <row r="419" spans="1:3" ht="15.75">
      <c r="A419" s="557" t="s">
        <v>854</v>
      </c>
      <c r="B419" s="521">
        <f>COUNTIF('Database - Whole Tornadoes'!$Q$5:$Q$1197,"F411")+COUNTIF('Database - Whole Tornadoes'!$Q$5:$Q$1197,"EF411")+COUNTIF('Database - Whole Tornadoes'!$Q$5:$Q$1197,"F511")+COUNTIF('Database - Whole Tornadoes'!$Q$5:$Q$1197,"EF511")</f>
        <v>0</v>
      </c>
      <c r="C419" s="523">
        <f t="shared" si="10"/>
        <v>0</v>
      </c>
    </row>
    <row r="420" spans="1:3" ht="15.75">
      <c r="A420" s="557" t="s">
        <v>843</v>
      </c>
      <c r="B420" s="521">
        <f>COUNTIF('Database - Whole Tornadoes'!$Q$5:$Q$1197,"F412")+COUNTIF('Database - Whole Tornadoes'!$Q$5:$Q$1197,"EF412")+COUNTIF('Database - Whole Tornadoes'!$Q$5:$Q$1197,"F512")+COUNTIF('Database - Whole Tornadoes'!$Q$5:$Q$1197,"EF512")</f>
        <v>0</v>
      </c>
      <c r="C420" s="523">
        <f t="shared" si="10"/>
        <v>0</v>
      </c>
    </row>
    <row r="421" spans="1:3" ht="15.75">
      <c r="A421" s="558" t="s">
        <v>855</v>
      </c>
      <c r="B421" s="521">
        <f>COUNTIF('Database - Whole Tornadoes'!$Q$5:$Q$1197,"F413")+COUNTIF('Database - Whole Tornadoes'!$Q$5:$Q$1197,"EF413")+COUNTIF('Database - Whole Tornadoes'!$Q$5:$Q$1197,"F513")+COUNTIF('Database - Whole Tornadoes'!$Q$5:$Q$1197,"EF513")</f>
        <v>1</v>
      </c>
      <c r="C421" s="523">
        <f t="shared" si="10"/>
        <v>8.3333333333333329E-2</v>
      </c>
    </row>
    <row r="422" spans="1:3" ht="15.75">
      <c r="A422" s="557" t="s">
        <v>856</v>
      </c>
      <c r="B422" s="521">
        <f>COUNTIF('Database - Whole Tornadoes'!$Q$5:$Q$1197,"F414")+COUNTIF('Database - Whole Tornadoes'!$Q$5:$Q$1197,"EF414")+COUNTIF('Database - Whole Tornadoes'!$Q$5:$Q$1197,"F514")+COUNTIF('Database - Whole Tornadoes'!$Q$5:$Q$1197,"EF514")</f>
        <v>0</v>
      </c>
      <c r="C422" s="523">
        <f t="shared" si="10"/>
        <v>0</v>
      </c>
    </row>
    <row r="423" spans="1:3" ht="15.75">
      <c r="A423" s="557" t="s">
        <v>857</v>
      </c>
      <c r="B423" s="521">
        <f>COUNTIF('Database - Whole Tornadoes'!$Q$5:$Q$1197,"F415")+COUNTIF('Database - Whole Tornadoes'!$Q$5:$Q$1197,"EF415")+COUNTIF('Database - Whole Tornadoes'!$Q$5:$Q$1197,"F515")+COUNTIF('Database - Whole Tornadoes'!$Q$5:$Q$1197,"EF515")</f>
        <v>2</v>
      </c>
      <c r="C423" s="523">
        <f t="shared" si="10"/>
        <v>0.16666666666666666</v>
      </c>
    </row>
    <row r="424" spans="1:3" ht="15.75">
      <c r="A424" s="557" t="s">
        <v>858</v>
      </c>
      <c r="B424" s="521">
        <f>COUNTIF('Database - Whole Tornadoes'!$Q$5:$Q$1197,"F416")+COUNTIF('Database - Whole Tornadoes'!$Q$5:$Q$1197,"EF416")+COUNTIF('Database - Whole Tornadoes'!$Q$5:$Q$1197,"F516")+COUNTIF('Database - Whole Tornadoes'!$Q$5:$Q$1197,"EF516")</f>
        <v>0</v>
      </c>
      <c r="C424" s="523">
        <f t="shared" si="10"/>
        <v>0</v>
      </c>
    </row>
    <row r="425" spans="1:3" ht="15.75">
      <c r="A425" s="557" t="s">
        <v>859</v>
      </c>
      <c r="B425" s="521">
        <f>COUNTIF('Database - Whole Tornadoes'!$Q$5:$Q$1197,"F417")+COUNTIF('Database - Whole Tornadoes'!$Q$5:$Q$1197,"EF417")+COUNTIF('Database - Whole Tornadoes'!$Q$5:$Q$1197,"F517")+COUNTIF('Database - Whole Tornadoes'!$Q$5:$Q$1197,"EF517")</f>
        <v>2</v>
      </c>
      <c r="C425" s="523">
        <f t="shared" si="10"/>
        <v>0.16666666666666666</v>
      </c>
    </row>
    <row r="426" spans="1:3" ht="15.75">
      <c r="A426" s="557" t="s">
        <v>860</v>
      </c>
      <c r="B426" s="521">
        <f>COUNTIF('Database - Whole Tornadoes'!$Q$5:$Q$1197,"F418")+COUNTIF('Database - Whole Tornadoes'!$Q$5:$Q$1197,"EF418")+COUNTIF('Database - Whole Tornadoes'!$Q$5:$Q$1197,"F518")+COUNTIF('Database - Whole Tornadoes'!$Q$5:$Q$1197,"EF518")</f>
        <v>2</v>
      </c>
      <c r="C426" s="523">
        <f t="shared" si="10"/>
        <v>0.16666666666666666</v>
      </c>
    </row>
    <row r="427" spans="1:3" ht="15.75">
      <c r="A427" s="557" t="s">
        <v>861</v>
      </c>
      <c r="B427" s="521">
        <f>COUNTIF('Database - Whole Tornadoes'!$Q$5:$Q$1197,"F419")+COUNTIF('Database - Whole Tornadoes'!$Q$5:$Q$1197,"EF419")+COUNTIF('Database - Whole Tornadoes'!$Q$5:$Q$1197,"F519")+COUNTIF('Database - Whole Tornadoes'!$Q$5:$Q$1197,"EF519")</f>
        <v>0</v>
      </c>
      <c r="C427" s="523">
        <f t="shared" si="10"/>
        <v>0</v>
      </c>
    </row>
    <row r="428" spans="1:3" ht="15.75">
      <c r="A428" s="557" t="s">
        <v>862</v>
      </c>
      <c r="B428" s="521">
        <f>COUNTIF('Database - Whole Tornadoes'!$Q$5:$Q$1197,"F420")+COUNTIF('Database - Whole Tornadoes'!$Q$5:$Q$1197,"EF420")+COUNTIF('Database - Whole Tornadoes'!$Q$5:$Q$1197,"F520")+COUNTIF('Database - Whole Tornadoes'!$Q$5:$Q$1197,"EF520")</f>
        <v>1</v>
      </c>
      <c r="C428" s="523">
        <f t="shared" si="10"/>
        <v>8.3333333333333329E-2</v>
      </c>
    </row>
    <row r="429" spans="1:3" ht="15.75">
      <c r="A429" s="557" t="s">
        <v>863</v>
      </c>
      <c r="B429" s="521">
        <f>COUNTIF('Database - Whole Tornadoes'!$Q$5:$Q$1197,"F421")+COUNTIF('Database - Whole Tornadoes'!$Q$5:$Q$1197,"EF421")+COUNTIF('Database - Whole Tornadoes'!$Q$5:$Q$1197,"F521")+COUNTIF('Database - Whole Tornadoes'!$Q$5:$Q$1197,"EF521")</f>
        <v>0</v>
      </c>
      <c r="C429" s="523">
        <f t="shared" si="10"/>
        <v>0</v>
      </c>
    </row>
    <row r="430" spans="1:3" ht="15.75">
      <c r="A430" s="557" t="s">
        <v>864</v>
      </c>
      <c r="B430" s="521">
        <f>COUNTIF('Database - Whole Tornadoes'!$Q$5:$Q$1197,"F422")+COUNTIF('Database - Whole Tornadoes'!$Q$5:$Q$1197,"EF422")+COUNTIF('Database - Whole Tornadoes'!$Q$5:$Q$1197,"F522")+COUNTIF('Database - Whole Tornadoes'!$Q$5:$Q$1197,"EF522")</f>
        <v>1</v>
      </c>
      <c r="C430" s="523">
        <f t="shared" si="10"/>
        <v>8.3333333333333329E-2</v>
      </c>
    </row>
    <row r="431" spans="1:3" ht="15.75">
      <c r="A431" s="557" t="s">
        <v>865</v>
      </c>
      <c r="B431" s="521">
        <f>COUNTIF('Database - Whole Tornadoes'!$Q$5:$Q$1197,"F423")+COUNTIF('Database - Whole Tornadoes'!$Q$5:$Q$1197,"EF423")+COUNTIF('Database - Whole Tornadoes'!$Q$5:$Q$1197,"F523")+COUNTIF('Database - Whole Tornadoes'!$Q$5:$AC$1197,"EF523")</f>
        <v>2</v>
      </c>
      <c r="C431" s="523">
        <f t="shared" si="10"/>
        <v>0.16666666666666666</v>
      </c>
    </row>
    <row r="432" spans="1:3">
      <c r="A432" s="12"/>
    </row>
    <row r="433" spans="1:23" ht="15.75">
      <c r="A433" s="75" t="s">
        <v>531</v>
      </c>
      <c r="B433" s="522">
        <f>SUM(B408:B431)</f>
        <v>12</v>
      </c>
    </row>
    <row r="434" spans="1:23" ht="15.75">
      <c r="A434" s="75"/>
      <c r="B434" s="522"/>
    </row>
    <row r="435" spans="1:23" ht="15.75">
      <c r="A435" s="12"/>
      <c r="B435" s="16"/>
      <c r="C435" s="13"/>
      <c r="D435" s="1"/>
      <c r="E435" s="1"/>
      <c r="F435" s="1"/>
      <c r="G435" s="1"/>
      <c r="H435" s="1"/>
      <c r="I435" s="1"/>
      <c r="J435" s="1"/>
      <c r="K435" s="1"/>
      <c r="L435" s="1"/>
      <c r="M435" s="1"/>
      <c r="N435" s="1"/>
      <c r="O435" s="1"/>
      <c r="P435" s="1"/>
      <c r="Q435" s="1"/>
      <c r="R435" s="1"/>
      <c r="S435" s="1"/>
      <c r="T435" s="1"/>
      <c r="U435" s="1"/>
      <c r="V435" s="1"/>
      <c r="W435" s="1"/>
    </row>
    <row r="436" spans="1:23" ht="23.25">
      <c r="A436" s="8" t="s">
        <v>898</v>
      </c>
      <c r="B436" s="1"/>
      <c r="C436" s="1"/>
      <c r="D436" s="1"/>
      <c r="E436" s="1"/>
      <c r="F436" s="1"/>
      <c r="G436" s="1"/>
      <c r="H436" s="1"/>
      <c r="I436" s="1"/>
      <c r="J436" s="1"/>
      <c r="K436" s="1"/>
      <c r="L436" s="1"/>
      <c r="M436" s="1"/>
      <c r="N436" s="1"/>
      <c r="O436" s="1"/>
      <c r="P436" s="1"/>
      <c r="Q436" s="1"/>
      <c r="R436" s="1"/>
      <c r="S436" s="1"/>
      <c r="T436" s="1"/>
      <c r="U436" s="1"/>
      <c r="V436" s="1"/>
      <c r="W436" s="1"/>
    </row>
    <row r="437" spans="1:23"/>
    <row r="438" spans="1:23" ht="15.75">
      <c r="A438" s="557" t="s">
        <v>843</v>
      </c>
      <c r="B438" s="521">
        <f>COUNTIF('Database - Whole Tornadoes'!$Q$5:$Q$1197,"F20")+COUNTIF('Database - Whole Tornadoes'!$Q$5:$Q$1197,"EF20")+COUNTIF('Database - Whole Tornadoes'!$Q$5:$Q$1197,"F30")+COUNTIF('Database - Whole Tornadoes'!$Q$5:$Q$1197,"EF30")</f>
        <v>5</v>
      </c>
      <c r="C438" s="523">
        <f>+B438/$B$463</f>
        <v>3.1847133757961783E-2</v>
      </c>
    </row>
    <row r="439" spans="1:23" ht="15.75">
      <c r="A439" s="557" t="s">
        <v>844</v>
      </c>
      <c r="B439" s="521">
        <f>COUNTIF('Database - Whole Tornadoes'!$Q$5:$Q$1197,"F21")+COUNTIF('Database - Whole Tornadoes'!$Q$5:$Q$1197,"EF21")+COUNTIF('Database - Whole Tornadoes'!$Q$5:$Q$1197,"F31")+COUNTIF('Database - Whole Tornadoes'!$Q$5:$Q$1197,"EF31")</f>
        <v>1</v>
      </c>
      <c r="C439" s="523">
        <f t="shared" ref="C439:C461" si="11">+B439/$B$463</f>
        <v>6.369426751592357E-3</v>
      </c>
    </row>
    <row r="440" spans="1:23" ht="15.75">
      <c r="A440" s="557" t="s">
        <v>845</v>
      </c>
      <c r="B440" s="521">
        <f>COUNTIF('Database - Whole Tornadoes'!$Q$5:$Q$1197,"F22")+COUNTIF('Database - Whole Tornadoes'!$Q$5:$Q$1197,"EF22")+COUNTIF('Database - Whole Tornadoes'!$Q$5:$Q$1197,"F32")+COUNTIF('Database - Whole Tornadoes'!$Q$5:$Q$1197,"EF32")</f>
        <v>0</v>
      </c>
      <c r="C440" s="523">
        <f t="shared" si="11"/>
        <v>0</v>
      </c>
    </row>
    <row r="441" spans="1:23" ht="15.75">
      <c r="A441" s="557" t="s">
        <v>846</v>
      </c>
      <c r="B441" s="521">
        <f>COUNTIF('Database - Whole Tornadoes'!$Q$5:$Q$1197,"F23")+COUNTIF('Database - Whole Tornadoes'!$Q$5:$Q$1197,"EF23")+COUNTIF('Database - Whole Tornadoes'!$Q$5:$Q$1197,"F33")+COUNTIF('Database - Whole Tornadoes'!$Q$5:$Q$1197,"EF33")</f>
        <v>1</v>
      </c>
      <c r="C441" s="523">
        <f t="shared" si="11"/>
        <v>6.369426751592357E-3</v>
      </c>
    </row>
    <row r="442" spans="1:23" ht="15.75">
      <c r="A442" s="558" t="s">
        <v>847</v>
      </c>
      <c r="B442" s="521">
        <f>COUNTIF('Database - Whole Tornadoes'!$Q$5:$Q$1197,"F24")+COUNTIF('Database - Whole Tornadoes'!$Q$5:$Q$1197,"EF24")+COUNTIF('Database - Whole Tornadoes'!$Q$5:$Q$1197,"F34")+COUNTIF('Database - Whole Tornadoes'!$Q$5:$Q$1197,"EF34")</f>
        <v>0</v>
      </c>
      <c r="C442" s="523">
        <f t="shared" si="11"/>
        <v>0</v>
      </c>
    </row>
    <row r="443" spans="1:23" ht="15.75">
      <c r="A443" s="557" t="s">
        <v>848</v>
      </c>
      <c r="B443" s="521">
        <f>COUNTIF('Database - Whole Tornadoes'!$Q$5:$Q$1197,"F25")+COUNTIF('Database - Whole Tornadoes'!$Q$5:$Q$1197,"EF25")+COUNTIF('Database - Whole Tornadoes'!$Q$5:$Q$1197,"F35")+COUNTIF('Database - Whole Tornadoes'!$Q$5:$Q$1197,"EF35")</f>
        <v>0</v>
      </c>
      <c r="C443" s="523">
        <f t="shared" si="11"/>
        <v>0</v>
      </c>
    </row>
    <row r="444" spans="1:23" ht="15.75">
      <c r="A444" s="557" t="s">
        <v>849</v>
      </c>
      <c r="B444" s="521">
        <f>COUNTIF('Database - Whole Tornadoes'!$Q$5:$Q$1197,"F26")+COUNTIF('Database - Whole Tornadoes'!$Q$5:$Q$1197,"EF26")+COUNTIF('Database - Whole Tornadoes'!$Q$5:$Q$1197,"F36")+COUNTIF('Database - Whole Tornadoes'!$Q$5:$Q$1197,"EF36")</f>
        <v>0</v>
      </c>
      <c r="C444" s="523">
        <f t="shared" si="11"/>
        <v>0</v>
      </c>
    </row>
    <row r="445" spans="1:23" ht="15.75">
      <c r="A445" s="557" t="s">
        <v>850</v>
      </c>
      <c r="B445" s="521">
        <f>COUNTIF('Database - Whole Tornadoes'!$Q$5:$Q$1197,"F27")+COUNTIF('Database - Whole Tornadoes'!$Q$5:$Q$1197,"EF27")+COUNTIF('Database - Whole Tornadoes'!$Q$5:$Q$1197,"F37")+COUNTIF('Database - Whole Tornadoes'!$Q$5:$Q$1197,"EF37")</f>
        <v>0</v>
      </c>
      <c r="C445" s="523">
        <f t="shared" si="11"/>
        <v>0</v>
      </c>
    </row>
    <row r="446" spans="1:23" ht="15.75">
      <c r="A446" s="557" t="s">
        <v>851</v>
      </c>
      <c r="B446" s="521">
        <f>COUNTIF('Database - Whole Tornadoes'!$Q$5:$Q$1197,"F28")+COUNTIF('Database - Whole Tornadoes'!$Q$5:$Q$1197,"EF28")+COUNTIF('Database - Whole Tornadoes'!$Q$5:$Q$1197,"F38")+COUNTIF('Database - Whole Tornadoes'!$Q$5:$Q$1197,"EF38")</f>
        <v>0</v>
      </c>
      <c r="C446" s="523">
        <f t="shared" si="11"/>
        <v>0</v>
      </c>
    </row>
    <row r="447" spans="1:23" ht="15.75">
      <c r="A447" s="557" t="s">
        <v>852</v>
      </c>
      <c r="B447" s="521">
        <f>COUNTIF('Database - Whole Tornadoes'!$Q$5:$Q$1197,"F29")+COUNTIF('Database - Whole Tornadoes'!$Q$5:$Q$1197,"EF29")+COUNTIF('Database - Whole Tornadoes'!$Q$5:$Q$1197,"F39")+COUNTIF('Database - Whole Tornadoes'!$Q$5:$Q$1197,"EF39")</f>
        <v>0</v>
      </c>
      <c r="C447" s="523">
        <f t="shared" si="11"/>
        <v>0</v>
      </c>
    </row>
    <row r="448" spans="1:23" ht="15.75">
      <c r="A448" s="557" t="s">
        <v>853</v>
      </c>
      <c r="B448" s="521">
        <f>COUNTIF('Database - Whole Tornadoes'!$Q$5:$Q$1197,"F210")+COUNTIF('Database - Whole Tornadoes'!$Q$5:$Q$1197,"EF210")+COUNTIF('Database - Whole Tornadoes'!$Q$5:$Q$1197,"F310")+COUNTIF('Database - Whole Tornadoes'!$Q$5:$Q$1197,"EF310")</f>
        <v>0</v>
      </c>
      <c r="C448" s="523">
        <f t="shared" si="11"/>
        <v>0</v>
      </c>
    </row>
    <row r="449" spans="1:3" ht="15.75">
      <c r="A449" s="557" t="s">
        <v>854</v>
      </c>
      <c r="B449" s="521">
        <f>COUNTIF('Database - Whole Tornadoes'!$Q$5:$Q$1197,"F211")+COUNTIF('Database - Whole Tornadoes'!$Q$5:$Q$1197,"EF211")+COUNTIF('Database - Whole Tornadoes'!$Q$5:$Q$1197,"F311")+COUNTIF('Database - Whole Tornadoes'!$Q$5:$Q$1197,"EF311")</f>
        <v>0</v>
      </c>
      <c r="C449" s="523">
        <f t="shared" si="11"/>
        <v>0</v>
      </c>
    </row>
    <row r="450" spans="1:3" ht="15.75">
      <c r="A450" s="557" t="s">
        <v>843</v>
      </c>
      <c r="B450" s="521">
        <f>COUNTIF('Database - Whole Tornadoes'!$Q$5:$Q$1197,"F212")+COUNTIF('Database - Whole Tornadoes'!$Q$5:$Q$1197,"EF212")+COUNTIF('Database - Whole Tornadoes'!$Q$5:$Q$1197,"F312")+COUNTIF('Database - Whole Tornadoes'!$Q$5:$Q$1197,"EF312")</f>
        <v>0</v>
      </c>
      <c r="C450" s="523">
        <f t="shared" si="11"/>
        <v>0</v>
      </c>
    </row>
    <row r="451" spans="1:3" ht="15.75">
      <c r="A451" s="558" t="s">
        <v>855</v>
      </c>
      <c r="B451" s="521">
        <f>COUNTIF('Database - Whole Tornadoes'!$Q$5:$Q$1197,"F213")+COUNTIF('Database - Whole Tornadoes'!$Q$5:$Q$1197,"EF213")+COUNTIF('Database - Whole Tornadoes'!$Q$5:$Q$1197,"F313")+COUNTIF('Database - Whole Tornadoes'!$Q$5:$Q$1197,"EF313")</f>
        <v>1</v>
      </c>
      <c r="C451" s="523">
        <f t="shared" si="11"/>
        <v>6.369426751592357E-3</v>
      </c>
    </row>
    <row r="452" spans="1:3" ht="15.75">
      <c r="A452" s="557" t="s">
        <v>856</v>
      </c>
      <c r="B452" s="521">
        <f>COUNTIF('Database - Whole Tornadoes'!$Q$5:$Q$1197,"F214")+COUNTIF('Database - Whole Tornadoes'!$Q$5:$Q$1197,"EF214")+COUNTIF('Database - Whole Tornadoes'!$Q$5:$Q$1197,"F314")+COUNTIF('Database - Whole Tornadoes'!$Q$5:$Q$1197,"EF314")</f>
        <v>2</v>
      </c>
      <c r="C452" s="523">
        <f t="shared" si="11"/>
        <v>1.2738853503184714E-2</v>
      </c>
    </row>
    <row r="453" spans="1:3" ht="15.75">
      <c r="A453" s="557" t="s">
        <v>857</v>
      </c>
      <c r="B453" s="521">
        <f>COUNTIF('Database - Whole Tornadoes'!$Q$5:$Q$1197,"F215")+COUNTIF('Database - Whole Tornadoes'!$Q$5:$Q$1197,"EF215")+COUNTIF('Database - Whole Tornadoes'!$Q$5:$Q$1197,"F315")+COUNTIF('Database - Whole Tornadoes'!$Q$5:$Q$1197,"EF315")</f>
        <v>8</v>
      </c>
      <c r="C453" s="523">
        <f t="shared" si="11"/>
        <v>5.0955414012738856E-2</v>
      </c>
    </row>
    <row r="454" spans="1:3" ht="15.75">
      <c r="A454" s="557" t="s">
        <v>858</v>
      </c>
      <c r="B454" s="521">
        <f>COUNTIF('Database - Whole Tornadoes'!$Q$5:$Q$1197,"F216")+COUNTIF('Database - Whole Tornadoes'!$Q$5:$Q$1197,"EF216")+COUNTIF('Database - Whole Tornadoes'!$Q$5:$Q$1197,"F316")+COUNTIF('Database - Whole Tornadoes'!$Q$5:$Q$1197,"EF316")</f>
        <v>21</v>
      </c>
      <c r="C454" s="523">
        <f t="shared" si="11"/>
        <v>0.13375796178343949</v>
      </c>
    </row>
    <row r="455" spans="1:3" ht="15.75">
      <c r="A455" s="557" t="s">
        <v>859</v>
      </c>
      <c r="B455" s="521">
        <f>COUNTIF('Database - Whole Tornadoes'!$Q$5:$Q$1197,"F217")+COUNTIF('Database - Whole Tornadoes'!$Q$5:$Q$1197,"EF217")+COUNTIF('Database - Whole Tornadoes'!$Q$5:$Q$1197,"F317")+COUNTIF('Database - Whole Tornadoes'!$Q$5:$Q$1197,"EF317")</f>
        <v>27</v>
      </c>
      <c r="C455" s="523">
        <f t="shared" si="11"/>
        <v>0.17197452229299362</v>
      </c>
    </row>
    <row r="456" spans="1:3" ht="15.75">
      <c r="A456" s="557" t="s">
        <v>860</v>
      </c>
      <c r="B456" s="521">
        <f>COUNTIF('Database - Whole Tornadoes'!$Q$5:$Q$1197,"F218")+COUNTIF('Database - Whole Tornadoes'!$Q$5:$Q$1197,"EF218")+COUNTIF('Database - Whole Tornadoes'!$Q$5:$Q$1197,"F318")+COUNTIF('Database - Whole Tornadoes'!$Q$5:$Q$1197,"EF318")</f>
        <v>35</v>
      </c>
      <c r="C456" s="523">
        <f t="shared" si="11"/>
        <v>0.22292993630573249</v>
      </c>
    </row>
    <row r="457" spans="1:3" ht="15.75">
      <c r="A457" s="557" t="s">
        <v>861</v>
      </c>
      <c r="B457" s="521">
        <f>COUNTIF('Database - Whole Tornadoes'!$Q$5:$Q$1197,"F219")+COUNTIF('Database - Whole Tornadoes'!$Q$5:$Q$1197,"EF219")+COUNTIF('Database - Whole Tornadoes'!$Q$5:$Q$1197,"F319")+COUNTIF('Database - Whole Tornadoes'!$Q$5:$Q$1197,"EF319")</f>
        <v>21</v>
      </c>
      <c r="C457" s="523">
        <f t="shared" si="11"/>
        <v>0.13375796178343949</v>
      </c>
    </row>
    <row r="458" spans="1:3" ht="15.75">
      <c r="A458" s="557" t="s">
        <v>862</v>
      </c>
      <c r="B458" s="521">
        <f>COUNTIF('Database - Whole Tornadoes'!$Q$5:$Q$1197,"F220")+COUNTIF('Database - Whole Tornadoes'!$Q$5:$Q$1197,"EF220")+COUNTIF('Database - Whole Tornadoes'!$Q$5:$Q$1197,"F320")+COUNTIF('Database - Whole Tornadoes'!$Q$5:$Q$1197,"EF320")</f>
        <v>15</v>
      </c>
      <c r="C458" s="523">
        <f t="shared" si="11"/>
        <v>9.5541401273885357E-2</v>
      </c>
    </row>
    <row r="459" spans="1:3" ht="15.75">
      <c r="A459" s="557" t="s">
        <v>863</v>
      </c>
      <c r="B459" s="521">
        <f>COUNTIF('Database - Whole Tornadoes'!$Q$5:$Q$1197,"F221")+COUNTIF('Database - Whole Tornadoes'!$Q$5:$Q$1197,"EF221")+COUNTIF('Database - Whole Tornadoes'!$Q$5:$Q$1197,"F321")+COUNTIF('Database - Whole Tornadoes'!$Q$5:$Q$1197,"EF321")</f>
        <v>11</v>
      </c>
      <c r="C459" s="523">
        <f t="shared" si="11"/>
        <v>7.0063694267515922E-2</v>
      </c>
    </row>
    <row r="460" spans="1:3" ht="15.75">
      <c r="A460" s="557" t="s">
        <v>864</v>
      </c>
      <c r="B460" s="521">
        <f>COUNTIF('Database - Whole Tornadoes'!$Q$5:$Q$1197,"F222")+COUNTIF('Database - Whole Tornadoes'!$Q$5:$Q$1197,"EF222")+COUNTIF('Database - Whole Tornadoes'!$Q$5:$Q$1197,"F322")+COUNTIF('Database - Whole Tornadoes'!$Q$5:$Q$1197,"EF322")</f>
        <v>6</v>
      </c>
      <c r="C460" s="523">
        <f t="shared" si="11"/>
        <v>3.8216560509554139E-2</v>
      </c>
    </row>
    <row r="461" spans="1:3" ht="15.75">
      <c r="A461" s="557" t="s">
        <v>865</v>
      </c>
      <c r="B461" s="521">
        <f>COUNTIF('Database - Whole Tornadoes'!$Q$5:$Q$1197,"F223")+COUNTIF('Database - Whole Tornadoes'!$Q$5:$Q$1197,"EF223")+COUNTIF('Database - Whole Tornadoes'!$Q$5:$Q$1197,"F323")+COUNTIF('Database - Whole Tornadoes'!$Q$5:$AC$1197,"EF323")</f>
        <v>3</v>
      </c>
      <c r="C461" s="523">
        <f t="shared" si="11"/>
        <v>1.9108280254777069E-2</v>
      </c>
    </row>
    <row r="462" spans="1:3">
      <c r="A462" s="12"/>
    </row>
    <row r="463" spans="1:3" ht="15.75">
      <c r="A463" s="75" t="s">
        <v>531</v>
      </c>
      <c r="B463" s="522">
        <f>SUM(B438:B461)</f>
        <v>157</v>
      </c>
    </row>
    <row r="464" spans="1:3" ht="15.75">
      <c r="A464" s="75"/>
      <c r="B464" s="522"/>
    </row>
    <row r="465" spans="1:23" ht="15.75">
      <c r="A465" s="12"/>
      <c r="B465" s="16"/>
      <c r="C465" s="13"/>
      <c r="D465" s="1"/>
      <c r="E465" s="1"/>
      <c r="F465" s="1"/>
      <c r="G465" s="1"/>
      <c r="H465" s="1"/>
      <c r="I465" s="1"/>
      <c r="J465" s="1"/>
      <c r="K465" s="1"/>
      <c r="L465" s="1"/>
      <c r="M465" s="1"/>
      <c r="N465" s="1"/>
      <c r="O465" s="1"/>
      <c r="P465" s="1"/>
      <c r="Q465" s="1"/>
      <c r="R465" s="1"/>
      <c r="S465" s="1"/>
      <c r="T465" s="1"/>
      <c r="U465" s="1"/>
      <c r="V465" s="1"/>
      <c r="W465" s="1"/>
    </row>
    <row r="466" spans="1:23" ht="23.25">
      <c r="A466" s="8" t="s">
        <v>899</v>
      </c>
      <c r="B466" s="1"/>
      <c r="C466" s="1"/>
      <c r="D466" s="1"/>
      <c r="E466" s="1"/>
      <c r="F466" s="1"/>
      <c r="G466" s="1"/>
      <c r="H466" s="1"/>
      <c r="I466" s="1"/>
      <c r="J466" s="1"/>
      <c r="K466" s="1"/>
      <c r="L466" s="1"/>
      <c r="M466" s="1"/>
      <c r="N466" s="1"/>
      <c r="O466" s="1"/>
      <c r="P466" s="1"/>
      <c r="Q466" s="1"/>
      <c r="R466" s="1"/>
      <c r="S466" s="1"/>
      <c r="T466" s="1"/>
      <c r="U466" s="1"/>
      <c r="V466" s="1"/>
      <c r="W466" s="1"/>
    </row>
    <row r="467" spans="1:23"/>
    <row r="468" spans="1:23" ht="15.75">
      <c r="A468" s="557" t="s">
        <v>843</v>
      </c>
      <c r="B468" s="521">
        <f>COUNTIF('Database - Whole Tornadoes'!$Q$5:$Q$1197,"F00")+COUNTIF('Database - Whole Tornadoes'!$Q$5:$Q$1197,"EF00")+COUNTIF('Database - Whole Tornadoes'!$Q$5:$Q$1197,"F10")+COUNTIF('Database - Whole Tornadoes'!$Q$5:$Q$1197,"EF10")</f>
        <v>11</v>
      </c>
      <c r="C468" s="523">
        <f>+B468/$B$493</f>
        <v>1.1917659804983749E-2</v>
      </c>
    </row>
    <row r="469" spans="1:23" ht="15.75">
      <c r="A469" s="557" t="s">
        <v>844</v>
      </c>
      <c r="B469" s="521">
        <f>COUNTIF('Database - Whole Tornadoes'!$Q$5:$Q$1197,"F01")+COUNTIF('Database - Whole Tornadoes'!$Q$5:$Q$1197,"EF01")+COUNTIF('Database - Whole Tornadoes'!$Q$5:$Q$1197,"F11")+COUNTIF('Database - Whole Tornadoes'!$Q$5:$Q$1197,"EF11")</f>
        <v>8</v>
      </c>
      <c r="C469" s="523">
        <f t="shared" ref="C469:C491" si="12">+B469/$B$493</f>
        <v>8.6673889490790895E-3</v>
      </c>
    </row>
    <row r="470" spans="1:23" ht="15.75">
      <c r="A470" s="557" t="s">
        <v>845</v>
      </c>
      <c r="B470" s="521">
        <f>COUNTIF('Database - Whole Tornadoes'!$Q$5:$Q$1197,"F02")+COUNTIF('Database - Whole Tornadoes'!$Q$5:$Q$1197,"EF02")+COUNTIF('Database - Whole Tornadoes'!$Q$5:$Q$1197,"F12")+COUNTIF('Database - Whole Tornadoes'!$Q$5:$Q$1197,"EF12")</f>
        <v>5</v>
      </c>
      <c r="C470" s="523">
        <f t="shared" si="12"/>
        <v>5.4171180931744311E-3</v>
      </c>
    </row>
    <row r="471" spans="1:23" ht="15.75">
      <c r="A471" s="557" t="s">
        <v>846</v>
      </c>
      <c r="B471" s="521">
        <f>COUNTIF('Database - Whole Tornadoes'!$Q$5:$Q$1197,"F03")+COUNTIF('Database - Whole Tornadoes'!$Q$5:$Q$1197,"EF03")+COUNTIF('Database - Whole Tornadoes'!$Q$5:$Q$1197,"F13")+COUNTIF('Database - Whole Tornadoes'!$Q$5:$Q$1197,"EF13")</f>
        <v>2</v>
      </c>
      <c r="C471" s="523">
        <f t="shared" si="12"/>
        <v>2.1668472372697724E-3</v>
      </c>
    </row>
    <row r="472" spans="1:23" ht="15.75">
      <c r="A472" s="558" t="s">
        <v>847</v>
      </c>
      <c r="B472" s="521">
        <f>COUNTIF('Database - Whole Tornadoes'!$Q$5:$Q$1197,"F04")+COUNTIF('Database - Whole Tornadoes'!$Q$5:$Q$1197,"EF04")+COUNTIF('Database - Whole Tornadoes'!$Q$5:$Q$1197,"F14")+COUNTIF('Database - Whole Tornadoes'!$Q$5:$Q$1197,"EF14")</f>
        <v>1</v>
      </c>
      <c r="C472" s="523">
        <f t="shared" si="12"/>
        <v>1.0834236186348862E-3</v>
      </c>
    </row>
    <row r="473" spans="1:23" ht="15.75">
      <c r="A473" s="557" t="s">
        <v>848</v>
      </c>
      <c r="B473" s="521">
        <f>COUNTIF('Database - Whole Tornadoes'!$Q$5:$Q$1197,"F05")+COUNTIF('Database - Whole Tornadoes'!$Q$5:$Q$1197,"EF05")+COUNTIF('Database - Whole Tornadoes'!$Q$5:$Q$1197,"F15")+COUNTIF('Database - Whole Tornadoes'!$Q$5:$Q$1197,"EF15")</f>
        <v>0</v>
      </c>
      <c r="C473" s="523">
        <f t="shared" si="12"/>
        <v>0</v>
      </c>
    </row>
    <row r="474" spans="1:23" ht="15.75">
      <c r="A474" s="557" t="s">
        <v>849</v>
      </c>
      <c r="B474" s="521">
        <f>COUNTIF('Database - Whole Tornadoes'!$Q$5:$Q$1197,"F06")+COUNTIF('Database - Whole Tornadoes'!$Q$5:$Q$1197,"EF06")+COUNTIF('Database - Whole Tornadoes'!$Q$5:$Q$1197,"F16")+COUNTIF('Database - Whole Tornadoes'!$Q$5:$Q$1197,"EF16")</f>
        <v>1</v>
      </c>
      <c r="C474" s="523">
        <f t="shared" si="12"/>
        <v>1.0834236186348862E-3</v>
      </c>
    </row>
    <row r="475" spans="1:23" ht="15.75">
      <c r="A475" s="557" t="s">
        <v>850</v>
      </c>
      <c r="B475" s="521">
        <f>COUNTIF('Database - Whole Tornadoes'!$Q$5:$Q$1197,"F07")+COUNTIF('Database - Whole Tornadoes'!$Q$5:$Q$1197,"EF07")+COUNTIF('Database - Whole Tornadoes'!$Q$5:$Q$1197,"F17")+COUNTIF('Database - Whole Tornadoes'!$Q$5:$Q$1197,"EF17")</f>
        <v>2</v>
      </c>
      <c r="C475" s="523">
        <f t="shared" si="12"/>
        <v>2.1668472372697724E-3</v>
      </c>
    </row>
    <row r="476" spans="1:23" ht="15.75">
      <c r="A476" s="557" t="s">
        <v>851</v>
      </c>
      <c r="B476" s="521">
        <f>COUNTIF('Database - Whole Tornadoes'!$Q$5:$Q$1197,"F08")+COUNTIF('Database - Whole Tornadoes'!$Q$5:$Q$1197,"EF08")+COUNTIF('Database - Whole Tornadoes'!$Q$5:$Q$1197,"F18")+COUNTIF('Database - Whole Tornadoes'!$Q$5:$Q$1197,"EF18")</f>
        <v>2</v>
      </c>
      <c r="C476" s="523">
        <f t="shared" si="12"/>
        <v>2.1668472372697724E-3</v>
      </c>
    </row>
    <row r="477" spans="1:23" ht="15.75">
      <c r="A477" s="557" t="s">
        <v>852</v>
      </c>
      <c r="B477" s="521">
        <f>COUNTIF('Database - Whole Tornadoes'!$Q$5:$Q$1197,"F09")+COUNTIF('Database - Whole Tornadoes'!$Q$5:$Q$1197,"EF09")+COUNTIF('Database - Whole Tornadoes'!$Q$5:$Q$1197,"F19")+COUNTIF('Database - Whole Tornadoes'!$Q$5:$Q$1197,"EF19")</f>
        <v>2</v>
      </c>
      <c r="C477" s="523">
        <f t="shared" si="12"/>
        <v>2.1668472372697724E-3</v>
      </c>
    </row>
    <row r="478" spans="1:23" ht="15.75">
      <c r="A478" s="557" t="s">
        <v>853</v>
      </c>
      <c r="B478" s="521">
        <f>COUNTIF('Database - Whole Tornadoes'!$Q$5:$Q$1197,"F010")+COUNTIF('Database - Whole Tornadoes'!$Q$5:$Q$1197,"EF010")+COUNTIF('Database - Whole Tornadoes'!$Q$5:$Q$1197,"F110")+COUNTIF('Database - Whole Tornadoes'!$Q$5:$Q$1197,"EF110")</f>
        <v>0</v>
      </c>
      <c r="C478" s="523">
        <f t="shared" si="12"/>
        <v>0</v>
      </c>
    </row>
    <row r="479" spans="1:23" ht="15.75">
      <c r="A479" s="557" t="s">
        <v>854</v>
      </c>
      <c r="B479" s="521">
        <f>COUNTIF('Database - Whole Tornadoes'!$Q$5:$Q$1197,"F011")+COUNTIF('Database - Whole Tornadoes'!$Q$5:$Q$1197,"EF011")+COUNTIF('Database - Whole Tornadoes'!$Q$5:$Q$1197,"F111")+COUNTIF('Database - Whole Tornadoes'!$Q$5:$Q$1197,"EF111")</f>
        <v>2</v>
      </c>
      <c r="C479" s="523">
        <f t="shared" si="12"/>
        <v>2.1668472372697724E-3</v>
      </c>
    </row>
    <row r="480" spans="1:23" ht="15.75">
      <c r="A480" s="557" t="s">
        <v>843</v>
      </c>
      <c r="B480" s="521">
        <f>COUNTIF('Database - Whole Tornadoes'!$Q$5:$Q$1197,"F012")+COUNTIF('Database - Whole Tornadoes'!$Q$5:$Q$1197,"EF012")+COUNTIF('Database - Whole Tornadoes'!$Q$5:$Q$1197,"F112")+COUNTIF('Database - Whole Tornadoes'!$Q$5:$Q$1197,"EF112")</f>
        <v>11</v>
      </c>
      <c r="C480" s="523">
        <f t="shared" si="12"/>
        <v>1.1917659804983749E-2</v>
      </c>
    </row>
    <row r="481" spans="1:23" ht="15.75">
      <c r="A481" s="558" t="s">
        <v>855</v>
      </c>
      <c r="B481" s="521">
        <f>COUNTIF('Database - Whole Tornadoes'!$Q$5:$Q$1197,"F013")+COUNTIF('Database - Whole Tornadoes'!$Q$5:$Q$1197,"EF013")+COUNTIF('Database - Whole Tornadoes'!$Q$5:$Q$1197,"F113")+COUNTIF('Database - Whole Tornadoes'!$Q$5:$Q$1197,"EF113")</f>
        <v>23</v>
      </c>
      <c r="C481" s="523">
        <f t="shared" si="12"/>
        <v>2.4918743228602384E-2</v>
      </c>
    </row>
    <row r="482" spans="1:23" ht="15.75">
      <c r="A482" s="557" t="s">
        <v>856</v>
      </c>
      <c r="B482" s="521">
        <f>COUNTIF('Database - Whole Tornadoes'!$Q$5:$Q$1197,"F014")+COUNTIF('Database - Whole Tornadoes'!$Q$5:$Q$1197,"EF014")+COUNTIF('Database - Whole Tornadoes'!$Q$5:$Q$1197,"F114")+COUNTIF('Database - Whole Tornadoes'!$Q$5:$Q$1197,"EF114")</f>
        <v>43</v>
      </c>
      <c r="C482" s="523">
        <f t="shared" si="12"/>
        <v>4.6587215601300108E-2</v>
      </c>
    </row>
    <row r="483" spans="1:23" ht="15.75">
      <c r="A483" s="557" t="s">
        <v>857</v>
      </c>
      <c r="B483" s="521">
        <f>COUNTIF('Database - Whole Tornadoes'!$Q$5:$Q$1197,"F015")+COUNTIF('Database - Whole Tornadoes'!$Q$5:$Q$1197,"EF015")+COUNTIF('Database - Whole Tornadoes'!$Q$5:$Q$1197,"F115")+COUNTIF('Database - Whole Tornadoes'!$Q$5:$Q$1197,"EF115")</f>
        <v>72</v>
      </c>
      <c r="C483" s="523">
        <f t="shared" si="12"/>
        <v>7.8006500541711807E-2</v>
      </c>
    </row>
    <row r="484" spans="1:23" ht="15.75">
      <c r="A484" s="557" t="s">
        <v>858</v>
      </c>
      <c r="B484" s="521">
        <f>COUNTIF('Database - Whole Tornadoes'!$Q$5:$Q$1197,"F016")+COUNTIF('Database - Whole Tornadoes'!$Q$5:$Q$1197,"EF016")+COUNTIF('Database - Whole Tornadoes'!$Q$5:$Q$1197,"F116")+COUNTIF('Database - Whole Tornadoes'!$Q$5:$Q$1197,"EF116")</f>
        <v>128</v>
      </c>
      <c r="C484" s="523">
        <f t="shared" si="12"/>
        <v>0.13867822318526543</v>
      </c>
    </row>
    <row r="485" spans="1:23" ht="15.75">
      <c r="A485" s="557" t="s">
        <v>859</v>
      </c>
      <c r="B485" s="521">
        <f>COUNTIF('Database - Whole Tornadoes'!$Q$5:$Q$1197,"F017")+COUNTIF('Database - Whole Tornadoes'!$Q$5:$Q$1197,"EF017")+COUNTIF('Database - Whole Tornadoes'!$Q$5:$Q$1197,"F117")+COUNTIF('Database - Whole Tornadoes'!$Q$5:$Q$1197,"EF117")</f>
        <v>151</v>
      </c>
      <c r="C485" s="523">
        <f t="shared" si="12"/>
        <v>0.16359696641386781</v>
      </c>
    </row>
    <row r="486" spans="1:23" ht="15.75">
      <c r="A486" s="557" t="s">
        <v>860</v>
      </c>
      <c r="B486" s="521">
        <f>COUNTIF('Database - Whole Tornadoes'!$Q$5:$Q$1197,"F018")+COUNTIF('Database - Whole Tornadoes'!$Q$5:$Q$1197,"EF018")+COUNTIF('Database - Whole Tornadoes'!$Q$5:$Q$1197,"F118")+COUNTIF('Database - Whole Tornadoes'!$Q$5:$Q$1197,"EF118")</f>
        <v>149</v>
      </c>
      <c r="C486" s="523">
        <f t="shared" si="12"/>
        <v>0.16143011917659805</v>
      </c>
    </row>
    <row r="487" spans="1:23" ht="15.75">
      <c r="A487" s="557" t="s">
        <v>861</v>
      </c>
      <c r="B487" s="521">
        <f>COUNTIF('Database - Whole Tornadoes'!$Q$5:$Q$1197,"F019")+COUNTIF('Database - Whole Tornadoes'!$Q$5:$Q$1197,"EF019")+COUNTIF('Database - Whole Tornadoes'!$Q$5:$Q$1197,"F119")+COUNTIF('Database - Whole Tornadoes'!$Q$5:$Q$1197,"EF119")</f>
        <v>143</v>
      </c>
      <c r="C487" s="523">
        <f t="shared" si="12"/>
        <v>0.15492957746478872</v>
      </c>
    </row>
    <row r="488" spans="1:23" ht="15.75">
      <c r="A488" s="557" t="s">
        <v>862</v>
      </c>
      <c r="B488" s="521">
        <f>COUNTIF('Database - Whole Tornadoes'!$Q$5:$Q$1197,"F020")+COUNTIF('Database - Whole Tornadoes'!$Q$5:$Q$1197,"EF020")+COUNTIF('Database - Whole Tornadoes'!$Q$5:$Q$1197,"F120")+COUNTIF('Database - Whole Tornadoes'!$Q$5:$Q$1197,"EF120")</f>
        <v>80</v>
      </c>
      <c r="C488" s="523">
        <f t="shared" si="12"/>
        <v>8.6673889490790898E-2</v>
      </c>
    </row>
    <row r="489" spans="1:23" ht="15.75">
      <c r="A489" s="557" t="s">
        <v>863</v>
      </c>
      <c r="B489" s="521">
        <f>COUNTIF('Database - Whole Tornadoes'!$Q$5:$Q$1197,"F021")+COUNTIF('Database - Whole Tornadoes'!$Q$5:$Q$1197,"EF021")+COUNTIF('Database - Whole Tornadoes'!$Q$5:$Q$1197,"F121")+COUNTIF('Database - Whole Tornadoes'!$Q$5:$Q$1197,"EF121")</f>
        <v>39</v>
      </c>
      <c r="C489" s="523">
        <f t="shared" si="12"/>
        <v>4.2253521126760563E-2</v>
      </c>
    </row>
    <row r="490" spans="1:23" ht="15.75">
      <c r="A490" s="557" t="s">
        <v>864</v>
      </c>
      <c r="B490" s="521">
        <f>COUNTIF('Database - Whole Tornadoes'!$Q$5:$Q$1197,"F022")+COUNTIF('Database - Whole Tornadoes'!$Q$5:$Q$1197,"EF022")+COUNTIF('Database - Whole Tornadoes'!$Q$5:$Q$1197,"F122")+COUNTIF('Database - Whole Tornadoes'!$Q$5:$Q$1197,"EF122")</f>
        <v>23</v>
      </c>
      <c r="C490" s="523">
        <f t="shared" si="12"/>
        <v>2.4918743228602384E-2</v>
      </c>
    </row>
    <row r="491" spans="1:23" ht="15.75">
      <c r="A491" s="557" t="s">
        <v>865</v>
      </c>
      <c r="B491" s="521">
        <f>COUNTIF('Database - Whole Tornadoes'!$Q$5:$Q$1197,"F023")+COUNTIF('Database - Whole Tornadoes'!$Q$5:$Q$1197,"EF023")+COUNTIF('Database - Whole Tornadoes'!$Q$5:$Q$1197,"F123")+COUNTIF('Database - Whole Tornadoes'!$Q$5:$AC$1197,"EF123")</f>
        <v>25</v>
      </c>
      <c r="C491" s="523">
        <f t="shared" si="12"/>
        <v>2.7085590465872156E-2</v>
      </c>
    </row>
    <row r="492" spans="1:23">
      <c r="A492" s="12"/>
    </row>
    <row r="493" spans="1:23" ht="15.75">
      <c r="A493" s="75" t="s">
        <v>531</v>
      </c>
      <c r="B493" s="522">
        <f>SUM(B468:B491)</f>
        <v>923</v>
      </c>
    </row>
    <row r="494" spans="1:23" ht="15.75">
      <c r="A494" s="75"/>
      <c r="B494" s="522"/>
    </row>
    <row r="495" spans="1:23" ht="15.75">
      <c r="A495" s="12"/>
      <c r="B495" s="16"/>
      <c r="C495" s="13"/>
      <c r="D495" s="1"/>
      <c r="E495" s="1"/>
      <c r="F495" s="1"/>
      <c r="G495" s="1"/>
      <c r="H495" s="1"/>
      <c r="I495" s="1"/>
      <c r="J495" s="1"/>
      <c r="K495" s="1"/>
      <c r="L495" s="1"/>
      <c r="M495" s="1"/>
      <c r="N495" s="1"/>
      <c r="O495" s="1"/>
      <c r="P495" s="1"/>
      <c r="Q495" s="1"/>
      <c r="R495" s="1"/>
      <c r="S495" s="1"/>
      <c r="T495" s="1"/>
      <c r="U495" s="1"/>
      <c r="V495" s="1"/>
      <c r="W495" s="1"/>
    </row>
    <row r="496" spans="1:23" ht="23.25">
      <c r="A496" s="8" t="s">
        <v>900</v>
      </c>
      <c r="B496" s="16"/>
      <c r="C496" s="13"/>
      <c r="D496" s="1"/>
      <c r="E496" s="1"/>
      <c r="F496" s="1"/>
      <c r="G496" s="1"/>
      <c r="H496" s="1"/>
      <c r="I496" s="1"/>
      <c r="J496" s="1"/>
      <c r="K496" s="1"/>
      <c r="L496" s="1"/>
      <c r="M496" s="1"/>
      <c r="N496" s="1"/>
      <c r="O496" s="1"/>
      <c r="P496" s="1"/>
      <c r="Q496" s="1"/>
      <c r="R496" s="1"/>
      <c r="S496" s="1"/>
      <c r="T496" s="1"/>
      <c r="U496" s="1"/>
      <c r="V496" s="1"/>
      <c r="W496" s="1"/>
    </row>
    <row r="497" spans="1:23" ht="15.75">
      <c r="A497" s="12"/>
      <c r="B497" s="16"/>
      <c r="C497" s="13"/>
      <c r="D497" s="1"/>
      <c r="E497" s="1"/>
      <c r="F497" s="1"/>
      <c r="G497" s="1"/>
      <c r="H497" s="1"/>
      <c r="I497" s="1"/>
      <c r="J497" s="1"/>
      <c r="K497" s="1"/>
      <c r="L497" s="1"/>
      <c r="M497" s="1"/>
      <c r="N497" s="1"/>
      <c r="O497" s="1"/>
      <c r="P497" s="1"/>
      <c r="Q497" s="1"/>
      <c r="R497" s="1"/>
      <c r="S497" s="1"/>
      <c r="T497" s="1"/>
      <c r="U497" s="1"/>
      <c r="V497" s="1"/>
      <c r="W497" s="1"/>
    </row>
    <row r="498" spans="1:23" ht="15.75">
      <c r="A498" s="12">
        <v>1</v>
      </c>
      <c r="B498" s="16">
        <f>COUNTIF('Database - Whole Tornadoes'!$E$5:$E$1197,1)</f>
        <v>13</v>
      </c>
      <c r="C498" s="26">
        <f t="shared" ref="C498:C528" si="13">+B498/$B$529</f>
        <v>1.1904761904761904E-2</v>
      </c>
      <c r="D498" s="16"/>
      <c r="E498" s="1"/>
      <c r="F498" s="16"/>
      <c r="G498" s="1"/>
      <c r="H498" s="16"/>
      <c r="I498" s="1"/>
      <c r="J498" s="1"/>
      <c r="K498" s="1"/>
      <c r="L498" s="1"/>
      <c r="M498" s="1"/>
      <c r="N498" s="1"/>
      <c r="O498" s="1"/>
      <c r="P498" s="1"/>
      <c r="Q498" s="1"/>
      <c r="R498" s="1"/>
      <c r="S498" s="1"/>
      <c r="T498" s="1"/>
      <c r="U498" s="1"/>
      <c r="V498" s="1"/>
      <c r="W498" s="1"/>
    </row>
    <row r="499" spans="1:23" ht="15.75">
      <c r="A499" s="12">
        <v>2</v>
      </c>
      <c r="B499" s="16">
        <f>COUNTIF('Database - Whole Tornadoes'!$E$5:$E$1197,2)</f>
        <v>25</v>
      </c>
      <c r="C499" s="26">
        <f t="shared" si="13"/>
        <v>2.2893772893772892E-2</v>
      </c>
      <c r="D499" s="16"/>
      <c r="E499" s="1"/>
      <c r="F499" s="16"/>
      <c r="G499" s="1"/>
      <c r="H499" s="16"/>
      <c r="I499" s="1"/>
      <c r="J499" s="1"/>
      <c r="K499" s="1"/>
      <c r="L499" s="1"/>
      <c r="M499" s="1"/>
      <c r="N499" s="1"/>
      <c r="O499" s="1"/>
      <c r="P499" s="1"/>
      <c r="Q499" s="1"/>
      <c r="R499" s="1"/>
      <c r="S499" s="1"/>
      <c r="T499" s="1"/>
      <c r="U499" s="1"/>
      <c r="V499" s="1"/>
      <c r="W499" s="1"/>
    </row>
    <row r="500" spans="1:23" ht="15.75">
      <c r="A500" s="12">
        <v>3</v>
      </c>
      <c r="B500" s="16">
        <f>COUNTIF('Database - Whole Tornadoes'!$E$5:$E$1197,3)</f>
        <v>26</v>
      </c>
      <c r="C500" s="26">
        <f t="shared" si="13"/>
        <v>2.3809523809523808E-2</v>
      </c>
      <c r="D500" s="16"/>
      <c r="E500" s="1"/>
      <c r="F500" s="16"/>
      <c r="G500" s="1"/>
      <c r="H500" s="16"/>
      <c r="I500" s="1"/>
      <c r="J500" s="1"/>
      <c r="K500" s="1"/>
      <c r="L500" s="1"/>
      <c r="M500" s="1"/>
      <c r="N500" s="1"/>
      <c r="O500" s="1"/>
      <c r="P500" s="1"/>
      <c r="Q500" s="1"/>
      <c r="R500" s="1"/>
      <c r="S500" s="1"/>
      <c r="T500" s="1"/>
      <c r="U500" s="1"/>
      <c r="V500" s="1"/>
      <c r="W500" s="1"/>
    </row>
    <row r="501" spans="1:23" ht="15.75">
      <c r="A501" s="12">
        <v>4</v>
      </c>
      <c r="B501" s="16">
        <f>COUNTIF('Database - Whole Tornadoes'!$E$5:$E$1197,4)</f>
        <v>24</v>
      </c>
      <c r="C501" s="26">
        <f t="shared" si="13"/>
        <v>2.197802197802198E-2</v>
      </c>
      <c r="D501" s="16"/>
      <c r="E501" s="1"/>
      <c r="F501" s="16"/>
      <c r="G501" s="1"/>
      <c r="H501" s="16"/>
      <c r="I501" s="1"/>
      <c r="J501" s="1"/>
      <c r="K501" s="1"/>
      <c r="L501" s="1"/>
      <c r="M501" s="1"/>
      <c r="N501" s="1"/>
      <c r="O501" s="1"/>
      <c r="P501" s="1"/>
      <c r="Q501" s="1"/>
      <c r="R501" s="1"/>
      <c r="S501" s="1"/>
      <c r="T501" s="1"/>
      <c r="U501" s="1"/>
      <c r="V501" s="1"/>
      <c r="W501" s="1"/>
    </row>
    <row r="502" spans="1:23" ht="15.75">
      <c r="A502" s="12">
        <v>5</v>
      </c>
      <c r="B502" s="16">
        <f>COUNTIF('Database - Whole Tornadoes'!$E$5:$E$1197,5)</f>
        <v>51</v>
      </c>
      <c r="C502" s="26">
        <f t="shared" si="13"/>
        <v>4.6703296703296704E-2</v>
      </c>
      <c r="D502" s="16"/>
      <c r="E502" s="1"/>
      <c r="F502" s="16"/>
      <c r="G502" s="1"/>
      <c r="H502" s="16"/>
      <c r="I502" s="1"/>
      <c r="J502" s="1"/>
      <c r="K502" s="1"/>
      <c r="L502" s="1"/>
      <c r="M502" s="1"/>
      <c r="N502" s="1"/>
      <c r="O502" s="1"/>
      <c r="P502" s="1"/>
      <c r="Q502" s="1"/>
      <c r="R502" s="1"/>
      <c r="S502" s="1"/>
      <c r="T502" s="1"/>
      <c r="U502" s="1"/>
      <c r="V502" s="1"/>
      <c r="W502" s="1"/>
    </row>
    <row r="503" spans="1:23" ht="15.75">
      <c r="A503" s="12">
        <v>6</v>
      </c>
      <c r="B503" s="16">
        <f>COUNTIF('Database - Whole Tornadoes'!$E$5:$E$1197,6)</f>
        <v>23</v>
      </c>
      <c r="C503" s="26">
        <f t="shared" si="13"/>
        <v>2.1062271062271064E-2</v>
      </c>
      <c r="D503" s="1"/>
      <c r="E503" s="1"/>
      <c r="F503" s="1"/>
      <c r="G503" s="1"/>
      <c r="H503" s="1"/>
      <c r="I503" s="1"/>
      <c r="J503" s="1"/>
      <c r="K503" s="1"/>
      <c r="L503" s="1"/>
      <c r="M503" s="1"/>
      <c r="N503" s="1"/>
      <c r="O503" s="1"/>
      <c r="P503" s="1"/>
      <c r="Q503" s="1"/>
      <c r="R503" s="1"/>
      <c r="S503" s="1"/>
      <c r="T503" s="1"/>
      <c r="U503" s="1"/>
      <c r="V503" s="1"/>
      <c r="W503" s="1"/>
    </row>
    <row r="504" spans="1:23" ht="15.75">
      <c r="A504" s="12">
        <v>7</v>
      </c>
      <c r="B504" s="16">
        <f>COUNTIF('Database - Whole Tornadoes'!$E$5:$E$1197,7)</f>
        <v>33</v>
      </c>
      <c r="C504" s="26">
        <f t="shared" si="13"/>
        <v>3.021978021978022E-2</v>
      </c>
      <c r="D504" s="1"/>
      <c r="E504" s="1"/>
      <c r="F504" s="1"/>
      <c r="G504" s="1"/>
      <c r="H504" s="1"/>
      <c r="I504" s="1"/>
      <c r="J504" s="1"/>
      <c r="K504" s="1"/>
      <c r="L504" s="1"/>
      <c r="M504" s="1"/>
      <c r="N504" s="1"/>
      <c r="O504" s="1"/>
      <c r="P504" s="1"/>
      <c r="Q504" s="1"/>
      <c r="R504" s="1"/>
      <c r="S504" s="1"/>
      <c r="T504" s="1"/>
      <c r="U504" s="1"/>
      <c r="V504" s="1"/>
      <c r="W504" s="1"/>
    </row>
    <row r="505" spans="1:23" ht="15.75">
      <c r="A505" s="12">
        <v>8</v>
      </c>
      <c r="B505" s="16">
        <f>COUNTIF('Database - Whole Tornadoes'!$E$5:$E$1197,8)</f>
        <v>48</v>
      </c>
      <c r="C505" s="26">
        <f t="shared" si="13"/>
        <v>4.3956043956043959E-2</v>
      </c>
      <c r="D505" s="1"/>
      <c r="E505" s="1"/>
      <c r="F505" s="1"/>
      <c r="G505" s="1"/>
      <c r="H505" s="1"/>
      <c r="I505" s="1"/>
      <c r="J505" s="1"/>
      <c r="K505" s="1"/>
      <c r="L505" s="1"/>
      <c r="M505" s="1"/>
      <c r="N505" s="1"/>
      <c r="O505" s="1"/>
      <c r="P505" s="1"/>
      <c r="Q505" s="1"/>
      <c r="R505" s="1"/>
      <c r="S505" s="1"/>
      <c r="T505" s="1"/>
      <c r="U505" s="1"/>
      <c r="V505" s="1"/>
      <c r="W505" s="1"/>
    </row>
    <row r="506" spans="1:23" ht="15.75">
      <c r="A506" s="12">
        <v>9</v>
      </c>
      <c r="B506" s="16">
        <f>COUNTIF('Database - Whole Tornadoes'!$E$5:$E$1197,9)</f>
        <v>46</v>
      </c>
      <c r="C506" s="26">
        <f t="shared" si="13"/>
        <v>4.2124542124542128E-2</v>
      </c>
      <c r="D506" s="1"/>
      <c r="E506" s="1"/>
      <c r="F506" s="1"/>
      <c r="G506" s="1"/>
      <c r="H506" s="1"/>
      <c r="I506" s="1"/>
      <c r="J506" s="1"/>
      <c r="K506" s="1"/>
      <c r="L506" s="1"/>
      <c r="M506" s="1"/>
      <c r="N506" s="1"/>
      <c r="O506" s="1"/>
      <c r="P506" s="1"/>
      <c r="Q506" s="1"/>
      <c r="R506" s="1"/>
      <c r="S506" s="1"/>
      <c r="T506" s="1"/>
      <c r="U506" s="1"/>
      <c r="V506" s="1"/>
      <c r="W506" s="1"/>
    </row>
    <row r="507" spans="1:23" ht="15.75">
      <c r="A507" s="12">
        <v>10</v>
      </c>
      <c r="B507" s="16">
        <f>COUNTIF('Database - Whole Tornadoes'!$E$5:$E$1197,10)</f>
        <v>35</v>
      </c>
      <c r="C507" s="26">
        <f t="shared" si="13"/>
        <v>3.2051282051282048E-2</v>
      </c>
      <c r="D507" s="1"/>
      <c r="E507" s="1"/>
      <c r="F507" s="1"/>
      <c r="G507" s="1"/>
      <c r="H507" s="1"/>
      <c r="I507" s="1"/>
      <c r="J507" s="1"/>
      <c r="K507" s="1"/>
      <c r="L507" s="1"/>
      <c r="M507" s="1"/>
      <c r="N507" s="1"/>
      <c r="O507" s="1"/>
      <c r="P507" s="1"/>
      <c r="Q507" s="1"/>
      <c r="R507" s="1"/>
      <c r="S507" s="1"/>
      <c r="T507" s="1"/>
      <c r="U507" s="1"/>
      <c r="V507" s="1"/>
      <c r="W507" s="1"/>
    </row>
    <row r="508" spans="1:23" ht="15.75">
      <c r="A508" s="1">
        <v>11</v>
      </c>
      <c r="B508" s="16">
        <f>COUNTIF('Database - Whole Tornadoes'!$E$5:$E$1197,11)</f>
        <v>45</v>
      </c>
      <c r="C508" s="26">
        <f t="shared" si="13"/>
        <v>4.1208791208791208E-2</v>
      </c>
      <c r="D508" s="1"/>
      <c r="E508" s="1"/>
      <c r="F508" s="1"/>
      <c r="G508" s="1"/>
      <c r="H508" s="1"/>
      <c r="I508" s="1"/>
      <c r="J508" s="1"/>
      <c r="K508" s="1"/>
      <c r="L508" s="1"/>
      <c r="M508" s="1"/>
      <c r="N508" s="1"/>
      <c r="O508" s="1"/>
      <c r="P508" s="1"/>
      <c r="Q508" s="1"/>
      <c r="R508" s="1"/>
      <c r="S508" s="1"/>
      <c r="T508" s="1"/>
      <c r="U508" s="1"/>
      <c r="V508" s="1"/>
      <c r="W508" s="1"/>
    </row>
    <row r="509" spans="1:23" ht="15.75">
      <c r="A509" s="1">
        <v>12</v>
      </c>
      <c r="B509" s="16">
        <f>COUNTIF('Database - Whole Tornadoes'!$E$5:$E$1197,12)</f>
        <v>22</v>
      </c>
      <c r="C509" s="26">
        <f t="shared" si="13"/>
        <v>2.0146520146520148E-2</v>
      </c>
      <c r="D509" s="1"/>
      <c r="E509" s="1"/>
      <c r="F509" s="1"/>
      <c r="G509" s="1"/>
      <c r="H509" s="1"/>
      <c r="I509" s="1"/>
      <c r="J509" s="1"/>
      <c r="K509" s="1"/>
      <c r="L509" s="1"/>
      <c r="M509" s="1"/>
      <c r="N509" s="1"/>
      <c r="O509" s="1"/>
      <c r="P509" s="1"/>
      <c r="Q509" s="1"/>
      <c r="R509" s="1"/>
      <c r="S509" s="1"/>
      <c r="T509" s="1"/>
      <c r="U509" s="1"/>
      <c r="V509" s="1"/>
      <c r="W509" s="1"/>
    </row>
    <row r="510" spans="1:23" ht="15.75">
      <c r="A510" s="1">
        <v>13</v>
      </c>
      <c r="B510" s="16">
        <f>COUNTIF('Database - Whole Tornadoes'!$E$5:$E$1197,13)</f>
        <v>21</v>
      </c>
      <c r="C510" s="26">
        <f t="shared" si="13"/>
        <v>1.9230769230769232E-2</v>
      </c>
      <c r="D510" s="1"/>
      <c r="E510" s="1"/>
      <c r="F510" s="1"/>
      <c r="G510" s="1"/>
      <c r="H510" s="1"/>
      <c r="I510" s="1"/>
      <c r="J510" s="1"/>
      <c r="K510" s="1"/>
      <c r="L510" s="1"/>
      <c r="M510" s="1"/>
      <c r="N510" s="1"/>
      <c r="O510" s="1"/>
      <c r="P510" s="1"/>
      <c r="Q510" s="1"/>
      <c r="R510" s="1"/>
      <c r="S510" s="1"/>
      <c r="T510" s="1"/>
      <c r="U510" s="1"/>
      <c r="V510" s="1"/>
      <c r="W510" s="1"/>
    </row>
    <row r="511" spans="1:23" ht="15.75">
      <c r="A511" s="1">
        <v>14</v>
      </c>
      <c r="B511" s="16">
        <f>COUNTIF('Database - Whole Tornadoes'!$E$5:$E$1197,14)</f>
        <v>43</v>
      </c>
      <c r="C511" s="26">
        <f t="shared" si="13"/>
        <v>3.9377289377289376E-2</v>
      </c>
      <c r="D511" s="1"/>
      <c r="E511" s="1"/>
      <c r="F511" s="1"/>
      <c r="G511" s="1"/>
      <c r="H511" s="1"/>
      <c r="I511" s="1"/>
      <c r="J511" s="1"/>
      <c r="K511" s="1"/>
      <c r="L511" s="1"/>
      <c r="M511" s="1"/>
      <c r="N511" s="1"/>
      <c r="O511" s="1"/>
      <c r="P511" s="1"/>
      <c r="Q511" s="1"/>
      <c r="R511" s="1"/>
      <c r="S511" s="1"/>
      <c r="T511" s="1"/>
      <c r="U511" s="1"/>
      <c r="V511" s="1"/>
      <c r="W511" s="1"/>
    </row>
    <row r="512" spans="1:23" ht="15.75">
      <c r="A512" s="1">
        <v>15</v>
      </c>
      <c r="B512" s="16">
        <f>COUNTIF('Database - Whole Tornadoes'!$E$5:$E$1197,15)</f>
        <v>68</v>
      </c>
      <c r="C512" s="26">
        <f t="shared" si="13"/>
        <v>6.2271062271062272E-2</v>
      </c>
      <c r="D512" s="1"/>
      <c r="E512" s="1"/>
      <c r="F512" s="1"/>
      <c r="G512" s="1"/>
      <c r="H512" s="1"/>
      <c r="I512" s="1"/>
      <c r="J512" s="1"/>
      <c r="K512" s="1"/>
      <c r="L512" s="1"/>
      <c r="M512" s="1"/>
      <c r="N512" s="1"/>
      <c r="O512" s="1"/>
      <c r="P512" s="1"/>
      <c r="Q512" s="1"/>
      <c r="R512" s="1"/>
      <c r="S512" s="1"/>
      <c r="T512" s="1"/>
      <c r="U512" s="1"/>
      <c r="V512" s="1"/>
      <c r="W512" s="1"/>
    </row>
    <row r="513" spans="1:23" ht="15.75">
      <c r="A513" s="1">
        <v>16</v>
      </c>
      <c r="B513" s="16">
        <f>COUNTIF('Database - Whole Tornadoes'!$E$5:$E$1197,16)</f>
        <v>65</v>
      </c>
      <c r="C513" s="26">
        <f t="shared" si="13"/>
        <v>5.9523809523809521E-2</v>
      </c>
      <c r="D513" s="1"/>
      <c r="E513" s="1"/>
      <c r="F513" s="1"/>
      <c r="G513" s="1"/>
      <c r="H513" s="1"/>
      <c r="I513" s="1"/>
      <c r="J513" s="1"/>
      <c r="K513" s="1"/>
      <c r="L513" s="1"/>
      <c r="M513" s="1"/>
      <c r="N513" s="1"/>
      <c r="O513" s="1"/>
      <c r="P513" s="1"/>
      <c r="Q513" s="1"/>
      <c r="R513" s="1"/>
      <c r="S513" s="1"/>
      <c r="T513" s="1"/>
      <c r="U513" s="1"/>
      <c r="V513" s="1"/>
      <c r="W513" s="1"/>
    </row>
    <row r="514" spans="1:23" ht="15.75">
      <c r="A514" s="1">
        <v>17</v>
      </c>
      <c r="B514" s="16">
        <f>COUNTIF('Database - Whole Tornadoes'!$E$5:$E$1197,17)</f>
        <v>36</v>
      </c>
      <c r="C514" s="26">
        <f t="shared" si="13"/>
        <v>3.2967032967032968E-2</v>
      </c>
      <c r="D514" s="1"/>
      <c r="E514" s="1"/>
      <c r="F514" s="1"/>
      <c r="G514" s="1"/>
      <c r="H514" s="1"/>
      <c r="I514" s="1"/>
      <c r="J514" s="1"/>
      <c r="K514" s="1"/>
      <c r="L514" s="1"/>
      <c r="M514" s="1"/>
      <c r="N514" s="1"/>
      <c r="O514" s="1"/>
      <c r="P514" s="1"/>
      <c r="Q514" s="1"/>
      <c r="R514" s="1"/>
      <c r="S514" s="1"/>
      <c r="T514" s="1"/>
      <c r="U514" s="1"/>
      <c r="V514" s="1"/>
      <c r="W514" s="1"/>
    </row>
    <row r="515" spans="1:23" ht="15.75">
      <c r="A515" s="1">
        <v>18</v>
      </c>
      <c r="B515" s="16">
        <f>COUNTIF('Database - Whole Tornadoes'!$E$5:$E$1197,18)</f>
        <v>36</v>
      </c>
      <c r="C515" s="26">
        <f t="shared" si="13"/>
        <v>3.2967032967032968E-2</v>
      </c>
      <c r="D515" s="1"/>
      <c r="E515" s="1"/>
      <c r="F515" s="1"/>
      <c r="G515" s="1"/>
      <c r="H515" s="1"/>
      <c r="I515" s="1"/>
      <c r="J515" s="1"/>
      <c r="K515" s="1"/>
      <c r="L515" s="1"/>
      <c r="M515" s="1"/>
      <c r="N515" s="1"/>
      <c r="O515" s="1"/>
      <c r="P515" s="1"/>
      <c r="Q515" s="1"/>
      <c r="R515" s="1"/>
      <c r="S515" s="1"/>
      <c r="T515" s="1"/>
      <c r="U515" s="1"/>
      <c r="V515" s="1"/>
      <c r="W515" s="1"/>
    </row>
    <row r="516" spans="1:23" ht="15.75">
      <c r="A516" s="1">
        <v>19</v>
      </c>
      <c r="B516" s="16">
        <f>COUNTIF('Database - Whole Tornadoes'!$E$5:$E$1197,19)</f>
        <v>41</v>
      </c>
      <c r="C516" s="26">
        <f t="shared" si="13"/>
        <v>3.7545787545787544E-2</v>
      </c>
      <c r="D516" s="1"/>
      <c r="E516" s="1"/>
      <c r="F516" s="1"/>
      <c r="G516" s="1"/>
      <c r="H516" s="1"/>
      <c r="I516" s="1"/>
      <c r="J516" s="1"/>
      <c r="K516" s="1"/>
      <c r="L516" s="1"/>
      <c r="M516" s="1"/>
      <c r="N516" s="1"/>
      <c r="O516" s="1"/>
      <c r="P516" s="1"/>
      <c r="Q516" s="1"/>
      <c r="R516" s="1"/>
      <c r="S516" s="1"/>
      <c r="T516" s="1"/>
      <c r="U516" s="1"/>
      <c r="V516" s="1"/>
      <c r="W516" s="1"/>
    </row>
    <row r="517" spans="1:23" ht="15.75">
      <c r="A517" s="1">
        <v>20</v>
      </c>
      <c r="B517" s="16">
        <f>COUNTIF('Database - Whole Tornadoes'!$E$5:$E$1197,20)</f>
        <v>14</v>
      </c>
      <c r="C517" s="26">
        <f t="shared" si="13"/>
        <v>1.282051282051282E-2</v>
      </c>
      <c r="D517" s="1"/>
      <c r="E517" s="1"/>
      <c r="F517" s="1"/>
      <c r="G517" s="1"/>
      <c r="H517" s="1"/>
      <c r="I517" s="1"/>
      <c r="J517" s="1"/>
      <c r="K517" s="1"/>
      <c r="L517" s="1"/>
      <c r="M517" s="1"/>
      <c r="N517" s="1"/>
      <c r="O517" s="1"/>
      <c r="P517" s="1"/>
      <c r="Q517" s="1"/>
      <c r="R517" s="1"/>
      <c r="S517" s="1"/>
      <c r="T517" s="1"/>
      <c r="U517" s="1"/>
      <c r="V517" s="1"/>
      <c r="W517" s="1"/>
    </row>
    <row r="518" spans="1:23" ht="15.75">
      <c r="A518" s="1">
        <v>21</v>
      </c>
      <c r="B518" s="16">
        <f>COUNTIF('Database - Whole Tornadoes'!$E$5:$E$1197,21)</f>
        <v>41</v>
      </c>
      <c r="C518" s="26">
        <f t="shared" si="13"/>
        <v>3.7545787545787544E-2</v>
      </c>
      <c r="D518" s="1"/>
      <c r="E518" s="1"/>
      <c r="F518" s="1"/>
      <c r="G518" s="1"/>
      <c r="H518" s="1"/>
      <c r="I518" s="1"/>
      <c r="J518" s="1"/>
      <c r="K518" s="1"/>
      <c r="L518" s="1"/>
      <c r="M518" s="1"/>
      <c r="N518" s="1"/>
      <c r="O518" s="1"/>
      <c r="P518" s="1"/>
      <c r="Q518" s="1"/>
      <c r="R518" s="1"/>
      <c r="S518" s="1"/>
      <c r="T518" s="1"/>
      <c r="U518" s="1"/>
      <c r="V518" s="1"/>
      <c r="W518" s="1"/>
    </row>
    <row r="519" spans="1:23" ht="15.75">
      <c r="A519" s="1">
        <v>22</v>
      </c>
      <c r="B519" s="16">
        <f>COUNTIF('Database - Whole Tornadoes'!$E$5:$E$1197,22)</f>
        <v>33</v>
      </c>
      <c r="C519" s="26">
        <f t="shared" si="13"/>
        <v>3.021978021978022E-2</v>
      </c>
      <c r="D519" s="1"/>
      <c r="E519" s="1"/>
      <c r="F519" s="1"/>
      <c r="G519" s="1"/>
      <c r="H519" s="1"/>
      <c r="I519" s="1"/>
      <c r="J519" s="1"/>
      <c r="K519" s="1"/>
      <c r="L519" s="1"/>
      <c r="M519" s="1"/>
      <c r="N519" s="1"/>
      <c r="O519" s="1"/>
      <c r="P519" s="1"/>
      <c r="Q519" s="1"/>
      <c r="R519" s="1"/>
      <c r="S519" s="1"/>
      <c r="T519" s="1"/>
      <c r="U519" s="1"/>
      <c r="V519" s="1"/>
      <c r="W519" s="1"/>
    </row>
    <row r="520" spans="1:23" ht="15.75">
      <c r="A520" s="1">
        <v>23</v>
      </c>
      <c r="B520" s="16">
        <f>COUNTIF('Database - Whole Tornadoes'!$E$5:$E$1197,23)</f>
        <v>38</v>
      </c>
      <c r="C520" s="26">
        <f t="shared" si="13"/>
        <v>3.47985347985348E-2</v>
      </c>
      <c r="D520" s="1"/>
      <c r="E520" s="1"/>
      <c r="F520" s="1"/>
      <c r="G520" s="1"/>
      <c r="H520" s="1"/>
      <c r="I520" s="1"/>
      <c r="J520" s="1"/>
      <c r="K520" s="1"/>
      <c r="L520" s="1"/>
      <c r="M520" s="1"/>
      <c r="N520" s="1"/>
      <c r="O520" s="1"/>
      <c r="P520" s="1"/>
      <c r="Q520" s="1"/>
      <c r="R520" s="1"/>
      <c r="S520" s="1"/>
      <c r="T520" s="1"/>
      <c r="U520" s="1"/>
      <c r="V520" s="1"/>
      <c r="W520" s="1"/>
    </row>
    <row r="521" spans="1:23" ht="15.75">
      <c r="A521" s="1">
        <v>24</v>
      </c>
      <c r="B521" s="16">
        <f>COUNTIF('Database - Whole Tornadoes'!$E$5:$E$1197,24)</f>
        <v>40</v>
      </c>
      <c r="C521" s="26">
        <f t="shared" si="13"/>
        <v>3.6630036630036632E-2</v>
      </c>
      <c r="D521" s="1"/>
      <c r="E521" s="1"/>
      <c r="F521" s="1"/>
      <c r="G521" s="1"/>
      <c r="H521" s="1"/>
      <c r="I521" s="1"/>
      <c r="J521" s="1"/>
      <c r="K521" s="1"/>
      <c r="L521" s="1"/>
      <c r="M521" s="1"/>
      <c r="N521" s="1"/>
      <c r="O521" s="1"/>
      <c r="P521" s="1"/>
      <c r="Q521" s="1"/>
      <c r="R521" s="1"/>
      <c r="S521" s="1"/>
      <c r="T521" s="1"/>
      <c r="U521" s="1"/>
      <c r="V521" s="1"/>
      <c r="W521" s="1"/>
    </row>
    <row r="522" spans="1:23" ht="15.75">
      <c r="A522" s="1">
        <v>25</v>
      </c>
      <c r="B522" s="16">
        <f>COUNTIF('Database - Whole Tornadoes'!$E$5:$E$1197,25)</f>
        <v>42</v>
      </c>
      <c r="C522" s="26">
        <f t="shared" si="13"/>
        <v>3.8461538461538464E-2</v>
      </c>
      <c r="D522" s="1"/>
      <c r="E522" s="1"/>
      <c r="F522" s="1"/>
      <c r="G522" s="1"/>
      <c r="H522" s="1"/>
      <c r="I522" s="1"/>
      <c r="J522" s="1"/>
      <c r="K522" s="1"/>
      <c r="L522" s="1"/>
      <c r="M522" s="1"/>
      <c r="N522" s="1"/>
      <c r="O522" s="1"/>
      <c r="P522" s="1"/>
      <c r="Q522" s="1"/>
      <c r="R522" s="1"/>
      <c r="S522" s="1"/>
      <c r="T522" s="1"/>
      <c r="U522" s="1"/>
      <c r="V522" s="1"/>
      <c r="W522" s="1"/>
    </row>
    <row r="523" spans="1:23" ht="15.75">
      <c r="A523" s="1">
        <v>26</v>
      </c>
      <c r="B523" s="16">
        <f>COUNTIF('Database - Whole Tornadoes'!$E$5:$E$1197,26)</f>
        <v>19</v>
      </c>
      <c r="C523" s="26">
        <f t="shared" si="13"/>
        <v>1.73992673992674E-2</v>
      </c>
      <c r="D523" s="1"/>
      <c r="E523" s="1"/>
      <c r="F523" s="1"/>
      <c r="G523" s="1"/>
      <c r="H523" s="1"/>
      <c r="I523" s="1"/>
      <c r="J523" s="1"/>
      <c r="K523" s="1"/>
      <c r="L523" s="1"/>
      <c r="M523" s="1"/>
      <c r="N523" s="1"/>
      <c r="O523" s="1"/>
      <c r="P523" s="1"/>
      <c r="Q523" s="1"/>
      <c r="R523" s="1"/>
      <c r="S523" s="1"/>
      <c r="T523" s="1"/>
      <c r="U523" s="1"/>
      <c r="V523" s="1"/>
      <c r="W523" s="1"/>
    </row>
    <row r="524" spans="1:23" ht="15.75">
      <c r="A524" s="1">
        <v>27</v>
      </c>
      <c r="B524" s="16">
        <f>COUNTIF('Database - Whole Tornadoes'!$E$5:$E$1197,27)</f>
        <v>31</v>
      </c>
      <c r="C524" s="26">
        <f t="shared" si="13"/>
        <v>2.8388278388278388E-2</v>
      </c>
      <c r="D524" s="1"/>
      <c r="E524" s="1"/>
      <c r="F524" s="1"/>
      <c r="G524" s="1"/>
      <c r="H524" s="1"/>
      <c r="I524" s="1"/>
      <c r="J524" s="1"/>
      <c r="K524" s="1"/>
      <c r="L524" s="1"/>
      <c r="M524" s="1"/>
      <c r="N524" s="1"/>
      <c r="O524" s="1"/>
      <c r="P524" s="1"/>
      <c r="Q524" s="1"/>
      <c r="R524" s="1"/>
      <c r="S524" s="1"/>
      <c r="T524" s="1"/>
      <c r="U524" s="1"/>
      <c r="V524" s="1"/>
      <c r="W524" s="1"/>
    </row>
    <row r="525" spans="1:23" ht="15.75">
      <c r="A525" s="1">
        <v>28</v>
      </c>
      <c r="B525" s="16">
        <f>COUNTIF('Database - Whole Tornadoes'!$E$5:$E$1197,28)</f>
        <v>42</v>
      </c>
      <c r="C525" s="26">
        <f t="shared" si="13"/>
        <v>3.8461538461538464E-2</v>
      </c>
      <c r="D525" s="1"/>
      <c r="E525" s="1"/>
      <c r="F525" s="1"/>
      <c r="G525" s="1"/>
      <c r="H525" s="1"/>
      <c r="I525" s="1"/>
      <c r="J525" s="1"/>
      <c r="K525" s="1"/>
      <c r="L525" s="1"/>
      <c r="M525" s="1"/>
      <c r="N525" s="1"/>
      <c r="O525" s="1"/>
      <c r="P525" s="1"/>
      <c r="Q525" s="1"/>
      <c r="R525" s="1"/>
      <c r="S525" s="1"/>
      <c r="T525" s="1"/>
      <c r="U525" s="1"/>
      <c r="V525" s="1"/>
      <c r="W525" s="1"/>
    </row>
    <row r="526" spans="1:23" ht="15.75">
      <c r="A526" s="1">
        <v>29</v>
      </c>
      <c r="B526" s="16">
        <f>COUNTIF('Database - Whole Tornadoes'!$E$5:$E$1197,29)</f>
        <v>38</v>
      </c>
      <c r="C526" s="26">
        <f t="shared" si="13"/>
        <v>3.47985347985348E-2</v>
      </c>
      <c r="D526" s="1"/>
      <c r="E526" s="1"/>
      <c r="F526" s="1"/>
      <c r="G526" s="1"/>
      <c r="H526" s="1"/>
      <c r="I526" s="1"/>
      <c r="J526" s="1"/>
      <c r="K526" s="1"/>
      <c r="L526" s="1"/>
      <c r="M526" s="1"/>
      <c r="N526" s="1"/>
      <c r="O526" s="1"/>
      <c r="P526" s="1"/>
      <c r="Q526" s="1"/>
      <c r="R526" s="1"/>
      <c r="S526" s="1"/>
      <c r="T526" s="1"/>
      <c r="U526" s="1"/>
      <c r="V526" s="1"/>
      <c r="W526" s="1"/>
    </row>
    <row r="527" spans="1:23" ht="15.75">
      <c r="A527" s="1">
        <v>30</v>
      </c>
      <c r="B527" s="16">
        <f>COUNTIF('Database - Whole Tornadoes'!$E$5:$E$1197,30)</f>
        <v>21</v>
      </c>
      <c r="C527" s="26">
        <f t="shared" si="13"/>
        <v>1.9230769230769232E-2</v>
      </c>
      <c r="D527" s="1"/>
      <c r="E527" s="1"/>
      <c r="F527" s="1"/>
      <c r="G527" s="1"/>
      <c r="H527" s="1"/>
      <c r="I527" s="1"/>
      <c r="J527" s="1"/>
      <c r="K527" s="1"/>
      <c r="L527" s="1"/>
      <c r="M527" s="1"/>
      <c r="N527" s="1"/>
      <c r="O527" s="1"/>
      <c r="P527" s="1"/>
      <c r="Q527" s="1"/>
      <c r="R527" s="1"/>
      <c r="S527" s="1"/>
      <c r="T527" s="1"/>
      <c r="U527" s="1"/>
      <c r="V527" s="1"/>
      <c r="W527" s="1"/>
    </row>
    <row r="528" spans="1:23" ht="15.75">
      <c r="A528" s="1">
        <v>31</v>
      </c>
      <c r="B528" s="16">
        <f>COUNTIF('Database - Whole Tornadoes'!$E$5:$E$1197,31)</f>
        <v>32</v>
      </c>
      <c r="C528" s="26">
        <f t="shared" si="13"/>
        <v>2.9304029304029304E-2</v>
      </c>
      <c r="D528" s="1"/>
      <c r="E528" s="1"/>
      <c r="F528" s="1"/>
      <c r="G528" s="1"/>
      <c r="H528" s="1"/>
      <c r="I528" s="1"/>
      <c r="J528" s="1"/>
      <c r="K528" s="1"/>
      <c r="L528" s="1"/>
      <c r="M528" s="1"/>
      <c r="N528" s="1"/>
      <c r="O528" s="1"/>
      <c r="P528" s="1"/>
      <c r="Q528" s="1"/>
      <c r="R528" s="1"/>
      <c r="S528" s="1"/>
      <c r="T528" s="1"/>
      <c r="U528" s="1"/>
      <c r="V528" s="1"/>
      <c r="W528" s="1"/>
    </row>
    <row r="529" spans="1:23" ht="15.75">
      <c r="A529" s="75" t="s">
        <v>531</v>
      </c>
      <c r="B529" s="16">
        <f>SUM(B498:B528)</f>
        <v>1092</v>
      </c>
      <c r="C529" s="13"/>
      <c r="D529" s="1"/>
      <c r="E529" s="1"/>
      <c r="F529" s="1"/>
      <c r="G529" s="1"/>
      <c r="H529" s="1"/>
      <c r="I529" s="1"/>
      <c r="J529" s="1"/>
      <c r="K529" s="1"/>
      <c r="L529" s="1"/>
      <c r="M529" s="1"/>
      <c r="N529" s="1"/>
      <c r="O529" s="1"/>
      <c r="P529" s="1"/>
      <c r="Q529" s="1"/>
      <c r="R529" s="1"/>
      <c r="S529" s="1"/>
      <c r="T529" s="1"/>
      <c r="U529" s="1"/>
      <c r="V529" s="1"/>
      <c r="W529" s="1"/>
    </row>
    <row r="530" spans="1:23">
      <c r="A530" s="12"/>
      <c r="B530" s="14"/>
      <c r="C530" s="12"/>
      <c r="D530" s="1"/>
      <c r="E530" s="15"/>
      <c r="F530" s="1"/>
      <c r="G530" s="21"/>
      <c r="H530" s="12"/>
      <c r="I530" s="14"/>
      <c r="J530" s="12"/>
      <c r="K530" s="1"/>
      <c r="L530" s="1"/>
      <c r="M530" s="1"/>
      <c r="N530" s="1"/>
      <c r="O530" s="1"/>
      <c r="P530" s="1"/>
      <c r="Q530" s="1"/>
      <c r="R530" s="1"/>
      <c r="S530" s="1"/>
      <c r="T530" s="1"/>
      <c r="U530" s="1"/>
      <c r="V530" s="1"/>
      <c r="W530" s="1"/>
    </row>
    <row r="531" spans="1:23" s="917" customFormat="1">
      <c r="A531" s="12"/>
      <c r="B531" s="14"/>
      <c r="C531" s="12"/>
      <c r="D531" s="1"/>
      <c r="E531" s="15"/>
      <c r="F531" s="1"/>
      <c r="G531" s="21"/>
      <c r="H531" s="12"/>
      <c r="I531" s="14"/>
      <c r="J531" s="12"/>
      <c r="K531" s="1"/>
      <c r="L531" s="1"/>
      <c r="M531" s="1"/>
      <c r="N531" s="1"/>
      <c r="O531" s="1"/>
      <c r="P531" s="1"/>
      <c r="Q531" s="1"/>
      <c r="R531" s="1"/>
      <c r="S531" s="1"/>
      <c r="T531" s="1"/>
      <c r="U531" s="1"/>
      <c r="V531" s="1"/>
      <c r="W531" s="1"/>
    </row>
    <row r="532" spans="1:23"/>
    <row r="533" spans="1:23" hidden="1"/>
    <row r="534" spans="1:23" hidden="1"/>
    <row r="535" spans="1:23" hidden="1"/>
    <row r="536" spans="1:23" hidden="1"/>
    <row r="537" spans="1:23" hidden="1"/>
    <row r="538" spans="1:23" hidden="1"/>
    <row r="539" spans="1:23" hidden="1"/>
    <row r="540" spans="1:23" hidden="1"/>
    <row r="541" spans="1:23" hidden="1"/>
    <row r="542" spans="1:23" hidden="1"/>
    <row r="543" spans="1:23" hidden="1"/>
    <row r="544" spans="1:23"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spans="2:3" hidden="1"/>
    <row r="578" spans="2:3" hidden="1"/>
    <row r="579" spans="2:3" hidden="1"/>
    <row r="580" spans="2:3" hidden="1"/>
    <row r="581" spans="2:3" hidden="1"/>
    <row r="582" spans="2:3" hidden="1"/>
    <row r="583" spans="2:3" hidden="1"/>
    <row r="584" spans="2:3" hidden="1"/>
    <row r="585" spans="2:3" hidden="1"/>
    <row r="586" spans="2:3" hidden="1">
      <c r="B586" s="689"/>
      <c r="C586" s="689"/>
    </row>
    <row r="587" spans="2:3" hidden="1">
      <c r="B587" s="689"/>
      <c r="C587" s="689"/>
    </row>
    <row r="588" spans="2:3" hidden="1">
      <c r="B588" s="689"/>
      <c r="C588" s="689"/>
    </row>
    <row r="589" spans="2:3" hidden="1">
      <c r="B589" s="689"/>
      <c r="C589" s="689"/>
    </row>
    <row r="590" spans="2:3" hidden="1">
      <c r="B590" s="689"/>
      <c r="C590" s="689"/>
    </row>
    <row r="591" spans="2:3" hidden="1">
      <c r="B591" s="689"/>
      <c r="C591" s="689"/>
    </row>
    <row r="592" spans="2:3" hidden="1">
      <c r="B592" s="689"/>
      <c r="C592" s="689"/>
    </row>
    <row r="593" spans="2:3" hidden="1">
      <c r="B593" s="689"/>
      <c r="C593" s="689"/>
    </row>
    <row r="594" spans="2:3" hidden="1">
      <c r="B594" s="689"/>
      <c r="C594" s="689"/>
    </row>
    <row r="595" spans="2:3" hidden="1"/>
    <row r="596" spans="2:3" hidden="1"/>
    <row r="597" spans="2:3" hidden="1"/>
    <row r="598" spans="2:3" hidden="1"/>
    <row r="599" spans="2:3" hidden="1"/>
    <row r="600" spans="2:3" hidden="1"/>
    <row r="601" spans="2:3" hidden="1"/>
    <row r="602" spans="2:3" hidden="1"/>
    <row r="603" spans="2:3" hidden="1"/>
    <row r="604" spans="2:3" hidden="1"/>
    <row r="605" spans="2:3" hidden="1"/>
    <row r="606" spans="2:3" hidden="1"/>
    <row r="607" spans="2:3" hidden="1"/>
    <row r="608" spans="2:3"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spans="1:13" hidden="1"/>
    <row r="3986" spans="1:13" hidden="1"/>
    <row r="3987" spans="1:13" hidden="1"/>
    <row r="3988" spans="1:13" hidden="1"/>
    <row r="3989" spans="1:13" hidden="1"/>
    <row r="3990" spans="1:13" ht="23.25">
      <c r="A3990" s="899" t="s">
        <v>1127</v>
      </c>
      <c r="I3990" s="8" t="s">
        <v>1078</v>
      </c>
      <c r="J3990" s="1"/>
      <c r="K3990" s="1"/>
      <c r="L3990" s="1"/>
      <c r="M3990" s="1"/>
    </row>
    <row r="3991" spans="1:13">
      <c r="A3991" s="1109" t="s">
        <v>1130</v>
      </c>
      <c r="B3991" s="1109"/>
      <c r="C3991" s="1109"/>
      <c r="D3991" s="1109"/>
      <c r="E3991" s="1109"/>
      <c r="L3991"/>
      <c r="M3991" s="1"/>
    </row>
    <row r="3992" spans="1:13">
      <c r="J3992" s="372" t="s">
        <v>1079</v>
      </c>
      <c r="K3992">
        <v>66</v>
      </c>
      <c r="L3992"/>
      <c r="M3992"/>
    </row>
    <row r="3993" spans="1:13" ht="15.75">
      <c r="A3993" s="842" t="s">
        <v>1129</v>
      </c>
      <c r="B3993" s="842" t="s">
        <v>165</v>
      </c>
      <c r="C3993" s="900" t="s">
        <v>1128</v>
      </c>
      <c r="J3993" s="372" t="s">
        <v>1080</v>
      </c>
      <c r="K3993">
        <v>157</v>
      </c>
      <c r="L3993"/>
      <c r="M3993" s="688"/>
    </row>
    <row r="3994" spans="1:13">
      <c r="A3994" s="872">
        <v>1</v>
      </c>
      <c r="B3994" s="1037">
        <v>37756</v>
      </c>
      <c r="C3994" s="872">
        <v>26</v>
      </c>
      <c r="J3994" s="372" t="s">
        <v>1081</v>
      </c>
      <c r="K3994">
        <v>155</v>
      </c>
      <c r="L3994"/>
      <c r="M3994"/>
    </row>
    <row r="3995" spans="1:13">
      <c r="A3995" s="872">
        <v>2</v>
      </c>
      <c r="B3995" s="1037">
        <v>42324</v>
      </c>
      <c r="C3995" s="872">
        <v>19</v>
      </c>
      <c r="J3995" s="372" t="s">
        <v>1082</v>
      </c>
      <c r="K3995">
        <v>172</v>
      </c>
      <c r="L3995"/>
      <c r="M3995"/>
    </row>
    <row r="3996" spans="1:13">
      <c r="A3996" s="872">
        <v>3</v>
      </c>
      <c r="B3996" s="1037">
        <v>34858</v>
      </c>
      <c r="C3996" s="872">
        <v>18</v>
      </c>
      <c r="J3996" s="372" t="s">
        <v>1083</v>
      </c>
      <c r="K3996">
        <v>223</v>
      </c>
      <c r="L3996"/>
      <c r="M3996"/>
    </row>
    <row r="3997" spans="1:13">
      <c r="A3997" s="872">
        <v>4</v>
      </c>
      <c r="B3997" s="1037">
        <v>39169</v>
      </c>
      <c r="C3997" s="872">
        <v>15</v>
      </c>
      <c r="J3997" s="372" t="s">
        <v>1084</v>
      </c>
      <c r="K3997">
        <v>207</v>
      </c>
      <c r="L3997"/>
      <c r="M3997"/>
    </row>
    <row r="3998" spans="1:13">
      <c r="A3998" s="1038" t="s">
        <v>1318</v>
      </c>
      <c r="B3998" s="1037">
        <v>39193</v>
      </c>
      <c r="C3998" s="872">
        <v>14</v>
      </c>
      <c r="J3998" s="372" t="s">
        <v>1085</v>
      </c>
      <c r="K3998" s="332">
        <v>102</v>
      </c>
      <c r="L3998" s="898" t="s">
        <v>1317</v>
      </c>
      <c r="M3998" s="332"/>
    </row>
    <row r="3999" spans="1:13">
      <c r="A3999" s="1038" t="s">
        <v>1318</v>
      </c>
      <c r="B3999" s="1037">
        <v>39225</v>
      </c>
      <c r="C3999" s="872">
        <v>14</v>
      </c>
    </row>
    <row r="4000" spans="1:13">
      <c r="A4000" s="1038" t="s">
        <v>1319</v>
      </c>
      <c r="B4000" s="1037">
        <v>36340</v>
      </c>
      <c r="C4000" s="872">
        <v>13</v>
      </c>
    </row>
    <row r="4001" spans="1:3">
      <c r="A4001" s="1038" t="s">
        <v>1319</v>
      </c>
      <c r="B4001" s="1037">
        <v>33024</v>
      </c>
      <c r="C4001" s="872">
        <v>13</v>
      </c>
    </row>
    <row r="4002" spans="1:3">
      <c r="A4002" s="1038" t="s">
        <v>1320</v>
      </c>
      <c r="B4002" s="1037">
        <v>37381</v>
      </c>
      <c r="C4002" s="872">
        <v>12</v>
      </c>
    </row>
    <row r="4003" spans="1:3" s="875" customFormat="1">
      <c r="A4003" s="1038" t="s">
        <v>1320</v>
      </c>
      <c r="B4003" s="1037">
        <v>33032</v>
      </c>
      <c r="C4003" s="872">
        <v>12</v>
      </c>
    </row>
    <row r="4004" spans="1:3">
      <c r="A4004" s="1038" t="s">
        <v>1320</v>
      </c>
      <c r="B4004" s="1037">
        <v>40316</v>
      </c>
      <c r="C4004" s="872">
        <v>12</v>
      </c>
    </row>
    <row r="4005" spans="1:3">
      <c r="A4005" s="872">
        <v>12</v>
      </c>
      <c r="B4005" s="1037">
        <v>31922</v>
      </c>
      <c r="C4005" s="872">
        <v>11</v>
      </c>
    </row>
    <row r="4006" spans="1:3">
      <c r="A4006" s="1038" t="s">
        <v>1321</v>
      </c>
      <c r="B4006" s="1037">
        <v>30090</v>
      </c>
      <c r="C4006" s="872">
        <v>10</v>
      </c>
    </row>
    <row r="4007" spans="1:3">
      <c r="A4007" s="1038" t="s">
        <v>1321</v>
      </c>
      <c r="B4007" s="1037">
        <v>26093</v>
      </c>
      <c r="C4007" s="872">
        <v>10</v>
      </c>
    </row>
    <row r="4008" spans="1:3">
      <c r="A4008" s="1038" t="s">
        <v>1322</v>
      </c>
      <c r="B4008" s="1037">
        <v>38889</v>
      </c>
      <c r="C4008" s="872">
        <v>9</v>
      </c>
    </row>
    <row r="4009" spans="1:3">
      <c r="A4009" s="1038" t="s">
        <v>1322</v>
      </c>
      <c r="B4009" s="1037">
        <v>35592</v>
      </c>
      <c r="C4009" s="872">
        <v>9</v>
      </c>
    </row>
    <row r="4010" spans="1:3">
      <c r="A4010" s="1038" t="s">
        <v>1323</v>
      </c>
      <c r="B4010" s="1037">
        <v>40290</v>
      </c>
      <c r="C4010" s="872">
        <v>8</v>
      </c>
    </row>
    <row r="4011" spans="1:3">
      <c r="A4011" s="1038" t="s">
        <v>1323</v>
      </c>
      <c r="B4011" s="1037">
        <v>38159</v>
      </c>
      <c r="C4011" s="872">
        <v>8</v>
      </c>
    </row>
    <row r="4012" spans="1:3">
      <c r="A4012" s="1038" t="s">
        <v>1323</v>
      </c>
      <c r="B4012" s="1037">
        <v>35209</v>
      </c>
      <c r="C4012" s="872">
        <v>8</v>
      </c>
    </row>
    <row r="4013" spans="1:3">
      <c r="A4013" s="1038" t="s">
        <v>1323</v>
      </c>
      <c r="B4013" s="1037">
        <v>33387</v>
      </c>
      <c r="C4013" s="872">
        <v>8</v>
      </c>
    </row>
    <row r="4014" spans="1:3">
      <c r="A4014" s="1038" t="s">
        <v>1323</v>
      </c>
      <c r="B4014" s="1037">
        <v>26089</v>
      </c>
      <c r="C4014" s="872">
        <v>8</v>
      </c>
    </row>
    <row r="4015" spans="1:3">
      <c r="A4015" s="1038" t="s">
        <v>1323</v>
      </c>
      <c r="B4015" s="1037">
        <v>20256</v>
      </c>
      <c r="C4015" s="872">
        <v>8</v>
      </c>
    </row>
    <row r="4016" spans="1:3">
      <c r="A4016" s="1038" t="s">
        <v>1324</v>
      </c>
      <c r="B4016" s="1037">
        <v>34094</v>
      </c>
      <c r="C4016" s="872">
        <v>7</v>
      </c>
    </row>
    <row r="4017" spans="1:3">
      <c r="A4017" s="1038" t="s">
        <v>1324</v>
      </c>
      <c r="B4017" s="1037">
        <v>32987</v>
      </c>
      <c r="C4017" s="872">
        <v>7</v>
      </c>
    </row>
    <row r="4018" spans="1:3">
      <c r="A4018" s="1038" t="s">
        <v>1324</v>
      </c>
      <c r="B4018" s="1037">
        <v>26042</v>
      </c>
      <c r="C4018" s="872">
        <v>7</v>
      </c>
    </row>
    <row r="4019" spans="1:3">
      <c r="A4019" s="1038" t="s">
        <v>1324</v>
      </c>
      <c r="B4019" s="1037">
        <v>24656</v>
      </c>
      <c r="C4019" s="872">
        <v>7</v>
      </c>
    </row>
    <row r="4020" spans="1:3">
      <c r="A4020" s="1038" t="s">
        <v>1324</v>
      </c>
      <c r="B4020" s="1037">
        <v>22793</v>
      </c>
      <c r="C4020" s="872">
        <v>7</v>
      </c>
    </row>
    <row r="4021" spans="1:3">
      <c r="A4021" s="1038" t="s">
        <v>1325</v>
      </c>
      <c r="B4021" s="1037">
        <v>38514</v>
      </c>
      <c r="C4021" s="872">
        <v>6</v>
      </c>
    </row>
    <row r="4022" spans="1:3">
      <c r="A4022" s="1038" t="s">
        <v>1325</v>
      </c>
      <c r="B4022" s="1037">
        <v>37040</v>
      </c>
      <c r="C4022" s="872">
        <v>6</v>
      </c>
    </row>
    <row r="4023" spans="1:3">
      <c r="A4023" s="1038" t="s">
        <v>1325</v>
      </c>
      <c r="B4023" s="1037">
        <v>36991</v>
      </c>
      <c r="C4023" s="872">
        <v>6</v>
      </c>
    </row>
    <row r="4024" spans="1:3">
      <c r="A4024" s="1038" t="s">
        <v>1325</v>
      </c>
      <c r="B4024" s="1037">
        <v>31539</v>
      </c>
      <c r="C4024" s="872">
        <v>6</v>
      </c>
    </row>
    <row r="4025" spans="1:3">
      <c r="A4025" s="1038" t="s">
        <v>1325</v>
      </c>
      <c r="B4025" s="1037">
        <v>30080</v>
      </c>
      <c r="C4025" s="872">
        <v>6</v>
      </c>
    </row>
    <row r="4026" spans="1:3">
      <c r="A4026" s="1038" t="s">
        <v>1325</v>
      </c>
      <c r="B4026" s="1037">
        <v>28262</v>
      </c>
      <c r="C4026" s="872">
        <v>6</v>
      </c>
    </row>
    <row r="4027" spans="1:3">
      <c r="A4027" s="1038" t="s">
        <v>1325</v>
      </c>
      <c r="B4027" s="1037">
        <v>24597</v>
      </c>
      <c r="C4027" s="872">
        <v>6</v>
      </c>
    </row>
    <row r="4028" spans="1:3">
      <c r="A4028" s="1038" t="s">
        <v>1325</v>
      </c>
      <c r="B4028" s="1037">
        <v>42110</v>
      </c>
      <c r="C4028" s="872">
        <v>6</v>
      </c>
    </row>
    <row r="4029" spans="1:3"/>
    <row r="4030" spans="1:3"/>
    <row r="4031" spans="1:3"/>
    <row r="4032" spans="1:3"/>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sheetData>
  <customSheetViews>
    <customSheetView guid="{CFA9FB8A-52FF-44B9-AE70-27339693E196}">
      <selection activeCell="B3" sqref="B3"/>
      <rowBreaks count="13" manualBreakCount="13">
        <brk id="33" max="16383" man="1"/>
        <brk id="61" max="16383" man="1"/>
        <brk id="89" max="16383" man="1"/>
        <brk id="117" max="16383" man="1"/>
        <brk id="145" max="16383" man="1"/>
        <brk id="173" max="16383" man="1"/>
        <brk id="210" max="16383" man="1"/>
        <brk id="237" max="16383" man="1"/>
        <brk id="253" max="16383" man="1"/>
        <brk id="292" max="16383" man="1"/>
        <brk id="328" max="16383" man="1"/>
        <brk id="357" max="16383" man="1"/>
        <brk id="388" max="16383" man="1"/>
      </rowBreaks>
      <pageMargins left="0.7" right="0.7" top="0.75" bottom="0.75" header="0.3" footer="0.3"/>
      <pageSetup scale="64" orientation="portrait" r:id="rId1"/>
    </customSheetView>
  </customSheetViews>
  <mergeCells count="17">
    <mergeCell ref="C251:D251"/>
    <mergeCell ref="A1:K1"/>
    <mergeCell ref="A3991:E3991"/>
    <mergeCell ref="C245:D245"/>
    <mergeCell ref="B241:I241"/>
    <mergeCell ref="C246:D246"/>
    <mergeCell ref="C248:D248"/>
    <mergeCell ref="E244:F244"/>
    <mergeCell ref="G244:H244"/>
    <mergeCell ref="C243:D243"/>
    <mergeCell ref="E243:F243"/>
    <mergeCell ref="G243:H243"/>
    <mergeCell ref="C244:D244"/>
    <mergeCell ref="C252:D252"/>
    <mergeCell ref="C247:D247"/>
    <mergeCell ref="C249:D249"/>
    <mergeCell ref="C250:D250"/>
  </mergeCells>
  <printOptions horizontalCentered="1"/>
  <pageMargins left="0.7" right="0.7" top="1.25" bottom="0.5" header="0.3" footer="0"/>
  <pageSetup scale="82" firstPageNumber="90" orientation="portrait" r:id="rId2"/>
  <headerFooter scaleWithDoc="0">
    <oddFooter>&amp;CPage &amp;P of 172</oddFooter>
  </headerFooter>
  <rowBreaks count="15" manualBreakCount="15">
    <brk id="5" max="11" man="1"/>
    <brk id="35" max="11" man="1"/>
    <brk id="63" max="11" man="1"/>
    <brk id="91" max="11" man="1"/>
    <brk id="119" max="11" man="1"/>
    <brk id="147" max="11" man="1"/>
    <brk id="176" max="11" man="1"/>
    <brk id="211" max="16383" man="1"/>
    <brk id="239" max="11" man="1"/>
    <brk id="256" max="11" man="1"/>
    <brk id="267" max="11" man="1"/>
    <brk id="295" max="11" man="1"/>
    <brk id="303" max="11" man="1"/>
    <brk id="331" max="11" man="1"/>
    <brk id="374" max="11"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MB91"/>
  <sheetViews>
    <sheetView zoomScale="50" zoomScaleNormal="50" workbookViewId="0">
      <pane xSplit="5" ySplit="5" topLeftCell="CS6" activePane="bottomRight" state="frozen"/>
      <selection pane="topRight" activeCell="F1" sqref="F1"/>
      <selection pane="bottomLeft" activeCell="A5" sqref="A5"/>
      <selection pane="bottomRight" activeCell="CS1" sqref="CS1"/>
    </sheetView>
    <sheetView workbookViewId="1">
      <pane xSplit="4" ySplit="5" topLeftCell="JM39" activePane="bottomRight" state="frozen"/>
      <selection pane="topRight" activeCell="E1" sqref="E1"/>
      <selection pane="bottomLeft" activeCell="A6" sqref="A6"/>
      <selection pane="bottomRight" activeCell="MN71" sqref="MN71"/>
    </sheetView>
  </sheetViews>
  <sheetFormatPr defaultColWidth="0" defaultRowHeight="8.25"/>
  <cols>
    <col min="1" max="2" width="5.77734375" style="694" customWidth="1"/>
    <col min="3" max="3" width="1.77734375" style="694" customWidth="1"/>
    <col min="4" max="4" width="5.77734375" style="694" customWidth="1"/>
    <col min="5" max="5" width="1.77734375" style="694" customWidth="1"/>
    <col min="6" max="374" width="1.21875" style="694" customWidth="1"/>
    <col min="375" max="1554" width="0" style="694" hidden="1" customWidth="1"/>
    <col min="1555" max="13184" width="0" style="694" hidden="1"/>
    <col min="13185" max="16384" width="1.21875" style="694" hidden="1"/>
  </cols>
  <sheetData>
    <row r="2" spans="1:371" s="704" customFormat="1" ht="21.75" customHeight="1">
      <c r="G2" s="704">
        <f t="shared" ref="G2:Z2" si="0">+H2-1</f>
        <v>40179</v>
      </c>
      <c r="H2" s="704">
        <f t="shared" si="0"/>
        <v>40180</v>
      </c>
      <c r="I2" s="704">
        <f t="shared" si="0"/>
        <v>40181</v>
      </c>
      <c r="J2" s="704">
        <f t="shared" si="0"/>
        <v>40182</v>
      </c>
      <c r="K2" s="704">
        <f t="shared" si="0"/>
        <v>40183</v>
      </c>
      <c r="L2" s="704">
        <f t="shared" si="0"/>
        <v>40184</v>
      </c>
      <c r="M2" s="704">
        <f t="shared" si="0"/>
        <v>40185</v>
      </c>
      <c r="N2" s="704">
        <f t="shared" si="0"/>
        <v>40186</v>
      </c>
      <c r="O2" s="704">
        <f t="shared" si="0"/>
        <v>40187</v>
      </c>
      <c r="P2" s="704">
        <f t="shared" si="0"/>
        <v>40188</v>
      </c>
      <c r="Q2" s="704">
        <f t="shared" si="0"/>
        <v>40189</v>
      </c>
      <c r="R2" s="704">
        <f t="shared" si="0"/>
        <v>40190</v>
      </c>
      <c r="S2" s="704">
        <f t="shared" si="0"/>
        <v>40191</v>
      </c>
      <c r="T2" s="704">
        <f t="shared" si="0"/>
        <v>40192</v>
      </c>
      <c r="U2" s="704">
        <f t="shared" si="0"/>
        <v>40193</v>
      </c>
      <c r="V2" s="704">
        <f t="shared" si="0"/>
        <v>40194</v>
      </c>
      <c r="W2" s="704">
        <f t="shared" si="0"/>
        <v>40195</v>
      </c>
      <c r="X2" s="704">
        <f t="shared" si="0"/>
        <v>40196</v>
      </c>
      <c r="Y2" s="704">
        <f t="shared" si="0"/>
        <v>40197</v>
      </c>
      <c r="Z2" s="704">
        <f t="shared" si="0"/>
        <v>40198</v>
      </c>
      <c r="AA2" s="704">
        <f t="shared" ref="AA2:BF2" si="1">+AB2-1</f>
        <v>40199</v>
      </c>
      <c r="AB2" s="704">
        <f t="shared" si="1"/>
        <v>40200</v>
      </c>
      <c r="AC2" s="704">
        <f t="shared" si="1"/>
        <v>40201</v>
      </c>
      <c r="AD2" s="704">
        <f t="shared" si="1"/>
        <v>40202</v>
      </c>
      <c r="AE2" s="704">
        <f t="shared" si="1"/>
        <v>40203</v>
      </c>
      <c r="AF2" s="704">
        <f t="shared" si="1"/>
        <v>40204</v>
      </c>
      <c r="AG2" s="704">
        <f t="shared" si="1"/>
        <v>40205</v>
      </c>
      <c r="AH2" s="704">
        <f t="shared" si="1"/>
        <v>40206</v>
      </c>
      <c r="AI2" s="704">
        <f t="shared" si="1"/>
        <v>40207</v>
      </c>
      <c r="AJ2" s="704">
        <f t="shared" si="1"/>
        <v>40208</v>
      </c>
      <c r="AK2" s="704">
        <f t="shared" si="1"/>
        <v>40209</v>
      </c>
      <c r="AL2" s="704">
        <f t="shared" si="1"/>
        <v>40210</v>
      </c>
      <c r="AM2" s="704">
        <f t="shared" si="1"/>
        <v>40211</v>
      </c>
      <c r="AN2" s="704">
        <f t="shared" si="1"/>
        <v>40212</v>
      </c>
      <c r="AO2" s="704">
        <f t="shared" si="1"/>
        <v>40213</v>
      </c>
      <c r="AP2" s="704">
        <f t="shared" si="1"/>
        <v>40214</v>
      </c>
      <c r="AQ2" s="704">
        <f t="shared" si="1"/>
        <v>40215</v>
      </c>
      <c r="AR2" s="704">
        <f t="shared" si="1"/>
        <v>40216</v>
      </c>
      <c r="AS2" s="704">
        <f t="shared" si="1"/>
        <v>40217</v>
      </c>
      <c r="AT2" s="704">
        <f t="shared" si="1"/>
        <v>40218</v>
      </c>
      <c r="AU2" s="704">
        <f t="shared" si="1"/>
        <v>40219</v>
      </c>
      <c r="AV2" s="704">
        <f t="shared" si="1"/>
        <v>40220</v>
      </c>
      <c r="AW2" s="704">
        <f t="shared" si="1"/>
        <v>40221</v>
      </c>
      <c r="AX2" s="704">
        <f t="shared" si="1"/>
        <v>40222</v>
      </c>
      <c r="AY2" s="704">
        <f t="shared" si="1"/>
        <v>40223</v>
      </c>
      <c r="AZ2" s="704">
        <f t="shared" si="1"/>
        <v>40224</v>
      </c>
      <c r="BA2" s="704">
        <f t="shared" si="1"/>
        <v>40225</v>
      </c>
      <c r="BB2" s="704">
        <f t="shared" si="1"/>
        <v>40226</v>
      </c>
      <c r="BC2" s="704">
        <f t="shared" si="1"/>
        <v>40227</v>
      </c>
      <c r="BD2" s="704">
        <f t="shared" si="1"/>
        <v>40228</v>
      </c>
      <c r="BE2" s="704">
        <f t="shared" si="1"/>
        <v>40229</v>
      </c>
      <c r="BF2" s="704">
        <f t="shared" si="1"/>
        <v>40230</v>
      </c>
      <c r="BG2" s="704">
        <f>+BH2-1</f>
        <v>40231</v>
      </c>
      <c r="BH2" s="704">
        <v>40232</v>
      </c>
      <c r="BI2" s="704">
        <f>+BH2+1</f>
        <v>40233</v>
      </c>
      <c r="BJ2" s="704">
        <f t="shared" ref="BJ2:DU2" si="2">+BI2+1</f>
        <v>40234</v>
      </c>
      <c r="BK2" s="704">
        <f t="shared" si="2"/>
        <v>40235</v>
      </c>
      <c r="BL2" s="704">
        <f t="shared" si="2"/>
        <v>40236</v>
      </c>
      <c r="BM2" s="704">
        <f t="shared" si="2"/>
        <v>40237</v>
      </c>
      <c r="BN2" s="704">
        <f t="shared" si="2"/>
        <v>40238</v>
      </c>
      <c r="BO2" s="704">
        <f t="shared" si="2"/>
        <v>40239</v>
      </c>
      <c r="BP2" s="704">
        <f t="shared" si="2"/>
        <v>40240</v>
      </c>
      <c r="BQ2" s="704">
        <f t="shared" si="2"/>
        <v>40241</v>
      </c>
      <c r="BR2" s="704">
        <f t="shared" si="2"/>
        <v>40242</v>
      </c>
      <c r="BS2" s="704">
        <f t="shared" si="2"/>
        <v>40243</v>
      </c>
      <c r="BT2" s="704">
        <f t="shared" si="2"/>
        <v>40244</v>
      </c>
      <c r="BU2" s="704">
        <f t="shared" si="2"/>
        <v>40245</v>
      </c>
      <c r="BV2" s="704">
        <f t="shared" si="2"/>
        <v>40246</v>
      </c>
      <c r="BW2" s="704">
        <f t="shared" si="2"/>
        <v>40247</v>
      </c>
      <c r="BX2" s="704">
        <f t="shared" si="2"/>
        <v>40248</v>
      </c>
      <c r="BY2" s="704">
        <f t="shared" si="2"/>
        <v>40249</v>
      </c>
      <c r="BZ2" s="704">
        <f t="shared" si="2"/>
        <v>40250</v>
      </c>
      <c r="CA2" s="704">
        <f t="shared" si="2"/>
        <v>40251</v>
      </c>
      <c r="CB2" s="704">
        <f t="shared" si="2"/>
        <v>40252</v>
      </c>
      <c r="CC2" s="704">
        <f t="shared" si="2"/>
        <v>40253</v>
      </c>
      <c r="CD2" s="704">
        <f t="shared" si="2"/>
        <v>40254</v>
      </c>
      <c r="CE2" s="704">
        <f t="shared" si="2"/>
        <v>40255</v>
      </c>
      <c r="CF2" s="704">
        <f t="shared" si="2"/>
        <v>40256</v>
      </c>
      <c r="CG2" s="704">
        <f t="shared" si="2"/>
        <v>40257</v>
      </c>
      <c r="CH2" s="704">
        <f t="shared" si="2"/>
        <v>40258</v>
      </c>
      <c r="CI2" s="704">
        <f t="shared" si="2"/>
        <v>40259</v>
      </c>
      <c r="CJ2" s="704">
        <f t="shared" si="2"/>
        <v>40260</v>
      </c>
      <c r="CK2" s="704">
        <f t="shared" si="2"/>
        <v>40261</v>
      </c>
      <c r="CL2" s="704">
        <f t="shared" si="2"/>
        <v>40262</v>
      </c>
      <c r="CM2" s="704">
        <f t="shared" si="2"/>
        <v>40263</v>
      </c>
      <c r="CN2" s="704">
        <f t="shared" si="2"/>
        <v>40264</v>
      </c>
      <c r="CO2" s="704">
        <f t="shared" si="2"/>
        <v>40265</v>
      </c>
      <c r="CP2" s="704">
        <f t="shared" si="2"/>
        <v>40266</v>
      </c>
      <c r="CQ2" s="704">
        <f t="shared" si="2"/>
        <v>40267</v>
      </c>
      <c r="CR2" s="704">
        <f t="shared" si="2"/>
        <v>40268</v>
      </c>
      <c r="CS2" s="704">
        <f t="shared" si="2"/>
        <v>40269</v>
      </c>
      <c r="CT2" s="704">
        <f t="shared" si="2"/>
        <v>40270</v>
      </c>
      <c r="CU2" s="704">
        <f t="shared" si="2"/>
        <v>40271</v>
      </c>
      <c r="CV2" s="704">
        <f t="shared" si="2"/>
        <v>40272</v>
      </c>
      <c r="CW2" s="704">
        <f t="shared" si="2"/>
        <v>40273</v>
      </c>
      <c r="CX2" s="704">
        <f t="shared" si="2"/>
        <v>40274</v>
      </c>
      <c r="CY2" s="704">
        <f t="shared" si="2"/>
        <v>40275</v>
      </c>
      <c r="CZ2" s="704">
        <f t="shared" si="2"/>
        <v>40276</v>
      </c>
      <c r="DA2" s="704">
        <f t="shared" si="2"/>
        <v>40277</v>
      </c>
      <c r="DB2" s="704">
        <f t="shared" si="2"/>
        <v>40278</v>
      </c>
      <c r="DC2" s="704">
        <f t="shared" si="2"/>
        <v>40279</v>
      </c>
      <c r="DD2" s="704">
        <f t="shared" si="2"/>
        <v>40280</v>
      </c>
      <c r="DE2" s="704">
        <f t="shared" si="2"/>
        <v>40281</v>
      </c>
      <c r="DF2" s="704">
        <f t="shared" si="2"/>
        <v>40282</v>
      </c>
      <c r="DG2" s="704">
        <f t="shared" si="2"/>
        <v>40283</v>
      </c>
      <c r="DH2" s="704">
        <f t="shared" si="2"/>
        <v>40284</v>
      </c>
      <c r="DI2" s="704">
        <f t="shared" si="2"/>
        <v>40285</v>
      </c>
      <c r="DJ2" s="704">
        <f t="shared" si="2"/>
        <v>40286</v>
      </c>
      <c r="DK2" s="705">
        <f t="shared" si="2"/>
        <v>40287</v>
      </c>
      <c r="DL2" s="705">
        <f t="shared" si="2"/>
        <v>40288</v>
      </c>
      <c r="DM2" s="705">
        <f t="shared" si="2"/>
        <v>40289</v>
      </c>
      <c r="DN2" s="705">
        <f t="shared" si="2"/>
        <v>40290</v>
      </c>
      <c r="DO2" s="705">
        <f t="shared" si="2"/>
        <v>40291</v>
      </c>
      <c r="DP2" s="705">
        <f t="shared" si="2"/>
        <v>40292</v>
      </c>
      <c r="DQ2" s="705">
        <f t="shared" si="2"/>
        <v>40293</v>
      </c>
      <c r="DR2" s="705">
        <f t="shared" si="2"/>
        <v>40294</v>
      </c>
      <c r="DS2" s="705">
        <f t="shared" si="2"/>
        <v>40295</v>
      </c>
      <c r="DT2" s="705">
        <f t="shared" si="2"/>
        <v>40296</v>
      </c>
      <c r="DU2" s="705">
        <f t="shared" si="2"/>
        <v>40297</v>
      </c>
      <c r="DV2" s="705">
        <f t="shared" ref="DV2:GG2" si="3">+DU2+1</f>
        <v>40298</v>
      </c>
      <c r="DW2" s="705">
        <f t="shared" si="3"/>
        <v>40299</v>
      </c>
      <c r="DX2" s="705">
        <f t="shared" si="3"/>
        <v>40300</v>
      </c>
      <c r="DY2" s="705">
        <f t="shared" si="3"/>
        <v>40301</v>
      </c>
      <c r="DZ2" s="705">
        <f t="shared" si="3"/>
        <v>40302</v>
      </c>
      <c r="EA2" s="705">
        <f t="shared" si="3"/>
        <v>40303</v>
      </c>
      <c r="EB2" s="705">
        <f t="shared" si="3"/>
        <v>40304</v>
      </c>
      <c r="EC2" s="705">
        <f t="shared" si="3"/>
        <v>40305</v>
      </c>
      <c r="ED2" s="705">
        <f t="shared" si="3"/>
        <v>40306</v>
      </c>
      <c r="EE2" s="705">
        <f t="shared" si="3"/>
        <v>40307</v>
      </c>
      <c r="EF2" s="705">
        <f t="shared" si="3"/>
        <v>40308</v>
      </c>
      <c r="EG2" s="705">
        <f t="shared" si="3"/>
        <v>40309</v>
      </c>
      <c r="EH2" s="705">
        <f t="shared" si="3"/>
        <v>40310</v>
      </c>
      <c r="EI2" s="705">
        <f t="shared" si="3"/>
        <v>40311</v>
      </c>
      <c r="EJ2" s="705">
        <f t="shared" si="3"/>
        <v>40312</v>
      </c>
      <c r="EK2" s="705">
        <f t="shared" si="3"/>
        <v>40313</v>
      </c>
      <c r="EL2" s="705">
        <f t="shared" si="3"/>
        <v>40314</v>
      </c>
      <c r="EM2" s="705">
        <f t="shared" si="3"/>
        <v>40315</v>
      </c>
      <c r="EN2" s="705">
        <f t="shared" si="3"/>
        <v>40316</v>
      </c>
      <c r="EO2" s="705">
        <f t="shared" si="3"/>
        <v>40317</v>
      </c>
      <c r="EP2" s="705">
        <f t="shared" si="3"/>
        <v>40318</v>
      </c>
      <c r="EQ2" s="705">
        <f t="shared" si="3"/>
        <v>40319</v>
      </c>
      <c r="ER2" s="705">
        <f t="shared" si="3"/>
        <v>40320</v>
      </c>
      <c r="ES2" s="705">
        <f t="shared" si="3"/>
        <v>40321</v>
      </c>
      <c r="ET2" s="705">
        <f t="shared" si="3"/>
        <v>40322</v>
      </c>
      <c r="EU2" s="705">
        <f t="shared" si="3"/>
        <v>40323</v>
      </c>
      <c r="EV2" s="705">
        <f t="shared" si="3"/>
        <v>40324</v>
      </c>
      <c r="EW2" s="705">
        <f t="shared" si="3"/>
        <v>40325</v>
      </c>
      <c r="EX2" s="705">
        <f t="shared" si="3"/>
        <v>40326</v>
      </c>
      <c r="EY2" s="705">
        <f t="shared" si="3"/>
        <v>40327</v>
      </c>
      <c r="EZ2" s="705">
        <f t="shared" si="3"/>
        <v>40328</v>
      </c>
      <c r="FA2" s="705">
        <f t="shared" si="3"/>
        <v>40329</v>
      </c>
      <c r="FB2" s="705">
        <f t="shared" si="3"/>
        <v>40330</v>
      </c>
      <c r="FC2" s="705">
        <f t="shared" si="3"/>
        <v>40331</v>
      </c>
      <c r="FD2" s="705">
        <f t="shared" si="3"/>
        <v>40332</v>
      </c>
      <c r="FE2" s="705">
        <f t="shared" si="3"/>
        <v>40333</v>
      </c>
      <c r="FF2" s="705">
        <f t="shared" si="3"/>
        <v>40334</v>
      </c>
      <c r="FG2" s="705">
        <f t="shared" si="3"/>
        <v>40335</v>
      </c>
      <c r="FH2" s="705">
        <f t="shared" si="3"/>
        <v>40336</v>
      </c>
      <c r="FI2" s="705">
        <f t="shared" si="3"/>
        <v>40337</v>
      </c>
      <c r="FJ2" s="705">
        <f t="shared" si="3"/>
        <v>40338</v>
      </c>
      <c r="FK2" s="705">
        <f t="shared" si="3"/>
        <v>40339</v>
      </c>
      <c r="FL2" s="705">
        <f t="shared" si="3"/>
        <v>40340</v>
      </c>
      <c r="FM2" s="705">
        <f t="shared" si="3"/>
        <v>40341</v>
      </c>
      <c r="FN2" s="705">
        <f t="shared" si="3"/>
        <v>40342</v>
      </c>
      <c r="FO2" s="705">
        <f t="shared" si="3"/>
        <v>40343</v>
      </c>
      <c r="FP2" s="705">
        <f t="shared" si="3"/>
        <v>40344</v>
      </c>
      <c r="FQ2" s="705">
        <f t="shared" si="3"/>
        <v>40345</v>
      </c>
      <c r="FR2" s="705">
        <f t="shared" si="3"/>
        <v>40346</v>
      </c>
      <c r="FS2" s="705">
        <f t="shared" si="3"/>
        <v>40347</v>
      </c>
      <c r="FT2" s="705">
        <f t="shared" si="3"/>
        <v>40348</v>
      </c>
      <c r="FU2" s="705">
        <f t="shared" si="3"/>
        <v>40349</v>
      </c>
      <c r="FV2" s="705">
        <f t="shared" si="3"/>
        <v>40350</v>
      </c>
      <c r="FW2" s="705">
        <f t="shared" si="3"/>
        <v>40351</v>
      </c>
      <c r="FX2" s="705">
        <f t="shared" si="3"/>
        <v>40352</v>
      </c>
      <c r="FY2" s="705">
        <f t="shared" si="3"/>
        <v>40353</v>
      </c>
      <c r="FZ2" s="705">
        <f t="shared" si="3"/>
        <v>40354</v>
      </c>
      <c r="GA2" s="705">
        <f t="shared" si="3"/>
        <v>40355</v>
      </c>
      <c r="GB2" s="705">
        <f t="shared" si="3"/>
        <v>40356</v>
      </c>
      <c r="GC2" s="705">
        <f t="shared" si="3"/>
        <v>40357</v>
      </c>
      <c r="GD2" s="705">
        <f t="shared" si="3"/>
        <v>40358</v>
      </c>
      <c r="GE2" s="705">
        <f t="shared" si="3"/>
        <v>40359</v>
      </c>
      <c r="GF2" s="705">
        <f t="shared" si="3"/>
        <v>40360</v>
      </c>
      <c r="GG2" s="705">
        <f t="shared" si="3"/>
        <v>40361</v>
      </c>
      <c r="GH2" s="705">
        <f t="shared" ref="GH2:IS2" si="4">+GG2+1</f>
        <v>40362</v>
      </c>
      <c r="GI2" s="705">
        <f t="shared" si="4"/>
        <v>40363</v>
      </c>
      <c r="GJ2" s="705">
        <f t="shared" si="4"/>
        <v>40364</v>
      </c>
      <c r="GK2" s="705">
        <f t="shared" si="4"/>
        <v>40365</v>
      </c>
      <c r="GL2" s="705">
        <f t="shared" si="4"/>
        <v>40366</v>
      </c>
      <c r="GM2" s="705">
        <f t="shared" si="4"/>
        <v>40367</v>
      </c>
      <c r="GN2" s="705">
        <f t="shared" si="4"/>
        <v>40368</v>
      </c>
      <c r="GO2" s="705">
        <f t="shared" si="4"/>
        <v>40369</v>
      </c>
      <c r="GP2" s="705">
        <f t="shared" si="4"/>
        <v>40370</v>
      </c>
      <c r="GQ2" s="705">
        <f t="shared" si="4"/>
        <v>40371</v>
      </c>
      <c r="GR2" s="705">
        <f t="shared" si="4"/>
        <v>40372</v>
      </c>
      <c r="GS2" s="705">
        <f t="shared" si="4"/>
        <v>40373</v>
      </c>
      <c r="GT2" s="705">
        <f t="shared" si="4"/>
        <v>40374</v>
      </c>
      <c r="GU2" s="705">
        <f t="shared" si="4"/>
        <v>40375</v>
      </c>
      <c r="GV2" s="705">
        <f t="shared" si="4"/>
        <v>40376</v>
      </c>
      <c r="GW2" s="705">
        <f t="shared" si="4"/>
        <v>40377</v>
      </c>
      <c r="GX2" s="705">
        <f t="shared" si="4"/>
        <v>40378</v>
      </c>
      <c r="GY2" s="705">
        <f t="shared" si="4"/>
        <v>40379</v>
      </c>
      <c r="GZ2" s="705">
        <f t="shared" si="4"/>
        <v>40380</v>
      </c>
      <c r="HA2" s="705">
        <f t="shared" si="4"/>
        <v>40381</v>
      </c>
      <c r="HB2" s="705">
        <f t="shared" si="4"/>
        <v>40382</v>
      </c>
      <c r="HC2" s="705">
        <f t="shared" si="4"/>
        <v>40383</v>
      </c>
      <c r="HD2" s="705">
        <f t="shared" si="4"/>
        <v>40384</v>
      </c>
      <c r="HE2" s="705">
        <f t="shared" si="4"/>
        <v>40385</v>
      </c>
      <c r="HF2" s="705">
        <f t="shared" si="4"/>
        <v>40386</v>
      </c>
      <c r="HG2" s="705">
        <f t="shared" si="4"/>
        <v>40387</v>
      </c>
      <c r="HH2" s="705">
        <f t="shared" si="4"/>
        <v>40388</v>
      </c>
      <c r="HI2" s="705">
        <f t="shared" si="4"/>
        <v>40389</v>
      </c>
      <c r="HJ2" s="705">
        <f t="shared" si="4"/>
        <v>40390</v>
      </c>
      <c r="HK2" s="705">
        <f t="shared" si="4"/>
        <v>40391</v>
      </c>
      <c r="HL2" s="705">
        <f t="shared" si="4"/>
        <v>40392</v>
      </c>
      <c r="HM2" s="705">
        <f t="shared" si="4"/>
        <v>40393</v>
      </c>
      <c r="HN2" s="705">
        <f t="shared" si="4"/>
        <v>40394</v>
      </c>
      <c r="HO2" s="705">
        <f t="shared" si="4"/>
        <v>40395</v>
      </c>
      <c r="HP2" s="705">
        <f t="shared" si="4"/>
        <v>40396</v>
      </c>
      <c r="HQ2" s="705">
        <f t="shared" si="4"/>
        <v>40397</v>
      </c>
      <c r="HR2" s="705">
        <f t="shared" si="4"/>
        <v>40398</v>
      </c>
      <c r="HS2" s="704">
        <f t="shared" si="4"/>
        <v>40399</v>
      </c>
      <c r="HT2" s="704">
        <f t="shared" si="4"/>
        <v>40400</v>
      </c>
      <c r="HU2" s="704">
        <f t="shared" si="4"/>
        <v>40401</v>
      </c>
      <c r="HV2" s="704">
        <f t="shared" si="4"/>
        <v>40402</v>
      </c>
      <c r="HW2" s="704">
        <f t="shared" si="4"/>
        <v>40403</v>
      </c>
      <c r="HX2" s="704">
        <f t="shared" si="4"/>
        <v>40404</v>
      </c>
      <c r="HY2" s="704">
        <f t="shared" si="4"/>
        <v>40405</v>
      </c>
      <c r="HZ2" s="704">
        <f t="shared" si="4"/>
        <v>40406</v>
      </c>
      <c r="IA2" s="704">
        <f t="shared" si="4"/>
        <v>40407</v>
      </c>
      <c r="IB2" s="704">
        <f t="shared" si="4"/>
        <v>40408</v>
      </c>
      <c r="IC2" s="704">
        <f t="shared" si="4"/>
        <v>40409</v>
      </c>
      <c r="ID2" s="704">
        <f t="shared" si="4"/>
        <v>40410</v>
      </c>
      <c r="IE2" s="704">
        <f t="shared" si="4"/>
        <v>40411</v>
      </c>
      <c r="IF2" s="704">
        <f t="shared" si="4"/>
        <v>40412</v>
      </c>
      <c r="IG2" s="704">
        <f t="shared" si="4"/>
        <v>40413</v>
      </c>
      <c r="IH2" s="704">
        <f t="shared" si="4"/>
        <v>40414</v>
      </c>
      <c r="II2" s="704">
        <f t="shared" si="4"/>
        <v>40415</v>
      </c>
      <c r="IJ2" s="704">
        <f t="shared" si="4"/>
        <v>40416</v>
      </c>
      <c r="IK2" s="704">
        <f t="shared" si="4"/>
        <v>40417</v>
      </c>
      <c r="IL2" s="704">
        <f t="shared" si="4"/>
        <v>40418</v>
      </c>
      <c r="IM2" s="704">
        <f t="shared" si="4"/>
        <v>40419</v>
      </c>
      <c r="IN2" s="704">
        <f t="shared" si="4"/>
        <v>40420</v>
      </c>
      <c r="IO2" s="704">
        <f t="shared" si="4"/>
        <v>40421</v>
      </c>
      <c r="IP2" s="704">
        <f t="shared" si="4"/>
        <v>40422</v>
      </c>
      <c r="IQ2" s="704">
        <f t="shared" si="4"/>
        <v>40423</v>
      </c>
      <c r="IR2" s="704">
        <f t="shared" si="4"/>
        <v>40424</v>
      </c>
      <c r="IS2" s="704">
        <f t="shared" si="4"/>
        <v>40425</v>
      </c>
      <c r="IT2" s="704">
        <f t="shared" ref="IT2:KX2" si="5">+IS2+1</f>
        <v>40426</v>
      </c>
      <c r="IU2" s="704">
        <f t="shared" si="5"/>
        <v>40427</v>
      </c>
      <c r="IV2" s="704">
        <f t="shared" si="5"/>
        <v>40428</v>
      </c>
      <c r="IW2" s="704">
        <f t="shared" si="5"/>
        <v>40429</v>
      </c>
      <c r="IX2" s="704">
        <f t="shared" si="5"/>
        <v>40430</v>
      </c>
      <c r="IY2" s="704">
        <f t="shared" si="5"/>
        <v>40431</v>
      </c>
      <c r="IZ2" s="704">
        <f t="shared" si="5"/>
        <v>40432</v>
      </c>
      <c r="JA2" s="704">
        <f t="shared" si="5"/>
        <v>40433</v>
      </c>
      <c r="JB2" s="704">
        <f t="shared" si="5"/>
        <v>40434</v>
      </c>
      <c r="JC2" s="704">
        <f t="shared" si="5"/>
        <v>40435</v>
      </c>
      <c r="JD2" s="704">
        <f t="shared" si="5"/>
        <v>40436</v>
      </c>
      <c r="JE2" s="704">
        <f t="shared" si="5"/>
        <v>40437</v>
      </c>
      <c r="JF2" s="704">
        <f t="shared" si="5"/>
        <v>40438</v>
      </c>
      <c r="JG2" s="704">
        <f t="shared" si="5"/>
        <v>40439</v>
      </c>
      <c r="JH2" s="704">
        <f t="shared" si="5"/>
        <v>40440</v>
      </c>
      <c r="JI2" s="704">
        <f t="shared" si="5"/>
        <v>40441</v>
      </c>
      <c r="JJ2" s="704">
        <f t="shared" si="5"/>
        <v>40442</v>
      </c>
      <c r="JK2" s="704">
        <f t="shared" si="5"/>
        <v>40443</v>
      </c>
      <c r="JL2" s="704">
        <f t="shared" si="5"/>
        <v>40444</v>
      </c>
      <c r="JM2" s="704">
        <f t="shared" si="5"/>
        <v>40445</v>
      </c>
      <c r="JN2" s="704">
        <f t="shared" si="5"/>
        <v>40446</v>
      </c>
      <c r="JO2" s="704">
        <f t="shared" si="5"/>
        <v>40447</v>
      </c>
      <c r="JP2" s="704">
        <f t="shared" si="5"/>
        <v>40448</v>
      </c>
      <c r="JQ2" s="704">
        <f t="shared" si="5"/>
        <v>40449</v>
      </c>
      <c r="JR2" s="704">
        <f t="shared" si="5"/>
        <v>40450</v>
      </c>
      <c r="JS2" s="704">
        <f t="shared" si="5"/>
        <v>40451</v>
      </c>
      <c r="JT2" s="704">
        <f t="shared" si="5"/>
        <v>40452</v>
      </c>
      <c r="JU2" s="704">
        <f t="shared" si="5"/>
        <v>40453</v>
      </c>
      <c r="JV2" s="704">
        <f t="shared" si="5"/>
        <v>40454</v>
      </c>
      <c r="JW2" s="704">
        <f t="shared" si="5"/>
        <v>40455</v>
      </c>
      <c r="JX2" s="704">
        <f t="shared" si="5"/>
        <v>40456</v>
      </c>
      <c r="JY2" s="704">
        <f t="shared" si="5"/>
        <v>40457</v>
      </c>
      <c r="JZ2" s="704">
        <f t="shared" si="5"/>
        <v>40458</v>
      </c>
      <c r="KA2" s="704">
        <f t="shared" si="5"/>
        <v>40459</v>
      </c>
      <c r="KB2" s="704">
        <f t="shared" si="5"/>
        <v>40460</v>
      </c>
      <c r="KC2" s="704">
        <f t="shared" si="5"/>
        <v>40461</v>
      </c>
      <c r="KD2" s="704">
        <f t="shared" si="5"/>
        <v>40462</v>
      </c>
      <c r="KE2" s="704">
        <f t="shared" si="5"/>
        <v>40463</v>
      </c>
      <c r="KF2" s="704">
        <f t="shared" si="5"/>
        <v>40464</v>
      </c>
      <c r="KG2" s="704">
        <f t="shared" si="5"/>
        <v>40465</v>
      </c>
      <c r="KH2" s="704">
        <f t="shared" si="5"/>
        <v>40466</v>
      </c>
      <c r="KI2" s="704">
        <f t="shared" si="5"/>
        <v>40467</v>
      </c>
      <c r="KJ2" s="704">
        <f t="shared" si="5"/>
        <v>40468</v>
      </c>
      <c r="KK2" s="704">
        <f t="shared" si="5"/>
        <v>40469</v>
      </c>
      <c r="KL2" s="704">
        <f t="shared" si="5"/>
        <v>40470</v>
      </c>
      <c r="KM2" s="704">
        <f t="shared" si="5"/>
        <v>40471</v>
      </c>
      <c r="KN2" s="704">
        <f t="shared" si="5"/>
        <v>40472</v>
      </c>
      <c r="KO2" s="704">
        <f t="shared" si="5"/>
        <v>40473</v>
      </c>
      <c r="KP2" s="704">
        <f t="shared" si="5"/>
        <v>40474</v>
      </c>
      <c r="KQ2" s="704">
        <f t="shared" si="5"/>
        <v>40475</v>
      </c>
      <c r="KR2" s="704">
        <f t="shared" si="5"/>
        <v>40476</v>
      </c>
      <c r="KS2" s="704">
        <f t="shared" si="5"/>
        <v>40477</v>
      </c>
      <c r="KT2" s="704">
        <f t="shared" si="5"/>
        <v>40478</v>
      </c>
      <c r="KU2" s="704">
        <f t="shared" si="5"/>
        <v>40479</v>
      </c>
      <c r="KV2" s="704">
        <f t="shared" si="5"/>
        <v>40480</v>
      </c>
      <c r="KW2" s="704">
        <f t="shared" si="5"/>
        <v>40481</v>
      </c>
      <c r="KX2" s="704">
        <f t="shared" si="5"/>
        <v>40482</v>
      </c>
      <c r="KY2" s="704">
        <f t="shared" ref="KY2" si="6">+KX2+1</f>
        <v>40483</v>
      </c>
      <c r="KZ2" s="704">
        <f t="shared" ref="KZ2" si="7">+KY2+1</f>
        <v>40484</v>
      </c>
      <c r="LA2" s="704">
        <f t="shared" ref="LA2" si="8">+KZ2+1</f>
        <v>40485</v>
      </c>
      <c r="LB2" s="704">
        <f t="shared" ref="LB2" si="9">+LA2+1</f>
        <v>40486</v>
      </c>
      <c r="LC2" s="704">
        <f t="shared" ref="LC2" si="10">+LB2+1</f>
        <v>40487</v>
      </c>
      <c r="LD2" s="704">
        <f t="shared" ref="LD2" si="11">+LC2+1</f>
        <v>40488</v>
      </c>
      <c r="LE2" s="704">
        <f t="shared" ref="LE2" si="12">+LD2+1</f>
        <v>40489</v>
      </c>
      <c r="LF2" s="704">
        <f t="shared" ref="LF2" si="13">+LE2+1</f>
        <v>40490</v>
      </c>
      <c r="LG2" s="704">
        <f t="shared" ref="LG2" si="14">+LF2+1</f>
        <v>40491</v>
      </c>
      <c r="LH2" s="704">
        <f t="shared" ref="LH2" si="15">+LG2+1</f>
        <v>40492</v>
      </c>
      <c r="LI2" s="704">
        <f t="shared" ref="LI2" si="16">+LH2+1</f>
        <v>40493</v>
      </c>
      <c r="LJ2" s="704">
        <f t="shared" ref="LJ2" si="17">+LI2+1</f>
        <v>40494</v>
      </c>
      <c r="LK2" s="704">
        <f t="shared" ref="LK2" si="18">+LJ2+1</f>
        <v>40495</v>
      </c>
      <c r="LL2" s="704">
        <f t="shared" ref="LL2" si="19">+LK2+1</f>
        <v>40496</v>
      </c>
      <c r="LM2" s="704">
        <f t="shared" ref="LM2" si="20">+LL2+1</f>
        <v>40497</v>
      </c>
      <c r="LN2" s="704">
        <f t="shared" ref="LN2" si="21">+LM2+1</f>
        <v>40498</v>
      </c>
      <c r="LO2" s="704">
        <f t="shared" ref="LO2" si="22">+LN2+1</f>
        <v>40499</v>
      </c>
      <c r="LP2" s="704">
        <f t="shared" ref="LP2" si="23">+LO2+1</f>
        <v>40500</v>
      </c>
      <c r="LQ2" s="704">
        <f t="shared" ref="LQ2" si="24">+LP2+1</f>
        <v>40501</v>
      </c>
      <c r="LR2" s="704">
        <f t="shared" ref="LR2" si="25">+LQ2+1</f>
        <v>40502</v>
      </c>
      <c r="LS2" s="704">
        <f t="shared" ref="LS2" si="26">+LR2+1</f>
        <v>40503</v>
      </c>
      <c r="LT2" s="704">
        <f t="shared" ref="LT2" si="27">+LS2+1</f>
        <v>40504</v>
      </c>
      <c r="LU2" s="704">
        <f t="shared" ref="LU2" si="28">+LT2+1</f>
        <v>40505</v>
      </c>
      <c r="LV2" s="704">
        <f t="shared" ref="LV2" si="29">+LU2+1</f>
        <v>40506</v>
      </c>
      <c r="LW2" s="704">
        <f t="shared" ref="LW2" si="30">+LV2+1</f>
        <v>40507</v>
      </c>
      <c r="LX2" s="704">
        <f t="shared" ref="LX2" si="31">+LW2+1</f>
        <v>40508</v>
      </c>
      <c r="LY2" s="704">
        <f t="shared" ref="LY2" si="32">+LX2+1</f>
        <v>40509</v>
      </c>
      <c r="LZ2" s="704">
        <f t="shared" ref="LZ2" si="33">+LY2+1</f>
        <v>40510</v>
      </c>
      <c r="MA2" s="704">
        <f t="shared" ref="MA2" si="34">+LZ2+1</f>
        <v>40511</v>
      </c>
      <c r="MB2" s="704">
        <f t="shared" ref="MB2" si="35">+MA2+1</f>
        <v>40512</v>
      </c>
      <c r="MC2" s="704">
        <f t="shared" ref="MC2" si="36">+MB2+1</f>
        <v>40513</v>
      </c>
      <c r="MD2" s="704">
        <f t="shared" ref="MD2" si="37">+MC2+1</f>
        <v>40514</v>
      </c>
      <c r="ME2" s="704">
        <f t="shared" ref="ME2" si="38">+MD2+1</f>
        <v>40515</v>
      </c>
      <c r="MF2" s="704">
        <f t="shared" ref="MF2" si="39">+ME2+1</f>
        <v>40516</v>
      </c>
      <c r="MG2" s="704">
        <f t="shared" ref="MG2" si="40">+MF2+1</f>
        <v>40517</v>
      </c>
      <c r="MH2" s="704">
        <f t="shared" ref="MH2" si="41">+MG2+1</f>
        <v>40518</v>
      </c>
      <c r="MI2" s="704">
        <f t="shared" ref="MI2" si="42">+MH2+1</f>
        <v>40519</v>
      </c>
      <c r="MJ2" s="704">
        <f t="shared" ref="MJ2" si="43">+MI2+1</f>
        <v>40520</v>
      </c>
      <c r="MK2" s="704">
        <f t="shared" ref="MK2" si="44">+MJ2+1</f>
        <v>40521</v>
      </c>
      <c r="ML2" s="704">
        <f t="shared" ref="ML2" si="45">+MK2+1</f>
        <v>40522</v>
      </c>
      <c r="MM2" s="704">
        <f t="shared" ref="MM2" si="46">+ML2+1</f>
        <v>40523</v>
      </c>
      <c r="MN2" s="704">
        <f t="shared" ref="MN2" si="47">+MM2+1</f>
        <v>40524</v>
      </c>
      <c r="MO2" s="704">
        <f t="shared" ref="MO2" si="48">+MN2+1</f>
        <v>40525</v>
      </c>
      <c r="MP2" s="704">
        <f t="shared" ref="MP2" si="49">+MO2+1</f>
        <v>40526</v>
      </c>
      <c r="MQ2" s="704">
        <f t="shared" ref="MQ2" si="50">+MP2+1</f>
        <v>40527</v>
      </c>
      <c r="MR2" s="704">
        <f t="shared" ref="MR2" si="51">+MQ2+1</f>
        <v>40528</v>
      </c>
      <c r="MS2" s="704">
        <f t="shared" ref="MS2" si="52">+MR2+1</f>
        <v>40529</v>
      </c>
      <c r="MT2" s="704">
        <f t="shared" ref="MT2" si="53">+MS2+1</f>
        <v>40530</v>
      </c>
      <c r="MU2" s="704">
        <f t="shared" ref="MU2" si="54">+MT2+1</f>
        <v>40531</v>
      </c>
      <c r="MV2" s="704">
        <f t="shared" ref="MV2" si="55">+MU2+1</f>
        <v>40532</v>
      </c>
      <c r="MW2" s="704">
        <f t="shared" ref="MW2" si="56">+MV2+1</f>
        <v>40533</v>
      </c>
      <c r="MX2" s="704">
        <f t="shared" ref="MX2" si="57">+MW2+1</f>
        <v>40534</v>
      </c>
      <c r="MY2" s="704">
        <f t="shared" ref="MY2" si="58">+MX2+1</f>
        <v>40535</v>
      </c>
      <c r="MZ2" s="704">
        <f t="shared" ref="MZ2" si="59">+MY2+1</f>
        <v>40536</v>
      </c>
      <c r="NA2" s="704">
        <f t="shared" ref="NA2" si="60">+MZ2+1</f>
        <v>40537</v>
      </c>
      <c r="NB2" s="704">
        <f t="shared" ref="NB2" si="61">+NA2+1</f>
        <v>40538</v>
      </c>
      <c r="NC2" s="704">
        <f t="shared" ref="NC2" si="62">+NB2+1</f>
        <v>40539</v>
      </c>
      <c r="ND2" s="704">
        <f t="shared" ref="ND2" si="63">+NC2+1</f>
        <v>40540</v>
      </c>
      <c r="NE2" s="704">
        <f t="shared" ref="NE2" si="64">+ND2+1</f>
        <v>40541</v>
      </c>
      <c r="NF2" s="704">
        <f t="shared" ref="NF2:NG2" si="65">+NE2+1</f>
        <v>40542</v>
      </c>
      <c r="NG2" s="704">
        <f t="shared" si="65"/>
        <v>40543</v>
      </c>
    </row>
    <row r="3" spans="1:371" s="352" customFormat="1" ht="13.5" thickBot="1">
      <c r="A3" s="529" t="s">
        <v>935</v>
      </c>
      <c r="B3" s="690"/>
      <c r="C3" s="690"/>
      <c r="D3" s="690"/>
      <c r="DK3" s="691"/>
      <c r="DL3" s="691"/>
      <c r="DM3" s="691"/>
      <c r="DN3" s="691"/>
      <c r="DO3" s="691"/>
      <c r="DP3" s="691"/>
      <c r="DQ3" s="691"/>
      <c r="DR3" s="691"/>
      <c r="DS3" s="691"/>
      <c r="DT3" s="691"/>
      <c r="DU3" s="691"/>
      <c r="DV3" s="691"/>
      <c r="DW3" s="691"/>
      <c r="DX3" s="691"/>
      <c r="DY3" s="691"/>
      <c r="DZ3" s="691"/>
      <c r="EA3" s="691"/>
      <c r="EB3" s="691"/>
      <c r="EC3" s="691"/>
      <c r="ED3" s="691"/>
      <c r="EE3" s="691"/>
      <c r="EF3" s="691"/>
      <c r="EG3" s="691"/>
      <c r="EH3" s="691"/>
      <c r="EI3" s="691"/>
      <c r="EJ3" s="691"/>
      <c r="EK3" s="691"/>
      <c r="EL3" s="691"/>
      <c r="EM3" s="691"/>
      <c r="EN3" s="691"/>
      <c r="EO3" s="691"/>
      <c r="EP3" s="691"/>
      <c r="EQ3" s="691"/>
      <c r="ER3" s="691"/>
      <c r="ES3" s="691"/>
      <c r="ET3" s="691"/>
      <c r="EU3" s="691"/>
      <c r="EV3" s="691"/>
      <c r="EW3" s="691"/>
      <c r="EX3" s="691"/>
      <c r="EY3" s="691"/>
      <c r="EZ3" s="691"/>
      <c r="FA3" s="691"/>
      <c r="FB3" s="691"/>
      <c r="FC3" s="691"/>
      <c r="FD3" s="691"/>
      <c r="FE3" s="691"/>
      <c r="FF3" s="691"/>
      <c r="FG3" s="691"/>
      <c r="FH3" s="691"/>
      <c r="FI3" s="691"/>
      <c r="FJ3" s="691"/>
      <c r="FK3" s="691"/>
      <c r="FL3" s="691"/>
      <c r="FM3" s="691"/>
      <c r="FN3" s="691"/>
      <c r="FO3" s="691"/>
      <c r="FP3" s="691"/>
      <c r="FQ3" s="691"/>
      <c r="FR3" s="691"/>
      <c r="FS3" s="691"/>
      <c r="FT3" s="691"/>
      <c r="FU3" s="691"/>
      <c r="FV3" s="691"/>
      <c r="FW3" s="691"/>
      <c r="FX3" s="691"/>
      <c r="FY3" s="691"/>
      <c r="FZ3" s="691"/>
      <c r="GA3" s="691"/>
      <c r="GB3" s="691"/>
      <c r="GC3" s="691"/>
      <c r="GD3" s="691"/>
      <c r="GE3" s="691"/>
      <c r="GF3" s="691"/>
      <c r="GG3" s="691"/>
      <c r="GH3" s="691"/>
      <c r="GI3" s="691"/>
      <c r="GJ3" s="691"/>
      <c r="GK3" s="691"/>
      <c r="GL3" s="691"/>
      <c r="GM3" s="691"/>
      <c r="GN3" s="691"/>
      <c r="GO3" s="691"/>
      <c r="GP3" s="691"/>
      <c r="GQ3" s="691"/>
      <c r="GR3" s="691"/>
      <c r="GS3" s="691"/>
      <c r="GT3" s="691"/>
      <c r="GU3" s="691"/>
      <c r="GV3" s="691"/>
      <c r="GW3" s="691"/>
      <c r="GX3" s="691"/>
      <c r="GY3" s="691"/>
      <c r="GZ3" s="691"/>
      <c r="HA3" s="691"/>
      <c r="HB3" s="691"/>
      <c r="HC3" s="691"/>
      <c r="HD3" s="691"/>
      <c r="HE3" s="691"/>
      <c r="HF3" s="691"/>
      <c r="HG3" s="691"/>
      <c r="HH3" s="691"/>
      <c r="HI3" s="691"/>
      <c r="HJ3" s="691"/>
      <c r="HK3" s="691"/>
      <c r="HL3" s="691"/>
      <c r="HM3" s="691"/>
      <c r="HN3" s="691"/>
      <c r="HO3" s="691"/>
      <c r="HP3" s="691"/>
      <c r="HQ3" s="691"/>
      <c r="HR3" s="691"/>
    </row>
    <row r="4" spans="1:371" s="352" customFormat="1" ht="15" customHeight="1" thickTop="1" thickBot="1">
      <c r="A4" s="1132" t="s">
        <v>942</v>
      </c>
      <c r="B4" s="1133"/>
      <c r="C4" s="1133"/>
      <c r="D4" s="1133"/>
      <c r="E4" s="1134"/>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DK4" s="691"/>
      <c r="DL4" s="691"/>
      <c r="DM4" s="691"/>
      <c r="DN4" s="691"/>
      <c r="DO4" s="691"/>
      <c r="DP4" s="691"/>
      <c r="DQ4" s="691"/>
      <c r="DR4" s="691"/>
      <c r="DS4" s="691"/>
      <c r="DT4" s="691"/>
      <c r="DU4" s="691"/>
      <c r="DV4" s="691"/>
      <c r="DW4" s="691"/>
      <c r="DX4" s="691"/>
      <c r="DY4" s="691"/>
      <c r="DZ4" s="691"/>
      <c r="EA4" s="691"/>
      <c r="EB4" s="691"/>
      <c r="EC4" s="691"/>
      <c r="ED4" s="691"/>
      <c r="EE4" s="691"/>
      <c r="EF4" s="691"/>
      <c r="EG4" s="691"/>
      <c r="EH4" s="691"/>
      <c r="EI4" s="691"/>
      <c r="EJ4" s="691"/>
      <c r="EK4" s="691"/>
      <c r="EL4" s="691"/>
      <c r="EM4" s="691"/>
      <c r="EN4" s="691"/>
      <c r="EO4" s="691"/>
      <c r="EP4" s="691"/>
      <c r="EQ4" s="691"/>
      <c r="ER4" s="691"/>
      <c r="ES4" s="691"/>
      <c r="ET4" s="691"/>
      <c r="EU4" s="691"/>
      <c r="EV4" s="691"/>
      <c r="EW4" s="691"/>
      <c r="EX4" s="691"/>
      <c r="EY4" s="691"/>
      <c r="EZ4" s="691"/>
      <c r="FA4" s="691"/>
      <c r="FB4" s="691"/>
      <c r="FC4" s="691"/>
      <c r="FD4" s="691"/>
      <c r="FE4" s="691"/>
      <c r="FF4" s="691"/>
      <c r="FG4" s="691"/>
      <c r="FH4" s="691"/>
      <c r="FI4" s="691"/>
      <c r="FJ4" s="691"/>
      <c r="FK4" s="691"/>
      <c r="FL4" s="691"/>
      <c r="FM4" s="691"/>
      <c r="FN4" s="691"/>
      <c r="FO4" s="691"/>
      <c r="FP4" s="691"/>
      <c r="FQ4" s="691"/>
      <c r="FR4" s="691"/>
      <c r="FS4" s="691"/>
      <c r="FT4" s="691"/>
      <c r="FU4" s="691"/>
      <c r="FV4" s="691"/>
      <c r="FW4" s="691"/>
      <c r="FX4" s="691"/>
      <c r="FY4" s="691"/>
      <c r="FZ4" s="691"/>
      <c r="GA4" s="691"/>
      <c r="GB4" s="691"/>
      <c r="GC4" s="691"/>
      <c r="GD4" s="691"/>
      <c r="GE4" s="691"/>
      <c r="GF4" s="691"/>
      <c r="GG4" s="691"/>
      <c r="GH4" s="691"/>
      <c r="GI4" s="691"/>
      <c r="GJ4" s="691"/>
      <c r="GK4" s="691"/>
      <c r="GL4" s="691"/>
      <c r="GM4" s="691"/>
      <c r="GN4" s="691"/>
      <c r="GO4" s="691"/>
      <c r="GP4" s="691"/>
      <c r="GQ4" s="691"/>
      <c r="GR4" s="691"/>
      <c r="GS4" s="691"/>
      <c r="GT4" s="691"/>
      <c r="GU4" s="691"/>
      <c r="GV4" s="691"/>
      <c r="GW4" s="691"/>
      <c r="GX4" s="691"/>
      <c r="GY4" s="691"/>
      <c r="GZ4" s="691"/>
      <c r="HA4" s="691"/>
      <c r="HB4" s="691"/>
      <c r="HC4" s="691"/>
      <c r="HD4" s="691"/>
      <c r="HE4" s="691"/>
      <c r="HF4" s="691"/>
      <c r="HG4" s="691"/>
      <c r="HH4" s="691"/>
      <c r="HI4" s="691"/>
      <c r="HJ4" s="691"/>
      <c r="HK4" s="691"/>
      <c r="HL4" s="691"/>
      <c r="HM4" s="691"/>
      <c r="HN4" s="691"/>
      <c r="HO4" s="691"/>
      <c r="HP4" s="691"/>
      <c r="HQ4" s="691"/>
      <c r="HR4" s="691"/>
    </row>
    <row r="5" spans="1:371" s="692" customFormat="1" ht="12.75" thickTop="1" thickBot="1">
      <c r="A5" s="706" t="s">
        <v>172</v>
      </c>
      <c r="B5" s="707" t="s">
        <v>936</v>
      </c>
      <c r="C5" s="708"/>
      <c r="D5" s="707" t="s">
        <v>937</v>
      </c>
      <c r="DK5" s="693"/>
      <c r="DL5" s="693"/>
      <c r="DM5" s="693"/>
      <c r="DN5" s="693"/>
      <c r="DO5" s="693"/>
      <c r="DP5" s="693"/>
      <c r="DQ5" s="693"/>
      <c r="DR5" s="693"/>
      <c r="DS5" s="693"/>
      <c r="DT5" s="693"/>
      <c r="DU5" s="693"/>
      <c r="DV5" s="693"/>
      <c r="DW5" s="693"/>
      <c r="DX5" s="693"/>
      <c r="DY5" s="693"/>
      <c r="DZ5" s="693"/>
      <c r="EA5" s="693"/>
      <c r="EB5" s="693"/>
      <c r="EC5" s="693"/>
      <c r="ED5" s="693"/>
      <c r="EE5" s="693"/>
      <c r="EF5" s="693"/>
      <c r="EG5" s="693"/>
      <c r="EH5" s="693"/>
      <c r="EI5" s="693"/>
      <c r="EJ5" s="693"/>
      <c r="EK5" s="693"/>
      <c r="EL5" s="693"/>
      <c r="EM5" s="693"/>
      <c r="EN5" s="693"/>
      <c r="EO5" s="693"/>
      <c r="EP5" s="693"/>
      <c r="EQ5" s="693"/>
      <c r="ER5" s="693"/>
      <c r="ES5" s="693"/>
      <c r="ET5" s="693"/>
      <c r="EU5" s="693"/>
      <c r="EV5" s="693"/>
      <c r="EW5" s="693"/>
      <c r="EX5" s="693"/>
      <c r="EY5" s="693"/>
      <c r="EZ5" s="693"/>
      <c r="FA5" s="693"/>
      <c r="FB5" s="693"/>
      <c r="FC5" s="693"/>
      <c r="FD5" s="693"/>
      <c r="FE5" s="693"/>
      <c r="FF5" s="693"/>
      <c r="FG5" s="693"/>
      <c r="FH5" s="693"/>
      <c r="FI5" s="693"/>
      <c r="FJ5" s="693"/>
      <c r="FK5" s="693"/>
      <c r="FL5" s="693"/>
      <c r="FM5" s="693"/>
      <c r="FN5" s="693"/>
      <c r="FO5" s="693"/>
      <c r="FP5" s="693"/>
      <c r="FQ5" s="693"/>
      <c r="FR5" s="693"/>
      <c r="FS5" s="693"/>
      <c r="FT5" s="693"/>
      <c r="FU5" s="693"/>
      <c r="FV5" s="693"/>
      <c r="FW5" s="693"/>
      <c r="FX5" s="693"/>
      <c r="FY5" s="693"/>
      <c r="FZ5" s="693"/>
      <c r="GA5" s="693"/>
      <c r="GB5" s="693"/>
      <c r="GC5" s="693"/>
      <c r="GD5" s="693"/>
      <c r="GE5" s="693"/>
      <c r="GF5" s="693"/>
      <c r="GG5" s="693"/>
      <c r="GH5" s="693"/>
      <c r="GI5" s="693"/>
      <c r="GJ5" s="693"/>
      <c r="GK5" s="693"/>
      <c r="GL5" s="693"/>
      <c r="GM5" s="693"/>
      <c r="GN5" s="693"/>
      <c r="GO5" s="693"/>
      <c r="GP5" s="693"/>
      <c r="GQ5" s="693"/>
      <c r="GR5" s="693"/>
      <c r="GS5" s="693"/>
      <c r="GT5" s="693"/>
      <c r="GU5" s="693"/>
      <c r="GV5" s="693"/>
      <c r="GW5" s="693"/>
      <c r="GX5" s="693"/>
      <c r="GY5" s="693"/>
      <c r="GZ5" s="693"/>
      <c r="HA5" s="693"/>
      <c r="HB5" s="693"/>
      <c r="HC5" s="693"/>
      <c r="HD5" s="693"/>
      <c r="HE5" s="693"/>
      <c r="HF5" s="693"/>
      <c r="HG5" s="693"/>
      <c r="HH5" s="693"/>
      <c r="HI5" s="693"/>
      <c r="HJ5" s="693"/>
      <c r="HK5" s="693"/>
      <c r="HL5" s="693"/>
      <c r="HM5" s="693"/>
      <c r="HN5" s="693"/>
      <c r="HO5" s="693"/>
      <c r="HP5" s="693"/>
      <c r="HQ5" s="693"/>
      <c r="HR5" s="693"/>
    </row>
    <row r="6" spans="1:371" ht="8.1" customHeight="1" thickTop="1">
      <c r="A6" s="694">
        <v>1950</v>
      </c>
      <c r="B6" s="695">
        <f>AVERAGE(A6)</f>
        <v>1950</v>
      </c>
      <c r="C6" s="766"/>
      <c r="D6" s="695">
        <v>40452</v>
      </c>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c r="BA6" s="766"/>
      <c r="BB6" s="766"/>
      <c r="BC6" s="766"/>
      <c r="BD6" s="766"/>
      <c r="BE6" s="766"/>
      <c r="BF6" s="766"/>
      <c r="BG6" s="766"/>
      <c r="DH6" s="696"/>
      <c r="DI6" s="696"/>
      <c r="DJ6" s="696"/>
      <c r="DK6" s="697"/>
      <c r="DL6" s="697"/>
      <c r="DM6" s="697"/>
      <c r="DN6" s="697"/>
      <c r="DO6" s="697"/>
      <c r="DP6" s="697"/>
      <c r="DQ6" s="697"/>
      <c r="DR6" s="697"/>
      <c r="DS6" s="697"/>
      <c r="DT6" s="697"/>
      <c r="DU6" s="697"/>
      <c r="DV6" s="697"/>
      <c r="DW6" s="718"/>
      <c r="DX6" s="719"/>
      <c r="DY6" s="719"/>
      <c r="DZ6" s="716"/>
      <c r="EA6" s="715"/>
      <c r="EB6" s="715"/>
      <c r="EC6" s="715"/>
      <c r="ED6" s="715"/>
      <c r="EE6" s="715"/>
      <c r="EF6" s="715"/>
      <c r="EG6" s="716"/>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7"/>
      <c r="FQ6" s="698"/>
      <c r="FR6" s="698"/>
      <c r="FS6" s="698"/>
      <c r="FT6" s="701"/>
      <c r="FU6" s="698"/>
      <c r="FV6" s="698"/>
      <c r="FW6" s="698"/>
      <c r="FX6" s="698"/>
      <c r="FY6" s="698"/>
      <c r="FZ6" s="698"/>
      <c r="GA6" s="698"/>
      <c r="GB6" s="698"/>
      <c r="GC6" s="698"/>
      <c r="GD6" s="698"/>
      <c r="GE6" s="698"/>
      <c r="GF6" s="698"/>
      <c r="GG6" s="698"/>
      <c r="GH6" s="698"/>
      <c r="GI6" s="698"/>
      <c r="GJ6" s="698"/>
      <c r="GK6" s="698"/>
      <c r="GL6" s="698"/>
      <c r="GM6" s="698"/>
      <c r="GN6" s="698"/>
      <c r="GO6" s="698"/>
      <c r="GP6" s="698"/>
      <c r="GQ6" s="698"/>
      <c r="GR6" s="698"/>
      <c r="GS6" s="698"/>
      <c r="GT6" s="698"/>
      <c r="GU6" s="698"/>
      <c r="GV6" s="698"/>
      <c r="GW6" s="698"/>
      <c r="GX6" s="698"/>
      <c r="GY6" s="698"/>
      <c r="GZ6" s="698"/>
      <c r="HA6" s="698"/>
      <c r="HB6" s="698"/>
      <c r="HC6" s="698"/>
      <c r="HD6" s="698"/>
      <c r="HE6" s="698"/>
      <c r="HF6" s="698"/>
      <c r="HG6" s="698"/>
      <c r="HH6" s="698"/>
      <c r="HI6" s="698"/>
      <c r="HJ6" s="698"/>
      <c r="HK6" s="698"/>
      <c r="HL6" s="698"/>
      <c r="HM6" s="698"/>
      <c r="HN6" s="698"/>
      <c r="HO6" s="698"/>
      <c r="HP6" s="698"/>
      <c r="HQ6" s="698"/>
      <c r="HR6" s="698"/>
      <c r="HS6" s="699"/>
      <c r="HT6" s="699"/>
      <c r="HU6" s="699"/>
      <c r="HV6" s="699"/>
      <c r="HW6" s="699"/>
      <c r="HX6" s="699"/>
      <c r="HY6" s="699"/>
      <c r="HZ6" s="699"/>
      <c r="IA6" s="699"/>
      <c r="IB6" s="699"/>
      <c r="IC6" s="699"/>
      <c r="ID6" s="699"/>
      <c r="IE6" s="699"/>
      <c r="IF6" s="699"/>
      <c r="IG6" s="699"/>
      <c r="IH6" s="699"/>
      <c r="II6" s="699"/>
      <c r="IJ6" s="699"/>
      <c r="IK6" s="699"/>
      <c r="IL6" s="699"/>
      <c r="IM6" s="699"/>
      <c r="IN6" s="699"/>
      <c r="IO6" s="699"/>
      <c r="IP6" s="699"/>
      <c r="IQ6" s="699"/>
      <c r="IR6" s="699"/>
      <c r="IS6" s="699"/>
      <c r="IT6" s="699"/>
      <c r="IU6" s="699"/>
      <c r="IV6" s="699"/>
      <c r="IW6" s="699"/>
      <c r="IX6" s="699"/>
      <c r="IY6" s="699"/>
      <c r="IZ6" s="699"/>
      <c r="JA6" s="699"/>
      <c r="JB6" s="699"/>
      <c r="JC6" s="699"/>
      <c r="JD6" s="699"/>
      <c r="JE6" s="699"/>
      <c r="JF6" s="699"/>
      <c r="JG6" s="699"/>
      <c r="JH6" s="699"/>
      <c r="JI6" s="699"/>
      <c r="JJ6" s="699"/>
      <c r="JK6" s="699"/>
      <c r="JL6" s="699"/>
      <c r="JM6" s="699"/>
      <c r="JN6" s="699"/>
      <c r="JO6" s="699"/>
      <c r="JP6" s="699"/>
      <c r="JQ6" s="699"/>
      <c r="JR6" s="699"/>
      <c r="JS6" s="699"/>
      <c r="JT6" s="700"/>
    </row>
    <row r="7" spans="1:371" ht="8.1" customHeight="1">
      <c r="A7" s="694">
        <f t="shared" ref="A7:A38" si="66">+A6+1</f>
        <v>1951</v>
      </c>
      <c r="B7" s="695">
        <v>40294</v>
      </c>
      <c r="C7" s="767"/>
      <c r="D7" s="695">
        <v>40350</v>
      </c>
      <c r="E7" s="766"/>
      <c r="F7" s="766"/>
      <c r="G7" s="766"/>
      <c r="H7" s="766"/>
      <c r="I7" s="766"/>
      <c r="J7" s="766"/>
      <c r="K7" s="766"/>
      <c r="L7" s="766"/>
      <c r="M7" s="766"/>
      <c r="N7" s="766"/>
      <c r="O7" s="766"/>
      <c r="P7" s="766"/>
      <c r="Q7" s="766"/>
      <c r="R7" s="766"/>
      <c r="S7" s="766"/>
      <c r="T7" s="766"/>
      <c r="U7" s="766"/>
      <c r="V7" s="766"/>
      <c r="W7" s="766"/>
      <c r="X7" s="766"/>
      <c r="Y7" s="766"/>
      <c r="Z7" s="766"/>
      <c r="AA7" s="766"/>
      <c r="AB7" s="766"/>
      <c r="AC7" s="766"/>
      <c r="AD7" s="766"/>
      <c r="AE7" s="766"/>
      <c r="AF7" s="766"/>
      <c r="AG7" s="766"/>
      <c r="AH7" s="766"/>
      <c r="AI7" s="766"/>
      <c r="AJ7" s="766"/>
      <c r="AK7" s="766"/>
      <c r="AL7" s="766"/>
      <c r="AM7" s="766"/>
      <c r="AN7" s="766"/>
      <c r="AO7" s="766"/>
      <c r="AP7" s="766"/>
      <c r="AQ7" s="766"/>
      <c r="AR7" s="766"/>
      <c r="AS7" s="766"/>
      <c r="AT7" s="766"/>
      <c r="AU7" s="766"/>
      <c r="AV7" s="766"/>
      <c r="AW7" s="766"/>
      <c r="AX7" s="766"/>
      <c r="AY7" s="766"/>
      <c r="AZ7" s="766"/>
      <c r="BA7" s="766"/>
      <c r="BB7" s="766"/>
      <c r="BC7" s="766"/>
      <c r="BD7" s="766"/>
      <c r="BE7" s="766"/>
      <c r="BF7" s="766"/>
      <c r="BG7" s="766"/>
      <c r="DH7" s="696"/>
      <c r="DI7" s="696"/>
      <c r="DJ7" s="696"/>
      <c r="DK7" s="697"/>
      <c r="DL7" s="697"/>
      <c r="DM7" s="697"/>
      <c r="DN7" s="697"/>
      <c r="DO7" s="697"/>
      <c r="DP7" s="697"/>
      <c r="DQ7" s="697"/>
      <c r="DR7" s="701"/>
      <c r="DS7" s="698"/>
      <c r="DT7" s="698"/>
      <c r="DU7" s="698"/>
      <c r="DV7" s="698"/>
      <c r="DW7" s="712"/>
      <c r="DX7" s="698"/>
      <c r="DY7" s="698"/>
      <c r="DZ7" s="698"/>
      <c r="EA7" s="698"/>
      <c r="EB7" s="698"/>
      <c r="EC7" s="698"/>
      <c r="ED7" s="698"/>
      <c r="EE7" s="698"/>
      <c r="EF7" s="698"/>
      <c r="EG7" s="698"/>
      <c r="EH7" s="698"/>
      <c r="EI7" s="698"/>
      <c r="EJ7" s="701"/>
      <c r="EK7" s="698"/>
      <c r="EL7" s="698"/>
      <c r="EM7" s="698"/>
      <c r="EN7" s="698"/>
      <c r="EO7" s="698"/>
      <c r="EP7" s="698"/>
      <c r="EQ7" s="698"/>
      <c r="ER7" s="698"/>
      <c r="ES7" s="698"/>
      <c r="ET7" s="698"/>
      <c r="EU7" s="698"/>
      <c r="EV7" s="698"/>
      <c r="EW7" s="698"/>
      <c r="EX7" s="698"/>
      <c r="EY7" s="698"/>
      <c r="EZ7" s="698"/>
      <c r="FA7" s="701"/>
      <c r="FB7" s="698"/>
      <c r="FC7" s="698"/>
      <c r="FD7" s="698"/>
      <c r="FE7" s="698"/>
      <c r="FF7" s="701"/>
      <c r="FG7" s="701"/>
      <c r="FH7" s="698"/>
      <c r="FI7" s="698"/>
      <c r="FJ7" s="698"/>
      <c r="FK7" s="698"/>
      <c r="FL7" s="698"/>
      <c r="FM7" s="698"/>
      <c r="FN7" s="698"/>
      <c r="FO7" s="698"/>
      <c r="FP7" s="710"/>
      <c r="FQ7" s="698"/>
      <c r="FR7" s="698"/>
      <c r="FS7" s="698"/>
      <c r="FT7" s="698"/>
      <c r="FU7" s="698"/>
      <c r="FV7" s="701"/>
      <c r="FW7" s="697"/>
      <c r="FX7" s="697"/>
      <c r="FY7" s="697"/>
      <c r="FZ7" s="697"/>
      <c r="GA7" s="697"/>
      <c r="GB7" s="697"/>
      <c r="GC7" s="697"/>
      <c r="GD7" s="697"/>
      <c r="GE7" s="697"/>
      <c r="GF7" s="697"/>
      <c r="GG7" s="697"/>
      <c r="GH7" s="697"/>
      <c r="GI7" s="697"/>
      <c r="GJ7" s="697"/>
      <c r="GK7" s="697"/>
      <c r="GL7" s="697"/>
      <c r="GM7" s="697"/>
      <c r="GN7" s="697"/>
      <c r="GO7" s="697"/>
      <c r="GP7" s="697"/>
      <c r="GQ7" s="697"/>
      <c r="GR7" s="697"/>
      <c r="GS7" s="697"/>
      <c r="GT7" s="697"/>
      <c r="GU7" s="697"/>
      <c r="GV7" s="697"/>
      <c r="GW7" s="697"/>
      <c r="GX7" s="697"/>
      <c r="GY7" s="697"/>
      <c r="GZ7" s="697"/>
      <c r="HA7" s="697"/>
      <c r="HB7" s="697"/>
      <c r="HC7" s="697"/>
      <c r="HD7" s="697"/>
      <c r="HE7" s="697"/>
      <c r="HF7" s="697"/>
      <c r="HG7" s="697"/>
      <c r="HH7" s="697"/>
      <c r="HI7" s="697"/>
      <c r="HJ7" s="697"/>
      <c r="HK7" s="697"/>
      <c r="HL7" s="697"/>
      <c r="HM7" s="697"/>
      <c r="HN7" s="697"/>
      <c r="HO7" s="697"/>
      <c r="HP7" s="697"/>
      <c r="HQ7" s="697"/>
      <c r="HR7" s="697"/>
    </row>
    <row r="8" spans="1:371" ht="8.1" customHeight="1">
      <c r="A8" s="694">
        <f t="shared" si="66"/>
        <v>1952</v>
      </c>
      <c r="B8" s="695">
        <v>40375</v>
      </c>
      <c r="C8" s="767"/>
      <c r="D8" s="695">
        <v>40375</v>
      </c>
      <c r="E8" s="766"/>
      <c r="F8" s="766"/>
      <c r="G8" s="766"/>
      <c r="H8" s="766"/>
      <c r="I8" s="766"/>
      <c r="J8" s="766"/>
      <c r="K8" s="766"/>
      <c r="L8" s="766"/>
      <c r="M8" s="766"/>
      <c r="N8" s="766"/>
      <c r="O8" s="766"/>
      <c r="P8" s="766"/>
      <c r="Q8" s="766"/>
      <c r="R8" s="766"/>
      <c r="S8" s="766"/>
      <c r="T8" s="766"/>
      <c r="U8" s="766"/>
      <c r="V8" s="766"/>
      <c r="W8" s="766"/>
      <c r="X8" s="766"/>
      <c r="Y8" s="766"/>
      <c r="Z8" s="766"/>
      <c r="AA8" s="766"/>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c r="BA8" s="766"/>
      <c r="BB8" s="766"/>
      <c r="BC8" s="766"/>
      <c r="BD8" s="766"/>
      <c r="BE8" s="766"/>
      <c r="BF8" s="766"/>
      <c r="BG8" s="766"/>
      <c r="DH8" s="696"/>
      <c r="DI8" s="696"/>
      <c r="DJ8" s="696"/>
      <c r="DK8" s="697"/>
      <c r="DL8" s="697"/>
      <c r="DM8" s="697"/>
      <c r="DN8" s="697"/>
      <c r="DO8" s="697"/>
      <c r="DP8" s="697"/>
      <c r="DQ8" s="697"/>
      <c r="DR8" s="697"/>
      <c r="DS8" s="698"/>
      <c r="DT8" s="698"/>
      <c r="DU8" s="698"/>
      <c r="DV8" s="698"/>
      <c r="DW8" s="712"/>
      <c r="DX8" s="698"/>
      <c r="DY8" s="698"/>
      <c r="DZ8" s="698"/>
      <c r="EA8" s="698"/>
      <c r="EB8" s="698"/>
      <c r="EC8" s="698"/>
      <c r="ED8" s="698"/>
      <c r="EE8" s="698"/>
      <c r="EF8" s="698"/>
      <c r="EG8" s="698"/>
      <c r="EH8" s="698"/>
      <c r="EI8" s="698"/>
      <c r="EJ8" s="697"/>
      <c r="EK8" s="697"/>
      <c r="EL8" s="697"/>
      <c r="EM8" s="697"/>
      <c r="EN8" s="697"/>
      <c r="EO8" s="697"/>
      <c r="EP8" s="697"/>
      <c r="EQ8" s="697"/>
      <c r="ER8" s="697"/>
      <c r="ES8" s="697"/>
      <c r="ET8" s="697"/>
      <c r="EU8" s="697"/>
      <c r="EV8" s="697"/>
      <c r="EW8" s="697"/>
      <c r="EX8" s="697"/>
      <c r="EY8" s="697"/>
      <c r="EZ8" s="697"/>
      <c r="FA8" s="697"/>
      <c r="FB8" s="697"/>
      <c r="FC8" s="697"/>
      <c r="FD8" s="697"/>
      <c r="FE8" s="697"/>
      <c r="FF8" s="697"/>
      <c r="FG8" s="697"/>
      <c r="FH8" s="697"/>
      <c r="FI8" s="697"/>
      <c r="FJ8" s="697"/>
      <c r="FK8" s="697"/>
      <c r="FL8" s="697"/>
      <c r="FM8" s="697"/>
      <c r="FN8" s="697"/>
      <c r="FO8" s="697"/>
      <c r="FP8" s="709"/>
      <c r="FQ8" s="697"/>
      <c r="FR8" s="697"/>
      <c r="FS8" s="697"/>
      <c r="FT8" s="697"/>
      <c r="FU8" s="697"/>
      <c r="FV8" s="697"/>
      <c r="FW8" s="697"/>
      <c r="FX8" s="697"/>
      <c r="FY8" s="697"/>
      <c r="FZ8" s="697"/>
      <c r="GA8" s="697"/>
      <c r="GB8" s="697"/>
      <c r="GC8" s="697"/>
      <c r="GD8" s="697"/>
      <c r="GE8" s="697"/>
      <c r="GF8" s="697"/>
      <c r="GG8" s="697"/>
      <c r="GH8" s="697"/>
      <c r="GI8" s="697"/>
      <c r="GJ8" s="697"/>
      <c r="GK8" s="697"/>
      <c r="GL8" s="697"/>
      <c r="GM8" s="697"/>
      <c r="GN8" s="697"/>
      <c r="GO8" s="697"/>
      <c r="GP8" s="697"/>
      <c r="GQ8" s="697"/>
      <c r="GR8" s="697"/>
      <c r="GS8" s="697"/>
      <c r="GT8" s="697"/>
      <c r="GU8" s="701"/>
      <c r="GV8" s="697"/>
      <c r="GW8" s="697"/>
      <c r="GX8" s="697"/>
      <c r="GY8" s="697"/>
      <c r="GZ8" s="697"/>
      <c r="HA8" s="697"/>
      <c r="HB8" s="697"/>
      <c r="HC8" s="697"/>
      <c r="HD8" s="697"/>
      <c r="HE8" s="697"/>
      <c r="HF8" s="697"/>
      <c r="HG8" s="697"/>
      <c r="HH8" s="697"/>
      <c r="HI8" s="697"/>
      <c r="HJ8" s="697"/>
      <c r="HK8" s="697"/>
      <c r="HL8" s="697"/>
      <c r="HM8" s="697"/>
      <c r="HN8" s="697"/>
      <c r="HO8" s="697"/>
      <c r="HP8" s="697"/>
      <c r="HQ8" s="697"/>
      <c r="HR8" s="697"/>
    </row>
    <row r="9" spans="1:371" ht="8.1" customHeight="1">
      <c r="A9" s="694">
        <f t="shared" si="66"/>
        <v>1953</v>
      </c>
      <c r="B9" s="695">
        <v>40334</v>
      </c>
      <c r="C9" s="767"/>
      <c r="D9" s="695">
        <v>40351</v>
      </c>
      <c r="E9" s="766"/>
      <c r="F9" s="766"/>
      <c r="G9" s="766"/>
      <c r="H9" s="766"/>
      <c r="I9" s="766"/>
      <c r="J9" s="766"/>
      <c r="K9" s="766"/>
      <c r="L9" s="766"/>
      <c r="M9" s="766"/>
      <c r="N9" s="766"/>
      <c r="O9" s="766"/>
      <c r="P9" s="766"/>
      <c r="Q9" s="766"/>
      <c r="R9" s="766"/>
      <c r="S9" s="766"/>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DH9" s="696"/>
      <c r="DI9" s="696"/>
      <c r="DJ9" s="696"/>
      <c r="DK9" s="697"/>
      <c r="DL9" s="697"/>
      <c r="DM9" s="697"/>
      <c r="DN9" s="697"/>
      <c r="DO9" s="697"/>
      <c r="DP9" s="697"/>
      <c r="DQ9" s="697"/>
      <c r="DR9" s="697"/>
      <c r="DS9" s="697"/>
      <c r="DT9" s="697"/>
      <c r="DU9" s="697"/>
      <c r="DV9" s="697"/>
      <c r="DW9" s="713"/>
      <c r="DX9" s="697"/>
      <c r="DY9" s="697"/>
      <c r="DZ9" s="697"/>
      <c r="EA9" s="697"/>
      <c r="EB9" s="697"/>
      <c r="EC9" s="697"/>
      <c r="ED9" s="697"/>
      <c r="EE9" s="697"/>
      <c r="EF9" s="697"/>
      <c r="EG9" s="697"/>
      <c r="EH9" s="697"/>
      <c r="EI9" s="697"/>
      <c r="EJ9" s="697"/>
      <c r="EK9" s="697"/>
      <c r="EL9" s="697"/>
      <c r="EM9" s="697"/>
      <c r="EN9" s="697"/>
      <c r="EO9" s="697"/>
      <c r="EP9" s="697"/>
      <c r="EQ9" s="697"/>
      <c r="ER9" s="697"/>
      <c r="ES9" s="697"/>
      <c r="ET9" s="697"/>
      <c r="EU9" s="697"/>
      <c r="EV9" s="697"/>
      <c r="EW9" s="697"/>
      <c r="EX9" s="697"/>
      <c r="EY9" s="697"/>
      <c r="EZ9" s="697"/>
      <c r="FA9" s="697"/>
      <c r="FB9" s="697"/>
      <c r="FC9" s="697"/>
      <c r="FD9" s="697"/>
      <c r="FE9" s="697"/>
      <c r="FF9" s="701"/>
      <c r="FG9" s="698"/>
      <c r="FH9" s="698"/>
      <c r="FI9" s="698"/>
      <c r="FJ9" s="698"/>
      <c r="FK9" s="698"/>
      <c r="FL9" s="698"/>
      <c r="FM9" s="698"/>
      <c r="FN9" s="698"/>
      <c r="FO9" s="698"/>
      <c r="FP9" s="710"/>
      <c r="FQ9" s="698"/>
      <c r="FR9" s="698"/>
      <c r="FS9" s="698"/>
      <c r="FT9" s="698"/>
      <c r="FU9" s="698"/>
      <c r="FV9" s="698"/>
      <c r="FW9" s="701"/>
      <c r="FX9" s="697"/>
      <c r="FY9" s="697"/>
      <c r="FZ9" s="697"/>
      <c r="GA9" s="697"/>
      <c r="GB9" s="697"/>
      <c r="GC9" s="697"/>
      <c r="GD9" s="697"/>
      <c r="GE9" s="697"/>
      <c r="GF9" s="697"/>
      <c r="GG9" s="697"/>
      <c r="GH9" s="697"/>
      <c r="GI9" s="697"/>
      <c r="GJ9" s="697"/>
      <c r="GK9" s="697"/>
      <c r="GL9" s="697"/>
      <c r="GM9" s="697"/>
      <c r="GN9" s="697"/>
      <c r="GO9" s="697"/>
      <c r="GP9" s="697"/>
      <c r="GQ9" s="697"/>
      <c r="GR9" s="697"/>
      <c r="GS9" s="697"/>
      <c r="GT9" s="697"/>
      <c r="GU9" s="697"/>
      <c r="GV9" s="697"/>
      <c r="GW9" s="697"/>
      <c r="GX9" s="697"/>
      <c r="GY9" s="697"/>
      <c r="GZ9" s="697"/>
      <c r="HA9" s="697"/>
      <c r="HB9" s="697"/>
      <c r="HC9" s="697"/>
      <c r="HD9" s="697"/>
      <c r="HE9" s="697"/>
      <c r="HF9" s="697"/>
      <c r="HG9" s="697"/>
      <c r="HH9" s="697"/>
      <c r="HI9" s="697"/>
      <c r="HJ9" s="697"/>
      <c r="HK9" s="697"/>
      <c r="HL9" s="697"/>
      <c r="HM9" s="697"/>
      <c r="HN9" s="697"/>
      <c r="HO9" s="697"/>
      <c r="HP9" s="697"/>
      <c r="HQ9" s="697"/>
      <c r="HR9" s="697"/>
    </row>
    <row r="10" spans="1:371" ht="8.1" customHeight="1">
      <c r="A10" s="694">
        <f t="shared" si="66"/>
        <v>1954</v>
      </c>
      <c r="B10" s="695">
        <v>40320</v>
      </c>
      <c r="C10" s="767"/>
      <c r="D10" s="695">
        <v>40342</v>
      </c>
      <c r="E10" s="766"/>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66"/>
      <c r="AM10" s="766"/>
      <c r="AN10" s="766"/>
      <c r="AO10" s="766"/>
      <c r="AP10" s="766"/>
      <c r="AQ10" s="766"/>
      <c r="AR10" s="766"/>
      <c r="AS10" s="766"/>
      <c r="AT10" s="766"/>
      <c r="AU10" s="766"/>
      <c r="AV10" s="766"/>
      <c r="AW10" s="766"/>
      <c r="AX10" s="766"/>
      <c r="AY10" s="766"/>
      <c r="AZ10" s="766"/>
      <c r="BA10" s="766"/>
      <c r="BB10" s="766"/>
      <c r="BC10" s="766"/>
      <c r="BD10" s="766"/>
      <c r="BE10" s="766"/>
      <c r="BF10" s="766"/>
      <c r="BG10" s="766"/>
      <c r="DH10" s="696"/>
      <c r="DI10" s="696"/>
      <c r="DJ10" s="696"/>
      <c r="DK10" s="697"/>
      <c r="DL10" s="697"/>
      <c r="DM10" s="697"/>
      <c r="DN10" s="697"/>
      <c r="DO10" s="697"/>
      <c r="DP10" s="697"/>
      <c r="DQ10" s="697"/>
      <c r="DR10" s="697"/>
      <c r="DS10" s="697"/>
      <c r="DT10" s="697"/>
      <c r="DU10" s="697"/>
      <c r="DV10" s="697"/>
      <c r="DW10" s="713"/>
      <c r="DX10" s="697"/>
      <c r="DY10" s="697"/>
      <c r="DZ10" s="697"/>
      <c r="EA10" s="697"/>
      <c r="EB10" s="697"/>
      <c r="EC10" s="697"/>
      <c r="ED10" s="697"/>
      <c r="EE10" s="697"/>
      <c r="EF10" s="697"/>
      <c r="EG10" s="697"/>
      <c r="EH10" s="697"/>
      <c r="EI10" s="697"/>
      <c r="EJ10" s="697"/>
      <c r="EK10" s="697"/>
      <c r="EL10" s="697"/>
      <c r="EM10" s="697"/>
      <c r="EN10" s="697"/>
      <c r="EO10" s="697"/>
      <c r="EP10" s="697"/>
      <c r="EQ10" s="697"/>
      <c r="ER10" s="701"/>
      <c r="ES10" s="698"/>
      <c r="ET10" s="698"/>
      <c r="EU10" s="698"/>
      <c r="EV10" s="698"/>
      <c r="EW10" s="698"/>
      <c r="EX10" s="698"/>
      <c r="EY10" s="698"/>
      <c r="EZ10" s="698"/>
      <c r="FA10" s="698"/>
      <c r="FB10" s="698"/>
      <c r="FC10" s="698"/>
      <c r="FD10" s="698"/>
      <c r="FE10" s="698"/>
      <c r="FF10" s="698"/>
      <c r="FG10" s="698"/>
      <c r="FH10" s="698"/>
      <c r="FI10" s="698"/>
      <c r="FJ10" s="698"/>
      <c r="FK10" s="698"/>
      <c r="FL10" s="698"/>
      <c r="FM10" s="698"/>
      <c r="FN10" s="701"/>
      <c r="FO10" s="697"/>
      <c r="FP10" s="709"/>
      <c r="FQ10" s="697"/>
      <c r="FR10" s="697"/>
      <c r="FS10" s="697"/>
      <c r="FT10" s="697"/>
      <c r="FU10" s="697"/>
      <c r="FV10" s="697"/>
      <c r="FW10" s="697"/>
      <c r="FX10" s="697"/>
      <c r="FY10" s="697"/>
      <c r="FZ10" s="697"/>
      <c r="GA10" s="697"/>
      <c r="GB10" s="697"/>
      <c r="GC10" s="697"/>
      <c r="GD10" s="697"/>
      <c r="GE10" s="697"/>
      <c r="GF10" s="697"/>
      <c r="GG10" s="697"/>
      <c r="GH10" s="697"/>
      <c r="GI10" s="697"/>
      <c r="GJ10" s="697"/>
      <c r="GK10" s="697"/>
      <c r="GL10" s="697"/>
      <c r="GM10" s="697"/>
      <c r="GN10" s="697"/>
      <c r="GO10" s="697"/>
      <c r="GP10" s="697"/>
      <c r="GQ10" s="697"/>
      <c r="GR10" s="697"/>
      <c r="GS10" s="697"/>
      <c r="GT10" s="697"/>
      <c r="GU10" s="697"/>
      <c r="GV10" s="697"/>
      <c r="GW10" s="697"/>
      <c r="GX10" s="697"/>
      <c r="GY10" s="697"/>
      <c r="GZ10" s="697"/>
      <c r="HA10" s="697"/>
      <c r="HB10" s="697"/>
      <c r="HC10" s="697"/>
      <c r="HD10" s="697"/>
      <c r="HE10" s="697"/>
      <c r="HF10" s="697"/>
      <c r="HG10" s="697"/>
      <c r="HH10" s="697"/>
      <c r="HI10" s="697"/>
      <c r="HJ10" s="697"/>
      <c r="HK10" s="697"/>
      <c r="HL10" s="697"/>
      <c r="HM10" s="697"/>
      <c r="HN10" s="697"/>
      <c r="HO10" s="697"/>
      <c r="HP10" s="697"/>
      <c r="HQ10" s="697"/>
      <c r="HR10" s="697"/>
    </row>
    <row r="11" spans="1:371" ht="8.1" customHeight="1">
      <c r="A11" s="694">
        <f t="shared" si="66"/>
        <v>1955</v>
      </c>
      <c r="B11" s="695">
        <v>40286</v>
      </c>
      <c r="C11" s="767"/>
      <c r="D11" s="695">
        <v>40348</v>
      </c>
      <c r="E11" s="766"/>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c r="AL11" s="766"/>
      <c r="AM11" s="766"/>
      <c r="AN11" s="766"/>
      <c r="AO11" s="766"/>
      <c r="AP11" s="766"/>
      <c r="AQ11" s="766"/>
      <c r="AR11" s="766"/>
      <c r="AS11" s="766"/>
      <c r="AT11" s="766"/>
      <c r="AU11" s="766"/>
      <c r="AV11" s="766"/>
      <c r="AW11" s="766"/>
      <c r="AX11" s="766"/>
      <c r="AY11" s="766"/>
      <c r="AZ11" s="766"/>
      <c r="BA11" s="766"/>
      <c r="BB11" s="766"/>
      <c r="BC11" s="766"/>
      <c r="BD11" s="766"/>
      <c r="BE11" s="766"/>
      <c r="BF11" s="766"/>
      <c r="BG11" s="766"/>
      <c r="DH11" s="696"/>
      <c r="DI11" s="696"/>
      <c r="DJ11" s="702"/>
      <c r="DK11" s="698"/>
      <c r="DL11" s="698"/>
      <c r="DM11" s="698"/>
      <c r="DN11" s="698"/>
      <c r="DO11" s="698"/>
      <c r="DP11" s="698"/>
      <c r="DQ11" s="698"/>
      <c r="DR11" s="698"/>
      <c r="DS11" s="698"/>
      <c r="DT11" s="698"/>
      <c r="DU11" s="698"/>
      <c r="DV11" s="698"/>
      <c r="DW11" s="712"/>
      <c r="DX11" s="698"/>
      <c r="DY11" s="698"/>
      <c r="DZ11" s="698"/>
      <c r="EA11" s="698"/>
      <c r="EB11" s="698"/>
      <c r="EC11" s="698"/>
      <c r="ED11" s="698"/>
      <c r="EE11" s="698"/>
      <c r="EF11" s="698"/>
      <c r="EG11" s="698"/>
      <c r="EH11" s="698"/>
      <c r="EI11" s="698"/>
      <c r="EJ11" s="698"/>
      <c r="EK11" s="698"/>
      <c r="EL11" s="698"/>
      <c r="EM11" s="698"/>
      <c r="EN11" s="698"/>
      <c r="EO11" s="698"/>
      <c r="EP11" s="698"/>
      <c r="EQ11" s="698"/>
      <c r="ER11" s="701"/>
      <c r="ES11" s="698"/>
      <c r="ET11" s="698"/>
      <c r="EU11" s="701"/>
      <c r="EV11" s="698"/>
      <c r="EW11" s="698"/>
      <c r="EX11" s="698"/>
      <c r="EY11" s="698"/>
      <c r="EZ11" s="698"/>
      <c r="FA11" s="698"/>
      <c r="FB11" s="698"/>
      <c r="FC11" s="698"/>
      <c r="FD11" s="701"/>
      <c r="FE11" s="698"/>
      <c r="FF11" s="698"/>
      <c r="FG11" s="698"/>
      <c r="FH11" s="698"/>
      <c r="FI11" s="698"/>
      <c r="FJ11" s="698"/>
      <c r="FK11" s="698"/>
      <c r="FL11" s="698"/>
      <c r="FM11" s="698"/>
      <c r="FN11" s="698"/>
      <c r="FO11" s="698"/>
      <c r="FP11" s="710"/>
      <c r="FQ11" s="701"/>
      <c r="FR11" s="701"/>
      <c r="FS11" s="701"/>
      <c r="FT11" s="701"/>
      <c r="FU11" s="697"/>
      <c r="FV11" s="697"/>
      <c r="FW11" s="697"/>
      <c r="FX11" s="697"/>
      <c r="FY11" s="697"/>
      <c r="FZ11" s="697"/>
      <c r="GA11" s="697"/>
      <c r="GB11" s="697"/>
      <c r="GC11" s="697"/>
      <c r="GD11" s="697"/>
      <c r="GE11" s="697"/>
      <c r="GF11" s="697"/>
      <c r="GG11" s="697"/>
      <c r="GH11" s="697"/>
      <c r="GI11" s="697"/>
      <c r="GJ11" s="697"/>
      <c r="GK11" s="697"/>
      <c r="GL11" s="697"/>
      <c r="GM11" s="697"/>
      <c r="GN11" s="697"/>
      <c r="GO11" s="697"/>
      <c r="GP11" s="697"/>
      <c r="GQ11" s="697"/>
      <c r="GR11" s="697"/>
      <c r="GS11" s="697"/>
      <c r="GT11" s="697"/>
      <c r="GU11" s="697"/>
      <c r="GV11" s="697"/>
      <c r="GW11" s="697"/>
      <c r="GX11" s="697"/>
      <c r="GY11" s="697"/>
      <c r="GZ11" s="697"/>
      <c r="HA11" s="697"/>
      <c r="HB11" s="697"/>
      <c r="HC11" s="697"/>
      <c r="HD11" s="697"/>
      <c r="HE11" s="697"/>
      <c r="HF11" s="697"/>
      <c r="HG11" s="697"/>
      <c r="HH11" s="697"/>
      <c r="HI11" s="697"/>
      <c r="HJ11" s="697"/>
      <c r="HK11" s="697"/>
      <c r="HL11" s="697"/>
      <c r="HM11" s="697"/>
      <c r="HN11" s="697"/>
      <c r="HO11" s="697"/>
      <c r="HP11" s="697"/>
      <c r="HQ11" s="697"/>
      <c r="HR11" s="697"/>
    </row>
    <row r="12" spans="1:371" ht="8.1" customHeight="1">
      <c r="A12" s="694">
        <f t="shared" si="66"/>
        <v>1956</v>
      </c>
      <c r="B12" s="695">
        <v>40352</v>
      </c>
      <c r="C12" s="767"/>
      <c r="D12" s="695">
        <v>40363</v>
      </c>
      <c r="E12" s="766"/>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66"/>
      <c r="BF12" s="766"/>
      <c r="BG12" s="766"/>
      <c r="DH12" s="696"/>
      <c r="DI12" s="696"/>
      <c r="DJ12" s="696"/>
      <c r="DK12" s="697"/>
      <c r="DL12" s="697"/>
      <c r="DM12" s="697"/>
      <c r="DN12" s="697"/>
      <c r="DO12" s="697"/>
      <c r="DP12" s="697"/>
      <c r="DQ12" s="697"/>
      <c r="DR12" s="697"/>
      <c r="DS12" s="697"/>
      <c r="DT12" s="697"/>
      <c r="DU12" s="697"/>
      <c r="DV12" s="697"/>
      <c r="DW12" s="713"/>
      <c r="DX12" s="697"/>
      <c r="DY12" s="697"/>
      <c r="DZ12" s="697"/>
      <c r="EA12" s="697"/>
      <c r="EB12" s="697"/>
      <c r="EC12" s="697"/>
      <c r="ED12" s="697"/>
      <c r="EE12" s="697"/>
      <c r="EF12" s="697"/>
      <c r="EG12" s="697"/>
      <c r="EH12" s="697"/>
      <c r="EI12" s="697"/>
      <c r="EJ12" s="697"/>
      <c r="EK12" s="697"/>
      <c r="EL12" s="697"/>
      <c r="EM12" s="697"/>
      <c r="EN12" s="697"/>
      <c r="EO12" s="697"/>
      <c r="EP12" s="697"/>
      <c r="EQ12" s="697"/>
      <c r="ER12" s="697"/>
      <c r="ES12" s="697"/>
      <c r="ET12" s="697"/>
      <c r="EU12" s="697"/>
      <c r="EV12" s="697"/>
      <c r="EW12" s="697"/>
      <c r="EX12" s="697"/>
      <c r="EY12" s="697"/>
      <c r="EZ12" s="697"/>
      <c r="FA12" s="697"/>
      <c r="FB12" s="697"/>
      <c r="FC12" s="697"/>
      <c r="FD12" s="697"/>
      <c r="FE12" s="697"/>
      <c r="FF12" s="697"/>
      <c r="FG12" s="697"/>
      <c r="FH12" s="697"/>
      <c r="FI12" s="697"/>
      <c r="FJ12" s="697"/>
      <c r="FK12" s="697"/>
      <c r="FL12" s="697"/>
      <c r="FM12" s="697"/>
      <c r="FN12" s="697"/>
      <c r="FO12" s="697"/>
      <c r="FP12" s="709"/>
      <c r="FQ12" s="697"/>
      <c r="FR12" s="697"/>
      <c r="FS12" s="697"/>
      <c r="FT12" s="697"/>
      <c r="FU12" s="697"/>
      <c r="FV12" s="697"/>
      <c r="FW12" s="697"/>
      <c r="FX12" s="701"/>
      <c r="FY12" s="698"/>
      <c r="FZ12" s="698"/>
      <c r="GA12" s="698"/>
      <c r="GB12" s="698"/>
      <c r="GC12" s="698"/>
      <c r="GD12" s="698"/>
      <c r="GE12" s="698"/>
      <c r="GF12" s="698"/>
      <c r="GG12" s="698"/>
      <c r="GH12" s="698"/>
      <c r="GI12" s="701"/>
      <c r="GJ12" s="697"/>
      <c r="GK12" s="697"/>
      <c r="GL12" s="697"/>
      <c r="GM12" s="697"/>
      <c r="GN12" s="697"/>
      <c r="GO12" s="697"/>
      <c r="GP12" s="697"/>
      <c r="GQ12" s="697"/>
      <c r="GR12" s="697"/>
      <c r="GS12" s="697"/>
      <c r="GT12" s="697"/>
      <c r="GU12" s="697"/>
      <c r="GV12" s="697"/>
      <c r="GW12" s="697"/>
      <c r="GX12" s="697"/>
      <c r="GY12" s="697"/>
      <c r="GZ12" s="697"/>
      <c r="HA12" s="697"/>
      <c r="HB12" s="697"/>
      <c r="HC12" s="697"/>
      <c r="HD12" s="697"/>
      <c r="HE12" s="697"/>
      <c r="HF12" s="697"/>
      <c r="HG12" s="697"/>
      <c r="HH12" s="697"/>
      <c r="HI12" s="697"/>
      <c r="HJ12" s="697"/>
      <c r="HK12" s="697"/>
      <c r="HL12" s="697"/>
      <c r="HM12" s="697"/>
      <c r="HN12" s="697"/>
      <c r="HO12" s="697"/>
      <c r="HP12" s="697"/>
      <c r="HQ12" s="697"/>
      <c r="HR12" s="697"/>
    </row>
    <row r="13" spans="1:371" ht="8.1" customHeight="1">
      <c r="A13" s="694">
        <f t="shared" si="66"/>
        <v>1957</v>
      </c>
      <c r="B13" s="695">
        <v>40270</v>
      </c>
      <c r="C13" s="767"/>
      <c r="D13" s="695">
        <v>40464</v>
      </c>
      <c r="E13" s="766"/>
      <c r="F13" s="766"/>
      <c r="G13" s="766"/>
      <c r="H13" s="766"/>
      <c r="I13" s="766"/>
      <c r="J13" s="766"/>
      <c r="K13" s="766"/>
      <c r="L13" s="766"/>
      <c r="M13" s="766"/>
      <c r="N13" s="766"/>
      <c r="O13" s="766"/>
      <c r="P13" s="766"/>
      <c r="Q13" s="766"/>
      <c r="R13" s="766"/>
      <c r="S13" s="766"/>
      <c r="T13" s="766"/>
      <c r="U13" s="766"/>
      <c r="V13" s="766"/>
      <c r="W13" s="766"/>
      <c r="X13" s="766"/>
      <c r="Y13" s="766"/>
      <c r="Z13" s="766"/>
      <c r="AA13" s="766"/>
      <c r="AB13" s="766"/>
      <c r="AC13" s="766"/>
      <c r="AD13" s="766"/>
      <c r="AE13" s="766"/>
      <c r="AF13" s="766"/>
      <c r="AG13" s="766"/>
      <c r="AH13" s="766"/>
      <c r="AI13" s="766"/>
      <c r="AJ13" s="766"/>
      <c r="AK13" s="766"/>
      <c r="AL13" s="766"/>
      <c r="AM13" s="766"/>
      <c r="AN13" s="766"/>
      <c r="AO13" s="766"/>
      <c r="AP13" s="766"/>
      <c r="AQ13" s="766"/>
      <c r="AR13" s="766"/>
      <c r="AS13" s="766"/>
      <c r="AT13" s="766"/>
      <c r="AU13" s="766"/>
      <c r="AV13" s="766"/>
      <c r="AW13" s="766"/>
      <c r="AX13" s="766"/>
      <c r="AY13" s="766"/>
      <c r="AZ13" s="766"/>
      <c r="BA13" s="766"/>
      <c r="BB13" s="766"/>
      <c r="BC13" s="766"/>
      <c r="BD13" s="766"/>
      <c r="BE13" s="766"/>
      <c r="BF13" s="766"/>
      <c r="BG13" s="766"/>
      <c r="CT13" s="700"/>
      <c r="CU13" s="699"/>
      <c r="CV13" s="699"/>
      <c r="CW13" s="699"/>
      <c r="CX13" s="699"/>
      <c r="CY13" s="699"/>
      <c r="CZ13" s="699"/>
      <c r="DA13" s="699"/>
      <c r="DB13" s="699"/>
      <c r="DC13" s="699"/>
      <c r="DD13" s="699"/>
      <c r="DE13" s="699"/>
      <c r="DF13" s="699"/>
      <c r="DG13" s="699"/>
      <c r="DH13" s="703"/>
      <c r="DI13" s="703"/>
      <c r="DJ13" s="703"/>
      <c r="DK13" s="698"/>
      <c r="DL13" s="698"/>
      <c r="DM13" s="698"/>
      <c r="DN13" s="698"/>
      <c r="DO13" s="698"/>
      <c r="DP13" s="698"/>
      <c r="DQ13" s="698"/>
      <c r="DR13" s="698"/>
      <c r="DS13" s="698"/>
      <c r="DT13" s="698"/>
      <c r="DU13" s="698"/>
      <c r="DV13" s="698"/>
      <c r="DW13" s="712"/>
      <c r="DX13" s="698"/>
      <c r="DY13" s="698"/>
      <c r="DZ13" s="698"/>
      <c r="EA13" s="698"/>
      <c r="EB13" s="698"/>
      <c r="EC13" s="698"/>
      <c r="ED13" s="698"/>
      <c r="EE13" s="698"/>
      <c r="EF13" s="698"/>
      <c r="EG13" s="701"/>
      <c r="EH13" s="698"/>
      <c r="EI13" s="698"/>
      <c r="EJ13" s="698"/>
      <c r="EK13" s="701"/>
      <c r="EL13" s="701"/>
      <c r="EM13" s="698"/>
      <c r="EN13" s="698"/>
      <c r="EO13" s="698"/>
      <c r="EP13" s="698"/>
      <c r="EQ13" s="698"/>
      <c r="ER13" s="698"/>
      <c r="ES13" s="698"/>
      <c r="ET13" s="701"/>
      <c r="EU13" s="698"/>
      <c r="EV13" s="698"/>
      <c r="EW13" s="698"/>
      <c r="EX13" s="698"/>
      <c r="EY13" s="698"/>
      <c r="EZ13" s="698"/>
      <c r="FA13" s="698"/>
      <c r="FB13" s="698"/>
      <c r="FC13" s="698"/>
      <c r="FD13" s="698"/>
      <c r="FE13" s="698"/>
      <c r="FF13" s="698"/>
      <c r="FG13" s="698"/>
      <c r="FH13" s="698"/>
      <c r="FI13" s="698"/>
      <c r="FJ13" s="698"/>
      <c r="FK13" s="701"/>
      <c r="FL13" s="698"/>
      <c r="FM13" s="698"/>
      <c r="FN13" s="698"/>
      <c r="FO13" s="698"/>
      <c r="FP13" s="710"/>
      <c r="FQ13" s="698"/>
      <c r="FR13" s="698"/>
      <c r="FS13" s="698"/>
      <c r="FT13" s="698"/>
      <c r="FU13" s="698"/>
      <c r="FV13" s="698"/>
      <c r="FW13" s="698"/>
      <c r="FX13" s="698"/>
      <c r="FY13" s="698"/>
      <c r="FZ13" s="698"/>
      <c r="GA13" s="698"/>
      <c r="GB13" s="698"/>
      <c r="GC13" s="698"/>
      <c r="GD13" s="698"/>
      <c r="GE13" s="698"/>
      <c r="GF13" s="698"/>
      <c r="GG13" s="698"/>
      <c r="GH13" s="698"/>
      <c r="GI13" s="698"/>
      <c r="GJ13" s="698"/>
      <c r="GK13" s="698"/>
      <c r="GL13" s="698"/>
      <c r="GM13" s="698"/>
      <c r="GN13" s="698"/>
      <c r="GO13" s="698"/>
      <c r="GP13" s="698"/>
      <c r="GQ13" s="698"/>
      <c r="GR13" s="698"/>
      <c r="GS13" s="698"/>
      <c r="GT13" s="698"/>
      <c r="GU13" s="698"/>
      <c r="GV13" s="698"/>
      <c r="GW13" s="698"/>
      <c r="GX13" s="698"/>
      <c r="GY13" s="698"/>
      <c r="GZ13" s="698"/>
      <c r="HA13" s="698"/>
      <c r="HB13" s="698"/>
      <c r="HC13" s="698"/>
      <c r="HD13" s="698"/>
      <c r="HE13" s="698"/>
      <c r="HF13" s="698"/>
      <c r="HG13" s="698"/>
      <c r="HH13" s="698"/>
      <c r="HI13" s="698"/>
      <c r="HJ13" s="698"/>
      <c r="HK13" s="698"/>
      <c r="HL13" s="698"/>
      <c r="HM13" s="698"/>
      <c r="HN13" s="698"/>
      <c r="HO13" s="698"/>
      <c r="HP13" s="698"/>
      <c r="HQ13" s="698"/>
      <c r="HR13" s="698"/>
      <c r="HS13" s="699"/>
      <c r="HT13" s="699"/>
      <c r="HU13" s="699"/>
      <c r="HV13" s="699"/>
      <c r="HW13" s="699"/>
      <c r="HX13" s="699"/>
      <c r="HY13" s="699"/>
      <c r="HZ13" s="699"/>
      <c r="IA13" s="699"/>
      <c r="IB13" s="699"/>
      <c r="IC13" s="699"/>
      <c r="ID13" s="699"/>
      <c r="IE13" s="699"/>
      <c r="IF13" s="699"/>
      <c r="IG13" s="699"/>
      <c r="IH13" s="699"/>
      <c r="II13" s="699"/>
      <c r="IJ13" s="699"/>
      <c r="IK13" s="699"/>
      <c r="IL13" s="699"/>
      <c r="IM13" s="699"/>
      <c r="IN13" s="699"/>
      <c r="IO13" s="699"/>
      <c r="IP13" s="699"/>
      <c r="IQ13" s="699"/>
      <c r="IR13" s="699"/>
      <c r="IS13" s="699"/>
      <c r="IT13" s="699"/>
      <c r="IU13" s="699"/>
      <c r="IV13" s="699"/>
      <c r="IW13" s="699"/>
      <c r="IX13" s="699"/>
      <c r="IY13" s="699"/>
      <c r="IZ13" s="699"/>
      <c r="JA13" s="699"/>
      <c r="JB13" s="699"/>
      <c r="JC13" s="699"/>
      <c r="JD13" s="699"/>
      <c r="JE13" s="699"/>
      <c r="JF13" s="699"/>
      <c r="JG13" s="699"/>
      <c r="JH13" s="699"/>
      <c r="JI13" s="699"/>
      <c r="JJ13" s="699"/>
      <c r="JK13" s="699"/>
      <c r="JL13" s="699"/>
      <c r="JM13" s="699"/>
      <c r="JN13" s="699"/>
      <c r="JO13" s="699"/>
      <c r="JP13" s="699"/>
      <c r="JQ13" s="699"/>
      <c r="JR13" s="699"/>
      <c r="JS13" s="699"/>
      <c r="JT13" s="699"/>
      <c r="JU13" s="699"/>
      <c r="JV13" s="699"/>
      <c r="JW13" s="699"/>
      <c r="JX13" s="699"/>
      <c r="JY13" s="699"/>
      <c r="JZ13" s="699"/>
      <c r="KA13" s="699"/>
      <c r="KB13" s="699"/>
      <c r="KC13" s="699"/>
      <c r="KD13" s="699"/>
      <c r="KE13" s="699"/>
      <c r="KF13" s="700"/>
    </row>
    <row r="14" spans="1:371" ht="8.1" customHeight="1">
      <c r="A14" s="694">
        <f t="shared" si="66"/>
        <v>1958</v>
      </c>
      <c r="B14" s="695">
        <v>40315</v>
      </c>
      <c r="C14" s="767"/>
      <c r="D14" s="695">
        <v>40428</v>
      </c>
      <c r="E14" s="766"/>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c r="AH14" s="766"/>
      <c r="AI14" s="766"/>
      <c r="AJ14" s="766"/>
      <c r="AK14" s="766"/>
      <c r="AL14" s="766"/>
      <c r="AM14" s="766"/>
      <c r="AN14" s="766"/>
      <c r="AO14" s="766"/>
      <c r="AP14" s="766"/>
      <c r="AQ14" s="766"/>
      <c r="AR14" s="766"/>
      <c r="AS14" s="766"/>
      <c r="AT14" s="766"/>
      <c r="AU14" s="766"/>
      <c r="AV14" s="766"/>
      <c r="AW14" s="766"/>
      <c r="AX14" s="766"/>
      <c r="AY14" s="766"/>
      <c r="AZ14" s="766"/>
      <c r="BA14" s="766"/>
      <c r="BB14" s="766"/>
      <c r="BC14" s="766"/>
      <c r="BD14" s="766"/>
      <c r="BE14" s="766"/>
      <c r="BF14" s="766"/>
      <c r="BG14" s="766"/>
      <c r="DH14" s="696"/>
      <c r="DI14" s="696"/>
      <c r="DJ14" s="696"/>
      <c r="DK14" s="697"/>
      <c r="DL14" s="697"/>
      <c r="DM14" s="697"/>
      <c r="DN14" s="697"/>
      <c r="DO14" s="697"/>
      <c r="DP14" s="697"/>
      <c r="DQ14" s="697"/>
      <c r="DR14" s="697"/>
      <c r="DS14" s="697"/>
      <c r="DT14" s="697"/>
      <c r="DU14" s="697"/>
      <c r="DV14" s="697"/>
      <c r="DW14" s="713"/>
      <c r="DX14" s="697"/>
      <c r="DY14" s="697"/>
      <c r="DZ14" s="697"/>
      <c r="EA14" s="697"/>
      <c r="EB14" s="697"/>
      <c r="EC14" s="697"/>
      <c r="ED14" s="697"/>
      <c r="EE14" s="697"/>
      <c r="EF14" s="697"/>
      <c r="EG14" s="697"/>
      <c r="EH14" s="697"/>
      <c r="EI14" s="697"/>
      <c r="EJ14" s="697"/>
      <c r="EK14" s="697"/>
      <c r="EL14" s="697"/>
      <c r="EM14" s="701"/>
      <c r="EN14" s="698"/>
      <c r="EO14" s="698"/>
      <c r="EP14" s="698"/>
      <c r="EQ14" s="698"/>
      <c r="ER14" s="698"/>
      <c r="ES14" s="698"/>
      <c r="ET14" s="698"/>
      <c r="EU14" s="698"/>
      <c r="EV14" s="698"/>
      <c r="EW14" s="698"/>
      <c r="EX14" s="698"/>
      <c r="EY14" s="698"/>
      <c r="EZ14" s="698"/>
      <c r="FA14" s="698"/>
      <c r="FB14" s="698"/>
      <c r="FC14" s="698"/>
      <c r="FD14" s="698"/>
      <c r="FE14" s="698"/>
      <c r="FF14" s="698"/>
      <c r="FG14" s="698"/>
      <c r="FH14" s="698"/>
      <c r="FI14" s="698"/>
      <c r="FJ14" s="698"/>
      <c r="FK14" s="698"/>
      <c r="FL14" s="698"/>
      <c r="FM14" s="698"/>
      <c r="FN14" s="698"/>
      <c r="FO14" s="698"/>
      <c r="FP14" s="710"/>
      <c r="FQ14" s="701"/>
      <c r="FR14" s="698"/>
      <c r="FS14" s="698"/>
      <c r="FT14" s="698"/>
      <c r="FU14" s="701"/>
      <c r="FV14" s="698"/>
      <c r="FW14" s="698"/>
      <c r="FX14" s="701"/>
      <c r="FY14" s="698"/>
      <c r="FZ14" s="698"/>
      <c r="GA14" s="698"/>
      <c r="GB14" s="698"/>
      <c r="GC14" s="698"/>
      <c r="GD14" s="698"/>
      <c r="GE14" s="698"/>
      <c r="GF14" s="701"/>
      <c r="GG14" s="698"/>
      <c r="GH14" s="698"/>
      <c r="GI14" s="698"/>
      <c r="GJ14" s="698"/>
      <c r="GK14" s="698"/>
      <c r="GL14" s="698"/>
      <c r="GM14" s="698"/>
      <c r="GN14" s="698"/>
      <c r="GO14" s="698"/>
      <c r="GP14" s="698"/>
      <c r="GQ14" s="698"/>
      <c r="GR14" s="698"/>
      <c r="GS14" s="698"/>
      <c r="GT14" s="701"/>
      <c r="GU14" s="698"/>
      <c r="GV14" s="698"/>
      <c r="GW14" s="698"/>
      <c r="GX14" s="698"/>
      <c r="GY14" s="698"/>
      <c r="GZ14" s="698"/>
      <c r="HA14" s="701"/>
      <c r="HB14" s="698"/>
      <c r="HC14" s="698"/>
      <c r="HD14" s="701"/>
      <c r="HE14" s="698"/>
      <c r="HF14" s="701"/>
      <c r="HG14" s="698"/>
      <c r="HH14" s="698"/>
      <c r="HI14" s="698"/>
      <c r="HJ14" s="698"/>
      <c r="HK14" s="698"/>
      <c r="HL14" s="698"/>
      <c r="HM14" s="698"/>
      <c r="HN14" s="698"/>
      <c r="HO14" s="698"/>
      <c r="HP14" s="698"/>
      <c r="HQ14" s="698"/>
      <c r="HR14" s="698"/>
      <c r="HS14" s="699"/>
      <c r="HT14" s="699"/>
      <c r="HU14" s="699"/>
      <c r="HV14" s="699"/>
      <c r="HW14" s="699"/>
      <c r="HX14" s="699"/>
      <c r="HY14" s="699"/>
      <c r="HZ14" s="699"/>
      <c r="IA14" s="699"/>
      <c r="IB14" s="699"/>
      <c r="IC14" s="699"/>
      <c r="ID14" s="699"/>
      <c r="IE14" s="699"/>
      <c r="IF14" s="699"/>
      <c r="IG14" s="699"/>
      <c r="IH14" s="699"/>
      <c r="II14" s="699"/>
      <c r="IJ14" s="699"/>
      <c r="IK14" s="699"/>
      <c r="IL14" s="699"/>
      <c r="IM14" s="699"/>
      <c r="IN14" s="699"/>
      <c r="IO14" s="699"/>
      <c r="IP14" s="699"/>
      <c r="IQ14" s="699"/>
      <c r="IR14" s="699"/>
      <c r="IS14" s="699"/>
      <c r="IT14" s="699"/>
      <c r="IU14" s="699"/>
      <c r="IV14" s="700"/>
    </row>
    <row r="15" spans="1:371" ht="8.1" customHeight="1">
      <c r="A15" s="694">
        <f t="shared" si="66"/>
        <v>1959</v>
      </c>
      <c r="B15" s="695">
        <v>40306</v>
      </c>
      <c r="C15" s="766"/>
      <c r="D15" s="695">
        <v>40445</v>
      </c>
      <c r="E15" s="766"/>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DH15" s="696"/>
      <c r="DI15" s="696"/>
      <c r="DJ15" s="696"/>
      <c r="DK15" s="697"/>
      <c r="DL15" s="697"/>
      <c r="DM15" s="697"/>
      <c r="DN15" s="697"/>
      <c r="DO15" s="697"/>
      <c r="DP15" s="697"/>
      <c r="DQ15" s="697"/>
      <c r="DR15" s="697"/>
      <c r="DS15" s="697"/>
      <c r="DT15" s="697"/>
      <c r="DU15" s="697"/>
      <c r="DV15" s="697"/>
      <c r="DW15" s="713"/>
      <c r="DX15" s="697"/>
      <c r="DY15" s="697"/>
      <c r="DZ15" s="697"/>
      <c r="EA15" s="697"/>
      <c r="EB15" s="697"/>
      <c r="EC15" s="697"/>
      <c r="ED15" s="697"/>
      <c r="EE15" s="701"/>
      <c r="EF15" s="698"/>
      <c r="EG15" s="698"/>
      <c r="EH15" s="698"/>
      <c r="EI15" s="698"/>
      <c r="EJ15" s="698"/>
      <c r="EK15" s="698"/>
      <c r="EL15" s="698"/>
      <c r="EM15" s="701"/>
      <c r="EN15" s="698"/>
      <c r="EO15" s="698"/>
      <c r="EP15" s="698"/>
      <c r="EQ15" s="698"/>
      <c r="ER15" s="698"/>
      <c r="ES15" s="698"/>
      <c r="ET15" s="698"/>
      <c r="EU15" s="701"/>
      <c r="EV15" s="698"/>
      <c r="EW15" s="698"/>
      <c r="EX15" s="698"/>
      <c r="EY15" s="698"/>
      <c r="EZ15" s="698"/>
      <c r="FA15" s="698"/>
      <c r="FB15" s="698"/>
      <c r="FC15" s="698"/>
      <c r="FD15" s="698"/>
      <c r="FE15" s="698"/>
      <c r="FF15" s="698"/>
      <c r="FG15" s="698"/>
      <c r="FH15" s="698"/>
      <c r="FI15" s="698"/>
      <c r="FJ15" s="698"/>
      <c r="FK15" s="698"/>
      <c r="FL15" s="698"/>
      <c r="FM15" s="698"/>
      <c r="FN15" s="698"/>
      <c r="FO15" s="698"/>
      <c r="FP15" s="710"/>
      <c r="FQ15" s="698"/>
      <c r="FR15" s="698"/>
      <c r="FS15" s="698"/>
      <c r="FT15" s="698"/>
      <c r="FU15" s="698"/>
      <c r="FV15" s="698"/>
      <c r="FW15" s="698"/>
      <c r="FX15" s="698"/>
      <c r="FY15" s="698"/>
      <c r="FZ15" s="698"/>
      <c r="GA15" s="698"/>
      <c r="GB15" s="698"/>
      <c r="GC15" s="698"/>
      <c r="GD15" s="698"/>
      <c r="GE15" s="698"/>
      <c r="GF15" s="698"/>
      <c r="GG15" s="698"/>
      <c r="GH15" s="698"/>
      <c r="GI15" s="698"/>
      <c r="GJ15" s="698"/>
      <c r="GK15" s="698"/>
      <c r="GL15" s="698"/>
      <c r="GM15" s="698"/>
      <c r="GN15" s="698"/>
      <c r="GO15" s="701"/>
      <c r="GP15" s="698"/>
      <c r="GQ15" s="698"/>
      <c r="GR15" s="698"/>
      <c r="GS15" s="701"/>
      <c r="GT15" s="698"/>
      <c r="GU15" s="698"/>
      <c r="GV15" s="698"/>
      <c r="GW15" s="698"/>
      <c r="GX15" s="698"/>
      <c r="GY15" s="698"/>
      <c r="GZ15" s="698"/>
      <c r="HA15" s="698"/>
      <c r="HB15" s="698"/>
      <c r="HC15" s="698"/>
      <c r="HD15" s="698"/>
      <c r="HE15" s="698"/>
      <c r="HF15" s="698"/>
      <c r="HG15" s="698"/>
      <c r="HH15" s="698"/>
      <c r="HI15" s="698"/>
      <c r="HJ15" s="698"/>
      <c r="HK15" s="698"/>
      <c r="HL15" s="698"/>
      <c r="HM15" s="698"/>
      <c r="HN15" s="698"/>
      <c r="HO15" s="698"/>
      <c r="HP15" s="698"/>
      <c r="HQ15" s="698"/>
      <c r="HR15" s="698"/>
      <c r="HS15" s="699"/>
      <c r="HT15" s="699"/>
      <c r="HU15" s="699"/>
      <c r="HV15" s="699"/>
      <c r="HW15" s="699"/>
      <c r="HX15" s="699"/>
      <c r="HY15" s="699"/>
      <c r="HZ15" s="699"/>
      <c r="IA15" s="699"/>
      <c r="IB15" s="699"/>
      <c r="IC15" s="699"/>
      <c r="ID15" s="699"/>
      <c r="IE15" s="699"/>
      <c r="IF15" s="699"/>
      <c r="IG15" s="699"/>
      <c r="IH15" s="699"/>
      <c r="II15" s="699"/>
      <c r="IJ15" s="699"/>
      <c r="IK15" s="699"/>
      <c r="IL15" s="699"/>
      <c r="IM15" s="699"/>
      <c r="IN15" s="699"/>
      <c r="IO15" s="699"/>
      <c r="IP15" s="699"/>
      <c r="IQ15" s="699"/>
      <c r="IR15" s="699"/>
      <c r="IS15" s="699"/>
      <c r="IT15" s="699"/>
      <c r="IU15" s="699"/>
      <c r="IV15" s="699"/>
      <c r="IW15" s="699"/>
      <c r="IX15" s="699"/>
      <c r="IY15" s="699"/>
      <c r="IZ15" s="699"/>
      <c r="JA15" s="699"/>
      <c r="JB15" s="699"/>
      <c r="JC15" s="699"/>
      <c r="JD15" s="699"/>
      <c r="JE15" s="699"/>
      <c r="JF15" s="699"/>
      <c r="JG15" s="699"/>
      <c r="JH15" s="699"/>
      <c r="JI15" s="699"/>
      <c r="JJ15" s="699"/>
      <c r="JK15" s="699"/>
      <c r="JL15" s="699"/>
      <c r="JM15" s="700"/>
    </row>
    <row r="16" spans="1:371" ht="8.1" customHeight="1">
      <c r="A16" s="694">
        <f t="shared" si="66"/>
        <v>1960</v>
      </c>
      <c r="B16" s="695">
        <v>40280</v>
      </c>
      <c r="C16" s="766"/>
      <c r="D16" s="695">
        <v>40344</v>
      </c>
      <c r="E16" s="766"/>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c r="BA16" s="766"/>
      <c r="BB16" s="766"/>
      <c r="BC16" s="766"/>
      <c r="BD16" s="766"/>
      <c r="BE16" s="766"/>
      <c r="BF16" s="766"/>
      <c r="BG16" s="766"/>
      <c r="DD16" s="700"/>
      <c r="DE16" s="699"/>
      <c r="DF16" s="699"/>
      <c r="DG16" s="699"/>
      <c r="DH16" s="703"/>
      <c r="DI16" s="703"/>
      <c r="DJ16" s="703"/>
      <c r="DK16" s="698"/>
      <c r="DL16" s="698"/>
      <c r="DM16" s="698"/>
      <c r="DN16" s="698"/>
      <c r="DO16" s="698"/>
      <c r="DP16" s="698"/>
      <c r="DQ16" s="698"/>
      <c r="DR16" s="698"/>
      <c r="DS16" s="698"/>
      <c r="DT16" s="698"/>
      <c r="DU16" s="698"/>
      <c r="DV16" s="698"/>
      <c r="DW16" s="712"/>
      <c r="DX16" s="698"/>
      <c r="DY16" s="698"/>
      <c r="DZ16" s="698"/>
      <c r="EA16" s="698"/>
      <c r="EB16" s="698"/>
      <c r="EC16" s="698"/>
      <c r="ED16" s="698"/>
      <c r="EE16" s="698"/>
      <c r="EF16" s="698"/>
      <c r="EG16" s="698"/>
      <c r="EH16" s="698"/>
      <c r="EI16" s="698"/>
      <c r="EJ16" s="698"/>
      <c r="EK16" s="698"/>
      <c r="EL16" s="698"/>
      <c r="EM16" s="698"/>
      <c r="EN16" s="698"/>
      <c r="EO16" s="698"/>
      <c r="EP16" s="698"/>
      <c r="EQ16" s="698"/>
      <c r="ER16" s="698"/>
      <c r="ES16" s="698"/>
      <c r="ET16" s="698"/>
      <c r="EU16" s="698"/>
      <c r="EV16" s="698"/>
      <c r="EW16" s="698"/>
      <c r="EX16" s="701"/>
      <c r="EY16" s="698"/>
      <c r="EZ16" s="698"/>
      <c r="FA16" s="698"/>
      <c r="FB16" s="698"/>
      <c r="FC16" s="698"/>
      <c r="FD16" s="698"/>
      <c r="FE16" s="698"/>
      <c r="FF16" s="698"/>
      <c r="FG16" s="698"/>
      <c r="FH16" s="698"/>
      <c r="FI16" s="701"/>
      <c r="FJ16" s="701"/>
      <c r="FK16" s="701"/>
      <c r="FL16" s="698"/>
      <c r="FM16" s="698"/>
      <c r="FN16" s="698"/>
      <c r="FO16" s="698"/>
      <c r="FP16" s="711"/>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c r="GV16" s="697"/>
      <c r="GW16" s="697"/>
      <c r="GX16" s="697"/>
      <c r="GY16" s="697"/>
      <c r="GZ16" s="697"/>
      <c r="HA16" s="697"/>
      <c r="HB16" s="697"/>
      <c r="HC16" s="697"/>
      <c r="HD16" s="697"/>
      <c r="HE16" s="697"/>
      <c r="HF16" s="697"/>
      <c r="HG16" s="697"/>
      <c r="HH16" s="697"/>
      <c r="HI16" s="697"/>
      <c r="HJ16" s="697"/>
      <c r="HK16" s="697"/>
      <c r="HL16" s="697"/>
      <c r="HM16" s="697"/>
      <c r="HN16" s="697"/>
      <c r="HO16" s="697"/>
      <c r="HP16" s="697"/>
      <c r="HQ16" s="697"/>
      <c r="HR16" s="697"/>
    </row>
    <row r="17" spans="1:374" ht="8.1" customHeight="1">
      <c r="A17" s="694">
        <f t="shared" si="66"/>
        <v>1961</v>
      </c>
      <c r="B17" s="695">
        <v>40302</v>
      </c>
      <c r="C17" s="766"/>
      <c r="D17" s="695">
        <v>40373</v>
      </c>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c r="BA17" s="766"/>
      <c r="BB17" s="766"/>
      <c r="BC17" s="766"/>
      <c r="BD17" s="766"/>
      <c r="BE17" s="766"/>
      <c r="BF17" s="766"/>
      <c r="BG17" s="766"/>
      <c r="DH17" s="696"/>
      <c r="DI17" s="696"/>
      <c r="DJ17" s="696"/>
      <c r="DK17" s="697"/>
      <c r="DL17" s="697"/>
      <c r="DM17" s="697"/>
      <c r="DN17" s="697"/>
      <c r="DO17" s="697"/>
      <c r="DP17" s="697"/>
      <c r="DQ17" s="697"/>
      <c r="DR17" s="697"/>
      <c r="DS17" s="697"/>
      <c r="DT17" s="697"/>
      <c r="DU17" s="697"/>
      <c r="DV17" s="697"/>
      <c r="DW17" s="713"/>
      <c r="DX17" s="697"/>
      <c r="DY17" s="697"/>
      <c r="DZ17" s="701"/>
      <c r="EA17" s="698"/>
      <c r="EB17" s="698"/>
      <c r="EC17" s="698"/>
      <c r="ED17" s="698"/>
      <c r="EE17" s="698"/>
      <c r="EF17" s="698"/>
      <c r="EG17" s="698"/>
      <c r="EH17" s="698"/>
      <c r="EI17" s="698"/>
      <c r="EJ17" s="698"/>
      <c r="EK17" s="698"/>
      <c r="EL17" s="701"/>
      <c r="EM17" s="698"/>
      <c r="EN17" s="698"/>
      <c r="EO17" s="698"/>
      <c r="EP17" s="698"/>
      <c r="EQ17" s="698"/>
      <c r="ER17" s="698"/>
      <c r="ES17" s="698"/>
      <c r="ET17" s="698"/>
      <c r="EU17" s="698"/>
      <c r="EV17" s="698"/>
      <c r="EW17" s="698"/>
      <c r="EX17" s="698"/>
      <c r="EY17" s="698"/>
      <c r="EZ17" s="698"/>
      <c r="FA17" s="698"/>
      <c r="FB17" s="698"/>
      <c r="FC17" s="701"/>
      <c r="FD17" s="701"/>
      <c r="FE17" s="698"/>
      <c r="FF17" s="701"/>
      <c r="FG17" s="698"/>
      <c r="FH17" s="701"/>
      <c r="FI17" s="698"/>
      <c r="FJ17" s="698"/>
      <c r="FK17" s="698"/>
      <c r="FL17" s="698"/>
      <c r="FM17" s="698"/>
      <c r="FN17" s="698"/>
      <c r="FO17" s="698"/>
      <c r="FP17" s="710"/>
      <c r="FQ17" s="698"/>
      <c r="FR17" s="698"/>
      <c r="FS17" s="698"/>
      <c r="FT17" s="698"/>
      <c r="FU17" s="698"/>
      <c r="FV17" s="698"/>
      <c r="FW17" s="698"/>
      <c r="FX17" s="698"/>
      <c r="FY17" s="698"/>
      <c r="FZ17" s="698"/>
      <c r="GA17" s="698"/>
      <c r="GB17" s="698"/>
      <c r="GC17" s="698"/>
      <c r="GD17" s="698"/>
      <c r="GE17" s="698"/>
      <c r="GF17" s="698"/>
      <c r="GG17" s="698"/>
      <c r="GH17" s="698"/>
      <c r="GI17" s="698"/>
      <c r="GJ17" s="698"/>
      <c r="GK17" s="698"/>
      <c r="GL17" s="698"/>
      <c r="GM17" s="698"/>
      <c r="GN17" s="698"/>
      <c r="GO17" s="698"/>
      <c r="GP17" s="698"/>
      <c r="GQ17" s="698"/>
      <c r="GR17" s="698"/>
      <c r="GS17" s="701"/>
      <c r="GT17" s="697"/>
      <c r="GU17" s="697"/>
      <c r="GV17" s="697"/>
      <c r="GW17" s="697"/>
      <c r="GX17" s="697"/>
      <c r="GY17" s="697"/>
      <c r="GZ17" s="697"/>
      <c r="HA17" s="697"/>
      <c r="HB17" s="697"/>
      <c r="HC17" s="697"/>
      <c r="HD17" s="697"/>
      <c r="HE17" s="697"/>
      <c r="HF17" s="697"/>
      <c r="HG17" s="697"/>
      <c r="HH17" s="697"/>
      <c r="HI17" s="697"/>
      <c r="HJ17" s="697"/>
      <c r="HK17" s="697"/>
      <c r="HL17" s="697"/>
      <c r="HM17" s="697"/>
      <c r="HN17" s="697"/>
      <c r="HO17" s="697"/>
      <c r="HP17" s="697"/>
      <c r="HQ17" s="697"/>
      <c r="HR17" s="697"/>
    </row>
    <row r="18" spans="1:374" ht="8.1" customHeight="1">
      <c r="A18" s="694">
        <f t="shared" si="66"/>
        <v>1962</v>
      </c>
      <c r="B18" s="695">
        <v>40315</v>
      </c>
      <c r="C18" s="766"/>
      <c r="D18" s="695">
        <v>40420</v>
      </c>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DH18" s="696"/>
      <c r="DI18" s="696"/>
      <c r="DJ18" s="696"/>
      <c r="DK18" s="697"/>
      <c r="DL18" s="697"/>
      <c r="DM18" s="697"/>
      <c r="DN18" s="697"/>
      <c r="DO18" s="697"/>
      <c r="DP18" s="697"/>
      <c r="DQ18" s="697"/>
      <c r="DR18" s="697"/>
      <c r="DS18" s="697"/>
      <c r="DT18" s="697"/>
      <c r="DU18" s="697"/>
      <c r="DV18" s="697"/>
      <c r="DW18" s="713"/>
      <c r="DX18" s="697"/>
      <c r="DY18" s="697"/>
      <c r="DZ18" s="697"/>
      <c r="EA18" s="697"/>
      <c r="EB18" s="697"/>
      <c r="EC18" s="697"/>
      <c r="ED18" s="697"/>
      <c r="EE18" s="697"/>
      <c r="EF18" s="697"/>
      <c r="EG18" s="697"/>
      <c r="EH18" s="697"/>
      <c r="EI18" s="697"/>
      <c r="EJ18" s="697"/>
      <c r="EK18" s="697"/>
      <c r="EL18" s="697"/>
      <c r="EM18" s="701"/>
      <c r="EN18" s="698"/>
      <c r="EO18" s="698"/>
      <c r="EP18" s="698"/>
      <c r="EQ18" s="698"/>
      <c r="ER18" s="698"/>
      <c r="ES18" s="698"/>
      <c r="ET18" s="698"/>
      <c r="EU18" s="698"/>
      <c r="EV18" s="698"/>
      <c r="EW18" s="701"/>
      <c r="EX18" s="698"/>
      <c r="EY18" s="698"/>
      <c r="EZ18" s="698"/>
      <c r="FA18" s="698"/>
      <c r="FB18" s="698"/>
      <c r="FC18" s="698"/>
      <c r="FD18" s="701"/>
      <c r="FE18" s="698"/>
      <c r="FF18" s="698"/>
      <c r="FG18" s="701"/>
      <c r="FH18" s="698"/>
      <c r="FI18" s="701"/>
      <c r="FJ18" s="698"/>
      <c r="FK18" s="698"/>
      <c r="FL18" s="698"/>
      <c r="FM18" s="698"/>
      <c r="FN18" s="698"/>
      <c r="FO18" s="701"/>
      <c r="FP18" s="710"/>
      <c r="FQ18" s="698"/>
      <c r="FR18" s="698"/>
      <c r="FS18" s="698"/>
      <c r="FT18" s="698"/>
      <c r="FU18" s="698"/>
      <c r="FV18" s="698"/>
      <c r="FW18" s="701"/>
      <c r="FX18" s="698"/>
      <c r="FY18" s="701"/>
      <c r="FZ18" s="698"/>
      <c r="GA18" s="698"/>
      <c r="GB18" s="698"/>
      <c r="GC18" s="698"/>
      <c r="GD18" s="698"/>
      <c r="GE18" s="698"/>
      <c r="GF18" s="698"/>
      <c r="GG18" s="698"/>
      <c r="GH18" s="698"/>
      <c r="GI18" s="698"/>
      <c r="GJ18" s="698"/>
      <c r="GK18" s="698"/>
      <c r="GL18" s="698"/>
      <c r="GM18" s="698"/>
      <c r="GN18" s="698"/>
      <c r="GO18" s="698"/>
      <c r="GP18" s="698"/>
      <c r="GQ18" s="698"/>
      <c r="GR18" s="698"/>
      <c r="GS18" s="698"/>
      <c r="GT18" s="698"/>
      <c r="GU18" s="698"/>
      <c r="GV18" s="698"/>
      <c r="GW18" s="698"/>
      <c r="GX18" s="698"/>
      <c r="GY18" s="698"/>
      <c r="GZ18" s="698"/>
      <c r="HA18" s="698"/>
      <c r="HB18" s="698"/>
      <c r="HC18" s="698"/>
      <c r="HD18" s="698"/>
      <c r="HE18" s="698"/>
      <c r="HF18" s="698"/>
      <c r="HG18" s="698"/>
      <c r="HH18" s="698"/>
      <c r="HI18" s="698"/>
      <c r="HJ18" s="698"/>
      <c r="HK18" s="698"/>
      <c r="HL18" s="698"/>
      <c r="HM18" s="698"/>
      <c r="HN18" s="698"/>
      <c r="HO18" s="698"/>
      <c r="HP18" s="698"/>
      <c r="HQ18" s="698"/>
      <c r="HR18" s="698"/>
      <c r="HS18" s="699"/>
      <c r="HT18" s="699"/>
      <c r="HU18" s="699"/>
      <c r="HV18" s="699"/>
      <c r="HW18" s="699"/>
      <c r="HX18" s="699"/>
      <c r="HY18" s="699"/>
      <c r="HZ18" s="699"/>
      <c r="IA18" s="699"/>
      <c r="IB18" s="699"/>
      <c r="IC18" s="699"/>
      <c r="ID18" s="699"/>
      <c r="IE18" s="699"/>
      <c r="IF18" s="699"/>
      <c r="IG18" s="699"/>
      <c r="IH18" s="699"/>
      <c r="II18" s="699"/>
      <c r="IJ18" s="699"/>
      <c r="IK18" s="699"/>
      <c r="IL18" s="699"/>
      <c r="IM18" s="699"/>
      <c r="IN18" s="700"/>
    </row>
    <row r="19" spans="1:374" ht="8.1" customHeight="1">
      <c r="A19" s="694">
        <f t="shared" si="66"/>
        <v>1963</v>
      </c>
      <c r="B19" s="695">
        <v>40302</v>
      </c>
      <c r="C19" s="766"/>
      <c r="D19" s="695">
        <v>40374</v>
      </c>
      <c r="E19" s="766"/>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DH19" s="696"/>
      <c r="DI19" s="696"/>
      <c r="DJ19" s="696"/>
      <c r="DK19" s="697"/>
      <c r="DL19" s="697"/>
      <c r="DM19" s="697"/>
      <c r="DN19" s="697"/>
      <c r="DO19" s="697"/>
      <c r="DP19" s="697"/>
      <c r="DQ19" s="697"/>
      <c r="DR19" s="697"/>
      <c r="DS19" s="697"/>
      <c r="DT19" s="697"/>
      <c r="DU19" s="697"/>
      <c r="DV19" s="697"/>
      <c r="DW19" s="713"/>
      <c r="DX19" s="697"/>
      <c r="DY19" s="697"/>
      <c r="DZ19" s="701"/>
      <c r="EA19" s="698"/>
      <c r="EB19" s="698"/>
      <c r="EC19" s="698"/>
      <c r="ED19" s="698"/>
      <c r="EE19" s="698"/>
      <c r="EF19" s="698"/>
      <c r="EG19" s="698"/>
      <c r="EH19" s="698"/>
      <c r="EI19" s="698"/>
      <c r="EJ19" s="698"/>
      <c r="EK19" s="698"/>
      <c r="EL19" s="698"/>
      <c r="EM19" s="698"/>
      <c r="EN19" s="698"/>
      <c r="EO19" s="698"/>
      <c r="EP19" s="698"/>
      <c r="EQ19" s="698"/>
      <c r="ER19" s="698"/>
      <c r="ES19" s="698"/>
      <c r="ET19" s="698"/>
      <c r="EU19" s="698"/>
      <c r="EV19" s="698"/>
      <c r="EW19" s="698"/>
      <c r="EX19" s="698"/>
      <c r="EY19" s="698"/>
      <c r="EZ19" s="698"/>
      <c r="FA19" s="698"/>
      <c r="FB19" s="698"/>
      <c r="FC19" s="698"/>
      <c r="FD19" s="698"/>
      <c r="FE19" s="698"/>
      <c r="FF19" s="698"/>
      <c r="FG19" s="698"/>
      <c r="FH19" s="698"/>
      <c r="FI19" s="698"/>
      <c r="FJ19" s="698"/>
      <c r="FK19" s="698"/>
      <c r="FL19" s="698"/>
      <c r="FM19" s="698"/>
      <c r="FN19" s="698"/>
      <c r="FO19" s="698"/>
      <c r="FP19" s="711"/>
      <c r="FQ19" s="698"/>
      <c r="FR19" s="698"/>
      <c r="FS19" s="698"/>
      <c r="FT19" s="698"/>
      <c r="FU19" s="698"/>
      <c r="FV19" s="698"/>
      <c r="FW19" s="698"/>
      <c r="FX19" s="698"/>
      <c r="FY19" s="698"/>
      <c r="FZ19" s="698"/>
      <c r="GA19" s="698"/>
      <c r="GB19" s="698"/>
      <c r="GC19" s="698"/>
      <c r="GD19" s="698"/>
      <c r="GE19" s="698"/>
      <c r="GF19" s="698"/>
      <c r="GG19" s="698"/>
      <c r="GH19" s="698"/>
      <c r="GI19" s="698"/>
      <c r="GJ19" s="698"/>
      <c r="GK19" s="698"/>
      <c r="GL19" s="698"/>
      <c r="GM19" s="698"/>
      <c r="GN19" s="698"/>
      <c r="GO19" s="698"/>
      <c r="GP19" s="701"/>
      <c r="GQ19" s="698"/>
      <c r="GR19" s="698"/>
      <c r="GS19" s="698"/>
      <c r="GT19" s="701"/>
      <c r="GU19" s="697"/>
      <c r="GV19" s="697"/>
      <c r="GW19" s="697"/>
      <c r="GX19" s="697"/>
      <c r="GY19" s="697"/>
      <c r="GZ19" s="697"/>
      <c r="HA19" s="697"/>
      <c r="HB19" s="697"/>
      <c r="HC19" s="697"/>
      <c r="HD19" s="697"/>
      <c r="HE19" s="697"/>
      <c r="HF19" s="697"/>
      <c r="HG19" s="697"/>
      <c r="HH19" s="697"/>
      <c r="HI19" s="697"/>
      <c r="HJ19" s="697"/>
      <c r="HK19" s="697"/>
      <c r="HL19" s="697"/>
      <c r="HM19" s="697"/>
      <c r="HN19" s="697"/>
      <c r="HO19" s="697"/>
      <c r="HP19" s="697"/>
      <c r="HQ19" s="697"/>
      <c r="HR19" s="697"/>
    </row>
    <row r="20" spans="1:374" ht="8.1" customHeight="1">
      <c r="A20" s="694">
        <f t="shared" si="66"/>
        <v>1964</v>
      </c>
      <c r="B20" s="695">
        <v>40308</v>
      </c>
      <c r="C20" s="766"/>
      <c r="D20" s="695">
        <v>40409</v>
      </c>
      <c r="E20" s="766"/>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DH20" s="696"/>
      <c r="DI20" s="696"/>
      <c r="DJ20" s="696"/>
      <c r="DK20" s="697"/>
      <c r="DL20" s="697"/>
      <c r="DM20" s="697"/>
      <c r="DN20" s="697"/>
      <c r="DO20" s="697"/>
      <c r="DP20" s="697"/>
      <c r="DQ20" s="697"/>
      <c r="DR20" s="697"/>
      <c r="DS20" s="697"/>
      <c r="DT20" s="697"/>
      <c r="DU20" s="697"/>
      <c r="DV20" s="697"/>
      <c r="DW20" s="713"/>
      <c r="DX20" s="697"/>
      <c r="DY20" s="697"/>
      <c r="DZ20" s="697"/>
      <c r="EA20" s="697"/>
      <c r="EB20" s="697"/>
      <c r="EC20" s="697"/>
      <c r="ED20" s="697"/>
      <c r="EE20" s="697"/>
      <c r="EF20" s="701"/>
      <c r="EG20" s="698"/>
      <c r="EH20" s="698"/>
      <c r="EI20" s="698"/>
      <c r="EJ20" s="698"/>
      <c r="EK20" s="698"/>
      <c r="EL20" s="698"/>
      <c r="EM20" s="698"/>
      <c r="EN20" s="698"/>
      <c r="EO20" s="698"/>
      <c r="EP20" s="698"/>
      <c r="EQ20" s="698"/>
      <c r="ER20" s="698"/>
      <c r="ES20" s="698"/>
      <c r="ET20" s="698"/>
      <c r="EU20" s="698"/>
      <c r="EV20" s="698"/>
      <c r="EW20" s="698"/>
      <c r="EX20" s="698"/>
      <c r="EY20" s="698"/>
      <c r="EZ20" s="698"/>
      <c r="FA20" s="698"/>
      <c r="FB20" s="698"/>
      <c r="FC20" s="698"/>
      <c r="FD20" s="698"/>
      <c r="FE20" s="698"/>
      <c r="FF20" s="698"/>
      <c r="FG20" s="698"/>
      <c r="FH20" s="698"/>
      <c r="FI20" s="698"/>
      <c r="FJ20" s="698"/>
      <c r="FK20" s="698"/>
      <c r="FL20" s="698"/>
      <c r="FM20" s="701"/>
      <c r="FN20" s="698"/>
      <c r="FO20" s="698"/>
      <c r="FP20" s="710"/>
      <c r="FQ20" s="698"/>
      <c r="FR20" s="698"/>
      <c r="FS20" s="698"/>
      <c r="FT20" s="698"/>
      <c r="FU20" s="698"/>
      <c r="FV20" s="698"/>
      <c r="FW20" s="701"/>
      <c r="FX20" s="698"/>
      <c r="FY20" s="698"/>
      <c r="FZ20" s="698"/>
      <c r="GA20" s="698"/>
      <c r="GB20" s="698"/>
      <c r="GC20" s="698"/>
      <c r="GD20" s="698"/>
      <c r="GE20" s="698"/>
      <c r="GF20" s="698"/>
      <c r="GG20" s="698"/>
      <c r="GH20" s="698"/>
      <c r="GI20" s="698"/>
      <c r="GJ20" s="698"/>
      <c r="GK20" s="698"/>
      <c r="GL20" s="698"/>
      <c r="GM20" s="698"/>
      <c r="GN20" s="698"/>
      <c r="GO20" s="698"/>
      <c r="GP20" s="698"/>
      <c r="GQ20" s="698"/>
      <c r="GR20" s="698"/>
      <c r="GS20" s="698"/>
      <c r="GT20" s="698"/>
      <c r="GU20" s="698"/>
      <c r="GV20" s="698"/>
      <c r="GW20" s="698"/>
      <c r="GX20" s="698"/>
      <c r="GY20" s="698"/>
      <c r="GZ20" s="698"/>
      <c r="HA20" s="698"/>
      <c r="HB20" s="698"/>
      <c r="HC20" s="698"/>
      <c r="HD20" s="698"/>
      <c r="HE20" s="698"/>
      <c r="HF20" s="698"/>
      <c r="HG20" s="698"/>
      <c r="HH20" s="698"/>
      <c r="HI20" s="698"/>
      <c r="HJ20" s="698"/>
      <c r="HK20" s="698"/>
      <c r="HL20" s="698"/>
      <c r="HM20" s="698"/>
      <c r="HN20" s="698"/>
      <c r="HO20" s="698"/>
      <c r="HP20" s="698"/>
      <c r="HQ20" s="698"/>
      <c r="HR20" s="698"/>
      <c r="HS20" s="699"/>
      <c r="HT20" s="699"/>
      <c r="HU20" s="699"/>
      <c r="HV20" s="699"/>
      <c r="HW20" s="699"/>
      <c r="HX20" s="699"/>
      <c r="HY20" s="699"/>
      <c r="HZ20" s="699"/>
      <c r="IA20" s="699"/>
      <c r="IB20" s="699"/>
      <c r="IC20" s="700"/>
    </row>
    <row r="21" spans="1:374" ht="8.1" customHeight="1">
      <c r="A21" s="694">
        <f t="shared" si="66"/>
        <v>1965</v>
      </c>
      <c r="B21" s="695">
        <v>40302</v>
      </c>
      <c r="C21" s="766"/>
      <c r="D21" s="695">
        <v>40354</v>
      </c>
      <c r="E21" s="766"/>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DH21" s="696"/>
      <c r="DI21" s="696"/>
      <c r="DJ21" s="696"/>
      <c r="DK21" s="697"/>
      <c r="DL21" s="697"/>
      <c r="DM21" s="697"/>
      <c r="DN21" s="697"/>
      <c r="DO21" s="697"/>
      <c r="DP21" s="697"/>
      <c r="DQ21" s="697"/>
      <c r="DR21" s="697"/>
      <c r="DS21" s="697"/>
      <c r="DT21" s="697"/>
      <c r="DU21" s="697"/>
      <c r="DV21" s="697"/>
      <c r="DW21" s="713"/>
      <c r="DX21" s="697"/>
      <c r="DY21" s="697"/>
      <c r="DZ21" s="701"/>
      <c r="EA21" s="698"/>
      <c r="EB21" s="698"/>
      <c r="EC21" s="701"/>
      <c r="ED21" s="698"/>
      <c r="EE21" s="698"/>
      <c r="EF21" s="698"/>
      <c r="EG21" s="698"/>
      <c r="EH21" s="698"/>
      <c r="EI21" s="698"/>
      <c r="EJ21" s="698"/>
      <c r="EK21" s="698"/>
      <c r="EL21" s="698"/>
      <c r="EM21" s="698"/>
      <c r="EN21" s="698"/>
      <c r="EO21" s="698"/>
      <c r="EP21" s="698"/>
      <c r="EQ21" s="698"/>
      <c r="ER21" s="698"/>
      <c r="ES21" s="698"/>
      <c r="ET21" s="698"/>
      <c r="EU21" s="701"/>
      <c r="EV21" s="698"/>
      <c r="EW21" s="698"/>
      <c r="EX21" s="698"/>
      <c r="EY21" s="698"/>
      <c r="EZ21" s="698"/>
      <c r="FA21" s="698"/>
      <c r="FB21" s="698"/>
      <c r="FC21" s="698"/>
      <c r="FD21" s="701"/>
      <c r="FE21" s="701"/>
      <c r="FF21" s="698"/>
      <c r="FG21" s="698"/>
      <c r="FH21" s="698"/>
      <c r="FI21" s="698"/>
      <c r="FJ21" s="701"/>
      <c r="FK21" s="698"/>
      <c r="FL21" s="698"/>
      <c r="FM21" s="698"/>
      <c r="FN21" s="698"/>
      <c r="FO21" s="701"/>
      <c r="FP21" s="710"/>
      <c r="FQ21" s="698"/>
      <c r="FR21" s="698"/>
      <c r="FS21" s="698"/>
      <c r="FT21" s="698"/>
      <c r="FU21" s="698"/>
      <c r="FV21" s="698"/>
      <c r="FW21" s="698"/>
      <c r="FX21" s="698"/>
      <c r="FY21" s="698"/>
      <c r="FZ21" s="701"/>
      <c r="GA21" s="697"/>
      <c r="GB21" s="697"/>
      <c r="GC21" s="697"/>
      <c r="GD21" s="697"/>
      <c r="GE21" s="697"/>
      <c r="GF21" s="697"/>
      <c r="GG21" s="697"/>
      <c r="GH21" s="697"/>
      <c r="GI21" s="697"/>
      <c r="GJ21" s="697"/>
      <c r="GK21" s="697"/>
      <c r="GL21" s="697"/>
      <c r="GM21" s="697"/>
      <c r="GN21" s="697"/>
      <c r="GO21" s="697"/>
      <c r="GP21" s="697"/>
      <c r="GQ21" s="697"/>
      <c r="GR21" s="697"/>
      <c r="GS21" s="697"/>
      <c r="GT21" s="697"/>
      <c r="GU21" s="697"/>
      <c r="GV21" s="697"/>
      <c r="GW21" s="697"/>
      <c r="GX21" s="697"/>
      <c r="GY21" s="697"/>
      <c r="GZ21" s="697"/>
      <c r="HA21" s="697"/>
      <c r="HB21" s="697"/>
      <c r="HC21" s="697"/>
      <c r="HD21" s="697"/>
      <c r="HE21" s="697"/>
      <c r="HF21" s="697"/>
      <c r="HG21" s="697"/>
      <c r="HH21" s="697"/>
      <c r="HI21" s="697"/>
      <c r="HJ21" s="697"/>
      <c r="HK21" s="697"/>
      <c r="HL21" s="697"/>
      <c r="HM21" s="697"/>
      <c r="HN21" s="697"/>
      <c r="HO21" s="697"/>
      <c r="HP21" s="697"/>
      <c r="HQ21" s="697"/>
      <c r="HR21" s="697"/>
    </row>
    <row r="22" spans="1:374" ht="8.1" customHeight="1">
      <c r="A22" s="694">
        <f t="shared" si="66"/>
        <v>1966</v>
      </c>
      <c r="B22" s="695">
        <v>40343</v>
      </c>
      <c r="C22" s="766"/>
      <c r="D22" s="695">
        <v>40438</v>
      </c>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DH22" s="696"/>
      <c r="DI22" s="696"/>
      <c r="DJ22" s="696"/>
      <c r="DK22" s="697"/>
      <c r="DL22" s="697"/>
      <c r="DM22" s="697"/>
      <c r="DN22" s="697"/>
      <c r="DO22" s="697"/>
      <c r="DP22" s="697"/>
      <c r="DQ22" s="697"/>
      <c r="DR22" s="697"/>
      <c r="DS22" s="697"/>
      <c r="DT22" s="697"/>
      <c r="DU22" s="697"/>
      <c r="DV22" s="697"/>
      <c r="DW22" s="713"/>
      <c r="DX22" s="697"/>
      <c r="DY22" s="697"/>
      <c r="DZ22" s="697"/>
      <c r="EA22" s="697"/>
      <c r="EB22" s="697"/>
      <c r="EC22" s="697"/>
      <c r="ED22" s="697"/>
      <c r="EE22" s="697"/>
      <c r="EF22" s="697"/>
      <c r="EG22" s="697"/>
      <c r="EH22" s="697"/>
      <c r="EI22" s="697"/>
      <c r="EJ22" s="697"/>
      <c r="EK22" s="697"/>
      <c r="EL22" s="697"/>
      <c r="EM22" s="697"/>
      <c r="EN22" s="697"/>
      <c r="EO22" s="697"/>
      <c r="EP22" s="697"/>
      <c r="EQ22" s="697"/>
      <c r="ER22" s="697"/>
      <c r="ES22" s="697"/>
      <c r="ET22" s="697"/>
      <c r="EU22" s="697"/>
      <c r="EV22" s="697"/>
      <c r="EW22" s="697"/>
      <c r="EX22" s="697"/>
      <c r="EY22" s="697"/>
      <c r="EZ22" s="697"/>
      <c r="FA22" s="697"/>
      <c r="FB22" s="697"/>
      <c r="FC22" s="697"/>
      <c r="FD22" s="697"/>
      <c r="FE22" s="697"/>
      <c r="FF22" s="697"/>
      <c r="FG22" s="697"/>
      <c r="FH22" s="697"/>
      <c r="FI22" s="697"/>
      <c r="FJ22" s="697"/>
      <c r="FK22" s="697"/>
      <c r="FL22" s="697"/>
      <c r="FM22" s="697"/>
      <c r="FN22" s="697"/>
      <c r="FO22" s="701"/>
      <c r="FP22" s="710"/>
      <c r="FQ22" s="698"/>
      <c r="FR22" s="701"/>
      <c r="FS22" s="698"/>
      <c r="FT22" s="698"/>
      <c r="FU22" s="701"/>
      <c r="FV22" s="698"/>
      <c r="FW22" s="698"/>
      <c r="FX22" s="698"/>
      <c r="FY22" s="698"/>
      <c r="FZ22" s="701"/>
      <c r="GA22" s="698"/>
      <c r="GB22" s="698"/>
      <c r="GC22" s="698"/>
      <c r="GD22" s="698"/>
      <c r="GE22" s="698"/>
      <c r="GF22" s="698"/>
      <c r="GG22" s="698"/>
      <c r="GH22" s="698"/>
      <c r="GI22" s="698"/>
      <c r="GJ22" s="698"/>
      <c r="GK22" s="698"/>
      <c r="GL22" s="698"/>
      <c r="GM22" s="698"/>
      <c r="GN22" s="698"/>
      <c r="GO22" s="698"/>
      <c r="GP22" s="698"/>
      <c r="GQ22" s="698"/>
      <c r="GR22" s="698"/>
      <c r="GS22" s="698"/>
      <c r="GT22" s="698"/>
      <c r="GU22" s="698"/>
      <c r="GV22" s="698"/>
      <c r="GW22" s="698"/>
      <c r="GX22" s="701"/>
      <c r="GY22" s="698"/>
      <c r="GZ22" s="698"/>
      <c r="HA22" s="698"/>
      <c r="HB22" s="698"/>
      <c r="HC22" s="698"/>
      <c r="HD22" s="698"/>
      <c r="HE22" s="698"/>
      <c r="HF22" s="698"/>
      <c r="HG22" s="698"/>
      <c r="HH22" s="698"/>
      <c r="HI22" s="698"/>
      <c r="HJ22" s="698"/>
      <c r="HK22" s="698"/>
      <c r="HL22" s="698"/>
      <c r="HM22" s="698"/>
      <c r="HN22" s="698"/>
      <c r="HO22" s="698"/>
      <c r="HP22" s="698"/>
      <c r="HQ22" s="698"/>
      <c r="HR22" s="698"/>
      <c r="HS22" s="700"/>
      <c r="HT22" s="699"/>
      <c r="HU22" s="699"/>
      <c r="HV22" s="699"/>
      <c r="HW22" s="699"/>
      <c r="HX22" s="699"/>
      <c r="HY22" s="699"/>
      <c r="HZ22" s="699"/>
      <c r="IA22" s="699"/>
      <c r="IB22" s="700"/>
      <c r="IC22" s="699"/>
      <c r="ID22" s="699"/>
      <c r="IE22" s="699"/>
      <c r="IF22" s="699"/>
      <c r="IG22" s="699"/>
      <c r="IH22" s="699"/>
      <c r="II22" s="699"/>
      <c r="IJ22" s="699"/>
      <c r="IK22" s="699"/>
      <c r="IL22" s="699"/>
      <c r="IM22" s="699"/>
      <c r="IN22" s="699"/>
      <c r="IO22" s="699"/>
      <c r="IP22" s="699"/>
      <c r="IQ22" s="699"/>
      <c r="IR22" s="699"/>
      <c r="IS22" s="699"/>
      <c r="IT22" s="699"/>
      <c r="IU22" s="699"/>
      <c r="IV22" s="699"/>
      <c r="IW22" s="699"/>
      <c r="IX22" s="699"/>
      <c r="IY22" s="699"/>
      <c r="IZ22" s="699"/>
      <c r="JA22" s="699"/>
      <c r="JB22" s="699"/>
      <c r="JC22" s="699"/>
      <c r="JD22" s="699"/>
      <c r="JE22" s="699"/>
      <c r="JF22" s="700"/>
    </row>
    <row r="23" spans="1:374" ht="8.1" customHeight="1">
      <c r="A23" s="694">
        <f t="shared" si="66"/>
        <v>1967</v>
      </c>
      <c r="B23" s="695">
        <v>40256</v>
      </c>
      <c r="C23" s="766"/>
      <c r="D23" s="695">
        <v>40362</v>
      </c>
      <c r="E23" s="766"/>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CF23" s="700"/>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703"/>
      <c r="DI23" s="703"/>
      <c r="DJ23" s="703"/>
      <c r="DK23" s="698"/>
      <c r="DL23" s="701"/>
      <c r="DM23" s="698"/>
      <c r="DN23" s="698"/>
      <c r="DO23" s="698"/>
      <c r="DP23" s="698"/>
      <c r="DQ23" s="698"/>
      <c r="DR23" s="698"/>
      <c r="DS23" s="698"/>
      <c r="DT23" s="698"/>
      <c r="DU23" s="698"/>
      <c r="DV23" s="698"/>
      <c r="DW23" s="712"/>
      <c r="DX23" s="698"/>
      <c r="DY23" s="698"/>
      <c r="DZ23" s="698"/>
      <c r="EA23" s="701"/>
      <c r="EB23" s="698"/>
      <c r="EC23" s="698"/>
      <c r="ED23" s="698"/>
      <c r="EE23" s="698"/>
      <c r="EF23" s="698"/>
      <c r="EG23" s="698"/>
      <c r="EH23" s="698"/>
      <c r="EI23" s="698"/>
      <c r="EJ23" s="698"/>
      <c r="EK23" s="698"/>
      <c r="EL23" s="698"/>
      <c r="EM23" s="698"/>
      <c r="EN23" s="698"/>
      <c r="EO23" s="698"/>
      <c r="EP23" s="698"/>
      <c r="EQ23" s="698"/>
      <c r="ER23" s="698"/>
      <c r="ES23" s="698"/>
      <c r="ET23" s="698"/>
      <c r="EU23" s="698"/>
      <c r="EV23" s="698"/>
      <c r="EW23" s="698"/>
      <c r="EX23" s="698"/>
      <c r="EY23" s="698"/>
      <c r="EZ23" s="701"/>
      <c r="FA23" s="701"/>
      <c r="FB23" s="701"/>
      <c r="FC23" s="698"/>
      <c r="FD23" s="698"/>
      <c r="FE23" s="698"/>
      <c r="FF23" s="698"/>
      <c r="FG23" s="698"/>
      <c r="FH23" s="698"/>
      <c r="FI23" s="698"/>
      <c r="FJ23" s="701"/>
      <c r="FK23" s="698"/>
      <c r="FL23" s="698"/>
      <c r="FM23" s="698"/>
      <c r="FN23" s="698"/>
      <c r="FO23" s="701"/>
      <c r="FP23" s="711"/>
      <c r="FQ23" s="698"/>
      <c r="FR23" s="698"/>
      <c r="FS23" s="698"/>
      <c r="FT23" s="698"/>
      <c r="FU23" s="698"/>
      <c r="FV23" s="698"/>
      <c r="FW23" s="698"/>
      <c r="FX23" s="701"/>
      <c r="FY23" s="698"/>
      <c r="FZ23" s="698"/>
      <c r="GA23" s="698"/>
      <c r="GB23" s="698"/>
      <c r="GC23" s="701"/>
      <c r="GD23" s="698"/>
      <c r="GE23" s="701"/>
      <c r="GF23" s="698"/>
      <c r="GG23" s="698"/>
      <c r="GH23" s="701"/>
      <c r="GI23" s="697"/>
      <c r="GJ23" s="697"/>
      <c r="GK23" s="697"/>
      <c r="GL23" s="697"/>
      <c r="GM23" s="697"/>
      <c r="GN23" s="697"/>
      <c r="GO23" s="697"/>
      <c r="GP23" s="697"/>
      <c r="GQ23" s="697"/>
      <c r="GR23" s="697"/>
      <c r="GS23" s="697"/>
      <c r="GT23" s="697"/>
      <c r="GU23" s="697"/>
      <c r="GV23" s="697"/>
      <c r="GW23" s="697"/>
      <c r="GX23" s="697"/>
      <c r="GY23" s="697"/>
      <c r="GZ23" s="697"/>
      <c r="HA23" s="697"/>
      <c r="HB23" s="697"/>
      <c r="HC23" s="697"/>
      <c r="HD23" s="697"/>
      <c r="HE23" s="697"/>
      <c r="HF23" s="697"/>
      <c r="HG23" s="697"/>
      <c r="HH23" s="697"/>
      <c r="HI23" s="697"/>
      <c r="HJ23" s="697"/>
      <c r="HK23" s="697"/>
      <c r="HL23" s="697"/>
      <c r="HM23" s="697"/>
      <c r="HN23" s="697"/>
      <c r="HO23" s="697"/>
      <c r="HP23" s="697"/>
      <c r="HQ23" s="697"/>
      <c r="HR23" s="697"/>
    </row>
    <row r="24" spans="1:374" ht="8.1" customHeight="1">
      <c r="A24" s="694">
        <f t="shared" si="66"/>
        <v>1968</v>
      </c>
      <c r="B24" s="695">
        <v>40270</v>
      </c>
      <c r="C24" s="766"/>
      <c r="D24" s="695">
        <v>40460</v>
      </c>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c r="BA24" s="766"/>
      <c r="BB24" s="766"/>
      <c r="BC24" s="766"/>
      <c r="BD24" s="766"/>
      <c r="BE24" s="766"/>
      <c r="BF24" s="766"/>
      <c r="BG24" s="766"/>
      <c r="CT24" s="700"/>
      <c r="CU24" s="699"/>
      <c r="CV24" s="699"/>
      <c r="CW24" s="699"/>
      <c r="CX24" s="699"/>
      <c r="CY24" s="699"/>
      <c r="CZ24" s="699"/>
      <c r="DA24" s="699"/>
      <c r="DB24" s="699"/>
      <c r="DC24" s="699"/>
      <c r="DD24" s="699"/>
      <c r="DE24" s="699"/>
      <c r="DF24" s="699"/>
      <c r="DG24" s="699"/>
      <c r="DH24" s="703"/>
      <c r="DI24" s="703"/>
      <c r="DJ24" s="703"/>
      <c r="DK24" s="698"/>
      <c r="DL24" s="698"/>
      <c r="DM24" s="698"/>
      <c r="DN24" s="698"/>
      <c r="DO24" s="698"/>
      <c r="DP24" s="698"/>
      <c r="DQ24" s="698"/>
      <c r="DR24" s="698"/>
      <c r="DS24" s="698"/>
      <c r="DT24" s="698"/>
      <c r="DU24" s="698"/>
      <c r="DV24" s="698"/>
      <c r="DW24" s="712"/>
      <c r="DX24" s="698"/>
      <c r="DY24" s="701"/>
      <c r="DZ24" s="698"/>
      <c r="EA24" s="698"/>
      <c r="EB24" s="701"/>
      <c r="EC24" s="698"/>
      <c r="ED24" s="698"/>
      <c r="EE24" s="698"/>
      <c r="EF24" s="701"/>
      <c r="EG24" s="698"/>
      <c r="EH24" s="698"/>
      <c r="EI24" s="698"/>
      <c r="EJ24" s="698"/>
      <c r="EK24" s="698"/>
      <c r="EL24" s="698"/>
      <c r="EM24" s="698"/>
      <c r="EN24" s="698"/>
      <c r="EO24" s="698"/>
      <c r="EP24" s="698"/>
      <c r="EQ24" s="698"/>
      <c r="ER24" s="698"/>
      <c r="ES24" s="698"/>
      <c r="ET24" s="698"/>
      <c r="EU24" s="698"/>
      <c r="EV24" s="698"/>
      <c r="EW24" s="698"/>
      <c r="EX24" s="698"/>
      <c r="EY24" s="698"/>
      <c r="EZ24" s="701"/>
      <c r="FA24" s="701"/>
      <c r="FB24" s="698"/>
      <c r="FC24" s="698"/>
      <c r="FD24" s="698"/>
      <c r="FE24" s="698"/>
      <c r="FF24" s="698"/>
      <c r="FG24" s="701"/>
      <c r="FH24" s="701"/>
      <c r="FI24" s="701"/>
      <c r="FJ24" s="701"/>
      <c r="FK24" s="698"/>
      <c r="FL24" s="698"/>
      <c r="FM24" s="698"/>
      <c r="FN24" s="698"/>
      <c r="FO24" s="698"/>
      <c r="FP24" s="710"/>
      <c r="FQ24" s="698"/>
      <c r="FR24" s="698"/>
      <c r="FS24" s="698"/>
      <c r="FT24" s="698"/>
      <c r="FU24" s="698"/>
      <c r="FV24" s="698"/>
      <c r="FW24" s="698"/>
      <c r="FX24" s="698"/>
      <c r="FY24" s="698"/>
      <c r="FZ24" s="698"/>
      <c r="GA24" s="698"/>
      <c r="GB24" s="698"/>
      <c r="GC24" s="698"/>
      <c r="GD24" s="698"/>
      <c r="GE24" s="698"/>
      <c r="GF24" s="698"/>
      <c r="GG24" s="698"/>
      <c r="GH24" s="698"/>
      <c r="GI24" s="698"/>
      <c r="GJ24" s="698"/>
      <c r="GK24" s="698"/>
      <c r="GL24" s="698"/>
      <c r="GM24" s="698"/>
      <c r="GN24" s="698"/>
      <c r="GO24" s="698"/>
      <c r="GP24" s="698"/>
      <c r="GQ24" s="698"/>
      <c r="GR24" s="698"/>
      <c r="GS24" s="698"/>
      <c r="GT24" s="698"/>
      <c r="GU24" s="698"/>
      <c r="GV24" s="701"/>
      <c r="GW24" s="698"/>
      <c r="GX24" s="698"/>
      <c r="GY24" s="698"/>
      <c r="GZ24" s="698"/>
      <c r="HA24" s="698"/>
      <c r="HB24" s="698"/>
      <c r="HC24" s="698"/>
      <c r="HD24" s="698"/>
      <c r="HE24" s="698"/>
      <c r="HF24" s="698"/>
      <c r="HG24" s="698"/>
      <c r="HH24" s="698"/>
      <c r="HI24" s="698"/>
      <c r="HJ24" s="698"/>
      <c r="HK24" s="698"/>
      <c r="HL24" s="698"/>
      <c r="HM24" s="698"/>
      <c r="HN24" s="698"/>
      <c r="HO24" s="698"/>
      <c r="HP24" s="698"/>
      <c r="HQ24" s="698"/>
      <c r="HR24" s="698"/>
      <c r="HS24" s="699"/>
      <c r="HT24" s="699"/>
      <c r="HU24" s="699"/>
      <c r="HV24" s="699"/>
      <c r="HW24" s="699"/>
      <c r="HX24" s="700"/>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700"/>
      <c r="KB24" s="700"/>
    </row>
    <row r="25" spans="1:374" ht="8.1" customHeight="1">
      <c r="A25" s="694">
        <f t="shared" si="66"/>
        <v>1969</v>
      </c>
      <c r="B25" s="695">
        <v>40300</v>
      </c>
      <c r="C25" s="766"/>
      <c r="D25" s="695">
        <v>40352</v>
      </c>
      <c r="E25" s="766"/>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DH25" s="696"/>
      <c r="DI25" s="696"/>
      <c r="DJ25" s="696"/>
      <c r="DK25" s="697"/>
      <c r="DL25" s="697"/>
      <c r="DM25" s="697"/>
      <c r="DN25" s="697"/>
      <c r="DO25" s="697"/>
      <c r="DP25" s="697"/>
      <c r="DQ25" s="697"/>
      <c r="DR25" s="697"/>
      <c r="DS25" s="697"/>
      <c r="DT25" s="697"/>
      <c r="DU25" s="697"/>
      <c r="DV25" s="697"/>
      <c r="DW25" s="713"/>
      <c r="DX25" s="701"/>
      <c r="DY25" s="698"/>
      <c r="DZ25" s="698"/>
      <c r="EA25" s="698"/>
      <c r="EB25" s="698"/>
      <c r="EC25" s="698"/>
      <c r="ED25" s="698"/>
      <c r="EE25" s="698"/>
      <c r="EF25" s="698"/>
      <c r="EG25" s="698"/>
      <c r="EH25" s="701"/>
      <c r="EI25" s="701"/>
      <c r="EJ25" s="701"/>
      <c r="EK25" s="701"/>
      <c r="EL25" s="701"/>
      <c r="EM25" s="698"/>
      <c r="EN25" s="698"/>
      <c r="EO25" s="698"/>
      <c r="EP25" s="698"/>
      <c r="EQ25" s="698"/>
      <c r="ER25" s="698"/>
      <c r="ES25" s="698"/>
      <c r="ET25" s="698"/>
      <c r="EU25" s="698"/>
      <c r="EV25" s="698"/>
      <c r="EW25" s="698"/>
      <c r="EX25" s="698"/>
      <c r="EY25" s="698"/>
      <c r="EZ25" s="698"/>
      <c r="FA25" s="698"/>
      <c r="FB25" s="698"/>
      <c r="FC25" s="698"/>
      <c r="FD25" s="698"/>
      <c r="FE25" s="698"/>
      <c r="FF25" s="698"/>
      <c r="FG25" s="698"/>
      <c r="FH25" s="701"/>
      <c r="FI25" s="698"/>
      <c r="FJ25" s="698"/>
      <c r="FK25" s="701"/>
      <c r="FL25" s="698"/>
      <c r="FM25" s="698"/>
      <c r="FN25" s="698"/>
      <c r="FO25" s="698"/>
      <c r="FP25" s="710"/>
      <c r="FQ25" s="698"/>
      <c r="FR25" s="698"/>
      <c r="FS25" s="698"/>
      <c r="FT25" s="698"/>
      <c r="FU25" s="698"/>
      <c r="FV25" s="698"/>
      <c r="FW25" s="698"/>
      <c r="FX25" s="701"/>
      <c r="FY25" s="697"/>
      <c r="FZ25" s="697"/>
      <c r="GA25" s="697"/>
      <c r="GB25" s="697"/>
      <c r="GC25" s="697"/>
      <c r="GD25" s="697"/>
      <c r="GE25" s="697"/>
      <c r="GF25" s="697"/>
      <c r="GG25" s="697"/>
      <c r="GH25" s="697"/>
      <c r="GI25" s="697"/>
      <c r="GJ25" s="697"/>
      <c r="GK25" s="697"/>
      <c r="GL25" s="697"/>
      <c r="GM25" s="697"/>
      <c r="GN25" s="697"/>
      <c r="GO25" s="697"/>
      <c r="GP25" s="697"/>
      <c r="GQ25" s="697"/>
      <c r="GR25" s="697"/>
      <c r="GS25" s="697"/>
      <c r="GT25" s="697"/>
      <c r="GU25" s="697"/>
      <c r="GV25" s="697"/>
      <c r="GW25" s="697"/>
      <c r="GX25" s="697"/>
      <c r="GY25" s="697"/>
      <c r="GZ25" s="697"/>
      <c r="HA25" s="697"/>
      <c r="HB25" s="697"/>
      <c r="HC25" s="697"/>
      <c r="HD25" s="697"/>
      <c r="HE25" s="697"/>
      <c r="HF25" s="697"/>
      <c r="HG25" s="697"/>
      <c r="HH25" s="697"/>
      <c r="HI25" s="697"/>
      <c r="HJ25" s="697"/>
      <c r="HK25" s="697"/>
      <c r="HL25" s="697"/>
      <c r="HM25" s="697"/>
      <c r="HN25" s="697"/>
      <c r="HO25" s="697"/>
      <c r="HP25" s="697"/>
      <c r="HQ25" s="697"/>
      <c r="HR25" s="697"/>
    </row>
    <row r="26" spans="1:374" ht="8.1" customHeight="1">
      <c r="A26" s="694">
        <f t="shared" si="66"/>
        <v>1970</v>
      </c>
      <c r="B26" s="695">
        <v>40285</v>
      </c>
      <c r="C26" s="766"/>
      <c r="D26" s="695">
        <v>40427</v>
      </c>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c r="BA26" s="766"/>
      <c r="BB26" s="766"/>
      <c r="BC26" s="766"/>
      <c r="BD26" s="766"/>
      <c r="BE26" s="766"/>
      <c r="BF26" s="766"/>
      <c r="BG26" s="766"/>
      <c r="DH26" s="696"/>
      <c r="DI26" s="702"/>
      <c r="DJ26" s="702"/>
      <c r="DK26" s="698"/>
      <c r="DL26" s="698"/>
      <c r="DM26" s="698"/>
      <c r="DN26" s="698"/>
      <c r="DO26" s="698"/>
      <c r="DP26" s="698"/>
      <c r="DQ26" s="698"/>
      <c r="DR26" s="698"/>
      <c r="DS26" s="698"/>
      <c r="DT26" s="698"/>
      <c r="DU26" s="698"/>
      <c r="DV26" s="698"/>
      <c r="DW26" s="712"/>
      <c r="DX26" s="698"/>
      <c r="DY26" s="698"/>
      <c r="DZ26" s="698"/>
      <c r="EA26" s="698"/>
      <c r="EB26" s="698"/>
      <c r="EC26" s="698"/>
      <c r="ED26" s="698"/>
      <c r="EE26" s="698"/>
      <c r="EF26" s="698"/>
      <c r="EG26" s="698"/>
      <c r="EH26" s="698"/>
      <c r="EI26" s="698"/>
      <c r="EJ26" s="698"/>
      <c r="EK26" s="698"/>
      <c r="EL26" s="698"/>
      <c r="EM26" s="698"/>
      <c r="EN26" s="698"/>
      <c r="EO26" s="698"/>
      <c r="EP26" s="698"/>
      <c r="EQ26" s="698"/>
      <c r="ER26" s="698"/>
      <c r="ES26" s="698"/>
      <c r="ET26" s="698"/>
      <c r="EU26" s="698"/>
      <c r="EV26" s="698"/>
      <c r="EW26" s="698"/>
      <c r="EX26" s="698"/>
      <c r="EY26" s="698"/>
      <c r="EZ26" s="698"/>
      <c r="FA26" s="701"/>
      <c r="FB26" s="698"/>
      <c r="FC26" s="698"/>
      <c r="FD26" s="698"/>
      <c r="FE26" s="698"/>
      <c r="FF26" s="698"/>
      <c r="FG26" s="698"/>
      <c r="FH26" s="698"/>
      <c r="FI26" s="698"/>
      <c r="FJ26" s="698"/>
      <c r="FK26" s="698"/>
      <c r="FL26" s="698"/>
      <c r="FM26" s="698"/>
      <c r="FN26" s="698"/>
      <c r="FO26" s="698"/>
      <c r="FP26" s="710"/>
      <c r="FQ26" s="698"/>
      <c r="FR26" s="698"/>
      <c r="FS26" s="698"/>
      <c r="FT26" s="698"/>
      <c r="FU26" s="698"/>
      <c r="FV26" s="698"/>
      <c r="FW26" s="698"/>
      <c r="FX26" s="698"/>
      <c r="FY26" s="698"/>
      <c r="FZ26" s="698"/>
      <c r="GA26" s="698"/>
      <c r="GB26" s="698"/>
      <c r="GC26" s="698"/>
      <c r="GD26" s="698"/>
      <c r="GE26" s="698"/>
      <c r="GF26" s="698"/>
      <c r="GG26" s="698"/>
      <c r="GH26" s="698"/>
      <c r="GI26" s="698"/>
      <c r="GJ26" s="698"/>
      <c r="GK26" s="698"/>
      <c r="GL26" s="698"/>
      <c r="GM26" s="698"/>
      <c r="GN26" s="698"/>
      <c r="GO26" s="698"/>
      <c r="GP26" s="698"/>
      <c r="GQ26" s="698"/>
      <c r="GR26" s="698"/>
      <c r="GS26" s="698"/>
      <c r="GT26" s="698"/>
      <c r="GU26" s="698"/>
      <c r="GV26" s="698"/>
      <c r="GW26" s="698"/>
      <c r="GX26" s="698"/>
      <c r="GY26" s="698"/>
      <c r="GZ26" s="698"/>
      <c r="HA26" s="698"/>
      <c r="HB26" s="698"/>
      <c r="HC26" s="698"/>
      <c r="HD26" s="698"/>
      <c r="HE26" s="698"/>
      <c r="HF26" s="698"/>
      <c r="HG26" s="698"/>
      <c r="HH26" s="698"/>
      <c r="HI26" s="698"/>
      <c r="HJ26" s="698"/>
      <c r="HK26" s="698"/>
      <c r="HL26" s="698"/>
      <c r="HM26" s="698"/>
      <c r="HN26" s="698"/>
      <c r="HO26" s="698"/>
      <c r="HP26" s="698"/>
      <c r="HQ26" s="698"/>
      <c r="HR26" s="698"/>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700"/>
    </row>
    <row r="27" spans="1:374" ht="8.1" customHeight="1">
      <c r="A27" s="694">
        <f t="shared" si="66"/>
        <v>1971</v>
      </c>
      <c r="B27" s="695">
        <v>40283</v>
      </c>
      <c r="C27" s="766"/>
      <c r="D27" s="695">
        <v>40468</v>
      </c>
      <c r="E27" s="766"/>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c r="BA27" s="766"/>
      <c r="BB27" s="766"/>
      <c r="BC27" s="766"/>
      <c r="BD27" s="766"/>
      <c r="BE27" s="766"/>
      <c r="BF27" s="766"/>
      <c r="BG27" s="766"/>
      <c r="DG27" s="700"/>
      <c r="DH27" s="703"/>
      <c r="DI27" s="703"/>
      <c r="DJ27" s="703"/>
      <c r="DK27" s="701"/>
      <c r="DL27" s="698"/>
      <c r="DM27" s="698"/>
      <c r="DN27" s="701"/>
      <c r="DO27" s="698"/>
      <c r="DP27" s="698"/>
      <c r="DQ27" s="698"/>
      <c r="DR27" s="698"/>
      <c r="DS27" s="698"/>
      <c r="DT27" s="698"/>
      <c r="DU27" s="698"/>
      <c r="DV27" s="698"/>
      <c r="DW27" s="712"/>
      <c r="DX27" s="698"/>
      <c r="DY27" s="698"/>
      <c r="DZ27" s="698"/>
      <c r="EA27" s="698"/>
      <c r="EB27" s="698"/>
      <c r="EC27" s="698"/>
      <c r="ED27" s="698"/>
      <c r="EE27" s="698"/>
      <c r="EF27" s="698"/>
      <c r="EG27" s="698"/>
      <c r="EH27" s="698"/>
      <c r="EI27" s="698"/>
      <c r="EJ27" s="698"/>
      <c r="EK27" s="698"/>
      <c r="EL27" s="698"/>
      <c r="EM27" s="698"/>
      <c r="EN27" s="698"/>
      <c r="EO27" s="698"/>
      <c r="EP27" s="698"/>
      <c r="EQ27" s="698"/>
      <c r="ER27" s="698"/>
      <c r="ES27" s="698"/>
      <c r="ET27" s="698"/>
      <c r="EU27" s="698"/>
      <c r="EV27" s="698"/>
      <c r="EW27" s="698"/>
      <c r="EX27" s="701"/>
      <c r="EY27" s="698"/>
      <c r="EZ27" s="698"/>
      <c r="FA27" s="698"/>
      <c r="FB27" s="698"/>
      <c r="FC27" s="698"/>
      <c r="FD27" s="698"/>
      <c r="FE27" s="698"/>
      <c r="FF27" s="701"/>
      <c r="FG27" s="698"/>
      <c r="FH27" s="698"/>
      <c r="FI27" s="701"/>
      <c r="FJ27" s="701"/>
      <c r="FK27" s="698"/>
      <c r="FL27" s="701"/>
      <c r="FM27" s="698"/>
      <c r="FN27" s="701"/>
      <c r="FO27" s="698"/>
      <c r="FP27" s="710"/>
      <c r="FQ27" s="698"/>
      <c r="FR27" s="698"/>
      <c r="FS27" s="698"/>
      <c r="FT27" s="698"/>
      <c r="FU27" s="698"/>
      <c r="FV27" s="698"/>
      <c r="FW27" s="698"/>
      <c r="FX27" s="698"/>
      <c r="FY27" s="698"/>
      <c r="FZ27" s="698"/>
      <c r="GA27" s="698"/>
      <c r="GB27" s="698"/>
      <c r="GC27" s="698"/>
      <c r="GD27" s="698"/>
      <c r="GE27" s="698"/>
      <c r="GF27" s="698"/>
      <c r="GG27" s="698"/>
      <c r="GH27" s="698"/>
      <c r="GI27" s="698"/>
      <c r="GJ27" s="698"/>
      <c r="GK27" s="698"/>
      <c r="GL27" s="698"/>
      <c r="GM27" s="698"/>
      <c r="GN27" s="698"/>
      <c r="GO27" s="698"/>
      <c r="GP27" s="698"/>
      <c r="GQ27" s="698"/>
      <c r="GR27" s="698"/>
      <c r="GS27" s="698"/>
      <c r="GT27" s="698"/>
      <c r="GU27" s="698"/>
      <c r="GV27" s="698"/>
      <c r="GW27" s="698"/>
      <c r="GX27" s="698"/>
      <c r="GY27" s="698"/>
      <c r="GZ27" s="698"/>
      <c r="HA27" s="698"/>
      <c r="HB27" s="698"/>
      <c r="HC27" s="698"/>
      <c r="HD27" s="698"/>
      <c r="HE27" s="698"/>
      <c r="HF27" s="698"/>
      <c r="HG27" s="698"/>
      <c r="HH27" s="698"/>
      <c r="HI27" s="698"/>
      <c r="HJ27" s="698"/>
      <c r="HK27" s="698"/>
      <c r="HL27" s="698"/>
      <c r="HM27" s="698"/>
      <c r="HN27" s="698"/>
      <c r="HO27" s="698"/>
      <c r="HP27" s="701"/>
      <c r="HQ27" s="698"/>
      <c r="HR27" s="698"/>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700"/>
    </row>
    <row r="28" spans="1:374" ht="8.1" customHeight="1">
      <c r="A28" s="694">
        <f t="shared" si="66"/>
        <v>1972</v>
      </c>
      <c r="B28" s="695">
        <v>40293</v>
      </c>
      <c r="C28" s="766"/>
      <c r="D28" s="695">
        <v>40398</v>
      </c>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c r="BA28" s="766"/>
      <c r="BB28" s="766"/>
      <c r="BC28" s="766"/>
      <c r="BD28" s="766"/>
      <c r="BE28" s="766"/>
      <c r="BF28" s="766"/>
      <c r="BG28" s="766"/>
      <c r="DH28" s="696"/>
      <c r="DI28" s="696"/>
      <c r="DJ28" s="696"/>
      <c r="DK28" s="697"/>
      <c r="DL28" s="697"/>
      <c r="DM28" s="697"/>
      <c r="DN28" s="697"/>
      <c r="DO28" s="697"/>
      <c r="DP28" s="697"/>
      <c r="DQ28" s="701"/>
      <c r="DR28" s="698"/>
      <c r="DS28" s="698"/>
      <c r="DT28" s="698"/>
      <c r="DU28" s="701"/>
      <c r="DV28" s="698"/>
      <c r="DW28" s="712"/>
      <c r="DX28" s="698"/>
      <c r="DY28" s="698"/>
      <c r="DZ28" s="701"/>
      <c r="EA28" s="698"/>
      <c r="EB28" s="698"/>
      <c r="EC28" s="698"/>
      <c r="ED28" s="698"/>
      <c r="EE28" s="701"/>
      <c r="EF28" s="701"/>
      <c r="EG28" s="698"/>
      <c r="EH28" s="698"/>
      <c r="EI28" s="701"/>
      <c r="EJ28" s="698"/>
      <c r="EK28" s="698"/>
      <c r="EL28" s="698"/>
      <c r="EM28" s="698"/>
      <c r="EN28" s="698"/>
      <c r="EO28" s="698"/>
      <c r="EP28" s="698"/>
      <c r="EQ28" s="698"/>
      <c r="ER28" s="698"/>
      <c r="ES28" s="698"/>
      <c r="ET28" s="701"/>
      <c r="EU28" s="698"/>
      <c r="EV28" s="698"/>
      <c r="EW28" s="698"/>
      <c r="EX28" s="698"/>
      <c r="EY28" s="698"/>
      <c r="EZ28" s="698"/>
      <c r="FA28" s="698"/>
      <c r="FB28" s="698"/>
      <c r="FC28" s="698"/>
      <c r="FD28" s="698"/>
      <c r="FE28" s="698"/>
      <c r="FF28" s="698"/>
      <c r="FG28" s="698"/>
      <c r="FH28" s="698"/>
      <c r="FI28" s="698"/>
      <c r="FJ28" s="698"/>
      <c r="FK28" s="698"/>
      <c r="FL28" s="698"/>
      <c r="FM28" s="698"/>
      <c r="FN28" s="698"/>
      <c r="FO28" s="698"/>
      <c r="FP28" s="711"/>
      <c r="FQ28" s="698"/>
      <c r="FR28" s="698"/>
      <c r="FS28" s="698"/>
      <c r="FT28" s="698"/>
      <c r="FU28" s="698"/>
      <c r="FV28" s="701"/>
      <c r="FW28" s="698"/>
      <c r="FX28" s="698"/>
      <c r="FY28" s="698"/>
      <c r="FZ28" s="698"/>
      <c r="GA28" s="698"/>
      <c r="GB28" s="698"/>
      <c r="GC28" s="698"/>
      <c r="GD28" s="698"/>
      <c r="GE28" s="698"/>
      <c r="GF28" s="698"/>
      <c r="GG28" s="701"/>
      <c r="GH28" s="698"/>
      <c r="GI28" s="698"/>
      <c r="GJ28" s="698"/>
      <c r="GK28" s="698"/>
      <c r="GL28" s="698"/>
      <c r="GM28" s="698"/>
      <c r="GN28" s="698"/>
      <c r="GO28" s="698"/>
      <c r="GP28" s="698"/>
      <c r="GQ28" s="698"/>
      <c r="GR28" s="698"/>
      <c r="GS28" s="698"/>
      <c r="GT28" s="698"/>
      <c r="GU28" s="698"/>
      <c r="GV28" s="701"/>
      <c r="GW28" s="698"/>
      <c r="GX28" s="698"/>
      <c r="GY28" s="698"/>
      <c r="GZ28" s="698"/>
      <c r="HA28" s="698"/>
      <c r="HB28" s="698"/>
      <c r="HC28" s="698"/>
      <c r="HD28" s="698"/>
      <c r="HE28" s="698"/>
      <c r="HF28" s="698"/>
      <c r="HG28" s="698"/>
      <c r="HH28" s="698"/>
      <c r="HI28" s="698"/>
      <c r="HJ28" s="698"/>
      <c r="HK28" s="698"/>
      <c r="HL28" s="698"/>
      <c r="HM28" s="698"/>
      <c r="HN28" s="698"/>
      <c r="HO28" s="698"/>
      <c r="HP28" s="698"/>
      <c r="HQ28" s="698"/>
      <c r="HR28" s="701"/>
    </row>
    <row r="29" spans="1:374" ht="8.1" customHeight="1">
      <c r="A29" s="694">
        <f t="shared" si="66"/>
        <v>1973</v>
      </c>
      <c r="B29" s="695">
        <v>40260</v>
      </c>
      <c r="C29" s="766"/>
      <c r="D29" s="695">
        <v>40398</v>
      </c>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c r="BA29" s="766"/>
      <c r="BB29" s="766"/>
      <c r="BC29" s="766"/>
      <c r="BD29" s="766"/>
      <c r="BE29" s="766"/>
      <c r="BF29" s="766"/>
      <c r="BG29" s="766"/>
      <c r="CJ29" s="700"/>
      <c r="CK29" s="699"/>
      <c r="CL29" s="699"/>
      <c r="CM29" s="699"/>
      <c r="CN29" s="699"/>
      <c r="CO29" s="699"/>
      <c r="CP29" s="699"/>
      <c r="CQ29" s="699"/>
      <c r="CR29" s="699"/>
      <c r="CS29" s="699"/>
      <c r="CT29" s="699"/>
      <c r="CU29" s="699"/>
      <c r="CV29" s="699"/>
      <c r="CW29" s="699"/>
      <c r="CX29" s="699"/>
      <c r="CY29" s="699"/>
      <c r="CZ29" s="699"/>
      <c r="DA29" s="699"/>
      <c r="DB29" s="699"/>
      <c r="DC29" s="699"/>
      <c r="DD29" s="699"/>
      <c r="DE29" s="700"/>
      <c r="DF29" s="700"/>
      <c r="DG29" s="699"/>
      <c r="DH29" s="703"/>
      <c r="DI29" s="703"/>
      <c r="DJ29" s="703"/>
      <c r="DK29" s="698"/>
      <c r="DL29" s="698"/>
      <c r="DM29" s="698"/>
      <c r="DN29" s="698"/>
      <c r="DO29" s="701"/>
      <c r="DP29" s="698"/>
      <c r="DQ29" s="698"/>
      <c r="DR29" s="698"/>
      <c r="DS29" s="698"/>
      <c r="DT29" s="698"/>
      <c r="DU29" s="698"/>
      <c r="DV29" s="701"/>
      <c r="DW29" s="714"/>
      <c r="DX29" s="698"/>
      <c r="DY29" s="698"/>
      <c r="DZ29" s="698"/>
      <c r="EA29" s="698"/>
      <c r="EB29" s="698"/>
      <c r="EC29" s="698"/>
      <c r="ED29" s="698"/>
      <c r="EE29" s="698"/>
      <c r="EF29" s="698"/>
      <c r="EG29" s="698"/>
      <c r="EH29" s="698"/>
      <c r="EI29" s="698"/>
      <c r="EJ29" s="698"/>
      <c r="EK29" s="698"/>
      <c r="EL29" s="698"/>
      <c r="EM29" s="698"/>
      <c r="EN29" s="698"/>
      <c r="EO29" s="698"/>
      <c r="EP29" s="698"/>
      <c r="EQ29" s="698"/>
      <c r="ER29" s="701"/>
      <c r="ES29" s="698"/>
      <c r="ET29" s="698"/>
      <c r="EU29" s="698"/>
      <c r="EV29" s="698"/>
      <c r="EW29" s="698"/>
      <c r="EX29" s="698"/>
      <c r="EY29" s="698"/>
      <c r="EZ29" s="698"/>
      <c r="FA29" s="698"/>
      <c r="FB29" s="698"/>
      <c r="FC29" s="698"/>
      <c r="FD29" s="698"/>
      <c r="FE29" s="698"/>
      <c r="FF29" s="698"/>
      <c r="FG29" s="698"/>
      <c r="FH29" s="698"/>
      <c r="FI29" s="698"/>
      <c r="FJ29" s="698"/>
      <c r="FK29" s="698"/>
      <c r="FL29" s="698"/>
      <c r="FM29" s="698"/>
      <c r="FN29" s="698"/>
      <c r="FO29" s="698"/>
      <c r="FP29" s="710"/>
      <c r="FQ29" s="698"/>
      <c r="FR29" s="698"/>
      <c r="FS29" s="698"/>
      <c r="FT29" s="698"/>
      <c r="FU29" s="698"/>
      <c r="FV29" s="698"/>
      <c r="FW29" s="698"/>
      <c r="FX29" s="698"/>
      <c r="FY29" s="698"/>
      <c r="FZ29" s="698"/>
      <c r="GA29" s="698"/>
      <c r="GB29" s="698"/>
      <c r="GC29" s="698"/>
      <c r="GD29" s="698"/>
      <c r="GE29" s="698"/>
      <c r="GF29" s="698"/>
      <c r="GG29" s="698"/>
      <c r="GH29" s="698"/>
      <c r="GI29" s="698"/>
      <c r="GJ29" s="698"/>
      <c r="GK29" s="698"/>
      <c r="GL29" s="698"/>
      <c r="GM29" s="698"/>
      <c r="GN29" s="698"/>
      <c r="GO29" s="698"/>
      <c r="GP29" s="698"/>
      <c r="GQ29" s="698"/>
      <c r="GR29" s="698"/>
      <c r="GS29" s="698"/>
      <c r="GT29" s="698"/>
      <c r="GU29" s="698"/>
      <c r="GV29" s="698"/>
      <c r="GW29" s="698"/>
      <c r="GX29" s="698"/>
      <c r="GY29" s="698"/>
      <c r="GZ29" s="698"/>
      <c r="HA29" s="698"/>
      <c r="HB29" s="698"/>
      <c r="HC29" s="698"/>
      <c r="HD29" s="698"/>
      <c r="HE29" s="698"/>
      <c r="HF29" s="698"/>
      <c r="HG29" s="698"/>
      <c r="HH29" s="698"/>
      <c r="HI29" s="698"/>
      <c r="HJ29" s="698"/>
      <c r="HK29" s="698"/>
      <c r="HL29" s="698"/>
      <c r="HM29" s="698"/>
      <c r="HN29" s="698"/>
      <c r="HO29" s="698"/>
      <c r="HP29" s="698"/>
      <c r="HQ29" s="698"/>
      <c r="HR29" s="701"/>
    </row>
    <row r="30" spans="1:374" ht="8.1" customHeight="1">
      <c r="A30" s="694">
        <f t="shared" si="66"/>
        <v>1974</v>
      </c>
      <c r="B30" s="695">
        <v>40246</v>
      </c>
      <c r="C30" s="766"/>
      <c r="D30" s="695">
        <v>40397</v>
      </c>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c r="BA30" s="766"/>
      <c r="BB30" s="766"/>
      <c r="BC30" s="766"/>
      <c r="BD30" s="766"/>
      <c r="BE30" s="766"/>
      <c r="BF30" s="766"/>
      <c r="BG30" s="766"/>
      <c r="BV30" s="700"/>
      <c r="BW30" s="699"/>
      <c r="BX30" s="699"/>
      <c r="BY30" s="699"/>
      <c r="BZ30" s="699"/>
      <c r="CA30" s="699"/>
      <c r="CB30" s="699"/>
      <c r="CC30" s="699"/>
      <c r="CD30" s="699"/>
      <c r="CE30" s="699"/>
      <c r="CF30" s="699"/>
      <c r="CG30" s="699"/>
      <c r="CH30" s="699"/>
      <c r="CI30" s="699"/>
      <c r="CJ30" s="699"/>
      <c r="CK30" s="699"/>
      <c r="CL30" s="699"/>
      <c r="CM30" s="699"/>
      <c r="CN30" s="699"/>
      <c r="CO30" s="699"/>
      <c r="CP30" s="699"/>
      <c r="CQ30" s="699"/>
      <c r="CR30" s="699"/>
      <c r="CS30" s="699"/>
      <c r="CT30" s="699"/>
      <c r="CU30" s="699"/>
      <c r="CV30" s="699"/>
      <c r="CW30" s="699"/>
      <c r="CX30" s="699"/>
      <c r="CY30" s="699"/>
      <c r="CZ30" s="699"/>
      <c r="DA30" s="699"/>
      <c r="DB30" s="700"/>
      <c r="DC30" s="699"/>
      <c r="DD30" s="699"/>
      <c r="DE30" s="699"/>
      <c r="DF30" s="699"/>
      <c r="DG30" s="699"/>
      <c r="DH30" s="703"/>
      <c r="DI30" s="703"/>
      <c r="DJ30" s="703"/>
      <c r="DK30" s="701"/>
      <c r="DL30" s="698"/>
      <c r="DM30" s="698"/>
      <c r="DN30" s="698"/>
      <c r="DO30" s="698"/>
      <c r="DP30" s="698"/>
      <c r="DQ30" s="698"/>
      <c r="DR30" s="698"/>
      <c r="DS30" s="698"/>
      <c r="DT30" s="701"/>
      <c r="DU30" s="698"/>
      <c r="DV30" s="698"/>
      <c r="DW30" s="712"/>
      <c r="DX30" s="698"/>
      <c r="DY30" s="698"/>
      <c r="DZ30" s="698"/>
      <c r="EA30" s="698"/>
      <c r="EB30" s="698"/>
      <c r="EC30" s="698"/>
      <c r="ED30" s="698"/>
      <c r="EE30" s="698"/>
      <c r="EF30" s="698"/>
      <c r="EG30" s="698"/>
      <c r="EH30" s="698"/>
      <c r="EI30" s="698"/>
      <c r="EJ30" s="698"/>
      <c r="EK30" s="698"/>
      <c r="EL30" s="698"/>
      <c r="EM30" s="698"/>
      <c r="EN30" s="698"/>
      <c r="EO30" s="698"/>
      <c r="EP30" s="698"/>
      <c r="EQ30" s="698"/>
      <c r="ER30" s="698"/>
      <c r="ES30" s="698"/>
      <c r="ET30" s="701"/>
      <c r="EU30" s="698"/>
      <c r="EV30" s="698"/>
      <c r="EW30" s="698"/>
      <c r="EX30" s="698"/>
      <c r="EY30" s="698"/>
      <c r="EZ30" s="698"/>
      <c r="FA30" s="698"/>
      <c r="FB30" s="698"/>
      <c r="FC30" s="698"/>
      <c r="FD30" s="701"/>
      <c r="FE30" s="698"/>
      <c r="FF30" s="698"/>
      <c r="FG30" s="698"/>
      <c r="FH30" s="701"/>
      <c r="FI30" s="698"/>
      <c r="FJ30" s="698"/>
      <c r="FK30" s="698"/>
      <c r="FL30" s="701"/>
      <c r="FM30" s="698"/>
      <c r="FN30" s="701"/>
      <c r="FO30" s="698"/>
      <c r="FP30" s="710"/>
      <c r="FQ30" s="698"/>
      <c r="FR30" s="698"/>
      <c r="FS30" s="698"/>
      <c r="FT30" s="698"/>
      <c r="FU30" s="698"/>
      <c r="FV30" s="701"/>
      <c r="FW30" s="698"/>
      <c r="FX30" s="698"/>
      <c r="FY30" s="698"/>
      <c r="FZ30" s="698"/>
      <c r="GA30" s="698"/>
      <c r="GB30" s="698"/>
      <c r="GC30" s="698"/>
      <c r="GD30" s="698"/>
      <c r="GE30" s="698"/>
      <c r="GF30" s="698"/>
      <c r="GG30" s="698"/>
      <c r="GH30" s="698"/>
      <c r="GI30" s="698"/>
      <c r="GJ30" s="698"/>
      <c r="GK30" s="698"/>
      <c r="GL30" s="698"/>
      <c r="GM30" s="698"/>
      <c r="GN30" s="698"/>
      <c r="GO30" s="698"/>
      <c r="GP30" s="698"/>
      <c r="GQ30" s="698"/>
      <c r="GR30" s="698"/>
      <c r="GS30" s="698"/>
      <c r="GT30" s="698"/>
      <c r="GU30" s="698"/>
      <c r="GV30" s="698"/>
      <c r="GW30" s="698"/>
      <c r="GX30" s="698"/>
      <c r="GY30" s="698"/>
      <c r="GZ30" s="698"/>
      <c r="HA30" s="698"/>
      <c r="HB30" s="698"/>
      <c r="HC30" s="698"/>
      <c r="HD30" s="698"/>
      <c r="HE30" s="698"/>
      <c r="HF30" s="698"/>
      <c r="HG30" s="698"/>
      <c r="HH30" s="698"/>
      <c r="HI30" s="698"/>
      <c r="HJ30" s="698"/>
      <c r="HK30" s="698"/>
      <c r="HL30" s="698"/>
      <c r="HM30" s="698"/>
      <c r="HN30" s="698"/>
      <c r="HO30" s="698"/>
      <c r="HP30" s="698"/>
      <c r="HQ30" s="701"/>
      <c r="HR30" s="697"/>
      <c r="KX30" s="699"/>
      <c r="KY30" s="699"/>
      <c r="KZ30" s="699"/>
      <c r="LA30" s="699"/>
      <c r="LB30" s="699"/>
      <c r="LC30" s="699"/>
      <c r="LD30" s="699"/>
      <c r="LE30" s="699"/>
      <c r="LF30" s="699"/>
      <c r="LG30" s="699"/>
      <c r="LH30" s="699"/>
      <c r="LI30" s="699"/>
      <c r="LJ30" s="699"/>
      <c r="LK30" s="699"/>
      <c r="LL30" s="699"/>
      <c r="LM30" s="699"/>
      <c r="LN30" s="699"/>
      <c r="LO30" s="699"/>
      <c r="LP30" s="699"/>
      <c r="LQ30" s="699"/>
      <c r="LR30" s="699"/>
      <c r="LS30" s="699"/>
      <c r="LT30" s="699"/>
      <c r="LU30" s="699"/>
      <c r="LV30" s="699"/>
      <c r="LW30" s="699"/>
      <c r="LX30" s="699"/>
      <c r="LY30" s="699"/>
      <c r="LZ30" s="699"/>
      <c r="MA30" s="699"/>
      <c r="MB30" s="699"/>
      <c r="MC30" s="699"/>
      <c r="MD30" s="699"/>
      <c r="ME30" s="699"/>
      <c r="MF30" s="699"/>
      <c r="MG30" s="699"/>
      <c r="MH30" s="699"/>
      <c r="MI30" s="699"/>
      <c r="MJ30" s="699"/>
      <c r="MK30" s="699"/>
      <c r="ML30" s="699"/>
      <c r="MM30" s="699"/>
      <c r="MN30" s="699"/>
      <c r="MO30" s="699"/>
      <c r="MP30" s="699"/>
      <c r="MQ30" s="699"/>
      <c r="MR30" s="699"/>
      <c r="MS30" s="699"/>
      <c r="MT30" s="699"/>
      <c r="MU30" s="699"/>
      <c r="MV30" s="699"/>
      <c r="MW30" s="699"/>
      <c r="MX30" s="699"/>
      <c r="MY30" s="699"/>
      <c r="MZ30" s="699"/>
      <c r="NA30" s="699"/>
      <c r="NB30" s="699"/>
      <c r="NC30" s="699"/>
      <c r="ND30" s="699"/>
      <c r="NE30" s="699"/>
      <c r="NF30" s="699"/>
      <c r="NG30" s="699"/>
      <c r="NH30" s="699"/>
      <c r="NI30" s="699"/>
      <c r="NJ30" s="699"/>
    </row>
    <row r="31" spans="1:374" s="700" customFormat="1" ht="8.1" customHeight="1">
      <c r="A31" s="694">
        <f t="shared" si="66"/>
        <v>1975</v>
      </c>
      <c r="B31" s="695">
        <v>40263</v>
      </c>
      <c r="C31" s="766"/>
      <c r="D31" s="695">
        <v>40501</v>
      </c>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694"/>
      <c r="BI31" s="694"/>
      <c r="BJ31" s="694"/>
      <c r="BK31" s="694"/>
      <c r="BL31" s="694"/>
      <c r="BM31" s="694"/>
      <c r="BN31" s="694"/>
      <c r="BO31" s="694"/>
      <c r="BP31" s="694"/>
      <c r="BQ31" s="694"/>
      <c r="BR31" s="694"/>
      <c r="BS31" s="694"/>
      <c r="BT31" s="694"/>
      <c r="BU31" s="694"/>
      <c r="BV31" s="694"/>
      <c r="BW31" s="694"/>
      <c r="BX31" s="694"/>
      <c r="BY31" s="694"/>
      <c r="BZ31" s="694"/>
      <c r="CA31" s="694"/>
      <c r="CB31" s="694"/>
      <c r="CC31" s="694"/>
      <c r="CD31" s="694"/>
      <c r="CE31" s="694"/>
      <c r="CF31" s="694"/>
      <c r="CG31" s="694"/>
      <c r="CH31" s="694"/>
      <c r="CI31" s="694"/>
      <c r="CJ31" s="694"/>
      <c r="CK31" s="694"/>
      <c r="CL31" s="694"/>
      <c r="CO31" s="699"/>
      <c r="CP31" s="699"/>
      <c r="CQ31" s="699"/>
      <c r="CR31" s="699"/>
      <c r="CS31" s="699"/>
      <c r="CT31" s="699"/>
      <c r="CU31" s="699"/>
      <c r="CV31" s="699"/>
      <c r="CW31" s="699"/>
      <c r="CX31" s="699"/>
      <c r="CY31" s="699"/>
      <c r="CZ31" s="699"/>
      <c r="DA31" s="699"/>
      <c r="DB31" s="699"/>
      <c r="DC31" s="699"/>
      <c r="DD31" s="699"/>
      <c r="DE31" s="699"/>
      <c r="DF31" s="699"/>
      <c r="DG31" s="699"/>
      <c r="DH31" s="703"/>
      <c r="DI31" s="703"/>
      <c r="DJ31" s="703"/>
      <c r="DK31" s="698"/>
      <c r="DL31" s="698"/>
      <c r="DM31" s="698"/>
      <c r="DN31" s="698"/>
      <c r="DO31" s="698"/>
      <c r="DP31" s="698"/>
      <c r="DQ31" s="698"/>
      <c r="DR31" s="698"/>
      <c r="DS31" s="698"/>
      <c r="DT31" s="698"/>
      <c r="DU31" s="698"/>
      <c r="DV31" s="698"/>
      <c r="DW31" s="712"/>
      <c r="DX31" s="698"/>
      <c r="DY31" s="698"/>
      <c r="DZ31" s="698"/>
      <c r="EA31" s="698"/>
      <c r="EB31" s="698"/>
      <c r="EC31" s="698"/>
      <c r="ED31" s="698"/>
      <c r="EE31" s="698"/>
      <c r="EF31" s="701"/>
      <c r="EG31" s="698"/>
      <c r="EH31" s="701"/>
      <c r="EI31" s="698"/>
      <c r="EJ31" s="698"/>
      <c r="EK31" s="698"/>
      <c r="EL31" s="698"/>
      <c r="EM31" s="698"/>
      <c r="EN31" s="698"/>
      <c r="EO31" s="698"/>
      <c r="EP31" s="698"/>
      <c r="EQ31" s="698"/>
      <c r="ER31" s="698"/>
      <c r="ES31" s="698"/>
      <c r="ET31" s="698"/>
      <c r="EU31" s="698"/>
      <c r="EV31" s="698"/>
      <c r="EW31" s="701"/>
      <c r="EX31" s="701"/>
      <c r="EY31" s="698"/>
      <c r="EZ31" s="698"/>
      <c r="FA31" s="698"/>
      <c r="FB31" s="698"/>
      <c r="FC31" s="698"/>
      <c r="FD31" s="698"/>
      <c r="FE31" s="698"/>
      <c r="FF31" s="698"/>
      <c r="FG31" s="698"/>
      <c r="FH31" s="698"/>
      <c r="FI31" s="698"/>
      <c r="FJ31" s="698"/>
      <c r="FK31" s="698"/>
      <c r="FL31" s="698"/>
      <c r="FM31" s="698"/>
      <c r="FN31" s="698"/>
      <c r="FO31" s="698"/>
      <c r="FP31" s="710"/>
      <c r="FQ31" s="698"/>
      <c r="FR31" s="698"/>
      <c r="FS31" s="698"/>
      <c r="FT31" s="698"/>
      <c r="FU31" s="698"/>
      <c r="FV31" s="698"/>
      <c r="FW31" s="698"/>
      <c r="FX31" s="698"/>
      <c r="FY31" s="698"/>
      <c r="FZ31" s="698"/>
      <c r="GA31" s="701"/>
      <c r="GB31" s="698"/>
      <c r="GC31" s="698"/>
      <c r="GD31" s="698"/>
      <c r="GE31" s="698"/>
      <c r="GF31" s="698"/>
      <c r="GG31" s="698"/>
      <c r="GH31" s="698"/>
      <c r="GI31" s="698"/>
      <c r="GJ31" s="698"/>
      <c r="GK31" s="698"/>
      <c r="GL31" s="698"/>
      <c r="GM31" s="698"/>
      <c r="GN31" s="701"/>
      <c r="GO31" s="701"/>
      <c r="GP31" s="698"/>
      <c r="GQ31" s="698"/>
      <c r="GR31" s="698"/>
      <c r="GS31" s="698"/>
      <c r="GT31" s="698"/>
      <c r="GU31" s="698"/>
      <c r="GV31" s="698"/>
      <c r="GW31" s="698"/>
      <c r="GX31" s="698"/>
      <c r="GY31" s="698"/>
      <c r="GZ31" s="698"/>
      <c r="HA31" s="698"/>
      <c r="HB31" s="698"/>
      <c r="HC31" s="698"/>
      <c r="HD31" s="698"/>
      <c r="HE31" s="698"/>
      <c r="HF31" s="698"/>
      <c r="HG31" s="698"/>
      <c r="HH31" s="698"/>
      <c r="HI31" s="698"/>
      <c r="HJ31" s="698"/>
      <c r="HK31" s="698"/>
      <c r="HL31" s="698"/>
      <c r="HM31" s="698"/>
      <c r="HN31" s="698"/>
      <c r="HO31" s="698"/>
      <c r="HP31" s="698"/>
      <c r="HQ31" s="698"/>
      <c r="HR31" s="698"/>
      <c r="HS31" s="699"/>
      <c r="HT31" s="699"/>
      <c r="HU31" s="699"/>
      <c r="HV31" s="699"/>
      <c r="HW31" s="699"/>
      <c r="HX31" s="699"/>
      <c r="HY31" s="699"/>
      <c r="HZ31" s="699"/>
      <c r="IA31" s="699"/>
      <c r="IB31" s="699"/>
      <c r="IC31" s="699"/>
      <c r="ID31" s="699"/>
      <c r="IE31" s="699"/>
      <c r="IF31" s="699"/>
      <c r="IG31" s="699"/>
      <c r="IH31" s="699"/>
      <c r="II31" s="699"/>
      <c r="IJ31" s="699"/>
      <c r="IK31" s="699"/>
      <c r="IL31" s="699"/>
      <c r="IM31" s="699"/>
      <c r="IN31" s="699"/>
      <c r="IO31" s="699"/>
      <c r="IP31" s="699"/>
      <c r="IQ31" s="699"/>
      <c r="IR31" s="699"/>
      <c r="IS31" s="699"/>
      <c r="IT31" s="699"/>
      <c r="IU31" s="699"/>
      <c r="IV31" s="699"/>
      <c r="IW31" s="699"/>
      <c r="IX31" s="699"/>
      <c r="IY31" s="699"/>
      <c r="IZ31" s="699"/>
      <c r="JA31" s="699"/>
      <c r="JB31" s="699"/>
      <c r="JC31" s="699"/>
      <c r="JD31" s="699"/>
      <c r="JE31" s="699"/>
      <c r="JF31" s="699"/>
      <c r="JG31" s="699"/>
      <c r="JH31" s="699"/>
      <c r="JI31" s="699"/>
      <c r="JJ31" s="699"/>
      <c r="JK31" s="699"/>
      <c r="JL31" s="699"/>
      <c r="JM31" s="699"/>
      <c r="JN31" s="699"/>
      <c r="JO31" s="699"/>
      <c r="JP31" s="699"/>
      <c r="JQ31" s="699"/>
      <c r="JR31" s="699"/>
      <c r="JS31" s="699"/>
      <c r="JT31" s="699"/>
      <c r="JU31" s="699"/>
      <c r="JV31" s="699"/>
      <c r="JW31" s="699"/>
      <c r="JX31" s="699"/>
      <c r="JY31" s="699"/>
      <c r="JZ31" s="699"/>
      <c r="KA31" s="699"/>
      <c r="KB31" s="699"/>
      <c r="KC31" s="699"/>
      <c r="KD31" s="699"/>
      <c r="KE31" s="699"/>
      <c r="KF31" s="699"/>
      <c r="KG31" s="699"/>
      <c r="KH31" s="699"/>
      <c r="KI31" s="699"/>
      <c r="KJ31" s="699"/>
      <c r="KK31" s="699"/>
      <c r="KL31" s="699"/>
      <c r="KM31" s="699"/>
      <c r="KN31" s="699"/>
      <c r="KO31" s="699"/>
      <c r="KP31" s="699"/>
      <c r="KQ31" s="699"/>
      <c r="KR31" s="699"/>
      <c r="KS31" s="699"/>
      <c r="KT31" s="699"/>
      <c r="KU31" s="699"/>
      <c r="KV31" s="699"/>
      <c r="KW31" s="699"/>
      <c r="KX31" s="699"/>
      <c r="KY31" s="699"/>
      <c r="KZ31" s="699"/>
      <c r="LA31" s="699"/>
      <c r="LB31" s="699"/>
      <c r="LC31" s="699"/>
      <c r="LD31" s="699"/>
      <c r="LE31" s="699"/>
      <c r="LF31" s="699"/>
      <c r="LG31" s="699"/>
      <c r="LH31" s="699"/>
      <c r="LI31" s="699"/>
      <c r="LJ31" s="699"/>
      <c r="LK31" s="699"/>
      <c r="LL31" s="699"/>
      <c r="LM31" s="699"/>
      <c r="LN31" s="699"/>
      <c r="LO31" s="699"/>
      <c r="LP31" s="699"/>
      <c r="LR31" s="699"/>
      <c r="LS31" s="699"/>
      <c r="LT31" s="699"/>
      <c r="LU31" s="699"/>
      <c r="LV31" s="699"/>
      <c r="LW31" s="699"/>
      <c r="LX31" s="699"/>
      <c r="LY31" s="699"/>
      <c r="LZ31" s="699"/>
      <c r="MA31" s="699"/>
      <c r="MB31" s="699"/>
      <c r="MC31" s="699"/>
      <c r="MD31" s="699"/>
      <c r="ME31" s="699"/>
      <c r="MF31" s="699"/>
      <c r="MG31" s="699"/>
      <c r="MH31" s="699"/>
      <c r="MI31" s="699"/>
      <c r="MJ31" s="699"/>
      <c r="MK31" s="699"/>
      <c r="ML31" s="699"/>
      <c r="MM31" s="699"/>
      <c r="MN31" s="699"/>
      <c r="MO31" s="699"/>
      <c r="MP31" s="699"/>
      <c r="MQ31" s="699"/>
      <c r="MR31" s="699"/>
      <c r="MS31" s="699"/>
      <c r="MT31" s="699"/>
      <c r="MU31" s="699"/>
      <c r="MV31" s="699"/>
      <c r="MW31" s="699"/>
      <c r="MX31" s="699"/>
      <c r="MY31" s="699"/>
      <c r="MZ31" s="699"/>
      <c r="NA31" s="699"/>
      <c r="NB31" s="699"/>
      <c r="NC31" s="699"/>
      <c r="ND31" s="699"/>
      <c r="NE31" s="699"/>
      <c r="NF31" s="699"/>
      <c r="NG31" s="699"/>
      <c r="NH31" s="699"/>
      <c r="NI31" s="699"/>
      <c r="NJ31" s="699"/>
    </row>
    <row r="32" spans="1:374" ht="8.1" customHeight="1">
      <c r="A32" s="694">
        <f t="shared" si="66"/>
        <v>1976</v>
      </c>
      <c r="B32" s="695">
        <v>40275</v>
      </c>
      <c r="C32" s="766"/>
      <c r="D32" s="695">
        <v>40350</v>
      </c>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c r="BA32" s="766"/>
      <c r="BB32" s="766"/>
      <c r="BC32" s="766"/>
      <c r="BD32" s="766"/>
      <c r="BE32" s="766"/>
      <c r="BF32" s="766"/>
      <c r="BG32" s="766"/>
      <c r="CY32" s="700"/>
      <c r="CZ32" s="699"/>
      <c r="DA32" s="699"/>
      <c r="DB32" s="699"/>
      <c r="DC32" s="699"/>
      <c r="DD32" s="699"/>
      <c r="DE32" s="699"/>
      <c r="DF32" s="699"/>
      <c r="DG32" s="700"/>
      <c r="DH32" s="703"/>
      <c r="DI32" s="703"/>
      <c r="DJ32" s="703"/>
      <c r="DK32" s="701"/>
      <c r="DL32" s="698"/>
      <c r="DM32" s="698"/>
      <c r="DN32" s="698"/>
      <c r="DO32" s="698"/>
      <c r="DP32" s="698"/>
      <c r="DQ32" s="698"/>
      <c r="DR32" s="698"/>
      <c r="DS32" s="701"/>
      <c r="DT32" s="698"/>
      <c r="DU32" s="698"/>
      <c r="DV32" s="698"/>
      <c r="DW32" s="712"/>
      <c r="DX32" s="698"/>
      <c r="DY32" s="698"/>
      <c r="DZ32" s="698"/>
      <c r="EA32" s="698"/>
      <c r="EB32" s="698"/>
      <c r="EC32" s="698"/>
      <c r="ED32" s="698"/>
      <c r="EE32" s="698"/>
      <c r="EF32" s="698"/>
      <c r="EG32" s="698"/>
      <c r="EH32" s="698"/>
      <c r="EI32" s="698"/>
      <c r="EJ32" s="698"/>
      <c r="EK32" s="698"/>
      <c r="EL32" s="698"/>
      <c r="EM32" s="698"/>
      <c r="EN32" s="698"/>
      <c r="EO32" s="698"/>
      <c r="EP32" s="698"/>
      <c r="EQ32" s="698"/>
      <c r="ER32" s="698"/>
      <c r="ES32" s="698"/>
      <c r="ET32" s="698"/>
      <c r="EU32" s="698"/>
      <c r="EV32" s="698"/>
      <c r="EW32" s="698"/>
      <c r="EX32" s="698"/>
      <c r="EY32" s="698"/>
      <c r="EZ32" s="698"/>
      <c r="FA32" s="698"/>
      <c r="FB32" s="698"/>
      <c r="FC32" s="698"/>
      <c r="FD32" s="698"/>
      <c r="FE32" s="698"/>
      <c r="FF32" s="698"/>
      <c r="FG32" s="698"/>
      <c r="FH32" s="698"/>
      <c r="FI32" s="698"/>
      <c r="FJ32" s="698"/>
      <c r="FK32" s="698"/>
      <c r="FL32" s="698"/>
      <c r="FM32" s="698"/>
      <c r="FN32" s="698"/>
      <c r="FO32" s="698"/>
      <c r="FP32" s="710"/>
      <c r="FQ32" s="698"/>
      <c r="FR32" s="698"/>
      <c r="FS32" s="698"/>
      <c r="FT32" s="698"/>
      <c r="FU32" s="698"/>
      <c r="FV32" s="701"/>
      <c r="FW32" s="697"/>
      <c r="FX32" s="697"/>
      <c r="FY32" s="697"/>
      <c r="FZ32" s="697"/>
      <c r="GA32" s="697"/>
      <c r="GB32" s="697"/>
      <c r="GC32" s="697"/>
      <c r="GD32" s="697"/>
      <c r="GE32" s="697"/>
      <c r="GF32" s="697"/>
      <c r="GG32" s="697"/>
      <c r="GH32" s="697"/>
      <c r="GI32" s="697"/>
      <c r="GJ32" s="697"/>
      <c r="GK32" s="697"/>
      <c r="GL32" s="697"/>
      <c r="GM32" s="697"/>
      <c r="GN32" s="697"/>
      <c r="GO32" s="697"/>
      <c r="GP32" s="697"/>
      <c r="GQ32" s="697"/>
      <c r="GR32" s="697"/>
      <c r="GS32" s="697"/>
      <c r="GT32" s="697"/>
      <c r="GU32" s="697"/>
      <c r="GV32" s="697"/>
      <c r="GW32" s="697"/>
      <c r="GX32" s="697"/>
      <c r="GY32" s="697"/>
      <c r="GZ32" s="697"/>
      <c r="HA32" s="697"/>
      <c r="HB32" s="697"/>
      <c r="HC32" s="697"/>
      <c r="HD32" s="697"/>
      <c r="HE32" s="697"/>
      <c r="HF32" s="697"/>
      <c r="HG32" s="697"/>
      <c r="HH32" s="697"/>
      <c r="HI32" s="697"/>
      <c r="HJ32" s="697"/>
      <c r="HK32" s="697"/>
      <c r="HL32" s="697"/>
      <c r="HM32" s="697"/>
      <c r="HN32" s="697"/>
      <c r="HO32" s="697"/>
      <c r="HP32" s="697"/>
      <c r="HQ32" s="697"/>
      <c r="HR32" s="697"/>
      <c r="KX32" s="699"/>
      <c r="KY32" s="699"/>
      <c r="KZ32" s="699"/>
      <c r="LA32" s="699"/>
      <c r="LB32" s="699"/>
      <c r="LC32" s="699"/>
      <c r="LD32" s="699"/>
      <c r="LE32" s="699"/>
      <c r="LF32" s="699"/>
      <c r="LG32" s="699"/>
      <c r="LH32" s="699"/>
      <c r="LI32" s="699"/>
      <c r="LJ32" s="699"/>
      <c r="LK32" s="699"/>
      <c r="LL32" s="699"/>
      <c r="LM32" s="699"/>
      <c r="LN32" s="699"/>
      <c r="LO32" s="699"/>
      <c r="LP32" s="699"/>
      <c r="LQ32" s="699"/>
      <c r="LR32" s="699"/>
      <c r="LS32" s="699"/>
      <c r="LT32" s="699"/>
      <c r="LU32" s="699"/>
      <c r="LV32" s="699"/>
      <c r="LW32" s="699"/>
      <c r="LX32" s="699"/>
      <c r="LY32" s="699"/>
      <c r="LZ32" s="699"/>
      <c r="MA32" s="699"/>
      <c r="MB32" s="699"/>
      <c r="MC32" s="699"/>
      <c r="MD32" s="699"/>
      <c r="ME32" s="699"/>
      <c r="MF32" s="699"/>
      <c r="MG32" s="699"/>
      <c r="MH32" s="699"/>
      <c r="MI32" s="699"/>
      <c r="MJ32" s="699"/>
      <c r="MK32" s="699"/>
      <c r="ML32" s="699"/>
      <c r="MM32" s="699"/>
      <c r="MN32" s="699"/>
      <c r="MO32" s="699"/>
      <c r="MP32" s="699"/>
      <c r="MQ32" s="699"/>
      <c r="MR32" s="699"/>
      <c r="MS32" s="699"/>
      <c r="MT32" s="699"/>
      <c r="MU32" s="699"/>
      <c r="MV32" s="699"/>
      <c r="MW32" s="699"/>
      <c r="MX32" s="699"/>
      <c r="MY32" s="699"/>
      <c r="MZ32" s="699"/>
      <c r="NA32" s="699"/>
      <c r="NB32" s="699"/>
      <c r="NC32" s="699"/>
      <c r="ND32" s="699"/>
      <c r="NE32" s="699"/>
      <c r="NF32" s="699"/>
      <c r="NG32" s="699"/>
      <c r="NH32" s="699"/>
      <c r="NI32" s="699"/>
      <c r="NJ32" s="699"/>
    </row>
    <row r="33" spans="1:374" ht="8.1" customHeight="1">
      <c r="A33" s="694">
        <f t="shared" si="66"/>
        <v>1977</v>
      </c>
      <c r="B33" s="695">
        <v>40287</v>
      </c>
      <c r="C33" s="766"/>
      <c r="D33" s="695">
        <v>40392</v>
      </c>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c r="BA33" s="766"/>
      <c r="BB33" s="766"/>
      <c r="BC33" s="766"/>
      <c r="BD33" s="766"/>
      <c r="BE33" s="766"/>
      <c r="BF33" s="766"/>
      <c r="BG33" s="766"/>
      <c r="DH33" s="696"/>
      <c r="DI33" s="696"/>
      <c r="DJ33" s="696"/>
      <c r="DK33" s="701"/>
      <c r="DL33" s="698"/>
      <c r="DM33" s="698"/>
      <c r="DN33" s="698"/>
      <c r="DO33" s="698"/>
      <c r="DP33" s="698"/>
      <c r="DQ33" s="698"/>
      <c r="DR33" s="698"/>
      <c r="DS33" s="698"/>
      <c r="DT33" s="698"/>
      <c r="DU33" s="698"/>
      <c r="DV33" s="698"/>
      <c r="DW33" s="714"/>
      <c r="DX33" s="698"/>
      <c r="DY33" s="698"/>
      <c r="DZ33" s="698"/>
      <c r="EA33" s="698"/>
      <c r="EB33" s="698"/>
      <c r="EC33" s="698"/>
      <c r="ED33" s="698"/>
      <c r="EE33" s="698"/>
      <c r="EF33" s="698"/>
      <c r="EG33" s="698"/>
      <c r="EH33" s="698"/>
      <c r="EI33" s="698"/>
      <c r="EJ33" s="701"/>
      <c r="EK33" s="698"/>
      <c r="EL33" s="701"/>
      <c r="EM33" s="701"/>
      <c r="EN33" s="701"/>
      <c r="EO33" s="698"/>
      <c r="EP33" s="701"/>
      <c r="EQ33" s="698"/>
      <c r="ER33" s="701"/>
      <c r="ES33" s="698"/>
      <c r="ET33" s="698"/>
      <c r="EU33" s="701"/>
      <c r="EV33" s="698"/>
      <c r="EW33" s="698"/>
      <c r="EX33" s="698"/>
      <c r="EY33" s="698"/>
      <c r="EZ33" s="698"/>
      <c r="FA33" s="698"/>
      <c r="FB33" s="698"/>
      <c r="FC33" s="698"/>
      <c r="FD33" s="698"/>
      <c r="FE33" s="698"/>
      <c r="FF33" s="698"/>
      <c r="FG33" s="698"/>
      <c r="FH33" s="698"/>
      <c r="FI33" s="698"/>
      <c r="FJ33" s="698"/>
      <c r="FK33" s="698"/>
      <c r="FL33" s="698"/>
      <c r="FM33" s="698"/>
      <c r="FN33" s="698"/>
      <c r="FO33" s="698"/>
      <c r="FP33" s="710"/>
      <c r="FQ33" s="698"/>
      <c r="FR33" s="698"/>
      <c r="FS33" s="698"/>
      <c r="FT33" s="701"/>
      <c r="FU33" s="698"/>
      <c r="FV33" s="698"/>
      <c r="FW33" s="698"/>
      <c r="FX33" s="698"/>
      <c r="FY33" s="698"/>
      <c r="FZ33" s="698"/>
      <c r="GA33" s="698"/>
      <c r="GB33" s="698"/>
      <c r="GC33" s="698"/>
      <c r="GD33" s="698"/>
      <c r="GE33" s="698"/>
      <c r="GF33" s="698"/>
      <c r="GG33" s="698"/>
      <c r="GH33" s="698"/>
      <c r="GI33" s="698"/>
      <c r="GJ33" s="698"/>
      <c r="GK33" s="698"/>
      <c r="GL33" s="698"/>
      <c r="GM33" s="698"/>
      <c r="GN33" s="698"/>
      <c r="GO33" s="698"/>
      <c r="GP33" s="698"/>
      <c r="GQ33" s="698"/>
      <c r="GR33" s="698"/>
      <c r="GS33" s="698"/>
      <c r="GT33" s="698"/>
      <c r="GU33" s="698"/>
      <c r="GV33" s="698"/>
      <c r="GW33" s="698"/>
      <c r="GX33" s="698"/>
      <c r="GY33" s="698"/>
      <c r="GZ33" s="698"/>
      <c r="HA33" s="698"/>
      <c r="HB33" s="698"/>
      <c r="HC33" s="698"/>
      <c r="HD33" s="701"/>
      <c r="HE33" s="698"/>
      <c r="HF33" s="698"/>
      <c r="HG33" s="698"/>
      <c r="HH33" s="698"/>
      <c r="HI33" s="698"/>
      <c r="HJ33" s="698"/>
      <c r="HK33" s="698"/>
      <c r="HL33" s="701"/>
      <c r="HM33" s="697"/>
      <c r="HN33" s="697"/>
      <c r="HO33" s="697"/>
      <c r="HP33" s="697"/>
      <c r="HQ33" s="697"/>
      <c r="HR33" s="697"/>
      <c r="KX33" s="699"/>
      <c r="KY33" s="699"/>
      <c r="KZ33" s="699"/>
      <c r="LA33" s="699"/>
      <c r="LB33" s="699"/>
      <c r="LC33" s="699"/>
      <c r="LD33" s="699"/>
      <c r="LE33" s="699"/>
      <c r="LF33" s="699"/>
      <c r="LG33" s="699"/>
      <c r="LH33" s="699"/>
      <c r="LI33" s="699"/>
      <c r="LJ33" s="699"/>
      <c r="LK33" s="699"/>
      <c r="LL33" s="699"/>
      <c r="LM33" s="699"/>
      <c r="LN33" s="699"/>
      <c r="LO33" s="699"/>
      <c r="LP33" s="699"/>
      <c r="LQ33" s="699"/>
      <c r="LR33" s="699"/>
      <c r="LS33" s="699"/>
      <c r="LT33" s="699"/>
      <c r="LU33" s="699"/>
      <c r="LV33" s="699"/>
      <c r="LW33" s="699"/>
      <c r="LX33" s="699"/>
      <c r="LY33" s="699"/>
      <c r="LZ33" s="699"/>
      <c r="MA33" s="699"/>
      <c r="MB33" s="699"/>
      <c r="MC33" s="699"/>
      <c r="MD33" s="699"/>
      <c r="ME33" s="699"/>
      <c r="MF33" s="699"/>
      <c r="MG33" s="699"/>
      <c r="MH33" s="699"/>
      <c r="MI33" s="699"/>
      <c r="MJ33" s="699"/>
      <c r="MK33" s="699"/>
      <c r="ML33" s="699"/>
      <c r="MM33" s="699"/>
      <c r="MN33" s="699"/>
      <c r="MO33" s="699"/>
      <c r="MP33" s="699"/>
      <c r="MQ33" s="699"/>
      <c r="MR33" s="699"/>
      <c r="MS33" s="699"/>
      <c r="MT33" s="699"/>
      <c r="MU33" s="699"/>
      <c r="MV33" s="699"/>
      <c r="MW33" s="699"/>
      <c r="MX33" s="699"/>
      <c r="MY33" s="699"/>
      <c r="MZ33" s="699"/>
      <c r="NA33" s="699"/>
      <c r="NB33" s="699"/>
      <c r="NC33" s="699"/>
      <c r="ND33" s="699"/>
      <c r="NE33" s="699"/>
      <c r="NF33" s="699"/>
      <c r="NG33" s="699"/>
      <c r="NH33" s="699"/>
      <c r="NI33" s="699"/>
      <c r="NJ33" s="699"/>
    </row>
    <row r="34" spans="1:374" ht="8.1" customHeight="1">
      <c r="A34" s="694">
        <f t="shared" si="66"/>
        <v>1978</v>
      </c>
      <c r="B34" s="695">
        <v>40298</v>
      </c>
      <c r="C34" s="766"/>
      <c r="D34" s="695">
        <v>40360</v>
      </c>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c r="BA34" s="766"/>
      <c r="BB34" s="766"/>
      <c r="BC34" s="766"/>
      <c r="BD34" s="766"/>
      <c r="BE34" s="766"/>
      <c r="BF34" s="766"/>
      <c r="BG34" s="766"/>
      <c r="DH34" s="696"/>
      <c r="DI34" s="696"/>
      <c r="DJ34" s="696"/>
      <c r="DK34" s="697"/>
      <c r="DL34" s="697"/>
      <c r="DM34" s="697"/>
      <c r="DN34" s="697"/>
      <c r="DO34" s="697"/>
      <c r="DP34" s="697"/>
      <c r="DQ34" s="697"/>
      <c r="DR34" s="697"/>
      <c r="DS34" s="697"/>
      <c r="DT34" s="697"/>
      <c r="DU34" s="697"/>
      <c r="DV34" s="701"/>
      <c r="DW34" s="712"/>
      <c r="DX34" s="698"/>
      <c r="DY34" s="701"/>
      <c r="DZ34" s="701"/>
      <c r="EA34" s="701"/>
      <c r="EB34" s="698"/>
      <c r="EC34" s="698"/>
      <c r="ED34" s="698"/>
      <c r="EE34" s="698"/>
      <c r="EF34" s="698"/>
      <c r="EG34" s="698"/>
      <c r="EH34" s="698"/>
      <c r="EI34" s="698"/>
      <c r="EJ34" s="698"/>
      <c r="EK34" s="698"/>
      <c r="EL34" s="698"/>
      <c r="EM34" s="698"/>
      <c r="EN34" s="698"/>
      <c r="EO34" s="698"/>
      <c r="EP34" s="701"/>
      <c r="EQ34" s="698"/>
      <c r="ER34" s="698"/>
      <c r="ES34" s="698"/>
      <c r="ET34" s="698"/>
      <c r="EU34" s="701"/>
      <c r="EV34" s="701"/>
      <c r="EW34" s="701"/>
      <c r="EX34" s="698"/>
      <c r="EY34" s="698"/>
      <c r="EZ34" s="698"/>
      <c r="FA34" s="701"/>
      <c r="FB34" s="698"/>
      <c r="FC34" s="698"/>
      <c r="FD34" s="698"/>
      <c r="FE34" s="701"/>
      <c r="FF34" s="698"/>
      <c r="FG34" s="698"/>
      <c r="FH34" s="698"/>
      <c r="FI34" s="698"/>
      <c r="FJ34" s="698"/>
      <c r="FK34" s="698"/>
      <c r="FL34" s="698"/>
      <c r="FM34" s="698"/>
      <c r="FN34" s="698"/>
      <c r="FO34" s="698"/>
      <c r="FP34" s="710"/>
      <c r="FQ34" s="698"/>
      <c r="FR34" s="698"/>
      <c r="FS34" s="698"/>
      <c r="FT34" s="698"/>
      <c r="FU34" s="698"/>
      <c r="FV34" s="698"/>
      <c r="FW34" s="698"/>
      <c r="FX34" s="698"/>
      <c r="FY34" s="698"/>
      <c r="FZ34" s="698"/>
      <c r="GA34" s="698"/>
      <c r="GB34" s="698"/>
      <c r="GC34" s="698"/>
      <c r="GD34" s="698"/>
      <c r="GE34" s="698"/>
      <c r="GF34" s="701"/>
      <c r="GG34" s="697"/>
      <c r="GH34" s="697"/>
      <c r="GI34" s="697"/>
      <c r="GJ34" s="697"/>
      <c r="GK34" s="697"/>
      <c r="GL34" s="697"/>
      <c r="GM34" s="697"/>
      <c r="GN34" s="697"/>
      <c r="GO34" s="697"/>
      <c r="GP34" s="697"/>
      <c r="GQ34" s="697"/>
      <c r="GR34" s="697"/>
      <c r="GS34" s="697"/>
      <c r="GT34" s="697"/>
      <c r="GU34" s="697"/>
      <c r="GV34" s="697"/>
      <c r="GW34" s="697"/>
      <c r="GX34" s="697"/>
      <c r="GY34" s="697"/>
      <c r="GZ34" s="697"/>
      <c r="HA34" s="697"/>
      <c r="HB34" s="697"/>
      <c r="HC34" s="697"/>
      <c r="HD34" s="697"/>
      <c r="HE34" s="697"/>
      <c r="HF34" s="697"/>
      <c r="HG34" s="697"/>
      <c r="HH34" s="697"/>
      <c r="HI34" s="697"/>
      <c r="HJ34" s="697"/>
      <c r="HK34" s="697"/>
      <c r="HL34" s="697"/>
      <c r="HM34" s="697"/>
      <c r="HN34" s="697"/>
      <c r="HO34" s="697"/>
      <c r="HP34" s="697"/>
      <c r="HQ34" s="697"/>
      <c r="HR34" s="697"/>
      <c r="KX34" s="699"/>
      <c r="KY34" s="699"/>
      <c r="KZ34" s="699"/>
      <c r="LA34" s="699"/>
      <c r="LB34" s="699"/>
      <c r="LC34" s="699"/>
      <c r="LD34" s="699"/>
      <c r="LE34" s="699"/>
      <c r="LF34" s="699"/>
      <c r="LG34" s="699"/>
      <c r="LH34" s="699"/>
      <c r="LI34" s="699"/>
      <c r="LJ34" s="699"/>
      <c r="LK34" s="699"/>
      <c r="LL34" s="699"/>
      <c r="LM34" s="699"/>
      <c r="LN34" s="699"/>
      <c r="LO34" s="699"/>
      <c r="LP34" s="699"/>
      <c r="LQ34" s="699"/>
      <c r="LR34" s="699"/>
      <c r="LS34" s="699"/>
      <c r="LT34" s="699"/>
      <c r="LU34" s="699"/>
      <c r="LV34" s="699"/>
      <c r="LW34" s="699"/>
      <c r="LX34" s="699"/>
      <c r="LY34" s="699"/>
      <c r="LZ34" s="699"/>
      <c r="MA34" s="699"/>
      <c r="MB34" s="699"/>
      <c r="MC34" s="699"/>
      <c r="MD34" s="699"/>
      <c r="ME34" s="699"/>
      <c r="MF34" s="699"/>
      <c r="MG34" s="699"/>
      <c r="MH34" s="699"/>
      <c r="MI34" s="699"/>
      <c r="MJ34" s="699"/>
      <c r="MK34" s="699"/>
      <c r="ML34" s="699"/>
      <c r="MM34" s="699"/>
      <c r="MN34" s="699"/>
      <c r="MO34" s="699"/>
      <c r="MP34" s="699"/>
      <c r="MQ34" s="699"/>
      <c r="MR34" s="699"/>
      <c r="MS34" s="699"/>
      <c r="MT34" s="699"/>
      <c r="MU34" s="699"/>
      <c r="MV34" s="699"/>
      <c r="MW34" s="699"/>
      <c r="MX34" s="699"/>
      <c r="MY34" s="699"/>
      <c r="MZ34" s="699"/>
      <c r="NA34" s="699"/>
      <c r="NB34" s="699"/>
      <c r="NC34" s="699"/>
      <c r="ND34" s="699"/>
      <c r="NE34" s="699"/>
      <c r="NF34" s="699"/>
      <c r="NG34" s="699"/>
      <c r="NH34" s="699"/>
      <c r="NI34" s="699"/>
      <c r="NJ34" s="699"/>
    </row>
    <row r="35" spans="1:374" ht="8.1" customHeight="1">
      <c r="A35" s="694">
        <f t="shared" si="66"/>
        <v>1979</v>
      </c>
      <c r="B35" s="695">
        <v>40255</v>
      </c>
      <c r="C35" s="766"/>
      <c r="D35" s="695">
        <v>40415</v>
      </c>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c r="BA35" s="766"/>
      <c r="BB35" s="766"/>
      <c r="BC35" s="766"/>
      <c r="BD35" s="766"/>
      <c r="BE35" s="766"/>
      <c r="BF35" s="766"/>
      <c r="BG35" s="766"/>
      <c r="CE35" s="700"/>
      <c r="CF35" s="699"/>
      <c r="CG35" s="699"/>
      <c r="CH35" s="699"/>
      <c r="CI35" s="699"/>
      <c r="CJ35" s="699"/>
      <c r="CK35" s="699"/>
      <c r="CL35" s="699"/>
      <c r="CM35" s="699"/>
      <c r="CN35" s="699"/>
      <c r="CO35" s="699"/>
      <c r="CP35" s="699"/>
      <c r="CQ35" s="699"/>
      <c r="CR35" s="699"/>
      <c r="CS35" s="699"/>
      <c r="CT35" s="699"/>
      <c r="CU35" s="699"/>
      <c r="CV35" s="699"/>
      <c r="CW35" s="699"/>
      <c r="CX35" s="699"/>
      <c r="CY35" s="699"/>
      <c r="CZ35" s="699"/>
      <c r="DA35" s="699"/>
      <c r="DB35" s="699"/>
      <c r="DC35" s="699"/>
      <c r="DD35" s="699"/>
      <c r="DE35" s="699"/>
      <c r="DF35" s="699"/>
      <c r="DG35" s="699"/>
      <c r="DH35" s="703"/>
      <c r="DI35" s="703"/>
      <c r="DJ35" s="703"/>
      <c r="DK35" s="698"/>
      <c r="DL35" s="698"/>
      <c r="DM35" s="698"/>
      <c r="DN35" s="698"/>
      <c r="DO35" s="698"/>
      <c r="DP35" s="698"/>
      <c r="DQ35" s="698"/>
      <c r="DR35" s="698"/>
      <c r="DS35" s="698"/>
      <c r="DT35" s="698"/>
      <c r="DU35" s="698"/>
      <c r="DV35" s="698"/>
      <c r="DW35" s="712"/>
      <c r="DX35" s="698"/>
      <c r="DY35" s="698"/>
      <c r="DZ35" s="698"/>
      <c r="EA35" s="698"/>
      <c r="EB35" s="698"/>
      <c r="EC35" s="698"/>
      <c r="ED35" s="698"/>
      <c r="EE35" s="701"/>
      <c r="EF35" s="698"/>
      <c r="EG35" s="698"/>
      <c r="EH35" s="698"/>
      <c r="EI35" s="698"/>
      <c r="EJ35" s="698"/>
      <c r="EK35" s="698"/>
      <c r="EL35" s="698"/>
      <c r="EM35" s="698"/>
      <c r="EN35" s="698"/>
      <c r="EO35" s="698"/>
      <c r="EP35" s="698"/>
      <c r="EQ35" s="698"/>
      <c r="ER35" s="698"/>
      <c r="ES35" s="698"/>
      <c r="ET35" s="698"/>
      <c r="EU35" s="698"/>
      <c r="EV35" s="701"/>
      <c r="EW35" s="701"/>
      <c r="EX35" s="698"/>
      <c r="EY35" s="698"/>
      <c r="EZ35" s="698"/>
      <c r="FA35" s="698"/>
      <c r="FB35" s="698"/>
      <c r="FC35" s="698"/>
      <c r="FD35" s="698"/>
      <c r="FE35" s="698"/>
      <c r="FF35" s="698"/>
      <c r="FG35" s="698"/>
      <c r="FH35" s="698"/>
      <c r="FI35" s="698"/>
      <c r="FJ35" s="698"/>
      <c r="FK35" s="698"/>
      <c r="FL35" s="698"/>
      <c r="FM35" s="698"/>
      <c r="FN35" s="698"/>
      <c r="FO35" s="698"/>
      <c r="FP35" s="710"/>
      <c r="FQ35" s="698"/>
      <c r="FR35" s="698"/>
      <c r="FS35" s="698"/>
      <c r="FT35" s="698"/>
      <c r="FU35" s="698"/>
      <c r="FV35" s="698"/>
      <c r="FW35" s="698"/>
      <c r="FX35" s="698"/>
      <c r="FY35" s="698"/>
      <c r="FZ35" s="698"/>
      <c r="GA35" s="698"/>
      <c r="GB35" s="698"/>
      <c r="GC35" s="698"/>
      <c r="GD35" s="698"/>
      <c r="GE35" s="698"/>
      <c r="GF35" s="698"/>
      <c r="GG35" s="698"/>
      <c r="GH35" s="698"/>
      <c r="GI35" s="698"/>
      <c r="GJ35" s="698"/>
      <c r="GK35" s="698"/>
      <c r="GL35" s="701"/>
      <c r="GM35" s="698"/>
      <c r="GN35" s="698"/>
      <c r="GO35" s="698"/>
      <c r="GP35" s="698"/>
      <c r="GQ35" s="698"/>
      <c r="GR35" s="698"/>
      <c r="GS35" s="698"/>
      <c r="GT35" s="698"/>
      <c r="GU35" s="698"/>
      <c r="GV35" s="698"/>
      <c r="GW35" s="698"/>
      <c r="GX35" s="698"/>
      <c r="GY35" s="698"/>
      <c r="GZ35" s="698"/>
      <c r="HA35" s="698"/>
      <c r="HB35" s="701"/>
      <c r="HC35" s="701"/>
      <c r="HD35" s="698"/>
      <c r="HE35" s="698"/>
      <c r="HF35" s="698"/>
      <c r="HG35" s="698"/>
      <c r="HH35" s="698"/>
      <c r="HI35" s="698"/>
      <c r="HJ35" s="698"/>
      <c r="HK35" s="698"/>
      <c r="HL35" s="698"/>
      <c r="HM35" s="698"/>
      <c r="HN35" s="698"/>
      <c r="HO35" s="698"/>
      <c r="HP35" s="698"/>
      <c r="HQ35" s="698"/>
      <c r="HR35" s="698"/>
      <c r="HS35" s="699"/>
      <c r="HT35" s="699"/>
      <c r="HU35" s="699"/>
      <c r="HV35" s="699"/>
      <c r="HW35" s="699"/>
      <c r="HX35" s="699"/>
      <c r="HY35" s="699"/>
      <c r="HZ35" s="699"/>
      <c r="IA35" s="699"/>
      <c r="IB35" s="699"/>
      <c r="IC35" s="699"/>
      <c r="ID35" s="699"/>
      <c r="IE35" s="700"/>
      <c r="IF35" s="699"/>
      <c r="IG35" s="699"/>
      <c r="IH35" s="699"/>
      <c r="II35" s="700"/>
      <c r="KX35" s="699"/>
      <c r="KY35" s="699"/>
      <c r="KZ35" s="699"/>
      <c r="LA35" s="699"/>
      <c r="LB35" s="699"/>
      <c r="LC35" s="699"/>
      <c r="LD35" s="699"/>
      <c r="LE35" s="699"/>
      <c r="LF35" s="699"/>
      <c r="LG35" s="699"/>
      <c r="LH35" s="699"/>
      <c r="LI35" s="699"/>
      <c r="LJ35" s="699"/>
      <c r="LK35" s="699"/>
      <c r="LL35" s="699"/>
      <c r="LM35" s="699"/>
      <c r="LN35" s="699"/>
      <c r="LO35" s="699"/>
      <c r="LP35" s="699"/>
      <c r="LQ35" s="699"/>
      <c r="LR35" s="699"/>
      <c r="LS35" s="699"/>
      <c r="LT35" s="699"/>
      <c r="LU35" s="699"/>
      <c r="LV35" s="699"/>
      <c r="LW35" s="699"/>
      <c r="LX35" s="699"/>
      <c r="LY35" s="699"/>
      <c r="LZ35" s="699"/>
      <c r="MA35" s="699"/>
      <c r="MB35" s="699"/>
      <c r="MC35" s="699"/>
      <c r="MD35" s="699"/>
      <c r="ME35" s="699"/>
      <c r="MF35" s="699"/>
      <c r="MG35" s="699"/>
      <c r="MH35" s="699"/>
      <c r="MI35" s="699"/>
      <c r="MJ35" s="699"/>
      <c r="MK35" s="699"/>
      <c r="ML35" s="699"/>
      <c r="MM35" s="699"/>
      <c r="MN35" s="699"/>
      <c r="MO35" s="699"/>
      <c r="MP35" s="699"/>
      <c r="MQ35" s="699"/>
      <c r="MR35" s="699"/>
      <c r="MS35" s="699"/>
      <c r="MT35" s="699"/>
      <c r="MU35" s="699"/>
      <c r="MV35" s="699"/>
      <c r="MW35" s="699"/>
      <c r="MX35" s="699"/>
      <c r="MY35" s="699"/>
      <c r="MZ35" s="699"/>
      <c r="NA35" s="699"/>
      <c r="NB35" s="699"/>
      <c r="NC35" s="699"/>
      <c r="ND35" s="699"/>
      <c r="NE35" s="699"/>
      <c r="NF35" s="699"/>
      <c r="NG35" s="699"/>
      <c r="NH35" s="699"/>
      <c r="NI35" s="699"/>
      <c r="NJ35" s="699"/>
    </row>
    <row r="36" spans="1:374" ht="8.1" customHeight="1">
      <c r="A36" s="694">
        <f t="shared" si="66"/>
        <v>1980</v>
      </c>
      <c r="B36" s="695">
        <v>40292</v>
      </c>
      <c r="C36" s="766"/>
      <c r="D36" s="695">
        <v>40395</v>
      </c>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c r="BA36" s="766"/>
      <c r="BB36" s="766"/>
      <c r="BC36" s="766"/>
      <c r="BD36" s="766"/>
      <c r="BE36" s="766"/>
      <c r="BF36" s="766"/>
      <c r="BG36" s="766"/>
      <c r="DH36" s="696"/>
      <c r="DI36" s="696"/>
      <c r="DJ36" s="696"/>
      <c r="DK36" s="697"/>
      <c r="DL36" s="697"/>
      <c r="DM36" s="697"/>
      <c r="DN36" s="697"/>
      <c r="DO36" s="697"/>
      <c r="DP36" s="701"/>
      <c r="DQ36" s="698"/>
      <c r="DR36" s="698"/>
      <c r="DS36" s="698"/>
      <c r="DT36" s="698"/>
      <c r="DU36" s="698"/>
      <c r="DV36" s="698"/>
      <c r="DW36" s="712"/>
      <c r="DX36" s="698"/>
      <c r="DY36" s="698"/>
      <c r="DZ36" s="698"/>
      <c r="EA36" s="698"/>
      <c r="EB36" s="698"/>
      <c r="EC36" s="698"/>
      <c r="ED36" s="698"/>
      <c r="EE36" s="698"/>
      <c r="EF36" s="698"/>
      <c r="EG36" s="698"/>
      <c r="EH36" s="698"/>
      <c r="EI36" s="698"/>
      <c r="EJ36" s="698"/>
      <c r="EK36" s="698"/>
      <c r="EL36" s="698"/>
      <c r="EM36" s="698"/>
      <c r="EN36" s="698"/>
      <c r="EO36" s="698"/>
      <c r="EP36" s="701"/>
      <c r="EQ36" s="698"/>
      <c r="ER36" s="698"/>
      <c r="ES36" s="698"/>
      <c r="ET36" s="698"/>
      <c r="EU36" s="698"/>
      <c r="EV36" s="698"/>
      <c r="EW36" s="701"/>
      <c r="EX36" s="701"/>
      <c r="EY36" s="701"/>
      <c r="EZ36" s="698"/>
      <c r="FA36" s="698"/>
      <c r="FB36" s="698"/>
      <c r="FC36" s="698"/>
      <c r="FD36" s="698"/>
      <c r="FE36" s="701"/>
      <c r="FF36" s="698"/>
      <c r="FG36" s="698"/>
      <c r="FH36" s="698"/>
      <c r="FI36" s="698"/>
      <c r="FJ36" s="698"/>
      <c r="FK36" s="698"/>
      <c r="FL36" s="698"/>
      <c r="FM36" s="698"/>
      <c r="FN36" s="698"/>
      <c r="FO36" s="698"/>
      <c r="FP36" s="710"/>
      <c r="FQ36" s="698"/>
      <c r="FR36" s="698"/>
      <c r="FS36" s="698"/>
      <c r="FT36" s="698"/>
      <c r="FU36" s="698"/>
      <c r="FV36" s="698"/>
      <c r="FW36" s="698"/>
      <c r="FX36" s="698"/>
      <c r="FY36" s="698"/>
      <c r="FZ36" s="698"/>
      <c r="GA36" s="698"/>
      <c r="GB36" s="698"/>
      <c r="GC36" s="698"/>
      <c r="GD36" s="698"/>
      <c r="GE36" s="698"/>
      <c r="GF36" s="698"/>
      <c r="GG36" s="698"/>
      <c r="GH36" s="698"/>
      <c r="GI36" s="698"/>
      <c r="GJ36" s="698"/>
      <c r="GK36" s="698"/>
      <c r="GL36" s="698"/>
      <c r="GM36" s="698"/>
      <c r="GN36" s="698"/>
      <c r="GO36" s="698"/>
      <c r="GP36" s="698"/>
      <c r="GQ36" s="698"/>
      <c r="GR36" s="698"/>
      <c r="GS36" s="698"/>
      <c r="GT36" s="698"/>
      <c r="GU36" s="698"/>
      <c r="GV36" s="698"/>
      <c r="GW36" s="698"/>
      <c r="GX36" s="698"/>
      <c r="GY36" s="698"/>
      <c r="GZ36" s="698"/>
      <c r="HA36" s="698"/>
      <c r="HB36" s="698"/>
      <c r="HC36" s="698"/>
      <c r="HD36" s="698"/>
      <c r="HE36" s="698"/>
      <c r="HF36" s="698"/>
      <c r="HG36" s="698"/>
      <c r="HH36" s="698"/>
      <c r="HI36" s="698"/>
      <c r="HJ36" s="698"/>
      <c r="HK36" s="698"/>
      <c r="HL36" s="698"/>
      <c r="HM36" s="698"/>
      <c r="HN36" s="698"/>
      <c r="HO36" s="701"/>
      <c r="HP36" s="697"/>
      <c r="HQ36" s="697"/>
      <c r="HR36" s="697"/>
      <c r="KX36" s="699"/>
      <c r="KY36" s="699"/>
      <c r="KZ36" s="699"/>
      <c r="LA36" s="699"/>
      <c r="LB36" s="699"/>
      <c r="LC36" s="699"/>
      <c r="LD36" s="699"/>
      <c r="LE36" s="699"/>
      <c r="LF36" s="699"/>
      <c r="LG36" s="699"/>
      <c r="LH36" s="699"/>
      <c r="LI36" s="699"/>
      <c r="LJ36" s="699"/>
      <c r="LK36" s="699"/>
      <c r="LL36" s="699"/>
      <c r="LM36" s="699"/>
      <c r="LN36" s="699"/>
      <c r="LO36" s="699"/>
      <c r="LP36" s="699"/>
      <c r="LQ36" s="699"/>
      <c r="LR36" s="699"/>
      <c r="LS36" s="699"/>
      <c r="LT36" s="699"/>
      <c r="LU36" s="699"/>
      <c r="LV36" s="699"/>
      <c r="LW36" s="699"/>
      <c r="LX36" s="699"/>
      <c r="LY36" s="699"/>
      <c r="LZ36" s="699"/>
      <c r="MA36" s="699"/>
      <c r="MB36" s="699"/>
      <c r="MC36" s="699"/>
      <c r="MD36" s="699"/>
      <c r="ME36" s="699"/>
      <c r="MF36" s="699"/>
      <c r="MG36" s="699"/>
      <c r="MH36" s="699"/>
      <c r="MI36" s="699"/>
      <c r="MJ36" s="699"/>
      <c r="MK36" s="699"/>
      <c r="ML36" s="699"/>
      <c r="MM36" s="699"/>
      <c r="MN36" s="699"/>
      <c r="MO36" s="699"/>
      <c r="MP36" s="699"/>
      <c r="MQ36" s="699"/>
      <c r="MR36" s="699"/>
      <c r="MS36" s="699"/>
      <c r="MT36" s="699"/>
      <c r="MU36" s="699"/>
      <c r="MV36" s="699"/>
      <c r="MW36" s="699"/>
      <c r="MX36" s="699"/>
      <c r="MY36" s="699"/>
      <c r="MZ36" s="699"/>
      <c r="NA36" s="699"/>
      <c r="NB36" s="699"/>
      <c r="NC36" s="699"/>
      <c r="ND36" s="699"/>
      <c r="NE36" s="699"/>
      <c r="NF36" s="699"/>
      <c r="NG36" s="699"/>
      <c r="NH36" s="699"/>
      <c r="NI36" s="699"/>
      <c r="NJ36" s="699"/>
    </row>
    <row r="37" spans="1:374" ht="8.1" customHeight="1">
      <c r="A37" s="694">
        <f t="shared" si="66"/>
        <v>1981</v>
      </c>
      <c r="B37" s="695">
        <v>40240</v>
      </c>
      <c r="C37" s="766"/>
      <c r="D37" s="695">
        <v>40396</v>
      </c>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c r="BA37" s="766"/>
      <c r="BB37" s="766"/>
      <c r="BC37" s="766"/>
      <c r="BD37" s="766"/>
      <c r="BE37" s="766"/>
      <c r="BF37" s="766"/>
      <c r="BG37" s="766"/>
      <c r="BP37" s="700"/>
      <c r="BQ37" s="699"/>
      <c r="BR37" s="699"/>
      <c r="BS37" s="699"/>
      <c r="BT37" s="699"/>
      <c r="BU37" s="699"/>
      <c r="BV37" s="699"/>
      <c r="BW37" s="699"/>
      <c r="BX37" s="699"/>
      <c r="BY37" s="699"/>
      <c r="BZ37" s="699"/>
      <c r="CA37" s="699"/>
      <c r="CB37" s="699"/>
      <c r="CC37" s="699"/>
      <c r="CD37" s="699"/>
      <c r="CE37" s="699"/>
      <c r="CF37" s="699"/>
      <c r="CG37" s="699"/>
      <c r="CH37" s="699"/>
      <c r="CI37" s="699"/>
      <c r="CJ37" s="699"/>
      <c r="CK37" s="699"/>
      <c r="CL37" s="699"/>
      <c r="CM37" s="699"/>
      <c r="CN37" s="699"/>
      <c r="CO37" s="699"/>
      <c r="CP37" s="699"/>
      <c r="CQ37" s="699"/>
      <c r="CR37" s="699"/>
      <c r="CS37" s="699"/>
      <c r="CT37" s="699"/>
      <c r="CU37" s="699"/>
      <c r="CV37" s="699"/>
      <c r="CW37" s="699"/>
      <c r="CX37" s="699"/>
      <c r="CY37" s="699"/>
      <c r="CZ37" s="699"/>
      <c r="DA37" s="699"/>
      <c r="DB37" s="699"/>
      <c r="DC37" s="699"/>
      <c r="DD37" s="699"/>
      <c r="DE37" s="699"/>
      <c r="DF37" s="699"/>
      <c r="DG37" s="699"/>
      <c r="DH37" s="703"/>
      <c r="DI37" s="703"/>
      <c r="DJ37" s="703"/>
      <c r="DK37" s="698"/>
      <c r="DL37" s="698"/>
      <c r="DM37" s="698"/>
      <c r="DN37" s="698"/>
      <c r="DO37" s="698"/>
      <c r="DP37" s="698"/>
      <c r="DQ37" s="698"/>
      <c r="DR37" s="698"/>
      <c r="DS37" s="698"/>
      <c r="DT37" s="698"/>
      <c r="DU37" s="698"/>
      <c r="DV37" s="698"/>
      <c r="DW37" s="712"/>
      <c r="DX37" s="698"/>
      <c r="DY37" s="698"/>
      <c r="DZ37" s="698"/>
      <c r="EA37" s="698"/>
      <c r="EB37" s="701"/>
      <c r="EC37" s="698"/>
      <c r="ED37" s="701"/>
      <c r="EE37" s="698"/>
      <c r="EF37" s="698"/>
      <c r="EG37" s="698"/>
      <c r="EH37" s="698"/>
      <c r="EI37" s="698"/>
      <c r="EJ37" s="698"/>
      <c r="EK37" s="698"/>
      <c r="EL37" s="698"/>
      <c r="EM37" s="698"/>
      <c r="EN37" s="698"/>
      <c r="EO37" s="698"/>
      <c r="EP37" s="698"/>
      <c r="EQ37" s="698"/>
      <c r="ER37" s="698"/>
      <c r="ES37" s="698"/>
      <c r="ET37" s="698"/>
      <c r="EU37" s="698"/>
      <c r="EV37" s="698"/>
      <c r="EW37" s="698"/>
      <c r="EX37" s="698"/>
      <c r="EY37" s="698"/>
      <c r="EZ37" s="698"/>
      <c r="FA37" s="698"/>
      <c r="FB37" s="701"/>
      <c r="FC37" s="701"/>
      <c r="FD37" s="698"/>
      <c r="FE37" s="698"/>
      <c r="FF37" s="698"/>
      <c r="FG37" s="698"/>
      <c r="FH37" s="698"/>
      <c r="FI37" s="698"/>
      <c r="FJ37" s="698"/>
      <c r="FK37" s="698"/>
      <c r="FL37" s="701"/>
      <c r="FM37" s="698"/>
      <c r="FN37" s="698"/>
      <c r="FO37" s="698"/>
      <c r="FP37" s="710"/>
      <c r="FQ37" s="698"/>
      <c r="FR37" s="698"/>
      <c r="FS37" s="698"/>
      <c r="FT37" s="698"/>
      <c r="FU37" s="698"/>
      <c r="FV37" s="698"/>
      <c r="FW37" s="698"/>
      <c r="FX37" s="698"/>
      <c r="FY37" s="698"/>
      <c r="FZ37" s="698"/>
      <c r="GA37" s="698"/>
      <c r="GB37" s="698"/>
      <c r="GC37" s="698"/>
      <c r="GD37" s="698"/>
      <c r="GE37" s="698"/>
      <c r="GF37" s="698"/>
      <c r="GG37" s="698"/>
      <c r="GH37" s="698"/>
      <c r="GI37" s="701"/>
      <c r="GJ37" s="698"/>
      <c r="GK37" s="698"/>
      <c r="GL37" s="701"/>
      <c r="GM37" s="698"/>
      <c r="GN37" s="698"/>
      <c r="GO37" s="698"/>
      <c r="GP37" s="698"/>
      <c r="GQ37" s="698"/>
      <c r="GR37" s="698"/>
      <c r="GS37" s="698"/>
      <c r="GT37" s="698"/>
      <c r="GU37" s="698"/>
      <c r="GV37" s="698"/>
      <c r="GW37" s="698"/>
      <c r="GX37" s="698"/>
      <c r="GY37" s="698"/>
      <c r="GZ37" s="698"/>
      <c r="HA37" s="698"/>
      <c r="HB37" s="698"/>
      <c r="HC37" s="698"/>
      <c r="HD37" s="698"/>
      <c r="HE37" s="698"/>
      <c r="HF37" s="698"/>
      <c r="HG37" s="698"/>
      <c r="HH37" s="698"/>
      <c r="HI37" s="698"/>
      <c r="HJ37" s="698"/>
      <c r="HK37" s="698"/>
      <c r="HL37" s="698"/>
      <c r="HM37" s="698"/>
      <c r="HN37" s="698"/>
      <c r="HO37" s="698"/>
      <c r="HP37" s="701"/>
      <c r="HQ37" s="697"/>
      <c r="HR37" s="697"/>
      <c r="KX37" s="699"/>
      <c r="KY37" s="699"/>
      <c r="KZ37" s="699"/>
      <c r="LA37" s="699"/>
      <c r="LB37" s="699"/>
      <c r="LC37" s="699"/>
      <c r="LD37" s="699"/>
      <c r="LE37" s="699"/>
      <c r="LF37" s="699"/>
      <c r="LG37" s="699"/>
      <c r="LH37" s="699"/>
      <c r="LI37" s="699"/>
      <c r="LJ37" s="699"/>
      <c r="LK37" s="699"/>
      <c r="LL37" s="699"/>
      <c r="LM37" s="699"/>
      <c r="LN37" s="699"/>
      <c r="LO37" s="699"/>
      <c r="LP37" s="699"/>
      <c r="LQ37" s="699"/>
      <c r="LR37" s="699"/>
      <c r="LS37" s="699"/>
      <c r="LT37" s="699"/>
      <c r="LU37" s="699"/>
      <c r="LV37" s="699"/>
      <c r="LW37" s="699"/>
      <c r="LX37" s="699"/>
      <c r="LY37" s="699"/>
      <c r="LZ37" s="699"/>
      <c r="MA37" s="699"/>
      <c r="MB37" s="699"/>
      <c r="MC37" s="699"/>
      <c r="MD37" s="699"/>
      <c r="ME37" s="699"/>
      <c r="MF37" s="699"/>
      <c r="MG37" s="699"/>
      <c r="MH37" s="699"/>
      <c r="MI37" s="699"/>
      <c r="MJ37" s="699"/>
      <c r="MK37" s="699"/>
      <c r="ML37" s="699"/>
      <c r="MM37" s="699"/>
      <c r="MN37" s="699"/>
      <c r="MO37" s="699"/>
      <c r="MP37" s="699"/>
      <c r="MQ37" s="699"/>
      <c r="MR37" s="699"/>
      <c r="MS37" s="699"/>
      <c r="MT37" s="699"/>
      <c r="MU37" s="699"/>
      <c r="MV37" s="699"/>
      <c r="MW37" s="699"/>
      <c r="MX37" s="699"/>
      <c r="MY37" s="699"/>
      <c r="MZ37" s="699"/>
      <c r="NA37" s="699"/>
      <c r="NB37" s="699"/>
      <c r="NC37" s="699"/>
      <c r="ND37" s="699"/>
      <c r="NE37" s="699"/>
      <c r="NF37" s="699"/>
      <c r="NG37" s="699"/>
      <c r="NH37" s="699"/>
      <c r="NI37" s="699"/>
      <c r="NJ37" s="699"/>
    </row>
    <row r="38" spans="1:374" ht="8.1" customHeight="1">
      <c r="A38" s="694">
        <f t="shared" si="66"/>
        <v>1982</v>
      </c>
      <c r="B38" s="695">
        <v>40255</v>
      </c>
      <c r="C38" s="766"/>
      <c r="D38" s="695">
        <v>40405</v>
      </c>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c r="BA38" s="766"/>
      <c r="BB38" s="766"/>
      <c r="BC38" s="766"/>
      <c r="BD38" s="766"/>
      <c r="BE38" s="766"/>
      <c r="BF38" s="766"/>
      <c r="BG38" s="766"/>
      <c r="CE38" s="700"/>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703"/>
      <c r="DI38" s="703"/>
      <c r="DJ38" s="703"/>
      <c r="DK38" s="698"/>
      <c r="DL38" s="698"/>
      <c r="DM38" s="698"/>
      <c r="DN38" s="698"/>
      <c r="DO38" s="698"/>
      <c r="DP38" s="698"/>
      <c r="DQ38" s="698"/>
      <c r="DR38" s="698"/>
      <c r="DS38" s="698"/>
      <c r="DT38" s="698"/>
      <c r="DU38" s="698"/>
      <c r="DV38" s="698"/>
      <c r="DW38" s="712"/>
      <c r="DX38" s="698"/>
      <c r="DY38" s="698"/>
      <c r="DZ38" s="698"/>
      <c r="EA38" s="698"/>
      <c r="EB38" s="698"/>
      <c r="EC38" s="698"/>
      <c r="ED38" s="698"/>
      <c r="EE38" s="701"/>
      <c r="EF38" s="698"/>
      <c r="EG38" s="701"/>
      <c r="EH38" s="701"/>
      <c r="EI38" s="698"/>
      <c r="EJ38" s="698"/>
      <c r="EK38" s="698"/>
      <c r="EL38" s="698"/>
      <c r="EM38" s="701"/>
      <c r="EN38" s="701"/>
      <c r="EO38" s="701"/>
      <c r="EP38" s="698"/>
      <c r="EQ38" s="698"/>
      <c r="ER38" s="698"/>
      <c r="ES38" s="698"/>
      <c r="ET38" s="701"/>
      <c r="EU38" s="698"/>
      <c r="EV38" s="698"/>
      <c r="EW38" s="698"/>
      <c r="EX38" s="698"/>
      <c r="EY38" s="698"/>
      <c r="EZ38" s="701"/>
      <c r="FA38" s="698"/>
      <c r="FB38" s="698"/>
      <c r="FC38" s="698"/>
      <c r="FD38" s="698"/>
      <c r="FE38" s="698"/>
      <c r="FF38" s="701"/>
      <c r="FG38" s="698"/>
      <c r="FH38" s="698"/>
      <c r="FI38" s="698"/>
      <c r="FJ38" s="698"/>
      <c r="FK38" s="698"/>
      <c r="FL38" s="698"/>
      <c r="FM38" s="698"/>
      <c r="FN38" s="698"/>
      <c r="FO38" s="701"/>
      <c r="FP38" s="710"/>
      <c r="FQ38" s="698"/>
      <c r="FR38" s="698"/>
      <c r="FS38" s="698"/>
      <c r="FT38" s="698"/>
      <c r="FU38" s="698"/>
      <c r="FV38" s="698"/>
      <c r="FW38" s="698"/>
      <c r="FX38" s="701"/>
      <c r="FY38" s="701"/>
      <c r="FZ38" s="698"/>
      <c r="GA38" s="698"/>
      <c r="GB38" s="698"/>
      <c r="GC38" s="698"/>
      <c r="GD38" s="698"/>
      <c r="GE38" s="698"/>
      <c r="GF38" s="698"/>
      <c r="GG38" s="698"/>
      <c r="GH38" s="698"/>
      <c r="GI38" s="698"/>
      <c r="GJ38" s="698"/>
      <c r="GK38" s="698"/>
      <c r="GL38" s="698"/>
      <c r="GM38" s="698"/>
      <c r="GN38" s="701"/>
      <c r="GO38" s="698"/>
      <c r="GP38" s="698"/>
      <c r="GQ38" s="698"/>
      <c r="GR38" s="698"/>
      <c r="GS38" s="698"/>
      <c r="GT38" s="698"/>
      <c r="GU38" s="698"/>
      <c r="GV38" s="698"/>
      <c r="GW38" s="698"/>
      <c r="GX38" s="698"/>
      <c r="GY38" s="698"/>
      <c r="GZ38" s="698"/>
      <c r="HA38" s="698"/>
      <c r="HB38" s="698"/>
      <c r="HC38" s="698"/>
      <c r="HD38" s="698"/>
      <c r="HE38" s="698"/>
      <c r="HF38" s="698"/>
      <c r="HG38" s="698"/>
      <c r="HH38" s="698"/>
      <c r="HI38" s="698"/>
      <c r="HJ38" s="698"/>
      <c r="HK38" s="698"/>
      <c r="HL38" s="698"/>
      <c r="HM38" s="698"/>
      <c r="HN38" s="698"/>
      <c r="HO38" s="698"/>
      <c r="HP38" s="698"/>
      <c r="HQ38" s="698"/>
      <c r="HR38" s="698"/>
      <c r="HS38" s="699"/>
      <c r="HT38" s="699"/>
      <c r="HU38" s="699"/>
      <c r="HV38" s="699"/>
      <c r="HW38" s="699"/>
      <c r="HX38" s="699"/>
      <c r="HY38" s="700"/>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row>
    <row r="39" spans="1:374" ht="8.1" customHeight="1">
      <c r="A39" s="694">
        <f t="shared" ref="A39:A81" si="67">+A38+1</f>
        <v>1983</v>
      </c>
      <c r="B39" s="695">
        <v>40240</v>
      </c>
      <c r="C39" s="766"/>
      <c r="D39" s="695">
        <v>40411</v>
      </c>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c r="BA39" s="766"/>
      <c r="BB39" s="766"/>
      <c r="BC39" s="766"/>
      <c r="BD39" s="766"/>
      <c r="BE39" s="766"/>
      <c r="BF39" s="766"/>
      <c r="BG39" s="766"/>
      <c r="BP39" s="700"/>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703"/>
      <c r="DI39" s="703"/>
      <c r="DJ39" s="703"/>
      <c r="DK39" s="698"/>
      <c r="DL39" s="698"/>
      <c r="DM39" s="698"/>
      <c r="DN39" s="698"/>
      <c r="DO39" s="698"/>
      <c r="DP39" s="698"/>
      <c r="DQ39" s="698"/>
      <c r="DR39" s="698"/>
      <c r="DS39" s="698"/>
      <c r="DT39" s="698"/>
      <c r="DU39" s="698"/>
      <c r="DV39" s="698"/>
      <c r="DW39" s="712"/>
      <c r="DX39" s="698"/>
      <c r="DY39" s="698"/>
      <c r="DZ39" s="698"/>
      <c r="EA39" s="698"/>
      <c r="EB39" s="698"/>
      <c r="EC39" s="698"/>
      <c r="ED39" s="698"/>
      <c r="EE39" s="698"/>
      <c r="EF39" s="698"/>
      <c r="EG39" s="698"/>
      <c r="EH39" s="698"/>
      <c r="EI39" s="701"/>
      <c r="EJ39" s="698"/>
      <c r="EK39" s="698"/>
      <c r="EL39" s="698"/>
      <c r="EM39" s="698"/>
      <c r="EN39" s="698"/>
      <c r="EO39" s="698"/>
      <c r="EP39" s="698"/>
      <c r="EQ39" s="698"/>
      <c r="ER39" s="698"/>
      <c r="ES39" s="698"/>
      <c r="ET39" s="701"/>
      <c r="EU39" s="698"/>
      <c r="EV39" s="698"/>
      <c r="EW39" s="698"/>
      <c r="EX39" s="698"/>
      <c r="EY39" s="698"/>
      <c r="EZ39" s="698"/>
      <c r="FA39" s="698"/>
      <c r="FB39" s="698"/>
      <c r="FC39" s="698"/>
      <c r="FD39" s="698"/>
      <c r="FE39" s="698"/>
      <c r="FF39" s="698"/>
      <c r="FG39" s="698"/>
      <c r="FH39" s="698"/>
      <c r="FI39" s="698"/>
      <c r="FJ39" s="701"/>
      <c r="FK39" s="701"/>
      <c r="FL39" s="701"/>
      <c r="FM39" s="698"/>
      <c r="FN39" s="701"/>
      <c r="FO39" s="698"/>
      <c r="FP39" s="710"/>
      <c r="FQ39" s="698"/>
      <c r="FR39" s="698"/>
      <c r="FS39" s="698"/>
      <c r="FT39" s="698"/>
      <c r="FU39" s="698"/>
      <c r="FV39" s="698"/>
      <c r="FW39" s="698"/>
      <c r="FX39" s="698"/>
      <c r="FY39" s="698"/>
      <c r="FZ39" s="698"/>
      <c r="GA39" s="698"/>
      <c r="GB39" s="698"/>
      <c r="GC39" s="698"/>
      <c r="GD39" s="698"/>
      <c r="GE39" s="698"/>
      <c r="GF39" s="698"/>
      <c r="GG39" s="698"/>
      <c r="GH39" s="698"/>
      <c r="GI39" s="698"/>
      <c r="GJ39" s="698"/>
      <c r="GK39" s="698"/>
      <c r="GL39" s="698"/>
      <c r="GM39" s="698"/>
      <c r="GN39" s="698"/>
      <c r="GO39" s="698"/>
      <c r="GP39" s="698"/>
      <c r="GQ39" s="698"/>
      <c r="GR39" s="698"/>
      <c r="GS39" s="698"/>
      <c r="GT39" s="698"/>
      <c r="GU39" s="698"/>
      <c r="GV39" s="698"/>
      <c r="GW39" s="698"/>
      <c r="GX39" s="698"/>
      <c r="GY39" s="698"/>
      <c r="GZ39" s="698"/>
      <c r="HA39" s="698"/>
      <c r="HB39" s="698"/>
      <c r="HC39" s="698"/>
      <c r="HD39" s="698"/>
      <c r="HE39" s="698"/>
      <c r="HF39" s="698"/>
      <c r="HG39" s="698"/>
      <c r="HH39" s="698"/>
      <c r="HI39" s="698"/>
      <c r="HJ39" s="698"/>
      <c r="HK39" s="698"/>
      <c r="HL39" s="698"/>
      <c r="HM39" s="698"/>
      <c r="HN39" s="698"/>
      <c r="HO39" s="698"/>
      <c r="HP39" s="698"/>
      <c r="HQ39" s="698"/>
      <c r="HR39" s="698"/>
      <c r="HS39" s="699"/>
      <c r="HT39" s="699"/>
      <c r="HU39" s="699"/>
      <c r="HV39" s="699"/>
      <c r="HW39" s="699"/>
      <c r="HX39" s="699"/>
      <c r="HY39" s="699"/>
      <c r="HZ39" s="699"/>
      <c r="IA39" s="699"/>
      <c r="IB39" s="699"/>
      <c r="IC39" s="699"/>
      <c r="ID39" s="699"/>
      <c r="IE39" s="700"/>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row>
    <row r="40" spans="1:374" ht="8.1" customHeight="1">
      <c r="A40" s="694">
        <f t="shared" si="67"/>
        <v>1984</v>
      </c>
      <c r="B40" s="695">
        <v>40339</v>
      </c>
      <c r="C40" s="766"/>
      <c r="D40" s="695">
        <v>40398</v>
      </c>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c r="BA40" s="766"/>
      <c r="BB40" s="766"/>
      <c r="BC40" s="766"/>
      <c r="BD40" s="766"/>
      <c r="BE40" s="766"/>
      <c r="BF40" s="766"/>
      <c r="BG40" s="766"/>
      <c r="DH40" s="696"/>
      <c r="DI40" s="696"/>
      <c r="DJ40" s="696"/>
      <c r="DK40" s="697"/>
      <c r="DL40" s="697"/>
      <c r="DM40" s="697"/>
      <c r="DN40" s="697"/>
      <c r="DO40" s="697"/>
      <c r="DP40" s="697"/>
      <c r="DQ40" s="697"/>
      <c r="DR40" s="697"/>
      <c r="DS40" s="697"/>
      <c r="DT40" s="697"/>
      <c r="DU40" s="697"/>
      <c r="DV40" s="697"/>
      <c r="DW40" s="713"/>
      <c r="DX40" s="697"/>
      <c r="DY40" s="697"/>
      <c r="DZ40" s="697"/>
      <c r="EA40" s="697"/>
      <c r="EB40" s="697"/>
      <c r="EC40" s="697"/>
      <c r="ED40" s="697"/>
      <c r="EE40" s="697"/>
      <c r="EF40" s="697"/>
      <c r="EG40" s="697"/>
      <c r="EH40" s="697"/>
      <c r="EI40" s="697"/>
      <c r="EJ40" s="697"/>
      <c r="EK40" s="697"/>
      <c r="EL40" s="697"/>
      <c r="EM40" s="697"/>
      <c r="EN40" s="697"/>
      <c r="EO40" s="697"/>
      <c r="EP40" s="697"/>
      <c r="EQ40" s="697"/>
      <c r="ER40" s="697"/>
      <c r="ES40" s="697"/>
      <c r="ET40" s="697"/>
      <c r="EU40" s="697"/>
      <c r="EV40" s="697"/>
      <c r="EW40" s="697"/>
      <c r="EX40" s="697"/>
      <c r="EY40" s="697"/>
      <c r="EZ40" s="697"/>
      <c r="FA40" s="697"/>
      <c r="FB40" s="697"/>
      <c r="FC40" s="697"/>
      <c r="FD40" s="697"/>
      <c r="FE40" s="697"/>
      <c r="FF40" s="697"/>
      <c r="FG40" s="697"/>
      <c r="FH40" s="697"/>
      <c r="FI40" s="697"/>
      <c r="FJ40" s="697"/>
      <c r="FK40" s="701"/>
      <c r="FL40" s="698"/>
      <c r="FM40" s="698"/>
      <c r="FN40" s="698"/>
      <c r="FO40" s="698"/>
      <c r="FP40" s="710"/>
      <c r="FQ40" s="698"/>
      <c r="FR40" s="698"/>
      <c r="FS40" s="698"/>
      <c r="FT40" s="698"/>
      <c r="FU40" s="698"/>
      <c r="FV40" s="698"/>
      <c r="FW40" s="698"/>
      <c r="FX40" s="698"/>
      <c r="FY40" s="698"/>
      <c r="FZ40" s="698"/>
      <c r="GA40" s="698"/>
      <c r="GB40" s="701"/>
      <c r="GC40" s="698"/>
      <c r="GD40" s="698"/>
      <c r="GE40" s="698"/>
      <c r="GF40" s="698"/>
      <c r="GG40" s="698"/>
      <c r="GH40" s="698"/>
      <c r="GI40" s="698"/>
      <c r="GJ40" s="698"/>
      <c r="GK40" s="698"/>
      <c r="GL40" s="698"/>
      <c r="GM40" s="698"/>
      <c r="GN40" s="698"/>
      <c r="GO40" s="698"/>
      <c r="GP40" s="698"/>
      <c r="GQ40" s="698"/>
      <c r="GR40" s="698"/>
      <c r="GS40" s="698"/>
      <c r="GT40" s="698"/>
      <c r="GU40" s="698"/>
      <c r="GV40" s="698"/>
      <c r="GW40" s="698"/>
      <c r="GX40" s="698"/>
      <c r="GY40" s="698"/>
      <c r="GZ40" s="698"/>
      <c r="HA40" s="698"/>
      <c r="HB40" s="698"/>
      <c r="HC40" s="698"/>
      <c r="HD40" s="698"/>
      <c r="HE40" s="698"/>
      <c r="HF40" s="698"/>
      <c r="HG40" s="698"/>
      <c r="HH40" s="698"/>
      <c r="HI40" s="698"/>
      <c r="HJ40" s="698"/>
      <c r="HK40" s="698"/>
      <c r="HL40" s="698"/>
      <c r="HM40" s="698"/>
      <c r="HN40" s="698"/>
      <c r="HO40" s="698"/>
      <c r="HP40" s="698"/>
      <c r="HQ40" s="698"/>
      <c r="HR40" s="701"/>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row>
    <row r="41" spans="1:374" ht="8.1" customHeight="1">
      <c r="A41" s="694">
        <f t="shared" si="67"/>
        <v>1985</v>
      </c>
      <c r="B41" s="695">
        <v>40294</v>
      </c>
      <c r="C41" s="766"/>
      <c r="D41" s="695">
        <v>40439</v>
      </c>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c r="BA41" s="766"/>
      <c r="BB41" s="766"/>
      <c r="BC41" s="766"/>
      <c r="BD41" s="766"/>
      <c r="BE41" s="766"/>
      <c r="BF41" s="766"/>
      <c r="BG41" s="766"/>
      <c r="DH41" s="696"/>
      <c r="DI41" s="696"/>
      <c r="DJ41" s="696"/>
      <c r="DK41" s="697"/>
      <c r="DL41" s="697"/>
      <c r="DM41" s="697"/>
      <c r="DN41" s="697"/>
      <c r="DO41" s="697"/>
      <c r="DP41" s="697"/>
      <c r="DQ41" s="697"/>
      <c r="DR41" s="701"/>
      <c r="DS41" s="698"/>
      <c r="DT41" s="698"/>
      <c r="DU41" s="698"/>
      <c r="DV41" s="698"/>
      <c r="DW41" s="712"/>
      <c r="DX41" s="698"/>
      <c r="DY41" s="698"/>
      <c r="DZ41" s="698"/>
      <c r="EA41" s="698"/>
      <c r="EB41" s="698"/>
      <c r="EC41" s="698"/>
      <c r="ED41" s="698"/>
      <c r="EE41" s="698"/>
      <c r="EF41" s="698"/>
      <c r="EG41" s="698"/>
      <c r="EH41" s="698"/>
      <c r="EI41" s="698"/>
      <c r="EJ41" s="698"/>
      <c r="EK41" s="698"/>
      <c r="EL41" s="698"/>
      <c r="EM41" s="698"/>
      <c r="EN41" s="698"/>
      <c r="EO41" s="698"/>
      <c r="EP41" s="698"/>
      <c r="EQ41" s="698"/>
      <c r="ER41" s="698"/>
      <c r="ES41" s="698"/>
      <c r="ET41" s="698"/>
      <c r="EU41" s="701"/>
      <c r="EV41" s="698"/>
      <c r="EW41" s="698"/>
      <c r="EX41" s="698"/>
      <c r="EY41" s="698"/>
      <c r="EZ41" s="698"/>
      <c r="FA41" s="698"/>
      <c r="FB41" s="698"/>
      <c r="FC41" s="698"/>
      <c r="FD41" s="698"/>
      <c r="FE41" s="698"/>
      <c r="FF41" s="698"/>
      <c r="FG41" s="698"/>
      <c r="FH41" s="698"/>
      <c r="FI41" s="698"/>
      <c r="FJ41" s="698"/>
      <c r="FK41" s="698"/>
      <c r="FL41" s="698"/>
      <c r="FM41" s="698"/>
      <c r="FN41" s="698"/>
      <c r="FO41" s="698"/>
      <c r="FP41" s="710"/>
      <c r="FQ41" s="698"/>
      <c r="FR41" s="698"/>
      <c r="FS41" s="698"/>
      <c r="FT41" s="698"/>
      <c r="FU41" s="698"/>
      <c r="FV41" s="698"/>
      <c r="FW41" s="698"/>
      <c r="FX41" s="698"/>
      <c r="FY41" s="698"/>
      <c r="FZ41" s="698"/>
      <c r="GA41" s="698"/>
      <c r="GB41" s="698"/>
      <c r="GC41" s="698"/>
      <c r="GD41" s="698"/>
      <c r="GE41" s="698"/>
      <c r="GF41" s="698"/>
      <c r="GG41" s="698"/>
      <c r="GH41" s="698"/>
      <c r="GI41" s="698"/>
      <c r="GJ41" s="698"/>
      <c r="GK41" s="698"/>
      <c r="GL41" s="698"/>
      <c r="GM41" s="698"/>
      <c r="GN41" s="698"/>
      <c r="GO41" s="698"/>
      <c r="GP41" s="698"/>
      <c r="GQ41" s="698"/>
      <c r="GR41" s="698"/>
      <c r="GS41" s="698"/>
      <c r="GT41" s="698"/>
      <c r="GU41" s="698"/>
      <c r="GV41" s="698"/>
      <c r="GW41" s="698"/>
      <c r="GX41" s="698"/>
      <c r="GY41" s="698"/>
      <c r="GZ41" s="698"/>
      <c r="HA41" s="698"/>
      <c r="HB41" s="698"/>
      <c r="HC41" s="698"/>
      <c r="HD41" s="698"/>
      <c r="HE41" s="698"/>
      <c r="HF41" s="698"/>
      <c r="HG41" s="698"/>
      <c r="HH41" s="698"/>
      <c r="HI41" s="698"/>
      <c r="HJ41" s="698"/>
      <c r="HK41" s="698"/>
      <c r="HL41" s="698"/>
      <c r="HM41" s="698"/>
      <c r="HN41" s="698"/>
      <c r="HO41" s="698"/>
      <c r="HP41" s="698"/>
      <c r="HQ41" s="698"/>
      <c r="HR41" s="698"/>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700"/>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row>
    <row r="42" spans="1:374" s="700" customFormat="1" ht="8.1" customHeight="1">
      <c r="A42" s="694">
        <f t="shared" si="67"/>
        <v>1986</v>
      </c>
      <c r="B42" s="695">
        <v>40305</v>
      </c>
      <c r="C42" s="766"/>
      <c r="D42" s="695">
        <v>40452</v>
      </c>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c r="BA42" s="766"/>
      <c r="BB42" s="766"/>
      <c r="BC42" s="766"/>
      <c r="BD42" s="766"/>
      <c r="BE42" s="766"/>
      <c r="BF42" s="766"/>
      <c r="BG42" s="766"/>
      <c r="BH42" s="694"/>
      <c r="BI42" s="694"/>
      <c r="BJ42" s="694"/>
      <c r="BK42" s="694"/>
      <c r="BL42" s="694"/>
      <c r="BM42" s="694"/>
      <c r="BN42" s="694"/>
      <c r="BO42" s="694"/>
      <c r="BP42" s="694"/>
      <c r="BQ42" s="694"/>
      <c r="BR42" s="694"/>
      <c r="BS42" s="694"/>
      <c r="BT42" s="694"/>
      <c r="BU42" s="694"/>
      <c r="BV42" s="694"/>
      <c r="BW42" s="694"/>
      <c r="BX42" s="694"/>
      <c r="BY42" s="694"/>
      <c r="BZ42" s="694"/>
      <c r="CA42" s="694"/>
      <c r="CB42" s="694"/>
      <c r="CC42" s="694"/>
      <c r="CD42" s="694"/>
      <c r="CE42" s="694"/>
      <c r="CF42" s="694"/>
      <c r="CG42" s="694"/>
      <c r="CH42" s="694"/>
      <c r="CI42" s="694"/>
      <c r="CJ42" s="694"/>
      <c r="CK42" s="694"/>
      <c r="CL42" s="694"/>
      <c r="CM42" s="694"/>
      <c r="CN42" s="694"/>
      <c r="CO42" s="694"/>
      <c r="CP42" s="694"/>
      <c r="CQ42" s="694"/>
      <c r="CR42" s="694"/>
      <c r="CS42" s="694"/>
      <c r="CT42" s="694"/>
      <c r="CU42" s="694"/>
      <c r="CV42" s="694"/>
      <c r="CW42" s="694"/>
      <c r="CX42" s="694"/>
      <c r="CY42" s="694"/>
      <c r="CZ42" s="694"/>
      <c r="DA42" s="694"/>
      <c r="DB42" s="694"/>
      <c r="DC42" s="694"/>
      <c r="DD42" s="694"/>
      <c r="DE42" s="694"/>
      <c r="DF42" s="694"/>
      <c r="DG42" s="694"/>
      <c r="DH42" s="696"/>
      <c r="DI42" s="696"/>
      <c r="DJ42" s="696"/>
      <c r="DK42" s="697"/>
      <c r="DL42" s="697"/>
      <c r="DM42" s="697"/>
      <c r="DN42" s="697"/>
      <c r="DO42" s="697"/>
      <c r="DP42" s="697"/>
      <c r="DQ42" s="697"/>
      <c r="DR42" s="697"/>
      <c r="DS42" s="697"/>
      <c r="DT42" s="697"/>
      <c r="DU42" s="697"/>
      <c r="DV42" s="697"/>
      <c r="DW42" s="713"/>
      <c r="DX42" s="697"/>
      <c r="DY42" s="697"/>
      <c r="DZ42" s="697"/>
      <c r="EA42" s="697"/>
      <c r="EB42" s="697"/>
      <c r="EC42" s="701"/>
      <c r="ED42" s="698"/>
      <c r="EE42" s="698"/>
      <c r="EF42" s="698"/>
      <c r="EG42" s="698"/>
      <c r="EH42" s="698"/>
      <c r="EI42" s="698"/>
      <c r="EJ42" s="701"/>
      <c r="EK42" s="698"/>
      <c r="EL42" s="701"/>
      <c r="EM42" s="698"/>
      <c r="EN42" s="698"/>
      <c r="EO42" s="698"/>
      <c r="EP42" s="698"/>
      <c r="EQ42" s="698"/>
      <c r="ER42" s="698"/>
      <c r="ES42" s="698"/>
      <c r="ET42" s="698"/>
      <c r="EU42" s="698"/>
      <c r="EV42" s="698"/>
      <c r="EW42" s="698"/>
      <c r="EX42" s="698"/>
      <c r="EY42" s="698"/>
      <c r="EZ42" s="698"/>
      <c r="FA42" s="698"/>
      <c r="FB42" s="698"/>
      <c r="FC42" s="698"/>
      <c r="FD42" s="698"/>
      <c r="FE42" s="698"/>
      <c r="FF42" s="698"/>
      <c r="FG42" s="698"/>
      <c r="FH42" s="698"/>
      <c r="FI42" s="701"/>
      <c r="FJ42" s="698"/>
      <c r="FK42" s="698"/>
      <c r="FL42" s="698"/>
      <c r="FM42" s="698"/>
      <c r="FN42" s="698"/>
      <c r="FO42" s="698"/>
      <c r="FP42" s="710"/>
      <c r="FQ42" s="698"/>
      <c r="FR42" s="698"/>
      <c r="FS42" s="698"/>
      <c r="FT42" s="698"/>
      <c r="FU42" s="698"/>
      <c r="FV42" s="698"/>
      <c r="FW42" s="698"/>
      <c r="FX42" s="698"/>
      <c r="FY42" s="698"/>
      <c r="FZ42" s="698"/>
      <c r="GA42" s="698"/>
      <c r="GB42" s="698"/>
      <c r="GC42" s="698"/>
      <c r="GD42" s="698"/>
      <c r="GE42" s="701"/>
      <c r="GF42" s="698"/>
      <c r="GG42" s="698"/>
      <c r="GH42" s="698"/>
      <c r="GI42" s="698"/>
      <c r="GJ42" s="698"/>
      <c r="GK42" s="698"/>
      <c r="GL42" s="698"/>
      <c r="GM42" s="698"/>
      <c r="GN42" s="698"/>
      <c r="GO42" s="698"/>
      <c r="GP42" s="698"/>
      <c r="GQ42" s="701"/>
      <c r="GR42" s="698"/>
      <c r="GS42" s="698"/>
      <c r="GT42" s="698"/>
      <c r="GU42" s="698"/>
      <c r="GV42" s="698"/>
      <c r="GW42" s="698"/>
      <c r="GX42" s="698"/>
      <c r="GY42" s="698"/>
      <c r="GZ42" s="698"/>
      <c r="HA42" s="698"/>
      <c r="HB42" s="698"/>
      <c r="HC42" s="698"/>
      <c r="HD42" s="698"/>
      <c r="HE42" s="698"/>
      <c r="HF42" s="698"/>
      <c r="HG42" s="698"/>
      <c r="HH42" s="698"/>
      <c r="HI42" s="698"/>
      <c r="HJ42" s="698"/>
      <c r="HK42" s="698"/>
      <c r="HL42" s="701"/>
      <c r="HM42" s="698"/>
      <c r="HN42" s="698"/>
      <c r="HO42" s="698"/>
      <c r="HP42" s="698"/>
      <c r="HQ42" s="698"/>
      <c r="HR42" s="698"/>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row>
    <row r="43" spans="1:374" ht="8.1" customHeight="1">
      <c r="A43" s="694">
        <f t="shared" si="67"/>
        <v>1987</v>
      </c>
      <c r="B43" s="695">
        <v>40259</v>
      </c>
      <c r="C43" s="766"/>
      <c r="D43" s="695">
        <v>40432</v>
      </c>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c r="BA43" s="766"/>
      <c r="BB43" s="766"/>
      <c r="BC43" s="766"/>
      <c r="BD43" s="766"/>
      <c r="BE43" s="766"/>
      <c r="BF43" s="766"/>
      <c r="BG43" s="766"/>
      <c r="CI43" s="700"/>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703"/>
      <c r="DI43" s="703"/>
      <c r="DJ43" s="703"/>
      <c r="DK43" s="698"/>
      <c r="DL43" s="698"/>
      <c r="DM43" s="698"/>
      <c r="DN43" s="698"/>
      <c r="DO43" s="698"/>
      <c r="DP43" s="698"/>
      <c r="DQ43" s="698"/>
      <c r="DR43" s="698"/>
      <c r="DS43" s="698"/>
      <c r="DT43" s="698"/>
      <c r="DU43" s="698"/>
      <c r="DV43" s="698"/>
      <c r="DW43" s="712"/>
      <c r="DX43" s="698"/>
      <c r="DY43" s="701"/>
      <c r="DZ43" s="698"/>
      <c r="EA43" s="698"/>
      <c r="EB43" s="698"/>
      <c r="EC43" s="698"/>
      <c r="ED43" s="698"/>
      <c r="EE43" s="698"/>
      <c r="EF43" s="698"/>
      <c r="EG43" s="698"/>
      <c r="EH43" s="698"/>
      <c r="EI43" s="698"/>
      <c r="EJ43" s="698"/>
      <c r="EK43" s="698"/>
      <c r="EL43" s="698"/>
      <c r="EM43" s="698"/>
      <c r="EN43" s="698"/>
      <c r="EO43" s="698"/>
      <c r="EP43" s="698"/>
      <c r="EQ43" s="701"/>
      <c r="ER43" s="698"/>
      <c r="ES43" s="698"/>
      <c r="ET43" s="701"/>
      <c r="EU43" s="701"/>
      <c r="EV43" s="701"/>
      <c r="EW43" s="698"/>
      <c r="EX43" s="698"/>
      <c r="EY43" s="698"/>
      <c r="EZ43" s="701"/>
      <c r="FA43" s="698"/>
      <c r="FB43" s="698"/>
      <c r="FC43" s="701"/>
      <c r="FD43" s="698"/>
      <c r="FE43" s="698"/>
      <c r="FF43" s="698"/>
      <c r="FG43" s="698"/>
      <c r="FH43" s="698"/>
      <c r="FI43" s="698"/>
      <c r="FJ43" s="698"/>
      <c r="FK43" s="698"/>
      <c r="FL43" s="701"/>
      <c r="FM43" s="698"/>
      <c r="FN43" s="698"/>
      <c r="FO43" s="698"/>
      <c r="FP43" s="710"/>
      <c r="FQ43" s="698"/>
      <c r="FR43" s="698"/>
      <c r="FS43" s="698"/>
      <c r="FT43" s="698"/>
      <c r="FU43" s="698"/>
      <c r="FV43" s="698"/>
      <c r="FW43" s="698"/>
      <c r="FX43" s="698"/>
      <c r="FY43" s="698"/>
      <c r="FZ43" s="698"/>
      <c r="GA43" s="698"/>
      <c r="GB43" s="698"/>
      <c r="GC43" s="698"/>
      <c r="GD43" s="701"/>
      <c r="GE43" s="698"/>
      <c r="GF43" s="701"/>
      <c r="GG43" s="698"/>
      <c r="GH43" s="698"/>
      <c r="GI43" s="698"/>
      <c r="GJ43" s="698"/>
      <c r="GK43" s="698"/>
      <c r="GL43" s="701"/>
      <c r="GM43" s="698"/>
      <c r="GN43" s="698"/>
      <c r="GO43" s="698"/>
      <c r="GP43" s="698"/>
      <c r="GQ43" s="698"/>
      <c r="GR43" s="698"/>
      <c r="GS43" s="701"/>
      <c r="GT43" s="698"/>
      <c r="GU43" s="698"/>
      <c r="GV43" s="698"/>
      <c r="GW43" s="698"/>
      <c r="GX43" s="698"/>
      <c r="GY43" s="698"/>
      <c r="GZ43" s="698"/>
      <c r="HA43" s="698"/>
      <c r="HB43" s="698"/>
      <c r="HC43" s="698"/>
      <c r="HD43" s="698"/>
      <c r="HE43" s="698"/>
      <c r="HF43" s="698"/>
      <c r="HG43" s="698"/>
      <c r="HH43" s="698"/>
      <c r="HI43" s="698"/>
      <c r="HJ43" s="698"/>
      <c r="HK43" s="698"/>
      <c r="HL43" s="698"/>
      <c r="HM43" s="698"/>
      <c r="HN43" s="698"/>
      <c r="HO43" s="698"/>
      <c r="HP43" s="698"/>
      <c r="HQ43" s="698"/>
      <c r="HR43" s="698"/>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700"/>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row>
    <row r="44" spans="1:374" ht="8.1" customHeight="1">
      <c r="A44" s="694">
        <f t="shared" si="67"/>
        <v>1988</v>
      </c>
      <c r="B44" s="695">
        <v>40328</v>
      </c>
      <c r="C44" s="766"/>
      <c r="D44" s="695">
        <v>40435</v>
      </c>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c r="BA44" s="766"/>
      <c r="BB44" s="766"/>
      <c r="BC44" s="766"/>
      <c r="BD44" s="766"/>
      <c r="BE44" s="766"/>
      <c r="BF44" s="766"/>
      <c r="BG44" s="766"/>
      <c r="DH44" s="696"/>
      <c r="DI44" s="696"/>
      <c r="DJ44" s="696"/>
      <c r="DK44" s="697"/>
      <c r="DL44" s="697"/>
      <c r="DM44" s="697"/>
      <c r="DN44" s="697"/>
      <c r="DO44" s="697"/>
      <c r="DP44" s="697"/>
      <c r="DQ44" s="697"/>
      <c r="DR44" s="697"/>
      <c r="DS44" s="697"/>
      <c r="DT44" s="697"/>
      <c r="DU44" s="697"/>
      <c r="DV44" s="697"/>
      <c r="DW44" s="713"/>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701"/>
      <c r="FA44" s="698"/>
      <c r="FB44" s="698"/>
      <c r="FC44" s="698"/>
      <c r="FD44" s="698"/>
      <c r="FE44" s="698"/>
      <c r="FF44" s="698"/>
      <c r="FG44" s="698"/>
      <c r="FH44" s="698"/>
      <c r="FI44" s="698"/>
      <c r="FJ44" s="698"/>
      <c r="FK44" s="698"/>
      <c r="FL44" s="698"/>
      <c r="FM44" s="698"/>
      <c r="FN44" s="698"/>
      <c r="FO44" s="698"/>
      <c r="FP44" s="710"/>
      <c r="FQ44" s="698"/>
      <c r="FR44" s="698"/>
      <c r="FS44" s="698"/>
      <c r="FT44" s="698"/>
      <c r="FU44" s="698"/>
      <c r="FV44" s="698"/>
      <c r="FW44" s="698"/>
      <c r="FX44" s="698"/>
      <c r="FY44" s="698"/>
      <c r="FZ44" s="698"/>
      <c r="GA44" s="698"/>
      <c r="GB44" s="698"/>
      <c r="GC44" s="698"/>
      <c r="GD44" s="698"/>
      <c r="GE44" s="698"/>
      <c r="GF44" s="698"/>
      <c r="GG44" s="698"/>
      <c r="GH44" s="698"/>
      <c r="GI44" s="698"/>
      <c r="GJ44" s="698"/>
      <c r="GK44" s="698"/>
      <c r="GL44" s="698"/>
      <c r="GM44" s="698"/>
      <c r="GN44" s="698"/>
      <c r="GO44" s="698"/>
      <c r="GP44" s="698"/>
      <c r="GQ44" s="698"/>
      <c r="GR44" s="698"/>
      <c r="GS44" s="698"/>
      <c r="GT44" s="698"/>
      <c r="GU44" s="698"/>
      <c r="GV44" s="698"/>
      <c r="GW44" s="698"/>
      <c r="GX44" s="698"/>
      <c r="GY44" s="698"/>
      <c r="GZ44" s="698"/>
      <c r="HA44" s="698"/>
      <c r="HB44" s="698"/>
      <c r="HC44" s="698"/>
      <c r="HD44" s="698"/>
      <c r="HE44" s="698"/>
      <c r="HF44" s="698"/>
      <c r="HG44" s="698"/>
      <c r="HH44" s="698"/>
      <c r="HI44" s="698"/>
      <c r="HJ44" s="698"/>
      <c r="HK44" s="698"/>
      <c r="HL44" s="698"/>
      <c r="HM44" s="698"/>
      <c r="HN44" s="698"/>
      <c r="HO44" s="698"/>
      <c r="HP44" s="698"/>
      <c r="HQ44" s="698"/>
      <c r="HR44" s="698"/>
      <c r="HS44" s="699"/>
      <c r="HT44" s="699"/>
      <c r="HU44" s="699"/>
      <c r="HV44" s="699"/>
      <c r="HW44" s="699"/>
      <c r="HX44" s="699"/>
      <c r="HY44" s="699"/>
      <c r="HZ44" s="699"/>
      <c r="IA44" s="700"/>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700"/>
    </row>
    <row r="45" spans="1:374" ht="8.1" customHeight="1">
      <c r="A45" s="694">
        <f t="shared" si="67"/>
        <v>1989</v>
      </c>
      <c r="B45" s="695">
        <v>40298</v>
      </c>
      <c r="C45" s="766"/>
      <c r="D45" s="695">
        <v>40405</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DH45" s="696"/>
      <c r="DI45" s="696"/>
      <c r="DJ45" s="696"/>
      <c r="DK45" s="697"/>
      <c r="DL45" s="697"/>
      <c r="DM45" s="697"/>
      <c r="DN45" s="697"/>
      <c r="DO45" s="697"/>
      <c r="DP45" s="697"/>
      <c r="DQ45" s="697"/>
      <c r="DR45" s="697"/>
      <c r="DS45" s="697"/>
      <c r="DT45" s="697"/>
      <c r="DU45" s="697"/>
      <c r="DV45" s="701"/>
      <c r="DW45" s="712"/>
      <c r="DX45" s="698"/>
      <c r="DY45" s="698"/>
      <c r="DZ45" s="701"/>
      <c r="EA45" s="698"/>
      <c r="EB45" s="698"/>
      <c r="EC45" s="698"/>
      <c r="ED45" s="698"/>
      <c r="EE45" s="698"/>
      <c r="EF45" s="698"/>
      <c r="EG45" s="698"/>
      <c r="EH45" s="701"/>
      <c r="EI45" s="698"/>
      <c r="EJ45" s="698"/>
      <c r="EK45" s="701"/>
      <c r="EL45" s="701"/>
      <c r="EM45" s="698"/>
      <c r="EN45" s="698"/>
      <c r="EO45" s="698"/>
      <c r="EP45" s="698"/>
      <c r="EQ45" s="698"/>
      <c r="ER45" s="698"/>
      <c r="ES45" s="698"/>
      <c r="ET45" s="698"/>
      <c r="EU45" s="698"/>
      <c r="EV45" s="698"/>
      <c r="EW45" s="698"/>
      <c r="EX45" s="698"/>
      <c r="EY45" s="698"/>
      <c r="EZ45" s="698"/>
      <c r="FA45" s="698"/>
      <c r="FB45" s="698"/>
      <c r="FC45" s="698"/>
      <c r="FD45" s="698"/>
      <c r="FE45" s="698"/>
      <c r="FF45" s="698"/>
      <c r="FG45" s="701"/>
      <c r="FH45" s="698"/>
      <c r="FI45" s="698"/>
      <c r="FJ45" s="698"/>
      <c r="FK45" s="701"/>
      <c r="FL45" s="701"/>
      <c r="FM45" s="701"/>
      <c r="FN45" s="698"/>
      <c r="FO45" s="698"/>
      <c r="FP45" s="710"/>
      <c r="FQ45" s="698"/>
      <c r="FR45" s="698"/>
      <c r="FS45" s="698"/>
      <c r="FT45" s="698"/>
      <c r="FU45" s="698"/>
      <c r="FV45" s="698"/>
      <c r="FW45" s="698"/>
      <c r="FX45" s="698"/>
      <c r="FY45" s="698"/>
      <c r="FZ45" s="698"/>
      <c r="GA45" s="698"/>
      <c r="GB45" s="698"/>
      <c r="GC45" s="698"/>
      <c r="GD45" s="698"/>
      <c r="GE45" s="698"/>
      <c r="GF45" s="698"/>
      <c r="GG45" s="698"/>
      <c r="GH45" s="698"/>
      <c r="GI45" s="698"/>
      <c r="GJ45" s="698"/>
      <c r="GK45" s="698"/>
      <c r="GL45" s="698"/>
      <c r="GM45" s="698"/>
      <c r="GN45" s="698"/>
      <c r="GO45" s="698"/>
      <c r="GP45" s="698"/>
      <c r="GQ45" s="698"/>
      <c r="GR45" s="698"/>
      <c r="GS45" s="698"/>
      <c r="GT45" s="698"/>
      <c r="GU45" s="698"/>
      <c r="GV45" s="698"/>
      <c r="GW45" s="698"/>
      <c r="GX45" s="698"/>
      <c r="GY45" s="698"/>
      <c r="GZ45" s="698"/>
      <c r="HA45" s="698"/>
      <c r="HB45" s="698"/>
      <c r="HC45" s="698"/>
      <c r="HD45" s="698"/>
      <c r="HE45" s="698"/>
      <c r="HF45" s="698"/>
      <c r="HG45" s="698"/>
      <c r="HH45" s="698"/>
      <c r="HI45" s="698"/>
      <c r="HJ45" s="698"/>
      <c r="HK45" s="698"/>
      <c r="HL45" s="698"/>
      <c r="HM45" s="698"/>
      <c r="HN45" s="698"/>
      <c r="HO45" s="698"/>
      <c r="HP45" s="698"/>
      <c r="HQ45" s="698"/>
      <c r="HR45" s="698"/>
      <c r="HS45" s="699"/>
      <c r="HT45" s="699"/>
      <c r="HU45" s="699"/>
      <c r="HV45" s="699"/>
      <c r="HW45" s="699"/>
      <c r="HX45" s="699"/>
      <c r="HY45" s="700"/>
    </row>
    <row r="46" spans="1:374" ht="8.1" customHeight="1">
      <c r="A46" s="694">
        <f t="shared" si="67"/>
        <v>1990</v>
      </c>
      <c r="B46" s="695">
        <v>40292</v>
      </c>
      <c r="C46" s="766"/>
      <c r="D46" s="695">
        <v>40374</v>
      </c>
      <c r="E46" s="766"/>
      <c r="F46" s="766"/>
      <c r="G46" s="766"/>
      <c r="H46" s="766"/>
      <c r="I46" s="766"/>
      <c r="J46" s="766"/>
      <c r="K46" s="766"/>
      <c r="L46" s="766"/>
      <c r="M46" s="766"/>
      <c r="N46" s="766"/>
      <c r="O46" s="766"/>
      <c r="P46" s="766"/>
      <c r="Q46" s="766"/>
      <c r="R46" s="766"/>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766"/>
      <c r="AZ46" s="766"/>
      <c r="BA46" s="766"/>
      <c r="BB46" s="766"/>
      <c r="BC46" s="766"/>
      <c r="BD46" s="766"/>
      <c r="BE46" s="766"/>
      <c r="BF46" s="766"/>
      <c r="BG46" s="766"/>
      <c r="DH46" s="696"/>
      <c r="DI46" s="696"/>
      <c r="DJ46" s="696"/>
      <c r="DK46" s="697"/>
      <c r="DL46" s="697"/>
      <c r="DM46" s="697"/>
      <c r="DN46" s="697"/>
      <c r="DO46" s="697"/>
      <c r="DP46" s="701"/>
      <c r="DQ46" s="701"/>
      <c r="DR46" s="698"/>
      <c r="DS46" s="698"/>
      <c r="DT46" s="698"/>
      <c r="DU46" s="698"/>
      <c r="DV46" s="698"/>
      <c r="DW46" s="712"/>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701"/>
      <c r="FB46" s="698"/>
      <c r="FC46" s="698"/>
      <c r="FD46" s="698"/>
      <c r="FE46" s="698"/>
      <c r="FF46" s="698"/>
      <c r="FG46" s="698"/>
      <c r="FH46" s="698"/>
      <c r="FI46" s="701"/>
      <c r="FJ46" s="698"/>
      <c r="FK46" s="698"/>
      <c r="FL46" s="698"/>
      <c r="FM46" s="698"/>
      <c r="FN46" s="698"/>
      <c r="FO46" s="701"/>
      <c r="FP46" s="710"/>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701"/>
      <c r="GU46" s="697"/>
      <c r="GV46" s="697"/>
      <c r="GW46" s="697"/>
      <c r="GX46" s="697"/>
      <c r="GY46" s="697"/>
      <c r="GZ46" s="697"/>
      <c r="HA46" s="697"/>
      <c r="HB46" s="697"/>
      <c r="HC46" s="697"/>
      <c r="HD46" s="697"/>
      <c r="HE46" s="697"/>
      <c r="HF46" s="697"/>
      <c r="HG46" s="697"/>
      <c r="HH46" s="697"/>
      <c r="HI46" s="697"/>
      <c r="HJ46" s="697"/>
      <c r="HK46" s="697"/>
      <c r="HL46" s="697"/>
      <c r="HM46" s="697"/>
      <c r="HN46" s="697"/>
      <c r="HO46" s="697"/>
      <c r="HP46" s="697"/>
      <c r="HQ46" s="697"/>
      <c r="HR46" s="697"/>
    </row>
    <row r="47" spans="1:374" ht="8.1" customHeight="1">
      <c r="A47" s="694">
        <f t="shared" si="67"/>
        <v>1991</v>
      </c>
      <c r="B47" s="695">
        <v>40308</v>
      </c>
      <c r="C47" s="766"/>
      <c r="D47" s="695">
        <v>40347</v>
      </c>
      <c r="E47" s="766"/>
      <c r="F47" s="766"/>
      <c r="G47" s="766"/>
      <c r="H47" s="766"/>
      <c r="I47" s="766"/>
      <c r="J47" s="766"/>
      <c r="K47" s="766"/>
      <c r="L47" s="766"/>
      <c r="M47" s="766"/>
      <c r="N47" s="766"/>
      <c r="O47" s="766"/>
      <c r="P47" s="766"/>
      <c r="Q47" s="766"/>
      <c r="R47" s="766"/>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766"/>
      <c r="AZ47" s="766"/>
      <c r="BA47" s="766"/>
      <c r="BB47" s="766"/>
      <c r="BC47" s="766"/>
      <c r="BD47" s="766"/>
      <c r="BE47" s="766"/>
      <c r="BF47" s="766"/>
      <c r="BG47" s="766"/>
      <c r="DH47" s="696"/>
      <c r="DI47" s="696"/>
      <c r="DJ47" s="696"/>
      <c r="DK47" s="697"/>
      <c r="DL47" s="697"/>
      <c r="DM47" s="697"/>
      <c r="DN47" s="697"/>
      <c r="DO47" s="697"/>
      <c r="DP47" s="697"/>
      <c r="DQ47" s="697"/>
      <c r="DR47" s="697"/>
      <c r="DS47" s="697"/>
      <c r="DT47" s="697"/>
      <c r="DU47" s="697"/>
      <c r="DV47" s="697"/>
      <c r="DW47" s="713"/>
      <c r="DX47" s="697"/>
      <c r="DY47" s="697"/>
      <c r="DZ47" s="697"/>
      <c r="EA47" s="697"/>
      <c r="EB47" s="697"/>
      <c r="EC47" s="697"/>
      <c r="ED47" s="697"/>
      <c r="EE47" s="697"/>
      <c r="EF47" s="701"/>
      <c r="EG47" s="701"/>
      <c r="EH47" s="698"/>
      <c r="EI47" s="701"/>
      <c r="EJ47" s="698"/>
      <c r="EK47" s="701"/>
      <c r="EL47" s="698"/>
      <c r="EM47" s="698"/>
      <c r="EN47" s="698"/>
      <c r="EO47" s="698"/>
      <c r="EP47" s="698"/>
      <c r="EQ47" s="698"/>
      <c r="ER47" s="698"/>
      <c r="ES47" s="701"/>
      <c r="ET47" s="698"/>
      <c r="EU47" s="698"/>
      <c r="EV47" s="698"/>
      <c r="EW47" s="698"/>
      <c r="EX47" s="701"/>
      <c r="EY47" s="701"/>
      <c r="EZ47" s="698"/>
      <c r="FA47" s="698"/>
      <c r="FB47" s="698"/>
      <c r="FC47" s="698"/>
      <c r="FD47" s="698"/>
      <c r="FE47" s="698"/>
      <c r="FF47" s="698"/>
      <c r="FG47" s="698"/>
      <c r="FH47" s="698"/>
      <c r="FI47" s="698"/>
      <c r="FJ47" s="698"/>
      <c r="FK47" s="698"/>
      <c r="FL47" s="698"/>
      <c r="FM47" s="698"/>
      <c r="FN47" s="698"/>
      <c r="FO47" s="698"/>
      <c r="FP47" s="710"/>
      <c r="FQ47" s="698"/>
      <c r="FR47" s="698"/>
      <c r="FS47" s="701"/>
      <c r="FT47" s="697"/>
      <c r="FU47" s="697"/>
      <c r="FV47" s="697"/>
      <c r="FW47" s="697"/>
      <c r="FX47" s="697"/>
      <c r="FY47" s="697"/>
      <c r="FZ47" s="697"/>
      <c r="GA47" s="697"/>
      <c r="GB47" s="697"/>
      <c r="GC47" s="697"/>
      <c r="GD47" s="697"/>
      <c r="GE47" s="697"/>
      <c r="GF47" s="697"/>
      <c r="GG47" s="697"/>
      <c r="GH47" s="697"/>
      <c r="GI47" s="697"/>
      <c r="GJ47" s="697"/>
      <c r="GK47" s="697"/>
      <c r="GL47" s="697"/>
      <c r="GM47" s="697"/>
      <c r="GN47" s="697"/>
      <c r="GO47" s="697"/>
      <c r="GP47" s="697"/>
      <c r="GQ47" s="697"/>
      <c r="GR47" s="697"/>
      <c r="GS47" s="697"/>
      <c r="GT47" s="697"/>
      <c r="GU47" s="697"/>
      <c r="GV47" s="697"/>
      <c r="GW47" s="697"/>
      <c r="GX47" s="697"/>
      <c r="GY47" s="697"/>
      <c r="GZ47" s="697"/>
      <c r="HA47" s="697"/>
      <c r="HB47" s="697"/>
      <c r="HC47" s="697"/>
      <c r="HD47" s="697"/>
      <c r="HE47" s="697"/>
      <c r="HF47" s="697"/>
      <c r="HG47" s="697"/>
      <c r="HH47" s="697"/>
      <c r="HI47" s="697"/>
      <c r="HJ47" s="697"/>
      <c r="HK47" s="697"/>
      <c r="HL47" s="697"/>
      <c r="HM47" s="697"/>
      <c r="HN47" s="697"/>
      <c r="HO47" s="697"/>
      <c r="HP47" s="697"/>
      <c r="HQ47" s="697"/>
      <c r="HR47" s="697"/>
    </row>
    <row r="48" spans="1:374" ht="8.1" customHeight="1">
      <c r="A48" s="694">
        <f t="shared" si="67"/>
        <v>1992</v>
      </c>
      <c r="B48" s="695">
        <v>40284</v>
      </c>
      <c r="C48" s="766"/>
      <c r="D48" s="695">
        <v>40356</v>
      </c>
      <c r="E48" s="766"/>
      <c r="F48" s="766"/>
      <c r="G48" s="766"/>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766"/>
      <c r="AZ48" s="766"/>
      <c r="BA48" s="766"/>
      <c r="BB48" s="766"/>
      <c r="BC48" s="766"/>
      <c r="BD48" s="766"/>
      <c r="BE48" s="766"/>
      <c r="BF48" s="766"/>
      <c r="BG48" s="766"/>
      <c r="DH48" s="702"/>
      <c r="DI48" s="703"/>
      <c r="DJ48" s="703"/>
      <c r="DK48" s="698"/>
      <c r="DL48" s="698"/>
      <c r="DM48" s="698"/>
      <c r="DN48" s="698"/>
      <c r="DO48" s="698"/>
      <c r="DP48" s="698"/>
      <c r="DQ48" s="698"/>
      <c r="DR48" s="698"/>
      <c r="DS48" s="698"/>
      <c r="DT48" s="698"/>
      <c r="DU48" s="698"/>
      <c r="DV48" s="698"/>
      <c r="DW48" s="712"/>
      <c r="DX48" s="698"/>
      <c r="DY48" s="698"/>
      <c r="DZ48" s="698"/>
      <c r="EA48" s="698"/>
      <c r="EB48" s="698"/>
      <c r="EC48" s="698"/>
      <c r="ED48" s="698"/>
      <c r="EE48" s="698"/>
      <c r="EF48" s="698"/>
      <c r="EG48" s="698"/>
      <c r="EH48" s="698"/>
      <c r="EI48" s="698"/>
      <c r="EJ48" s="698"/>
      <c r="EK48" s="698"/>
      <c r="EL48" s="698"/>
      <c r="EM48" s="698"/>
      <c r="EN48" s="698"/>
      <c r="EO48" s="698"/>
      <c r="EP48" s="698"/>
      <c r="EQ48" s="698"/>
      <c r="ER48" s="698"/>
      <c r="ES48" s="698"/>
      <c r="ET48" s="698"/>
      <c r="EU48" s="698"/>
      <c r="EV48" s="698"/>
      <c r="EW48" s="701"/>
      <c r="EX48" s="698"/>
      <c r="EY48" s="698"/>
      <c r="EZ48" s="698"/>
      <c r="FA48" s="698"/>
      <c r="FB48" s="698"/>
      <c r="FC48" s="698"/>
      <c r="FD48" s="698"/>
      <c r="FE48" s="701"/>
      <c r="FF48" s="698"/>
      <c r="FG48" s="698"/>
      <c r="FH48" s="698"/>
      <c r="FI48" s="698"/>
      <c r="FJ48" s="698"/>
      <c r="FK48" s="698"/>
      <c r="FL48" s="701"/>
      <c r="FM48" s="698"/>
      <c r="FN48" s="698"/>
      <c r="FO48" s="698"/>
      <c r="FP48" s="710"/>
      <c r="FQ48" s="698"/>
      <c r="FR48" s="698"/>
      <c r="FS48" s="701"/>
      <c r="FT48" s="701"/>
      <c r="FU48" s="698"/>
      <c r="FV48" s="698"/>
      <c r="FW48" s="698"/>
      <c r="FX48" s="698"/>
      <c r="FY48" s="698"/>
      <c r="FZ48" s="698"/>
      <c r="GA48" s="701"/>
      <c r="GB48" s="701"/>
      <c r="GC48" s="697"/>
      <c r="GD48" s="697"/>
      <c r="GE48" s="697"/>
      <c r="GF48" s="697"/>
      <c r="GG48" s="697"/>
      <c r="GH48" s="697"/>
      <c r="GI48" s="697"/>
      <c r="GJ48" s="697"/>
      <c r="GK48" s="697"/>
      <c r="GL48" s="697"/>
      <c r="GM48" s="697"/>
      <c r="GN48" s="697"/>
      <c r="GO48" s="697"/>
      <c r="GP48" s="697"/>
      <c r="GQ48" s="697"/>
      <c r="GR48" s="697"/>
      <c r="GS48" s="697"/>
      <c r="GT48" s="697"/>
      <c r="GU48" s="697"/>
      <c r="GV48" s="697"/>
      <c r="GW48" s="697"/>
      <c r="GX48" s="697"/>
      <c r="GY48" s="697"/>
      <c r="GZ48" s="697"/>
      <c r="HA48" s="697"/>
      <c r="HB48" s="697"/>
      <c r="HC48" s="697"/>
      <c r="HD48" s="697"/>
      <c r="HE48" s="697"/>
      <c r="HF48" s="697"/>
      <c r="HG48" s="697"/>
      <c r="HH48" s="697"/>
      <c r="HI48" s="697"/>
      <c r="HJ48" s="697"/>
      <c r="HK48" s="697"/>
      <c r="HL48" s="697"/>
      <c r="HM48" s="697"/>
      <c r="HN48" s="697"/>
      <c r="HO48" s="697"/>
      <c r="HP48" s="697"/>
      <c r="HQ48" s="697"/>
      <c r="HR48" s="697"/>
    </row>
    <row r="49" spans="1:306" ht="8.1" customHeight="1">
      <c r="A49" s="694">
        <f t="shared" si="67"/>
        <v>1993</v>
      </c>
      <c r="B49" s="695">
        <v>40296</v>
      </c>
      <c r="C49" s="766"/>
      <c r="D49" s="695">
        <v>40463</v>
      </c>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766"/>
      <c r="AZ49" s="766"/>
      <c r="BA49" s="766"/>
      <c r="BB49" s="766"/>
      <c r="BC49" s="766"/>
      <c r="BD49" s="766"/>
      <c r="BE49" s="766"/>
      <c r="BF49" s="766"/>
      <c r="BG49" s="766"/>
      <c r="DH49" s="696"/>
      <c r="DI49" s="696"/>
      <c r="DJ49" s="696"/>
      <c r="DK49" s="697"/>
      <c r="DL49" s="697"/>
      <c r="DM49" s="697"/>
      <c r="DN49" s="697"/>
      <c r="DO49" s="697"/>
      <c r="DP49" s="697"/>
      <c r="DQ49" s="697"/>
      <c r="DR49" s="697"/>
      <c r="DS49" s="697"/>
      <c r="DT49" s="701"/>
      <c r="DU49" s="698"/>
      <c r="DV49" s="698"/>
      <c r="DW49" s="712"/>
      <c r="DX49" s="698"/>
      <c r="DY49" s="698"/>
      <c r="DZ49" s="698"/>
      <c r="EA49" s="701"/>
      <c r="EB49" s="698"/>
      <c r="EC49" s="701"/>
      <c r="ED49" s="698"/>
      <c r="EE49" s="698"/>
      <c r="EF49" s="698"/>
      <c r="EG49" s="698"/>
      <c r="EH49" s="698"/>
      <c r="EI49" s="698"/>
      <c r="EJ49" s="698"/>
      <c r="EK49" s="698"/>
      <c r="EL49" s="698"/>
      <c r="EM49" s="701"/>
      <c r="EN49" s="698"/>
      <c r="EO49" s="698"/>
      <c r="EP49" s="698"/>
      <c r="EQ49" s="698"/>
      <c r="ER49" s="698"/>
      <c r="ES49" s="698"/>
      <c r="ET49" s="698"/>
      <c r="EU49" s="698"/>
      <c r="EV49" s="698"/>
      <c r="EW49" s="698"/>
      <c r="EX49" s="698"/>
      <c r="EY49" s="698"/>
      <c r="EZ49" s="698"/>
      <c r="FA49" s="698"/>
      <c r="FB49" s="698"/>
      <c r="FC49" s="701"/>
      <c r="FD49" s="698"/>
      <c r="FE49" s="698"/>
      <c r="FF49" s="698"/>
      <c r="FG49" s="698"/>
      <c r="FH49" s="698"/>
      <c r="FI49" s="698"/>
      <c r="FJ49" s="698"/>
      <c r="FK49" s="698"/>
      <c r="FL49" s="698"/>
      <c r="FM49" s="698"/>
      <c r="FN49" s="698"/>
      <c r="FO49" s="698"/>
      <c r="FP49" s="710"/>
      <c r="FQ49" s="698"/>
      <c r="FR49" s="698"/>
      <c r="FS49" s="698"/>
      <c r="FT49" s="698"/>
      <c r="FU49" s="698"/>
      <c r="FV49" s="698"/>
      <c r="FW49" s="698"/>
      <c r="FX49" s="698"/>
      <c r="FY49" s="698"/>
      <c r="FZ49" s="698"/>
      <c r="GA49" s="698"/>
      <c r="GB49" s="698"/>
      <c r="GC49" s="698"/>
      <c r="GD49" s="698"/>
      <c r="GE49" s="698"/>
      <c r="GF49" s="698"/>
      <c r="GG49" s="698"/>
      <c r="GH49" s="698"/>
      <c r="GI49" s="698"/>
      <c r="GJ49" s="698"/>
      <c r="GK49" s="698"/>
      <c r="GL49" s="701"/>
      <c r="GM49" s="698"/>
      <c r="GN49" s="698"/>
      <c r="GO49" s="698"/>
      <c r="GP49" s="698"/>
      <c r="GQ49" s="698"/>
      <c r="GR49" s="698"/>
      <c r="GS49" s="698"/>
      <c r="GT49" s="698"/>
      <c r="GU49" s="698"/>
      <c r="GV49" s="698"/>
      <c r="GW49" s="698"/>
      <c r="GX49" s="698"/>
      <c r="GY49" s="698"/>
      <c r="GZ49" s="698"/>
      <c r="HA49" s="698"/>
      <c r="HB49" s="698"/>
      <c r="HC49" s="698"/>
      <c r="HD49" s="698"/>
      <c r="HE49" s="698"/>
      <c r="HF49" s="698"/>
      <c r="HG49" s="698"/>
      <c r="HH49" s="698"/>
      <c r="HI49" s="698"/>
      <c r="HJ49" s="698"/>
      <c r="HK49" s="698"/>
      <c r="HL49" s="698"/>
      <c r="HM49" s="698"/>
      <c r="HN49" s="698"/>
      <c r="HO49" s="698"/>
      <c r="HP49" s="698"/>
      <c r="HQ49" s="698"/>
      <c r="HR49" s="698"/>
      <c r="HS49" s="699"/>
      <c r="HT49" s="699"/>
      <c r="HU49" s="699"/>
      <c r="HV49" s="699"/>
      <c r="HW49" s="699"/>
      <c r="HX49" s="699"/>
      <c r="HY49" s="699"/>
      <c r="HZ49" s="699"/>
      <c r="IA49" s="699"/>
      <c r="IB49" s="699"/>
      <c r="IC49" s="699"/>
      <c r="ID49" s="699"/>
      <c r="IE49" s="699"/>
      <c r="IF49" s="699"/>
      <c r="IG49" s="699"/>
      <c r="IH49" s="699"/>
      <c r="II49" s="699"/>
      <c r="IJ49" s="699"/>
      <c r="IK49" s="699"/>
      <c r="IL49" s="699"/>
      <c r="IM49" s="699"/>
      <c r="IN49" s="699"/>
      <c r="IO49" s="699"/>
      <c r="IP49" s="699"/>
      <c r="IQ49" s="699"/>
      <c r="IR49" s="699"/>
      <c r="IS49" s="699"/>
      <c r="IT49" s="699"/>
      <c r="IU49" s="699"/>
      <c r="IV49" s="699"/>
      <c r="IW49" s="699"/>
      <c r="IX49" s="699"/>
      <c r="IY49" s="699"/>
      <c r="IZ49" s="699"/>
      <c r="JA49" s="699"/>
      <c r="JB49" s="699"/>
      <c r="JC49" s="699"/>
      <c r="JD49" s="699"/>
      <c r="JE49" s="699"/>
      <c r="JF49" s="699"/>
      <c r="JG49" s="700"/>
      <c r="JH49" s="699"/>
      <c r="JI49" s="699"/>
      <c r="JJ49" s="699"/>
      <c r="JK49" s="699"/>
      <c r="JL49" s="699"/>
      <c r="JM49" s="699"/>
      <c r="JN49" s="699"/>
      <c r="JO49" s="699"/>
      <c r="JP49" s="699"/>
      <c r="JQ49" s="699"/>
      <c r="JR49" s="699"/>
      <c r="JS49" s="699"/>
      <c r="JT49" s="699"/>
      <c r="JU49" s="699"/>
      <c r="JV49" s="699"/>
      <c r="JW49" s="699"/>
      <c r="JX49" s="699"/>
      <c r="JY49" s="699"/>
      <c r="JZ49" s="699"/>
      <c r="KA49" s="699"/>
      <c r="KB49" s="699"/>
      <c r="KC49" s="699"/>
      <c r="KD49" s="699"/>
      <c r="KE49" s="700"/>
    </row>
    <row r="50" spans="1:306" ht="8.1" customHeight="1">
      <c r="A50" s="694">
        <f t="shared" si="67"/>
        <v>1994</v>
      </c>
      <c r="B50" s="695">
        <v>40307</v>
      </c>
      <c r="C50" s="766"/>
      <c r="D50" s="695">
        <v>40358</v>
      </c>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766"/>
      <c r="AZ50" s="766"/>
      <c r="BA50" s="766"/>
      <c r="BB50" s="766"/>
      <c r="BC50" s="766"/>
      <c r="BD50" s="766"/>
      <c r="BE50" s="766"/>
      <c r="BF50" s="766"/>
      <c r="BG50" s="766"/>
      <c r="DH50" s="696"/>
      <c r="DI50" s="696"/>
      <c r="DJ50" s="696"/>
      <c r="DK50" s="697"/>
      <c r="DL50" s="697"/>
      <c r="DM50" s="697"/>
      <c r="DN50" s="697"/>
      <c r="DO50" s="697"/>
      <c r="DP50" s="697"/>
      <c r="DQ50" s="697"/>
      <c r="DR50" s="697"/>
      <c r="DS50" s="697"/>
      <c r="DT50" s="697"/>
      <c r="DU50" s="697"/>
      <c r="DV50" s="697"/>
      <c r="DW50" s="713"/>
      <c r="DX50" s="697"/>
      <c r="DY50" s="697"/>
      <c r="DZ50" s="697"/>
      <c r="EA50" s="697"/>
      <c r="EB50" s="697"/>
      <c r="EC50" s="697"/>
      <c r="ED50" s="697"/>
      <c r="EE50" s="701"/>
      <c r="EF50" s="698"/>
      <c r="EG50" s="698"/>
      <c r="EH50" s="698"/>
      <c r="EI50" s="698"/>
      <c r="EJ50" s="698"/>
      <c r="EK50" s="698"/>
      <c r="EL50" s="698"/>
      <c r="EM50" s="698"/>
      <c r="EN50" s="698"/>
      <c r="EO50" s="698"/>
      <c r="EP50" s="698"/>
      <c r="EQ50" s="698"/>
      <c r="ER50" s="698"/>
      <c r="ES50" s="698"/>
      <c r="ET50" s="698"/>
      <c r="EU50" s="698"/>
      <c r="EV50" s="698"/>
      <c r="EW50" s="698"/>
      <c r="EX50" s="701"/>
      <c r="EY50" s="698"/>
      <c r="EZ50" s="698"/>
      <c r="FA50" s="698"/>
      <c r="FB50" s="698"/>
      <c r="FC50" s="698"/>
      <c r="FD50" s="698"/>
      <c r="FE50" s="698"/>
      <c r="FF50" s="698"/>
      <c r="FG50" s="698"/>
      <c r="FH50" s="698"/>
      <c r="FI50" s="698"/>
      <c r="FJ50" s="698"/>
      <c r="FK50" s="701"/>
      <c r="FL50" s="698"/>
      <c r="FM50" s="698"/>
      <c r="FN50" s="698"/>
      <c r="FO50" s="698"/>
      <c r="FP50" s="710"/>
      <c r="FQ50" s="698"/>
      <c r="FR50" s="698"/>
      <c r="FS50" s="698"/>
      <c r="FT50" s="698"/>
      <c r="FU50" s="698"/>
      <c r="FV50" s="698"/>
      <c r="FW50" s="698"/>
      <c r="FX50" s="698"/>
      <c r="FY50" s="698"/>
      <c r="FZ50" s="698"/>
      <c r="GA50" s="698"/>
      <c r="GB50" s="698"/>
      <c r="GC50" s="698"/>
      <c r="GD50" s="701"/>
      <c r="GE50" s="697"/>
      <c r="GF50" s="697"/>
      <c r="GG50" s="697"/>
      <c r="GH50" s="697"/>
      <c r="GI50" s="697"/>
      <c r="GJ50" s="697"/>
      <c r="GK50" s="697"/>
      <c r="GL50" s="697"/>
      <c r="GM50" s="697"/>
      <c r="GN50" s="697"/>
      <c r="GO50" s="697"/>
      <c r="GP50" s="697"/>
      <c r="GQ50" s="697"/>
      <c r="GR50" s="697"/>
      <c r="GS50" s="697"/>
      <c r="GT50" s="697"/>
      <c r="GU50" s="697"/>
      <c r="GV50" s="697"/>
      <c r="GW50" s="697"/>
      <c r="GX50" s="697"/>
      <c r="GY50" s="697"/>
      <c r="GZ50" s="697"/>
      <c r="HA50" s="697"/>
      <c r="HB50" s="697"/>
      <c r="HC50" s="697"/>
      <c r="HD50" s="697"/>
      <c r="HE50" s="697"/>
      <c r="HF50" s="697"/>
      <c r="HG50" s="697"/>
      <c r="HH50" s="697"/>
      <c r="HI50" s="697"/>
      <c r="HJ50" s="697"/>
      <c r="HK50" s="697"/>
      <c r="HL50" s="697"/>
      <c r="HM50" s="697"/>
      <c r="HN50" s="697"/>
      <c r="HO50" s="697"/>
      <c r="HP50" s="697"/>
      <c r="HQ50" s="697"/>
      <c r="HR50" s="697"/>
    </row>
    <row r="51" spans="1:306" ht="8.1" customHeight="1">
      <c r="A51" s="694">
        <f t="shared" si="67"/>
        <v>1995</v>
      </c>
      <c r="B51" s="695">
        <v>40262</v>
      </c>
      <c r="C51" s="766"/>
      <c r="D51" s="695">
        <v>40382</v>
      </c>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766"/>
      <c r="AZ51" s="766"/>
      <c r="BA51" s="766"/>
      <c r="BB51" s="766"/>
      <c r="BC51" s="766"/>
      <c r="BD51" s="766"/>
      <c r="BE51" s="766"/>
      <c r="BF51" s="766"/>
      <c r="BG51" s="766"/>
      <c r="CL51" s="700"/>
      <c r="CM51" s="699"/>
      <c r="CN51" s="699"/>
      <c r="CO51" s="699"/>
      <c r="CP51" s="699"/>
      <c r="CQ51" s="699"/>
      <c r="CR51" s="699"/>
      <c r="CS51" s="699"/>
      <c r="CT51" s="699"/>
      <c r="CU51" s="699"/>
      <c r="CV51" s="699"/>
      <c r="CW51" s="699"/>
      <c r="CX51" s="699"/>
      <c r="CY51" s="699"/>
      <c r="CZ51" s="699"/>
      <c r="DA51" s="699"/>
      <c r="DB51" s="699"/>
      <c r="DC51" s="699"/>
      <c r="DD51" s="699"/>
      <c r="DE51" s="699"/>
      <c r="DF51" s="699"/>
      <c r="DG51" s="699"/>
      <c r="DH51" s="703"/>
      <c r="DI51" s="703"/>
      <c r="DJ51" s="703"/>
      <c r="DK51" s="701"/>
      <c r="DL51" s="698"/>
      <c r="DM51" s="698"/>
      <c r="DN51" s="698"/>
      <c r="DO51" s="698"/>
      <c r="DP51" s="698"/>
      <c r="DQ51" s="698"/>
      <c r="DR51" s="698"/>
      <c r="DS51" s="698"/>
      <c r="DT51" s="698"/>
      <c r="DU51" s="698"/>
      <c r="DV51" s="698"/>
      <c r="DW51" s="712"/>
      <c r="DX51" s="698"/>
      <c r="DY51" s="698"/>
      <c r="DZ51" s="698"/>
      <c r="EA51" s="698"/>
      <c r="EB51" s="698"/>
      <c r="EC51" s="701"/>
      <c r="ED51" s="698"/>
      <c r="EE51" s="698"/>
      <c r="EF51" s="698"/>
      <c r="EG51" s="698"/>
      <c r="EH51" s="698"/>
      <c r="EI51" s="698"/>
      <c r="EJ51" s="698"/>
      <c r="EK51" s="698"/>
      <c r="EL51" s="698"/>
      <c r="EM51" s="698"/>
      <c r="EN51" s="701"/>
      <c r="EO51" s="698"/>
      <c r="EP51" s="698"/>
      <c r="EQ51" s="698"/>
      <c r="ER51" s="701"/>
      <c r="ES51" s="698"/>
      <c r="ET51" s="698"/>
      <c r="EU51" s="698"/>
      <c r="EV51" s="701"/>
      <c r="EW51" s="698"/>
      <c r="EX51" s="698"/>
      <c r="EY51" s="698"/>
      <c r="EZ51" s="701"/>
      <c r="FA51" s="701"/>
      <c r="FB51" s="698"/>
      <c r="FC51" s="701"/>
      <c r="FD51" s="698"/>
      <c r="FE51" s="698"/>
      <c r="FF51" s="698"/>
      <c r="FG51" s="698"/>
      <c r="FH51" s="698"/>
      <c r="FI51" s="701"/>
      <c r="FJ51" s="698"/>
      <c r="FK51" s="698"/>
      <c r="FL51" s="698"/>
      <c r="FM51" s="698"/>
      <c r="FN51" s="698"/>
      <c r="FO51" s="698"/>
      <c r="FP51" s="710"/>
      <c r="FQ51" s="698"/>
      <c r="FR51" s="698"/>
      <c r="FS51" s="698"/>
      <c r="FT51" s="698"/>
      <c r="FU51" s="698"/>
      <c r="FV51" s="698"/>
      <c r="FW51" s="698"/>
      <c r="FX51" s="698"/>
      <c r="FY51" s="698"/>
      <c r="FZ51" s="698"/>
      <c r="GA51" s="698"/>
      <c r="GB51" s="698"/>
      <c r="GC51" s="698"/>
      <c r="GD51" s="698"/>
      <c r="GE51" s="698"/>
      <c r="GF51" s="698"/>
      <c r="GG51" s="701"/>
      <c r="GH51" s="698"/>
      <c r="GI51" s="698"/>
      <c r="GJ51" s="698"/>
      <c r="GK51" s="698"/>
      <c r="GL51" s="698"/>
      <c r="GM51" s="698"/>
      <c r="GN51" s="698"/>
      <c r="GO51" s="698"/>
      <c r="GP51" s="698"/>
      <c r="GQ51" s="698"/>
      <c r="GR51" s="698"/>
      <c r="GS51" s="698"/>
      <c r="GT51" s="698"/>
      <c r="GU51" s="698"/>
      <c r="GV51" s="698"/>
      <c r="GW51" s="698"/>
      <c r="GX51" s="698"/>
      <c r="GY51" s="698"/>
      <c r="GZ51" s="698"/>
      <c r="HA51" s="701"/>
      <c r="HB51" s="701"/>
      <c r="HC51" s="697"/>
      <c r="HD51" s="697"/>
      <c r="HE51" s="697"/>
      <c r="HF51" s="697"/>
      <c r="HG51" s="697"/>
      <c r="HH51" s="697"/>
      <c r="HI51" s="697"/>
      <c r="HJ51" s="697"/>
      <c r="HK51" s="697"/>
      <c r="HL51" s="697"/>
      <c r="HM51" s="697"/>
      <c r="HN51" s="697"/>
      <c r="HO51" s="697"/>
      <c r="HP51" s="697"/>
      <c r="HQ51" s="697"/>
      <c r="HR51" s="697"/>
    </row>
    <row r="52" spans="1:306" ht="8.1" customHeight="1">
      <c r="A52" s="694">
        <f t="shared" si="67"/>
        <v>1996</v>
      </c>
      <c r="B52" s="695">
        <v>40307</v>
      </c>
      <c r="C52" s="766"/>
      <c r="D52" s="695">
        <v>40439</v>
      </c>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c r="AL52" s="766"/>
      <c r="AM52" s="766"/>
      <c r="AN52" s="766"/>
      <c r="AO52" s="766"/>
      <c r="AP52" s="766"/>
      <c r="AQ52" s="766"/>
      <c r="AR52" s="766"/>
      <c r="AS52" s="766"/>
      <c r="AT52" s="766"/>
      <c r="AU52" s="766"/>
      <c r="AV52" s="766"/>
      <c r="AW52" s="766"/>
      <c r="AX52" s="766"/>
      <c r="AY52" s="766"/>
      <c r="AZ52" s="766"/>
      <c r="BA52" s="766"/>
      <c r="BB52" s="766"/>
      <c r="BC52" s="766"/>
      <c r="BD52" s="766"/>
      <c r="BE52" s="766"/>
      <c r="BF52" s="766"/>
      <c r="BG52" s="766"/>
      <c r="DH52" s="696"/>
      <c r="DI52" s="696"/>
      <c r="DJ52" s="696"/>
      <c r="DK52" s="697"/>
      <c r="DL52" s="697"/>
      <c r="DM52" s="697"/>
      <c r="DN52" s="697"/>
      <c r="DO52" s="697"/>
      <c r="DP52" s="697"/>
      <c r="DQ52" s="697"/>
      <c r="DR52" s="697"/>
      <c r="DS52" s="697"/>
      <c r="DT52" s="697"/>
      <c r="DU52" s="697"/>
      <c r="DV52" s="697"/>
      <c r="DW52" s="713"/>
      <c r="DX52" s="697"/>
      <c r="DY52" s="697"/>
      <c r="DZ52" s="697"/>
      <c r="EA52" s="697"/>
      <c r="EB52" s="697"/>
      <c r="EC52" s="697"/>
      <c r="ED52" s="697"/>
      <c r="EE52" s="701"/>
      <c r="EF52" s="698"/>
      <c r="EG52" s="698"/>
      <c r="EH52" s="698"/>
      <c r="EI52" s="698"/>
      <c r="EJ52" s="698"/>
      <c r="EK52" s="698"/>
      <c r="EL52" s="698"/>
      <c r="EM52" s="698"/>
      <c r="EN52" s="698"/>
      <c r="EO52" s="698"/>
      <c r="EP52" s="698"/>
      <c r="EQ52" s="698"/>
      <c r="ER52" s="698"/>
      <c r="ES52" s="698"/>
      <c r="ET52" s="701"/>
      <c r="EU52" s="701"/>
      <c r="EV52" s="701"/>
      <c r="EW52" s="698"/>
      <c r="EX52" s="698"/>
      <c r="EY52" s="698"/>
      <c r="EZ52" s="698"/>
      <c r="FA52" s="701"/>
      <c r="FB52" s="698"/>
      <c r="FC52" s="701"/>
      <c r="FD52" s="698"/>
      <c r="FE52" s="698"/>
      <c r="FF52" s="701"/>
      <c r="FG52" s="698"/>
      <c r="FH52" s="698"/>
      <c r="FI52" s="698"/>
      <c r="FJ52" s="698"/>
      <c r="FK52" s="698"/>
      <c r="FL52" s="698"/>
      <c r="FM52" s="698"/>
      <c r="FN52" s="698"/>
      <c r="FO52" s="698"/>
      <c r="FP52" s="710"/>
      <c r="FQ52" s="698"/>
      <c r="FR52" s="698"/>
      <c r="FS52" s="701"/>
      <c r="FT52" s="698"/>
      <c r="FU52" s="698"/>
      <c r="FV52" s="698"/>
      <c r="FW52" s="698"/>
      <c r="FX52" s="698"/>
      <c r="FY52" s="698"/>
      <c r="FZ52" s="698"/>
      <c r="GA52" s="698"/>
      <c r="GB52" s="698"/>
      <c r="GC52" s="698"/>
      <c r="GD52" s="698"/>
      <c r="GE52" s="698"/>
      <c r="GF52" s="698"/>
      <c r="GG52" s="698"/>
      <c r="GH52" s="698"/>
      <c r="GI52" s="698"/>
      <c r="GJ52" s="698"/>
      <c r="GK52" s="698"/>
      <c r="GL52" s="698"/>
      <c r="GM52" s="698"/>
      <c r="GN52" s="698"/>
      <c r="GO52" s="698"/>
      <c r="GP52" s="698"/>
      <c r="GQ52" s="698"/>
      <c r="GR52" s="698"/>
      <c r="GS52" s="698"/>
      <c r="GT52" s="698"/>
      <c r="GU52" s="698"/>
      <c r="GV52" s="698"/>
      <c r="GW52" s="698"/>
      <c r="GX52" s="698"/>
      <c r="GY52" s="698"/>
      <c r="GZ52" s="698"/>
      <c r="HA52" s="698"/>
      <c r="HB52" s="698"/>
      <c r="HC52" s="698"/>
      <c r="HD52" s="698"/>
      <c r="HE52" s="698"/>
      <c r="HF52" s="698"/>
      <c r="HG52" s="698"/>
      <c r="HH52" s="698"/>
      <c r="HI52" s="698"/>
      <c r="HJ52" s="698"/>
      <c r="HK52" s="698"/>
      <c r="HL52" s="698"/>
      <c r="HM52" s="698"/>
      <c r="HN52" s="698"/>
      <c r="HO52" s="698"/>
      <c r="HP52" s="698"/>
      <c r="HQ52" s="698"/>
      <c r="HR52" s="698"/>
      <c r="HS52" s="699"/>
      <c r="HT52" s="700"/>
      <c r="HU52" s="699"/>
      <c r="HV52" s="699"/>
      <c r="HW52" s="699"/>
      <c r="HX52" s="699"/>
      <c r="HY52" s="699"/>
      <c r="HZ52" s="699"/>
      <c r="IA52" s="699"/>
      <c r="IB52" s="699"/>
      <c r="IC52" s="699"/>
      <c r="ID52" s="699"/>
      <c r="IE52" s="699"/>
      <c r="IF52" s="699"/>
      <c r="IG52" s="699"/>
      <c r="IH52" s="699"/>
      <c r="II52" s="699"/>
      <c r="IJ52" s="699"/>
      <c r="IK52" s="699"/>
      <c r="IL52" s="700"/>
      <c r="IM52" s="699"/>
      <c r="IN52" s="699"/>
      <c r="IO52" s="699"/>
      <c r="IP52" s="699"/>
      <c r="IQ52" s="699"/>
      <c r="IR52" s="699"/>
      <c r="IS52" s="699"/>
      <c r="IT52" s="699"/>
      <c r="IU52" s="699"/>
      <c r="IV52" s="699"/>
      <c r="IW52" s="699"/>
      <c r="IX52" s="699"/>
      <c r="IY52" s="699"/>
      <c r="IZ52" s="699"/>
      <c r="JA52" s="699"/>
      <c r="JB52" s="699"/>
      <c r="JC52" s="699"/>
      <c r="JD52" s="699"/>
      <c r="JE52" s="699"/>
      <c r="JF52" s="700"/>
      <c r="JG52" s="700"/>
    </row>
    <row r="53" spans="1:306" ht="8.1" customHeight="1">
      <c r="A53" s="694">
        <f t="shared" si="67"/>
        <v>1997</v>
      </c>
      <c r="B53" s="695">
        <v>40304</v>
      </c>
      <c r="C53" s="766"/>
      <c r="D53" s="695">
        <v>40345</v>
      </c>
      <c r="E53" s="766"/>
      <c r="F53" s="766"/>
      <c r="G53" s="766"/>
      <c r="H53" s="766"/>
      <c r="I53" s="766"/>
      <c r="J53" s="766"/>
      <c r="K53" s="766"/>
      <c r="L53" s="766"/>
      <c r="M53" s="766"/>
      <c r="N53" s="766"/>
      <c r="O53" s="766"/>
      <c r="P53" s="766"/>
      <c r="Q53" s="766"/>
      <c r="R53" s="766"/>
      <c r="S53" s="766"/>
      <c r="T53" s="766"/>
      <c r="U53" s="766"/>
      <c r="V53" s="766"/>
      <c r="W53" s="766"/>
      <c r="X53" s="766"/>
      <c r="Y53" s="766"/>
      <c r="Z53" s="766"/>
      <c r="AA53" s="766"/>
      <c r="AB53" s="766"/>
      <c r="AC53" s="766"/>
      <c r="AD53" s="766"/>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c r="BA53" s="766"/>
      <c r="BB53" s="766"/>
      <c r="BC53" s="766"/>
      <c r="BD53" s="766"/>
      <c r="BE53" s="766"/>
      <c r="BF53" s="766"/>
      <c r="BG53" s="766"/>
      <c r="DH53" s="696"/>
      <c r="DI53" s="696"/>
      <c r="DJ53" s="696"/>
      <c r="DK53" s="697"/>
      <c r="DL53" s="697"/>
      <c r="DM53" s="697"/>
      <c r="DN53" s="697"/>
      <c r="DO53" s="697"/>
      <c r="DP53" s="697"/>
      <c r="DQ53" s="697"/>
      <c r="DR53" s="697"/>
      <c r="DS53" s="697"/>
      <c r="DT53" s="697"/>
      <c r="DU53" s="697"/>
      <c r="DV53" s="697"/>
      <c r="DW53" s="713"/>
      <c r="DX53" s="697"/>
      <c r="DY53" s="697"/>
      <c r="DZ53" s="697"/>
      <c r="EA53" s="697"/>
      <c r="EB53" s="701"/>
      <c r="EC53" s="701"/>
      <c r="ED53" s="698"/>
      <c r="EE53" s="698"/>
      <c r="EF53" s="698"/>
      <c r="EG53" s="698"/>
      <c r="EH53" s="698"/>
      <c r="EI53" s="698"/>
      <c r="EJ53" s="698"/>
      <c r="EK53" s="698"/>
      <c r="EL53" s="698"/>
      <c r="EM53" s="698"/>
      <c r="EN53" s="698"/>
      <c r="EO53" s="698"/>
      <c r="EP53" s="698"/>
      <c r="EQ53" s="698"/>
      <c r="ER53" s="698"/>
      <c r="ES53" s="698"/>
      <c r="ET53" s="698"/>
      <c r="EU53" s="698"/>
      <c r="EV53" s="698"/>
      <c r="EW53" s="698"/>
      <c r="EX53" s="701"/>
      <c r="EY53" s="701"/>
      <c r="EZ53" s="698"/>
      <c r="FA53" s="698"/>
      <c r="FB53" s="698"/>
      <c r="FC53" s="698"/>
      <c r="FD53" s="698"/>
      <c r="FE53" s="698"/>
      <c r="FF53" s="698"/>
      <c r="FG53" s="698"/>
      <c r="FH53" s="698"/>
      <c r="FI53" s="698"/>
      <c r="FJ53" s="701"/>
      <c r="FK53" s="698"/>
      <c r="FL53" s="701"/>
      <c r="FM53" s="701"/>
      <c r="FN53" s="698"/>
      <c r="FO53" s="701"/>
      <c r="FP53" s="711"/>
      <c r="FQ53" s="701"/>
      <c r="FR53" s="697"/>
      <c r="FS53" s="697"/>
      <c r="FT53" s="697"/>
      <c r="FU53" s="697"/>
      <c r="FV53" s="697"/>
      <c r="FW53" s="697"/>
      <c r="FX53" s="697"/>
      <c r="FY53" s="697"/>
      <c r="FZ53" s="697"/>
      <c r="GA53" s="697"/>
      <c r="GB53" s="697"/>
      <c r="GC53" s="697"/>
      <c r="GD53" s="697"/>
      <c r="GE53" s="697"/>
      <c r="GF53" s="697"/>
      <c r="GG53" s="697"/>
      <c r="GH53" s="697"/>
      <c r="GI53" s="697"/>
      <c r="GJ53" s="697"/>
      <c r="GK53" s="697"/>
      <c r="GL53" s="697"/>
      <c r="GM53" s="697"/>
      <c r="GN53" s="697"/>
      <c r="GO53" s="697"/>
      <c r="GP53" s="697"/>
      <c r="GQ53" s="697"/>
      <c r="GR53" s="697"/>
      <c r="GS53" s="697"/>
      <c r="GT53" s="697"/>
      <c r="GU53" s="697"/>
      <c r="GV53" s="697"/>
      <c r="GW53" s="697"/>
      <c r="GX53" s="697"/>
      <c r="GY53" s="697"/>
      <c r="GZ53" s="697"/>
      <c r="HA53" s="697"/>
      <c r="HB53" s="697"/>
      <c r="HC53" s="697"/>
      <c r="HD53" s="697"/>
      <c r="HE53" s="697"/>
      <c r="HF53" s="697"/>
      <c r="HG53" s="697"/>
      <c r="HH53" s="697"/>
      <c r="HI53" s="697"/>
      <c r="HJ53" s="697"/>
      <c r="HK53" s="697"/>
      <c r="HL53" s="697"/>
      <c r="HM53" s="697"/>
      <c r="HN53" s="697"/>
      <c r="HO53" s="697"/>
      <c r="HP53" s="697"/>
      <c r="HQ53" s="697"/>
      <c r="HR53" s="697"/>
    </row>
    <row r="54" spans="1:306" ht="8.1" customHeight="1">
      <c r="A54" s="694">
        <f t="shared" si="67"/>
        <v>1998</v>
      </c>
      <c r="B54" s="695">
        <v>40397</v>
      </c>
      <c r="C54" s="766"/>
      <c r="D54" s="695">
        <v>40478</v>
      </c>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766"/>
      <c r="AM54" s="766"/>
      <c r="AN54" s="766"/>
      <c r="AO54" s="766"/>
      <c r="AP54" s="766"/>
      <c r="AQ54" s="766"/>
      <c r="AR54" s="766"/>
      <c r="AS54" s="766"/>
      <c r="AT54" s="766"/>
      <c r="AU54" s="766"/>
      <c r="AV54" s="766"/>
      <c r="AW54" s="766"/>
      <c r="AX54" s="766"/>
      <c r="AY54" s="766"/>
      <c r="AZ54" s="766"/>
      <c r="BA54" s="766"/>
      <c r="BB54" s="766"/>
      <c r="BC54" s="766"/>
      <c r="BD54" s="766"/>
      <c r="BE54" s="766"/>
      <c r="BF54" s="766"/>
      <c r="BG54" s="766"/>
      <c r="DH54" s="696"/>
      <c r="DI54" s="696"/>
      <c r="DJ54" s="696"/>
      <c r="DK54" s="697"/>
      <c r="DL54" s="697"/>
      <c r="DM54" s="697"/>
      <c r="DN54" s="697"/>
      <c r="DO54" s="697"/>
      <c r="DP54" s="697"/>
      <c r="DQ54" s="697"/>
      <c r="DR54" s="697"/>
      <c r="DS54" s="697"/>
      <c r="DT54" s="697"/>
      <c r="DU54" s="697"/>
      <c r="DV54" s="697"/>
      <c r="DW54" s="713"/>
      <c r="DX54" s="697"/>
      <c r="DY54" s="697"/>
      <c r="DZ54" s="697"/>
      <c r="EA54" s="697"/>
      <c r="EB54" s="697"/>
      <c r="EC54" s="697"/>
      <c r="ED54" s="697"/>
      <c r="EE54" s="697"/>
      <c r="EF54" s="697"/>
      <c r="EG54" s="697"/>
      <c r="EH54" s="697"/>
      <c r="EI54" s="697"/>
      <c r="EJ54" s="697"/>
      <c r="EK54" s="697"/>
      <c r="EL54" s="697"/>
      <c r="EM54" s="697"/>
      <c r="EN54" s="697"/>
      <c r="EO54" s="697"/>
      <c r="EP54" s="697"/>
      <c r="EQ54" s="697"/>
      <c r="ER54" s="697"/>
      <c r="ES54" s="697"/>
      <c r="ET54" s="697"/>
      <c r="EU54" s="697"/>
      <c r="EV54" s="697"/>
      <c r="EW54" s="697"/>
      <c r="EX54" s="697"/>
      <c r="EY54" s="697"/>
      <c r="EZ54" s="697"/>
      <c r="FA54" s="697"/>
      <c r="FB54" s="697"/>
      <c r="FC54" s="697"/>
      <c r="FD54" s="697"/>
      <c r="FE54" s="697"/>
      <c r="FF54" s="697"/>
      <c r="FG54" s="697"/>
      <c r="FH54" s="697"/>
      <c r="FI54" s="697"/>
      <c r="FJ54" s="697"/>
      <c r="FK54" s="697"/>
      <c r="FL54" s="697"/>
      <c r="FM54" s="697"/>
      <c r="FN54" s="697"/>
      <c r="FO54" s="697"/>
      <c r="FP54" s="709"/>
      <c r="FQ54" s="697"/>
      <c r="FR54" s="697"/>
      <c r="FS54" s="697"/>
      <c r="FT54" s="697"/>
      <c r="FU54" s="697"/>
      <c r="FV54" s="697"/>
      <c r="FW54" s="697"/>
      <c r="FX54" s="697"/>
      <c r="FY54" s="697"/>
      <c r="FZ54" s="697"/>
      <c r="GA54" s="697"/>
      <c r="GB54" s="697"/>
      <c r="GC54" s="697"/>
      <c r="GD54" s="697"/>
      <c r="GE54" s="697"/>
      <c r="GF54" s="697"/>
      <c r="GG54" s="697"/>
      <c r="GH54" s="697"/>
      <c r="GI54" s="697"/>
      <c r="GJ54" s="697"/>
      <c r="GK54" s="697"/>
      <c r="GL54" s="697"/>
      <c r="GM54" s="697"/>
      <c r="GN54" s="697"/>
      <c r="GO54" s="697"/>
      <c r="GP54" s="697"/>
      <c r="GQ54" s="697"/>
      <c r="GR54" s="697"/>
      <c r="GS54" s="697"/>
      <c r="GT54" s="697"/>
      <c r="GU54" s="697"/>
      <c r="GV54" s="697"/>
      <c r="GW54" s="697"/>
      <c r="GX54" s="697"/>
      <c r="GY54" s="697"/>
      <c r="GZ54" s="697"/>
      <c r="HA54" s="697"/>
      <c r="HB54" s="697"/>
      <c r="HC54" s="697"/>
      <c r="HD54" s="697"/>
      <c r="HE54" s="697"/>
      <c r="HF54" s="697"/>
      <c r="HG54" s="697"/>
      <c r="HH54" s="697"/>
      <c r="HI54" s="697"/>
      <c r="HJ54" s="697"/>
      <c r="HK54" s="697"/>
      <c r="HL54" s="697"/>
      <c r="HM54" s="697"/>
      <c r="HN54" s="697"/>
      <c r="HO54" s="697"/>
      <c r="HP54" s="697"/>
      <c r="HQ54" s="701"/>
      <c r="HR54" s="698"/>
      <c r="HS54" s="699"/>
      <c r="HT54" s="699"/>
      <c r="HU54" s="699"/>
      <c r="HV54" s="699"/>
      <c r="HW54" s="699"/>
      <c r="HX54" s="699"/>
      <c r="HY54" s="699"/>
      <c r="HZ54" s="699"/>
      <c r="IA54" s="699"/>
      <c r="IB54" s="699"/>
      <c r="IC54" s="699"/>
      <c r="ID54" s="699"/>
      <c r="IE54" s="699"/>
      <c r="IF54" s="699"/>
      <c r="IG54" s="699"/>
      <c r="IH54" s="699"/>
      <c r="II54" s="699"/>
      <c r="IJ54" s="699"/>
      <c r="IK54" s="699"/>
      <c r="IL54" s="699"/>
      <c r="IM54" s="699"/>
      <c r="IN54" s="699"/>
      <c r="IO54" s="699"/>
      <c r="IP54" s="699"/>
      <c r="IQ54" s="699"/>
      <c r="IR54" s="699"/>
      <c r="IS54" s="699"/>
      <c r="IT54" s="699"/>
      <c r="IU54" s="699"/>
      <c r="IV54" s="699"/>
      <c r="IW54" s="699"/>
      <c r="IX54" s="699"/>
      <c r="IY54" s="699"/>
      <c r="IZ54" s="699"/>
      <c r="JA54" s="699"/>
      <c r="JB54" s="699"/>
      <c r="JC54" s="699"/>
      <c r="JD54" s="699"/>
      <c r="JE54" s="699"/>
      <c r="JF54" s="699"/>
      <c r="JG54" s="699"/>
      <c r="JH54" s="699"/>
      <c r="JI54" s="699"/>
      <c r="JJ54" s="699"/>
      <c r="JK54" s="699"/>
      <c r="JL54" s="699"/>
      <c r="JM54" s="699"/>
      <c r="JN54" s="699"/>
      <c r="JO54" s="699"/>
      <c r="JP54" s="699"/>
      <c r="JQ54" s="699"/>
      <c r="JR54" s="699"/>
      <c r="JS54" s="699"/>
      <c r="JT54" s="699"/>
      <c r="JU54" s="699"/>
      <c r="JV54" s="699"/>
      <c r="JW54" s="699"/>
      <c r="JX54" s="699"/>
      <c r="JY54" s="699"/>
      <c r="JZ54" s="699"/>
      <c r="KA54" s="699"/>
      <c r="KB54" s="699"/>
      <c r="KC54" s="699"/>
      <c r="KD54" s="699"/>
      <c r="KE54" s="699"/>
      <c r="KF54" s="699"/>
      <c r="KG54" s="699"/>
      <c r="KH54" s="699"/>
      <c r="KI54" s="699"/>
      <c r="KJ54" s="699"/>
      <c r="KK54" s="699"/>
      <c r="KL54" s="699"/>
      <c r="KM54" s="699"/>
      <c r="KN54" s="699"/>
      <c r="KO54" s="699"/>
      <c r="KP54" s="699"/>
      <c r="KQ54" s="699"/>
      <c r="KR54" s="699"/>
      <c r="KS54" s="699"/>
      <c r="KT54" s="700"/>
    </row>
    <row r="55" spans="1:306" ht="8.1" customHeight="1">
      <c r="A55" s="694">
        <f t="shared" si="67"/>
        <v>1999</v>
      </c>
      <c r="B55" s="695">
        <v>40299</v>
      </c>
      <c r="C55" s="766"/>
      <c r="D55" s="695">
        <v>40358</v>
      </c>
      <c r="E55" s="766"/>
      <c r="F55" s="766"/>
      <c r="G55" s="766"/>
      <c r="H55" s="766"/>
      <c r="I55" s="766"/>
      <c r="J55" s="766"/>
      <c r="K55" s="766"/>
      <c r="L55" s="766"/>
      <c r="M55" s="766"/>
      <c r="N55" s="766"/>
      <c r="O55" s="766"/>
      <c r="P55" s="766"/>
      <c r="Q55" s="766"/>
      <c r="R55" s="766"/>
      <c r="S55" s="766"/>
      <c r="T55" s="766"/>
      <c r="U55" s="766"/>
      <c r="V55" s="766"/>
      <c r="W55" s="766"/>
      <c r="X55" s="766"/>
      <c r="Y55" s="766"/>
      <c r="Z55" s="766"/>
      <c r="AA55" s="766"/>
      <c r="AB55" s="766"/>
      <c r="AC55" s="766"/>
      <c r="AD55" s="766"/>
      <c r="AE55" s="766"/>
      <c r="AF55" s="766"/>
      <c r="AG55" s="766"/>
      <c r="AH55" s="766"/>
      <c r="AI55" s="766"/>
      <c r="AJ55" s="766"/>
      <c r="AK55" s="766"/>
      <c r="AL55" s="766"/>
      <c r="AM55" s="766"/>
      <c r="AN55" s="766"/>
      <c r="AO55" s="766"/>
      <c r="AP55" s="766"/>
      <c r="AQ55" s="766"/>
      <c r="AR55" s="766"/>
      <c r="AS55" s="766"/>
      <c r="AT55" s="766"/>
      <c r="AU55" s="766"/>
      <c r="AV55" s="766"/>
      <c r="AW55" s="766"/>
      <c r="AX55" s="766"/>
      <c r="AY55" s="766"/>
      <c r="AZ55" s="766"/>
      <c r="BA55" s="766"/>
      <c r="BB55" s="766"/>
      <c r="BC55" s="766"/>
      <c r="BD55" s="766"/>
      <c r="BE55" s="766"/>
      <c r="BF55" s="766"/>
      <c r="BG55" s="766"/>
      <c r="DH55" s="696"/>
      <c r="DI55" s="696"/>
      <c r="DJ55" s="696"/>
      <c r="DK55" s="697"/>
      <c r="DL55" s="697"/>
      <c r="DM55" s="697"/>
      <c r="DN55" s="697"/>
      <c r="DO55" s="697"/>
      <c r="DP55" s="697"/>
      <c r="DQ55" s="697"/>
      <c r="DR55" s="697"/>
      <c r="DS55" s="697"/>
      <c r="DT55" s="697"/>
      <c r="DU55" s="697"/>
      <c r="DV55" s="697"/>
      <c r="DW55" s="714"/>
      <c r="DX55" s="698"/>
      <c r="DY55" s="698"/>
      <c r="DZ55" s="698"/>
      <c r="EA55" s="698"/>
      <c r="EB55" s="698"/>
      <c r="EC55" s="698"/>
      <c r="ED55" s="698"/>
      <c r="EE55" s="698"/>
      <c r="EF55" s="698"/>
      <c r="EG55" s="698"/>
      <c r="EH55" s="698"/>
      <c r="EI55" s="698"/>
      <c r="EJ55" s="698"/>
      <c r="EK55" s="698"/>
      <c r="EL55" s="698"/>
      <c r="EM55" s="698"/>
      <c r="EN55" s="698"/>
      <c r="EO55" s="698"/>
      <c r="EP55" s="701"/>
      <c r="EQ55" s="698"/>
      <c r="ER55" s="698"/>
      <c r="ES55" s="698"/>
      <c r="ET55" s="698"/>
      <c r="EU55" s="701"/>
      <c r="EV55" s="698"/>
      <c r="EW55" s="698"/>
      <c r="EX55" s="698"/>
      <c r="EY55" s="698"/>
      <c r="EZ55" s="698"/>
      <c r="FA55" s="698"/>
      <c r="FB55" s="698"/>
      <c r="FC55" s="701"/>
      <c r="FD55" s="698"/>
      <c r="FE55" s="701"/>
      <c r="FF55" s="698"/>
      <c r="FG55" s="698"/>
      <c r="FH55" s="698"/>
      <c r="FI55" s="698"/>
      <c r="FJ55" s="698"/>
      <c r="FK55" s="698"/>
      <c r="FL55" s="698"/>
      <c r="FM55" s="698"/>
      <c r="FN55" s="698"/>
      <c r="FO55" s="698"/>
      <c r="FP55" s="710"/>
      <c r="FQ55" s="698"/>
      <c r="FR55" s="698"/>
      <c r="FS55" s="698"/>
      <c r="FT55" s="698"/>
      <c r="FU55" s="698"/>
      <c r="FV55" s="698"/>
      <c r="FW55" s="698"/>
      <c r="FX55" s="698"/>
      <c r="FY55" s="701"/>
      <c r="FZ55" s="698"/>
      <c r="GA55" s="698"/>
      <c r="GB55" s="698"/>
      <c r="GC55" s="698"/>
      <c r="GD55" s="701"/>
      <c r="GE55" s="697"/>
      <c r="GF55" s="697"/>
      <c r="GG55" s="697"/>
      <c r="GH55" s="697"/>
      <c r="GI55" s="697"/>
      <c r="GJ55" s="697"/>
      <c r="GK55" s="697"/>
      <c r="GL55" s="697"/>
      <c r="GM55" s="697"/>
      <c r="GN55" s="697"/>
      <c r="GO55" s="697"/>
      <c r="GP55" s="697"/>
      <c r="GQ55" s="697"/>
      <c r="GR55" s="697"/>
      <c r="GS55" s="697"/>
      <c r="GT55" s="697"/>
      <c r="GU55" s="697"/>
      <c r="GV55" s="697"/>
      <c r="GW55" s="697"/>
      <c r="GX55" s="697"/>
      <c r="GY55" s="697"/>
      <c r="GZ55" s="697"/>
      <c r="HA55" s="697"/>
      <c r="HB55" s="697"/>
      <c r="HC55" s="697"/>
      <c r="HD55" s="697"/>
      <c r="HE55" s="697"/>
      <c r="HF55" s="697"/>
      <c r="HG55" s="697"/>
      <c r="HH55" s="697"/>
      <c r="HI55" s="697"/>
      <c r="HJ55" s="697"/>
      <c r="HK55" s="697"/>
      <c r="HL55" s="697"/>
      <c r="HM55" s="697"/>
      <c r="HN55" s="697"/>
      <c r="HO55" s="697"/>
      <c r="HP55" s="697"/>
      <c r="HQ55" s="697"/>
      <c r="HR55" s="697"/>
    </row>
    <row r="56" spans="1:306" ht="8.1" customHeight="1">
      <c r="A56" s="694">
        <f t="shared" si="67"/>
        <v>2000</v>
      </c>
      <c r="B56" s="695">
        <v>40233</v>
      </c>
      <c r="C56" s="766"/>
      <c r="D56" s="695">
        <v>40474</v>
      </c>
      <c r="E56" s="766"/>
      <c r="F56" s="766"/>
      <c r="G56" s="766"/>
      <c r="H56" s="766"/>
      <c r="I56" s="766"/>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766"/>
      <c r="AM56" s="766"/>
      <c r="AN56" s="766"/>
      <c r="AO56" s="766"/>
      <c r="AP56" s="766"/>
      <c r="AQ56" s="766"/>
      <c r="AR56" s="766"/>
      <c r="AS56" s="766"/>
      <c r="AT56" s="766"/>
      <c r="AU56" s="766"/>
      <c r="AV56" s="766"/>
      <c r="AW56" s="766"/>
      <c r="AX56" s="766"/>
      <c r="AY56" s="766"/>
      <c r="AZ56" s="766"/>
      <c r="BA56" s="766"/>
      <c r="BB56" s="766"/>
      <c r="BC56" s="766"/>
      <c r="BD56" s="766"/>
      <c r="BE56" s="766"/>
      <c r="BF56" s="766"/>
      <c r="BG56" s="766"/>
      <c r="BI56" s="700"/>
      <c r="BJ56" s="699"/>
      <c r="BK56" s="699"/>
      <c r="BL56" s="699"/>
      <c r="BM56" s="699"/>
      <c r="BN56" s="699"/>
      <c r="BO56" s="699"/>
      <c r="BP56" s="699"/>
      <c r="BQ56" s="699"/>
      <c r="BR56" s="699"/>
      <c r="BS56" s="699"/>
      <c r="BT56" s="699"/>
      <c r="BU56" s="699"/>
      <c r="BV56" s="699"/>
      <c r="BW56" s="699"/>
      <c r="BX56" s="699"/>
      <c r="BY56" s="699"/>
      <c r="BZ56" s="699"/>
      <c r="CA56" s="699"/>
      <c r="CB56" s="699"/>
      <c r="CC56" s="699"/>
      <c r="CD56" s="699"/>
      <c r="CE56" s="699"/>
      <c r="CF56" s="699"/>
      <c r="CG56" s="699"/>
      <c r="CH56" s="699"/>
      <c r="CI56" s="699"/>
      <c r="CJ56" s="699"/>
      <c r="CK56" s="699"/>
      <c r="CL56" s="699"/>
      <c r="CM56" s="699"/>
      <c r="CN56" s="699"/>
      <c r="CO56" s="699"/>
      <c r="CP56" s="699"/>
      <c r="CQ56" s="699"/>
      <c r="CR56" s="699"/>
      <c r="CS56" s="699"/>
      <c r="CT56" s="699"/>
      <c r="CU56" s="699"/>
      <c r="CV56" s="699"/>
      <c r="CW56" s="699"/>
      <c r="CX56" s="699"/>
      <c r="CY56" s="699"/>
      <c r="CZ56" s="699"/>
      <c r="DA56" s="699"/>
      <c r="DB56" s="699"/>
      <c r="DC56" s="699"/>
      <c r="DD56" s="699"/>
      <c r="DE56" s="699"/>
      <c r="DF56" s="699"/>
      <c r="DG56" s="699"/>
      <c r="DH56" s="703"/>
      <c r="DI56" s="703"/>
      <c r="DJ56" s="703"/>
      <c r="DK56" s="698"/>
      <c r="DL56" s="698"/>
      <c r="DM56" s="698"/>
      <c r="DN56" s="698"/>
      <c r="DO56" s="698"/>
      <c r="DP56" s="698"/>
      <c r="DQ56" s="698"/>
      <c r="DR56" s="698"/>
      <c r="DS56" s="698"/>
      <c r="DT56" s="698"/>
      <c r="DU56" s="698"/>
      <c r="DV56" s="698"/>
      <c r="DW56" s="712"/>
      <c r="DX56" s="698"/>
      <c r="DY56" s="698"/>
      <c r="DZ56" s="698"/>
      <c r="EA56" s="698"/>
      <c r="EB56" s="698"/>
      <c r="EC56" s="698"/>
      <c r="ED56" s="698"/>
      <c r="EE56" s="698"/>
      <c r="EF56" s="698"/>
      <c r="EG56" s="698"/>
      <c r="EH56" s="698"/>
      <c r="EI56" s="698"/>
      <c r="EJ56" s="698"/>
      <c r="EK56" s="698"/>
      <c r="EL56" s="698"/>
      <c r="EM56" s="698"/>
      <c r="EN56" s="698"/>
      <c r="EO56" s="698"/>
      <c r="EP56" s="698"/>
      <c r="EQ56" s="698"/>
      <c r="ER56" s="698"/>
      <c r="ES56" s="698"/>
      <c r="ET56" s="698"/>
      <c r="EU56" s="701"/>
      <c r="EV56" s="698"/>
      <c r="EW56" s="698"/>
      <c r="EX56" s="698"/>
      <c r="EY56" s="698"/>
      <c r="EZ56" s="698"/>
      <c r="FA56" s="698"/>
      <c r="FB56" s="698"/>
      <c r="FC56" s="698"/>
      <c r="FD56" s="698"/>
      <c r="FE56" s="698"/>
      <c r="FF56" s="698"/>
      <c r="FG56" s="698"/>
      <c r="FH56" s="698"/>
      <c r="FI56" s="698"/>
      <c r="FJ56" s="698"/>
      <c r="FK56" s="698"/>
      <c r="FL56" s="698"/>
      <c r="FM56" s="698"/>
      <c r="FN56" s="701"/>
      <c r="FO56" s="698"/>
      <c r="FP56" s="710"/>
      <c r="FQ56" s="698"/>
      <c r="FR56" s="698"/>
      <c r="FS56" s="698"/>
      <c r="FT56" s="698"/>
      <c r="FU56" s="698"/>
      <c r="FV56" s="698"/>
      <c r="FW56" s="698"/>
      <c r="FX56" s="698"/>
      <c r="FY56" s="698"/>
      <c r="FZ56" s="701"/>
      <c r="GA56" s="698"/>
      <c r="GB56" s="698"/>
      <c r="GC56" s="698"/>
      <c r="GD56" s="698"/>
      <c r="GE56" s="698"/>
      <c r="GF56" s="698"/>
      <c r="GG56" s="698"/>
      <c r="GH56" s="698"/>
      <c r="GI56" s="698"/>
      <c r="GJ56" s="698"/>
      <c r="GK56" s="698"/>
      <c r="GL56" s="698"/>
      <c r="GM56" s="698"/>
      <c r="GN56" s="698"/>
      <c r="GO56" s="698"/>
      <c r="GP56" s="698"/>
      <c r="GQ56" s="698"/>
      <c r="GR56" s="698"/>
      <c r="GS56" s="698"/>
      <c r="GT56" s="698"/>
      <c r="GU56" s="698"/>
      <c r="GV56" s="698"/>
      <c r="GW56" s="698"/>
      <c r="GX56" s="698"/>
      <c r="GY56" s="698"/>
      <c r="GZ56" s="698"/>
      <c r="HA56" s="698"/>
      <c r="HB56" s="698"/>
      <c r="HC56" s="698"/>
      <c r="HD56" s="698"/>
      <c r="HE56" s="698"/>
      <c r="HF56" s="698"/>
      <c r="HG56" s="698"/>
      <c r="HH56" s="698"/>
      <c r="HI56" s="698"/>
      <c r="HJ56" s="698"/>
      <c r="HK56" s="698"/>
      <c r="HL56" s="698"/>
      <c r="HM56" s="698"/>
      <c r="HN56" s="698"/>
      <c r="HO56" s="698"/>
      <c r="HP56" s="698"/>
      <c r="HQ56" s="698"/>
      <c r="HR56" s="698"/>
      <c r="HS56" s="699"/>
      <c r="HT56" s="699"/>
      <c r="HU56" s="699"/>
      <c r="HV56" s="699"/>
      <c r="HW56" s="699"/>
      <c r="HX56" s="699"/>
      <c r="HY56" s="699"/>
      <c r="HZ56" s="699"/>
      <c r="IA56" s="699"/>
      <c r="IB56" s="699"/>
      <c r="IC56" s="699"/>
      <c r="ID56" s="699"/>
      <c r="IE56" s="699"/>
      <c r="IF56" s="699"/>
      <c r="IG56" s="699"/>
      <c r="IH56" s="699"/>
      <c r="II56" s="699"/>
      <c r="IJ56" s="699"/>
      <c r="IK56" s="699"/>
      <c r="IL56" s="699"/>
      <c r="IM56" s="699"/>
      <c r="IN56" s="699"/>
      <c r="IO56" s="699"/>
      <c r="IP56" s="699"/>
      <c r="IQ56" s="699"/>
      <c r="IR56" s="699"/>
      <c r="IS56" s="699"/>
      <c r="IT56" s="699"/>
      <c r="IU56" s="699"/>
      <c r="IV56" s="699"/>
      <c r="IW56" s="699"/>
      <c r="IX56" s="699"/>
      <c r="IY56" s="699"/>
      <c r="IZ56" s="699"/>
      <c r="JA56" s="699"/>
      <c r="JB56" s="699"/>
      <c r="JC56" s="699"/>
      <c r="JD56" s="699"/>
      <c r="JE56" s="699"/>
      <c r="JF56" s="699"/>
      <c r="JG56" s="699"/>
      <c r="JH56" s="699"/>
      <c r="JI56" s="699"/>
      <c r="JJ56" s="699"/>
      <c r="JK56" s="699"/>
      <c r="JL56" s="699"/>
      <c r="JM56" s="699"/>
      <c r="JN56" s="699"/>
      <c r="JO56" s="699"/>
      <c r="JP56" s="699"/>
      <c r="JQ56" s="699"/>
      <c r="JR56" s="699"/>
      <c r="JS56" s="699"/>
      <c r="JT56" s="699"/>
      <c r="JU56" s="699"/>
      <c r="JV56" s="699"/>
      <c r="JW56" s="699"/>
      <c r="JX56" s="699"/>
      <c r="JY56" s="699"/>
      <c r="JZ56" s="699"/>
      <c r="KA56" s="699"/>
      <c r="KB56" s="699"/>
      <c r="KC56" s="699"/>
      <c r="KD56" s="699"/>
      <c r="KE56" s="699"/>
      <c r="KF56" s="699"/>
      <c r="KG56" s="699"/>
      <c r="KH56" s="699"/>
      <c r="KI56" s="699"/>
      <c r="KJ56" s="699"/>
      <c r="KK56" s="699"/>
      <c r="KL56" s="699"/>
      <c r="KM56" s="699"/>
      <c r="KN56" s="699"/>
      <c r="KO56" s="699"/>
      <c r="KP56" s="700"/>
    </row>
    <row r="57" spans="1:306" ht="8.1" customHeight="1">
      <c r="A57" s="694">
        <f t="shared" si="67"/>
        <v>2001</v>
      </c>
      <c r="B57" s="695">
        <v>40260</v>
      </c>
      <c r="C57" s="766"/>
      <c r="D57" s="695">
        <v>40440</v>
      </c>
      <c r="E57" s="766"/>
      <c r="F57" s="766"/>
      <c r="G57" s="766"/>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766"/>
      <c r="AM57" s="766"/>
      <c r="AN57" s="766"/>
      <c r="AO57" s="766"/>
      <c r="AP57" s="766"/>
      <c r="AQ57" s="766"/>
      <c r="AR57" s="766"/>
      <c r="AS57" s="766"/>
      <c r="AT57" s="766"/>
      <c r="AU57" s="766"/>
      <c r="AV57" s="766"/>
      <c r="AW57" s="766"/>
      <c r="AX57" s="766"/>
      <c r="AY57" s="766"/>
      <c r="AZ57" s="766"/>
      <c r="BA57" s="766"/>
      <c r="BB57" s="766"/>
      <c r="BC57" s="766"/>
      <c r="BD57" s="766"/>
      <c r="BE57" s="766"/>
      <c r="BF57" s="766"/>
      <c r="BG57" s="766"/>
      <c r="CJ57" s="700"/>
      <c r="CK57" s="699"/>
      <c r="CL57" s="699"/>
      <c r="CM57" s="699"/>
      <c r="CN57" s="699"/>
      <c r="CO57" s="699"/>
      <c r="CP57" s="699"/>
      <c r="CQ57" s="699"/>
      <c r="CR57" s="699"/>
      <c r="CS57" s="699"/>
      <c r="CT57" s="699"/>
      <c r="CU57" s="699"/>
      <c r="CV57" s="699"/>
      <c r="CW57" s="699"/>
      <c r="CX57" s="700"/>
      <c r="CY57" s="699"/>
      <c r="CZ57" s="699"/>
      <c r="DA57" s="699"/>
      <c r="DB57" s="700"/>
      <c r="DC57" s="699"/>
      <c r="DD57" s="699"/>
      <c r="DE57" s="699"/>
      <c r="DF57" s="699"/>
      <c r="DG57" s="699"/>
      <c r="DH57" s="703"/>
      <c r="DI57" s="703"/>
      <c r="DJ57" s="703"/>
      <c r="DK57" s="698"/>
      <c r="DL57" s="698"/>
      <c r="DM57" s="698"/>
      <c r="DN57" s="698"/>
      <c r="DO57" s="698"/>
      <c r="DP57" s="698"/>
      <c r="DQ57" s="698"/>
      <c r="DR57" s="698"/>
      <c r="DS57" s="698"/>
      <c r="DT57" s="698"/>
      <c r="DU57" s="698"/>
      <c r="DV57" s="701"/>
      <c r="DW57" s="712"/>
      <c r="DX57" s="698"/>
      <c r="DY57" s="698"/>
      <c r="DZ57" s="698"/>
      <c r="EA57" s="698"/>
      <c r="EB57" s="698"/>
      <c r="EC57" s="698"/>
      <c r="ED57" s="698"/>
      <c r="EE57" s="698"/>
      <c r="EF57" s="698"/>
      <c r="EG57" s="698"/>
      <c r="EH57" s="698"/>
      <c r="EI57" s="698"/>
      <c r="EJ57" s="698"/>
      <c r="EK57" s="698"/>
      <c r="EL57" s="698"/>
      <c r="EM57" s="698"/>
      <c r="EN57" s="698"/>
      <c r="EO57" s="701"/>
      <c r="EP57" s="698"/>
      <c r="EQ57" s="698"/>
      <c r="ER57" s="698"/>
      <c r="ES57" s="698"/>
      <c r="ET57" s="698"/>
      <c r="EU57" s="698"/>
      <c r="EV57" s="698"/>
      <c r="EW57" s="698"/>
      <c r="EX57" s="698"/>
      <c r="EY57" s="701"/>
      <c r="EZ57" s="698"/>
      <c r="FA57" s="698"/>
      <c r="FB57" s="698"/>
      <c r="FC57" s="698"/>
      <c r="FD57" s="698"/>
      <c r="FE57" s="698"/>
      <c r="FF57" s="698"/>
      <c r="FG57" s="698"/>
      <c r="FH57" s="698"/>
      <c r="FI57" s="698"/>
      <c r="FJ57" s="698"/>
      <c r="FK57" s="698"/>
      <c r="FL57" s="698"/>
      <c r="FM57" s="698"/>
      <c r="FN57" s="698"/>
      <c r="FO57" s="698"/>
      <c r="FP57" s="710"/>
      <c r="FQ57" s="698"/>
      <c r="FR57" s="698"/>
      <c r="FS57" s="698"/>
      <c r="FT57" s="698"/>
      <c r="FU57" s="698"/>
      <c r="FV57" s="698"/>
      <c r="FW57" s="698"/>
      <c r="FX57" s="698"/>
      <c r="FY57" s="698"/>
      <c r="FZ57" s="698"/>
      <c r="GA57" s="698"/>
      <c r="GB57" s="698"/>
      <c r="GC57" s="698"/>
      <c r="GD57" s="698"/>
      <c r="GE57" s="698"/>
      <c r="GF57" s="698"/>
      <c r="GG57" s="698"/>
      <c r="GH57" s="698"/>
      <c r="GI57" s="698"/>
      <c r="GJ57" s="698"/>
      <c r="GK57" s="698"/>
      <c r="GL57" s="698"/>
      <c r="GM57" s="698"/>
      <c r="GN57" s="698"/>
      <c r="GO57" s="698"/>
      <c r="GP57" s="698"/>
      <c r="GQ57" s="698"/>
      <c r="GR57" s="698"/>
      <c r="GS57" s="698"/>
      <c r="GT57" s="698"/>
      <c r="GU57" s="698"/>
      <c r="GV57" s="698"/>
      <c r="GW57" s="698"/>
      <c r="GX57" s="698"/>
      <c r="GY57" s="698"/>
      <c r="GZ57" s="698"/>
      <c r="HA57" s="698"/>
      <c r="HB57" s="698"/>
      <c r="HC57" s="698"/>
      <c r="HD57" s="698"/>
      <c r="HE57" s="698"/>
      <c r="HF57" s="698"/>
      <c r="HG57" s="698"/>
      <c r="HH57" s="698"/>
      <c r="HI57" s="698"/>
      <c r="HJ57" s="698"/>
      <c r="HK57" s="698"/>
      <c r="HL57" s="698"/>
      <c r="HM57" s="698"/>
      <c r="HN57" s="698"/>
      <c r="HO57" s="698"/>
      <c r="HP57" s="698"/>
      <c r="HQ57" s="698"/>
      <c r="HR57" s="698"/>
      <c r="HS57" s="699"/>
      <c r="HT57" s="699"/>
      <c r="HU57" s="699"/>
      <c r="HV57" s="699"/>
      <c r="HW57" s="699"/>
      <c r="HX57" s="699"/>
      <c r="HY57" s="699"/>
      <c r="HZ57" s="699"/>
      <c r="IA57" s="699"/>
      <c r="IB57" s="699"/>
      <c r="IC57" s="699"/>
      <c r="ID57" s="699"/>
      <c r="IE57" s="699"/>
      <c r="IF57" s="699"/>
      <c r="IG57" s="699"/>
      <c r="IH57" s="699"/>
      <c r="II57" s="699"/>
      <c r="IJ57" s="699"/>
      <c r="IK57" s="699"/>
      <c r="IL57" s="699"/>
      <c r="IM57" s="699"/>
      <c r="IN57" s="699"/>
      <c r="IO57" s="699"/>
      <c r="IP57" s="699"/>
      <c r="IQ57" s="699"/>
      <c r="IR57" s="699"/>
      <c r="IS57" s="699"/>
      <c r="IT57" s="699"/>
      <c r="IU57" s="699"/>
      <c r="IV57" s="699"/>
      <c r="IW57" s="699"/>
      <c r="IX57" s="699"/>
      <c r="IY57" s="699"/>
      <c r="IZ57" s="699"/>
      <c r="JA57" s="699"/>
      <c r="JB57" s="699"/>
      <c r="JC57" s="699"/>
      <c r="JD57" s="699"/>
      <c r="JE57" s="699"/>
      <c r="JF57" s="700"/>
      <c r="JG57" s="699"/>
      <c r="JH57" s="700"/>
    </row>
    <row r="58" spans="1:306" ht="8.1" customHeight="1">
      <c r="A58" s="694">
        <f t="shared" si="67"/>
        <v>2002</v>
      </c>
      <c r="B58" s="695">
        <v>40303</v>
      </c>
      <c r="C58" s="766"/>
      <c r="D58" s="695">
        <v>40420</v>
      </c>
      <c r="E58" s="766"/>
      <c r="F58" s="766"/>
      <c r="G58" s="766"/>
      <c r="H58" s="766"/>
      <c r="I58" s="766"/>
      <c r="J58" s="766"/>
      <c r="K58" s="766"/>
      <c r="L58" s="766"/>
      <c r="M58" s="766"/>
      <c r="N58" s="766"/>
      <c r="O58" s="766"/>
      <c r="P58" s="766"/>
      <c r="Q58" s="766"/>
      <c r="R58" s="766"/>
      <c r="S58" s="766"/>
      <c r="T58" s="766"/>
      <c r="U58" s="766"/>
      <c r="V58" s="766"/>
      <c r="W58" s="766"/>
      <c r="X58" s="766"/>
      <c r="Y58" s="766"/>
      <c r="Z58" s="766"/>
      <c r="AA58" s="766"/>
      <c r="AB58" s="766"/>
      <c r="AC58" s="766"/>
      <c r="AD58" s="766"/>
      <c r="AE58" s="766"/>
      <c r="AF58" s="766"/>
      <c r="AG58" s="766"/>
      <c r="AH58" s="766"/>
      <c r="AI58" s="766"/>
      <c r="AJ58" s="766"/>
      <c r="AK58" s="766"/>
      <c r="AL58" s="766"/>
      <c r="AM58" s="766"/>
      <c r="AN58" s="766"/>
      <c r="AO58" s="766"/>
      <c r="AP58" s="766"/>
      <c r="AQ58" s="766"/>
      <c r="AR58" s="766"/>
      <c r="AS58" s="766"/>
      <c r="AT58" s="766"/>
      <c r="AU58" s="766"/>
      <c r="AV58" s="766"/>
      <c r="AW58" s="766"/>
      <c r="AX58" s="766"/>
      <c r="AY58" s="766"/>
      <c r="AZ58" s="766"/>
      <c r="BA58" s="766"/>
      <c r="BB58" s="766"/>
      <c r="BC58" s="766"/>
      <c r="BD58" s="766"/>
      <c r="BE58" s="766"/>
      <c r="BF58" s="766"/>
      <c r="BG58" s="766"/>
      <c r="DH58" s="696"/>
      <c r="DI58" s="696"/>
      <c r="DJ58" s="696"/>
      <c r="DK58" s="697"/>
      <c r="DL58" s="697"/>
      <c r="DM58" s="697"/>
      <c r="DN58" s="697"/>
      <c r="DO58" s="697"/>
      <c r="DP58" s="697"/>
      <c r="DQ58" s="697"/>
      <c r="DR58" s="697"/>
      <c r="DS58" s="697"/>
      <c r="DT58" s="697"/>
      <c r="DU58" s="697"/>
      <c r="DV58" s="697"/>
      <c r="DW58" s="713"/>
      <c r="DX58" s="697"/>
      <c r="DY58" s="697"/>
      <c r="DZ58" s="697"/>
      <c r="EA58" s="701"/>
      <c r="EB58" s="698"/>
      <c r="EC58" s="698"/>
      <c r="ED58" s="698"/>
      <c r="EE58" s="698"/>
      <c r="EF58" s="698"/>
      <c r="EG58" s="701"/>
      <c r="EH58" s="698"/>
      <c r="EI58" s="698"/>
      <c r="EJ58" s="698"/>
      <c r="EK58" s="698"/>
      <c r="EL58" s="701"/>
      <c r="EM58" s="698"/>
      <c r="EN58" s="698"/>
      <c r="EO58" s="698"/>
      <c r="EP58" s="698"/>
      <c r="EQ58" s="698"/>
      <c r="ER58" s="698"/>
      <c r="ES58" s="701"/>
      <c r="ET58" s="698"/>
      <c r="EU58" s="698"/>
      <c r="EV58" s="698"/>
      <c r="EW58" s="698"/>
      <c r="EX58" s="698"/>
      <c r="EY58" s="698"/>
      <c r="EZ58" s="698"/>
      <c r="FA58" s="698"/>
      <c r="FB58" s="698"/>
      <c r="FC58" s="698"/>
      <c r="FD58" s="698"/>
      <c r="FE58" s="698"/>
      <c r="FF58" s="698"/>
      <c r="FG58" s="698"/>
      <c r="FH58" s="698"/>
      <c r="FI58" s="698"/>
      <c r="FJ58" s="698"/>
      <c r="FK58" s="698"/>
      <c r="FL58" s="698"/>
      <c r="FM58" s="698"/>
      <c r="FN58" s="698"/>
      <c r="FO58" s="698"/>
      <c r="FP58" s="711"/>
      <c r="FQ58" s="698"/>
      <c r="FR58" s="698"/>
      <c r="FS58" s="698"/>
      <c r="FT58" s="698"/>
      <c r="FU58" s="698"/>
      <c r="FV58" s="698"/>
      <c r="FW58" s="698"/>
      <c r="FX58" s="698"/>
      <c r="FY58" s="698"/>
      <c r="FZ58" s="698"/>
      <c r="GA58" s="698"/>
      <c r="GB58" s="698"/>
      <c r="GC58" s="698"/>
      <c r="GD58" s="698"/>
      <c r="GE58" s="698"/>
      <c r="GF58" s="698"/>
      <c r="GG58" s="698"/>
      <c r="GH58" s="698"/>
      <c r="GI58" s="698"/>
      <c r="GJ58" s="698"/>
      <c r="GK58" s="698"/>
      <c r="GL58" s="698"/>
      <c r="GM58" s="698"/>
      <c r="GN58" s="698"/>
      <c r="GO58" s="698"/>
      <c r="GP58" s="698"/>
      <c r="GQ58" s="698"/>
      <c r="GR58" s="698"/>
      <c r="GS58" s="698"/>
      <c r="GT58" s="698"/>
      <c r="GU58" s="698"/>
      <c r="GV58" s="698"/>
      <c r="GW58" s="698"/>
      <c r="GX58" s="698"/>
      <c r="GY58" s="698"/>
      <c r="GZ58" s="698"/>
      <c r="HA58" s="698"/>
      <c r="HB58" s="698"/>
      <c r="HC58" s="698"/>
      <c r="HD58" s="698"/>
      <c r="HE58" s="698"/>
      <c r="HF58" s="698"/>
      <c r="HG58" s="698"/>
      <c r="HH58" s="698"/>
      <c r="HI58" s="698"/>
      <c r="HJ58" s="698"/>
      <c r="HK58" s="698"/>
      <c r="HL58" s="698"/>
      <c r="HM58" s="698"/>
      <c r="HN58" s="698"/>
      <c r="HO58" s="698"/>
      <c r="HP58" s="698"/>
      <c r="HQ58" s="698"/>
      <c r="HR58" s="698"/>
      <c r="HS58" s="699"/>
      <c r="HT58" s="699"/>
      <c r="HU58" s="699"/>
      <c r="HV58" s="699"/>
      <c r="HW58" s="699"/>
      <c r="HX58" s="699"/>
      <c r="HY58" s="699"/>
      <c r="HZ58" s="699"/>
      <c r="IA58" s="699"/>
      <c r="IB58" s="699"/>
      <c r="IC58" s="699"/>
      <c r="ID58" s="699"/>
      <c r="IE58" s="699"/>
      <c r="IF58" s="699"/>
      <c r="IG58" s="699"/>
      <c r="IH58" s="699"/>
      <c r="II58" s="699"/>
      <c r="IJ58" s="699"/>
      <c r="IK58" s="699"/>
      <c r="IL58" s="699"/>
      <c r="IM58" s="699"/>
      <c r="IN58" s="700"/>
    </row>
    <row r="59" spans="1:306" ht="8.1" customHeight="1">
      <c r="A59" s="694">
        <f t="shared" si="67"/>
        <v>2003</v>
      </c>
      <c r="B59" s="695">
        <v>40283</v>
      </c>
      <c r="C59" s="766"/>
      <c r="D59" s="695">
        <v>40334</v>
      </c>
      <c r="E59" s="766"/>
      <c r="F59" s="766"/>
      <c r="G59" s="766"/>
      <c r="H59" s="766"/>
      <c r="I59" s="766"/>
      <c r="J59" s="766"/>
      <c r="K59" s="766"/>
      <c r="L59" s="766"/>
      <c r="M59" s="766"/>
      <c r="N59" s="766"/>
      <c r="O59" s="766"/>
      <c r="P59" s="766"/>
      <c r="Q59" s="766"/>
      <c r="R59" s="766"/>
      <c r="S59" s="766"/>
      <c r="T59" s="766"/>
      <c r="U59" s="766"/>
      <c r="V59" s="766"/>
      <c r="W59" s="766"/>
      <c r="X59" s="766"/>
      <c r="Y59" s="766"/>
      <c r="Z59" s="766"/>
      <c r="AA59" s="766"/>
      <c r="AB59" s="766"/>
      <c r="AC59" s="766"/>
      <c r="AD59" s="766"/>
      <c r="AE59" s="766"/>
      <c r="AF59" s="766"/>
      <c r="AG59" s="766"/>
      <c r="AH59" s="766"/>
      <c r="AI59" s="766"/>
      <c r="AJ59" s="766"/>
      <c r="AK59" s="766"/>
      <c r="AL59" s="766"/>
      <c r="AM59" s="766"/>
      <c r="AN59" s="766"/>
      <c r="AO59" s="766"/>
      <c r="AP59" s="766"/>
      <c r="AQ59" s="766"/>
      <c r="AR59" s="766"/>
      <c r="AS59" s="766"/>
      <c r="AT59" s="766"/>
      <c r="AU59" s="766"/>
      <c r="AV59" s="766"/>
      <c r="AW59" s="766"/>
      <c r="AX59" s="766"/>
      <c r="AY59" s="766"/>
      <c r="AZ59" s="766"/>
      <c r="BA59" s="766"/>
      <c r="BB59" s="766"/>
      <c r="BC59" s="766"/>
      <c r="BD59" s="766"/>
      <c r="BE59" s="766"/>
      <c r="BF59" s="766"/>
      <c r="BG59" s="766"/>
      <c r="DG59" s="700"/>
      <c r="DH59" s="703"/>
      <c r="DI59" s="703"/>
      <c r="DJ59" s="703"/>
      <c r="DK59" s="698"/>
      <c r="DL59" s="698"/>
      <c r="DM59" s="698"/>
      <c r="DN59" s="698"/>
      <c r="DO59" s="701"/>
      <c r="DP59" s="698"/>
      <c r="DQ59" s="698"/>
      <c r="DR59" s="698"/>
      <c r="DS59" s="698"/>
      <c r="DT59" s="698"/>
      <c r="DU59" s="698"/>
      <c r="DV59" s="698"/>
      <c r="DW59" s="712"/>
      <c r="DX59" s="698"/>
      <c r="DY59" s="698"/>
      <c r="DZ59" s="698"/>
      <c r="EA59" s="698"/>
      <c r="EB59" s="698"/>
      <c r="EC59" s="698"/>
      <c r="ED59" s="698"/>
      <c r="EE59" s="698"/>
      <c r="EF59" s="698"/>
      <c r="EG59" s="698"/>
      <c r="EH59" s="698"/>
      <c r="EI59" s="698"/>
      <c r="EJ59" s="698"/>
      <c r="EK59" s="701"/>
      <c r="EL59" s="698"/>
      <c r="EM59" s="698"/>
      <c r="EN59" s="698"/>
      <c r="EO59" s="698"/>
      <c r="EP59" s="698"/>
      <c r="EQ59" s="698"/>
      <c r="ER59" s="698"/>
      <c r="ES59" s="698"/>
      <c r="ET59" s="701"/>
      <c r="EU59" s="698"/>
      <c r="EV59" s="698"/>
      <c r="EW59" s="698"/>
      <c r="EX59" s="698"/>
      <c r="EY59" s="698"/>
      <c r="EZ59" s="698"/>
      <c r="FA59" s="698"/>
      <c r="FB59" s="698"/>
      <c r="FC59" s="698"/>
      <c r="FD59" s="701"/>
      <c r="FE59" s="698"/>
      <c r="FF59" s="701"/>
      <c r="FG59" s="697"/>
      <c r="FH59" s="697"/>
      <c r="FI59" s="697"/>
      <c r="FJ59" s="697"/>
      <c r="FK59" s="697"/>
      <c r="FL59" s="697"/>
      <c r="FM59" s="697"/>
      <c r="FN59" s="697"/>
      <c r="FO59" s="697"/>
      <c r="FP59" s="709"/>
      <c r="FQ59" s="697"/>
      <c r="FR59" s="697"/>
      <c r="FS59" s="697"/>
      <c r="FT59" s="697"/>
      <c r="FU59" s="697"/>
      <c r="FV59" s="697"/>
      <c r="FW59" s="697"/>
      <c r="FX59" s="697"/>
      <c r="FY59" s="697"/>
      <c r="FZ59" s="697"/>
      <c r="GA59" s="697"/>
      <c r="GB59" s="697"/>
      <c r="GC59" s="697"/>
      <c r="GD59" s="697"/>
      <c r="GE59" s="697"/>
      <c r="GF59" s="697"/>
      <c r="GG59" s="697"/>
      <c r="GH59" s="697"/>
      <c r="GI59" s="697"/>
      <c r="GJ59" s="697"/>
      <c r="GK59" s="697"/>
      <c r="GL59" s="697"/>
      <c r="GM59" s="697"/>
      <c r="GN59" s="697"/>
      <c r="GO59" s="697"/>
      <c r="GP59" s="697"/>
      <c r="GQ59" s="697"/>
      <c r="GR59" s="697"/>
      <c r="GS59" s="697"/>
      <c r="GT59" s="697"/>
      <c r="GU59" s="697"/>
      <c r="GV59" s="697"/>
      <c r="GW59" s="697"/>
      <c r="GX59" s="697"/>
      <c r="GY59" s="697"/>
      <c r="GZ59" s="697"/>
      <c r="HA59" s="697"/>
      <c r="HB59" s="697"/>
      <c r="HC59" s="697"/>
      <c r="HD59" s="697"/>
      <c r="HE59" s="697"/>
      <c r="HF59" s="697"/>
      <c r="HG59" s="697"/>
      <c r="HH59" s="697"/>
      <c r="HI59" s="697"/>
      <c r="HJ59" s="697"/>
      <c r="HK59" s="697"/>
      <c r="HL59" s="697"/>
      <c r="HM59" s="697"/>
      <c r="HN59" s="697"/>
      <c r="HO59" s="697"/>
      <c r="HP59" s="697"/>
      <c r="HQ59" s="697"/>
      <c r="HR59" s="697"/>
    </row>
    <row r="60" spans="1:306" ht="8.1" customHeight="1">
      <c r="A60" s="694">
        <f t="shared" si="67"/>
        <v>2004</v>
      </c>
      <c r="B60" s="695">
        <v>40287</v>
      </c>
      <c r="C60" s="766"/>
      <c r="D60" s="695">
        <v>40350</v>
      </c>
      <c r="E60" s="766"/>
      <c r="F60" s="766"/>
      <c r="G60" s="766"/>
      <c r="H60" s="766"/>
      <c r="I60" s="766"/>
      <c r="J60" s="766"/>
      <c r="K60" s="766"/>
      <c r="L60" s="766"/>
      <c r="M60" s="766"/>
      <c r="N60" s="766"/>
      <c r="O60" s="766"/>
      <c r="P60" s="766"/>
      <c r="Q60" s="766"/>
      <c r="R60" s="766"/>
      <c r="S60" s="766"/>
      <c r="T60" s="766"/>
      <c r="U60" s="766"/>
      <c r="V60" s="766"/>
      <c r="W60" s="766"/>
      <c r="X60" s="766"/>
      <c r="Y60" s="766"/>
      <c r="Z60" s="766"/>
      <c r="AA60" s="766"/>
      <c r="AB60" s="766"/>
      <c r="AC60" s="766"/>
      <c r="AD60" s="766"/>
      <c r="AE60" s="766"/>
      <c r="AF60" s="766"/>
      <c r="AG60" s="766"/>
      <c r="AH60" s="766"/>
      <c r="AI60" s="766"/>
      <c r="AJ60" s="766"/>
      <c r="AK60" s="766"/>
      <c r="AL60" s="766"/>
      <c r="AM60" s="766"/>
      <c r="AN60" s="766"/>
      <c r="AO60" s="766"/>
      <c r="AP60" s="766"/>
      <c r="AQ60" s="766"/>
      <c r="AR60" s="766"/>
      <c r="AS60" s="766"/>
      <c r="AT60" s="766"/>
      <c r="AU60" s="766"/>
      <c r="AV60" s="766"/>
      <c r="AW60" s="766"/>
      <c r="AX60" s="766"/>
      <c r="AY60" s="766"/>
      <c r="AZ60" s="766"/>
      <c r="BA60" s="766"/>
      <c r="BB60" s="766"/>
      <c r="BC60" s="766"/>
      <c r="BD60" s="766"/>
      <c r="BE60" s="766"/>
      <c r="BF60" s="766"/>
      <c r="BG60" s="766"/>
      <c r="DH60" s="696"/>
      <c r="DI60" s="696"/>
      <c r="DJ60" s="696"/>
      <c r="DK60" s="701"/>
      <c r="DL60" s="698"/>
      <c r="DM60" s="698"/>
      <c r="DN60" s="698"/>
      <c r="DO60" s="698"/>
      <c r="DP60" s="698"/>
      <c r="DQ60" s="698"/>
      <c r="DR60" s="698"/>
      <c r="DS60" s="698"/>
      <c r="DT60" s="698"/>
      <c r="DU60" s="698"/>
      <c r="DV60" s="698"/>
      <c r="DW60" s="712"/>
      <c r="DX60" s="698"/>
      <c r="DY60" s="698"/>
      <c r="DZ60" s="698"/>
      <c r="EA60" s="698"/>
      <c r="EB60" s="698"/>
      <c r="EC60" s="698"/>
      <c r="ED60" s="698"/>
      <c r="EE60" s="698"/>
      <c r="EF60" s="698"/>
      <c r="EG60" s="701"/>
      <c r="EH60" s="698"/>
      <c r="EI60" s="698"/>
      <c r="EJ60" s="698"/>
      <c r="EK60" s="698"/>
      <c r="EL60" s="698"/>
      <c r="EM60" s="698"/>
      <c r="EN60" s="698"/>
      <c r="EO60" s="698"/>
      <c r="EP60" s="698"/>
      <c r="EQ60" s="698"/>
      <c r="ER60" s="698"/>
      <c r="ES60" s="698"/>
      <c r="ET60" s="698"/>
      <c r="EU60" s="698"/>
      <c r="EV60" s="698"/>
      <c r="EW60" s="698"/>
      <c r="EX60" s="698"/>
      <c r="EY60" s="698"/>
      <c r="EZ60" s="698"/>
      <c r="FA60" s="698"/>
      <c r="FB60" s="698"/>
      <c r="FC60" s="698"/>
      <c r="FD60" s="698"/>
      <c r="FE60" s="698"/>
      <c r="FF60" s="698"/>
      <c r="FG60" s="698"/>
      <c r="FH60" s="698"/>
      <c r="FI60" s="698"/>
      <c r="FJ60" s="698"/>
      <c r="FK60" s="698"/>
      <c r="FL60" s="698"/>
      <c r="FM60" s="698"/>
      <c r="FN60" s="698"/>
      <c r="FO60" s="698"/>
      <c r="FP60" s="711"/>
      <c r="FQ60" s="698"/>
      <c r="FR60" s="701"/>
      <c r="FS60" s="698"/>
      <c r="FT60" s="698"/>
      <c r="FU60" s="698"/>
      <c r="FV60" s="701"/>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697"/>
      <c r="GY60" s="697"/>
      <c r="GZ60" s="697"/>
      <c r="HA60" s="697"/>
      <c r="HB60" s="697"/>
      <c r="HC60" s="697"/>
      <c r="HD60" s="697"/>
      <c r="HE60" s="697"/>
      <c r="HF60" s="697"/>
      <c r="HG60" s="697"/>
      <c r="HH60" s="697"/>
      <c r="HI60" s="697"/>
      <c r="HJ60" s="697"/>
      <c r="HK60" s="697"/>
      <c r="HL60" s="697"/>
      <c r="HM60" s="697"/>
      <c r="HN60" s="697"/>
      <c r="HO60" s="697"/>
      <c r="HP60" s="697"/>
      <c r="HQ60" s="697"/>
      <c r="HR60" s="697"/>
    </row>
    <row r="61" spans="1:306" ht="8.1" customHeight="1">
      <c r="A61" s="694">
        <f t="shared" si="67"/>
        <v>2005</v>
      </c>
      <c r="B61" s="695">
        <v>40286</v>
      </c>
      <c r="C61" s="766"/>
      <c r="D61" s="695">
        <v>40365</v>
      </c>
      <c r="E61" s="766"/>
      <c r="F61" s="766"/>
      <c r="G61" s="766"/>
      <c r="H61" s="766"/>
      <c r="I61" s="766"/>
      <c r="J61" s="766"/>
      <c r="K61" s="766"/>
      <c r="L61" s="766"/>
      <c r="M61" s="766"/>
      <c r="N61" s="766"/>
      <c r="O61" s="766"/>
      <c r="P61" s="766"/>
      <c r="Q61" s="766"/>
      <c r="R61" s="766"/>
      <c r="S61" s="766"/>
      <c r="T61" s="766"/>
      <c r="U61" s="766"/>
      <c r="V61" s="766"/>
      <c r="W61" s="766"/>
      <c r="X61" s="766"/>
      <c r="Y61" s="766"/>
      <c r="Z61" s="766"/>
      <c r="AA61" s="766"/>
      <c r="AB61" s="766"/>
      <c r="AC61" s="766"/>
      <c r="AD61" s="766"/>
      <c r="AE61" s="766"/>
      <c r="AF61" s="766"/>
      <c r="AG61" s="766"/>
      <c r="AH61" s="766"/>
      <c r="AI61" s="766"/>
      <c r="AJ61" s="766"/>
      <c r="AK61" s="766"/>
      <c r="AL61" s="766"/>
      <c r="AM61" s="766"/>
      <c r="AN61" s="766"/>
      <c r="AO61" s="766"/>
      <c r="AP61" s="766"/>
      <c r="AQ61" s="766"/>
      <c r="AR61" s="766"/>
      <c r="AS61" s="766"/>
      <c r="AT61" s="766"/>
      <c r="AU61" s="766"/>
      <c r="AV61" s="766"/>
      <c r="AW61" s="766"/>
      <c r="AX61" s="766"/>
      <c r="AY61" s="766"/>
      <c r="AZ61" s="766"/>
      <c r="BA61" s="766"/>
      <c r="BB61" s="766"/>
      <c r="BC61" s="766"/>
      <c r="BD61" s="766"/>
      <c r="BE61" s="766"/>
      <c r="BF61" s="766"/>
      <c r="BG61" s="766"/>
      <c r="DH61" s="696"/>
      <c r="DI61" s="696"/>
      <c r="DJ61" s="702"/>
      <c r="DK61" s="698"/>
      <c r="DL61" s="698"/>
      <c r="DM61" s="698"/>
      <c r="DN61" s="698"/>
      <c r="DO61" s="698"/>
      <c r="DP61" s="698"/>
      <c r="DQ61" s="698"/>
      <c r="DR61" s="698"/>
      <c r="DS61" s="698"/>
      <c r="DT61" s="698"/>
      <c r="DU61" s="698"/>
      <c r="DV61" s="698"/>
      <c r="DW61" s="712"/>
      <c r="DX61" s="698"/>
      <c r="DY61" s="698"/>
      <c r="DZ61" s="698"/>
      <c r="EA61" s="698"/>
      <c r="EB61" s="698"/>
      <c r="EC61" s="698"/>
      <c r="ED61" s="698"/>
      <c r="EE61" s="698"/>
      <c r="EF61" s="698"/>
      <c r="EG61" s="698"/>
      <c r="EH61" s="701"/>
      <c r="EI61" s="701"/>
      <c r="EJ61" s="698"/>
      <c r="EK61" s="698"/>
      <c r="EL61" s="698"/>
      <c r="EM61" s="698"/>
      <c r="EN61" s="698"/>
      <c r="EO61" s="698"/>
      <c r="EP61" s="698"/>
      <c r="EQ61" s="698"/>
      <c r="ER61" s="698"/>
      <c r="ES61" s="698"/>
      <c r="ET61" s="698"/>
      <c r="EU61" s="698"/>
      <c r="EV61" s="698"/>
      <c r="EW61" s="698"/>
      <c r="EX61" s="698"/>
      <c r="EY61" s="698"/>
      <c r="EZ61" s="698"/>
      <c r="FA61" s="701"/>
      <c r="FB61" s="698"/>
      <c r="FC61" s="698"/>
      <c r="FD61" s="698"/>
      <c r="FE61" s="698"/>
      <c r="FF61" s="698"/>
      <c r="FG61" s="698"/>
      <c r="FH61" s="698"/>
      <c r="FI61" s="698"/>
      <c r="FJ61" s="701"/>
      <c r="FK61" s="698"/>
      <c r="FL61" s="701"/>
      <c r="FM61" s="698"/>
      <c r="FN61" s="698"/>
      <c r="FO61" s="698"/>
      <c r="FP61" s="710"/>
      <c r="FQ61" s="698"/>
      <c r="FR61" s="698"/>
      <c r="FS61" s="698"/>
      <c r="FT61" s="698"/>
      <c r="FU61" s="698"/>
      <c r="FV61" s="698"/>
      <c r="FW61" s="698"/>
      <c r="FX61" s="698"/>
      <c r="FY61" s="698"/>
      <c r="FZ61" s="698"/>
      <c r="GA61" s="698"/>
      <c r="GB61" s="698"/>
      <c r="GC61" s="698"/>
      <c r="GD61" s="698"/>
      <c r="GE61" s="698"/>
      <c r="GF61" s="698"/>
      <c r="GG61" s="698"/>
      <c r="GH61" s="698"/>
      <c r="GI61" s="698"/>
      <c r="GJ61" s="698"/>
      <c r="GK61" s="701"/>
      <c r="GL61" s="697"/>
      <c r="GM61" s="697"/>
      <c r="GN61" s="697"/>
      <c r="GO61" s="697"/>
      <c r="GP61" s="697"/>
      <c r="GQ61" s="697"/>
      <c r="GR61" s="697"/>
      <c r="GS61" s="697"/>
      <c r="GT61" s="697"/>
      <c r="GU61" s="697"/>
      <c r="GV61" s="697"/>
      <c r="GW61" s="697"/>
      <c r="GX61" s="697"/>
      <c r="GY61" s="697"/>
      <c r="GZ61" s="697"/>
      <c r="HA61" s="697"/>
      <c r="HB61" s="697"/>
      <c r="HC61" s="697"/>
      <c r="HD61" s="697"/>
      <c r="HE61" s="697"/>
      <c r="HF61" s="697"/>
      <c r="HG61" s="697"/>
      <c r="HH61" s="697"/>
      <c r="HI61" s="697"/>
      <c r="HJ61" s="697"/>
      <c r="HK61" s="697"/>
      <c r="HL61" s="697"/>
      <c r="HM61" s="697"/>
      <c r="HN61" s="697"/>
      <c r="HO61" s="697"/>
      <c r="HP61" s="697"/>
      <c r="HQ61" s="697"/>
      <c r="HR61" s="697"/>
    </row>
    <row r="62" spans="1:306" ht="8.1" customHeight="1">
      <c r="A62" s="694">
        <f t="shared" si="67"/>
        <v>2006</v>
      </c>
      <c r="B62" s="695">
        <v>40347</v>
      </c>
      <c r="C62" s="766"/>
      <c r="D62" s="695">
        <v>40417</v>
      </c>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c r="BA62" s="766"/>
      <c r="BB62" s="766"/>
      <c r="BC62" s="766"/>
      <c r="BD62" s="766"/>
      <c r="BE62" s="766"/>
      <c r="BF62" s="766"/>
      <c r="BG62" s="766"/>
      <c r="DH62" s="696"/>
      <c r="DI62" s="696"/>
      <c r="DJ62" s="696"/>
      <c r="DK62" s="697"/>
      <c r="DL62" s="697"/>
      <c r="DM62" s="697"/>
      <c r="DN62" s="697"/>
      <c r="DO62" s="697"/>
      <c r="DP62" s="697"/>
      <c r="DQ62" s="697"/>
      <c r="DR62" s="697"/>
      <c r="DS62" s="697"/>
      <c r="DT62" s="697"/>
      <c r="DU62" s="697"/>
      <c r="DV62" s="697"/>
      <c r="DW62" s="713"/>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709"/>
      <c r="FQ62" s="697"/>
      <c r="FR62" s="697"/>
      <c r="FS62" s="701"/>
      <c r="FT62" s="698"/>
      <c r="FU62" s="698"/>
      <c r="FV62" s="701"/>
      <c r="FW62" s="698"/>
      <c r="FX62" s="698"/>
      <c r="FY62" s="698"/>
      <c r="FZ62" s="701"/>
      <c r="GA62" s="698"/>
      <c r="GB62" s="698"/>
      <c r="GC62" s="698"/>
      <c r="GD62" s="698"/>
      <c r="GE62" s="698"/>
      <c r="GF62" s="698"/>
      <c r="GG62" s="698"/>
      <c r="GH62" s="698"/>
      <c r="GI62" s="698"/>
      <c r="GJ62" s="698"/>
      <c r="GK62" s="698"/>
      <c r="GL62" s="698"/>
      <c r="GM62" s="698"/>
      <c r="GN62" s="698"/>
      <c r="GO62" s="698"/>
      <c r="GP62" s="698"/>
      <c r="GQ62" s="698"/>
      <c r="GR62" s="698"/>
      <c r="GS62" s="698"/>
      <c r="GT62" s="698"/>
      <c r="GU62" s="698"/>
      <c r="GV62" s="698"/>
      <c r="GW62" s="698"/>
      <c r="GX62" s="698"/>
      <c r="GY62" s="698"/>
      <c r="GZ62" s="698"/>
      <c r="HA62" s="698"/>
      <c r="HB62" s="698"/>
      <c r="HC62" s="698"/>
      <c r="HD62" s="698"/>
      <c r="HE62" s="698"/>
      <c r="HF62" s="698"/>
      <c r="HG62" s="701"/>
      <c r="HH62" s="698"/>
      <c r="HI62" s="698"/>
      <c r="HJ62" s="698"/>
      <c r="HK62" s="698"/>
      <c r="HL62" s="698"/>
      <c r="HM62" s="698"/>
      <c r="HN62" s="698"/>
      <c r="HO62" s="698"/>
      <c r="HP62" s="698"/>
      <c r="HQ62" s="698"/>
      <c r="HR62" s="698"/>
      <c r="HS62" s="699"/>
      <c r="HT62" s="699"/>
      <c r="HU62" s="699"/>
      <c r="HV62" s="699"/>
      <c r="HW62" s="699"/>
      <c r="HX62" s="699"/>
      <c r="HY62" s="699"/>
      <c r="HZ62" s="699"/>
      <c r="IA62" s="699"/>
      <c r="IB62" s="699"/>
      <c r="IC62" s="699"/>
      <c r="ID62" s="699"/>
      <c r="IE62" s="699"/>
      <c r="IF62" s="699"/>
      <c r="IG62" s="699"/>
      <c r="IH62" s="699"/>
      <c r="II62" s="699"/>
      <c r="IJ62" s="699"/>
      <c r="IK62" s="700"/>
    </row>
    <row r="63" spans="1:306" ht="8.1" customHeight="1">
      <c r="A63" s="694">
        <f t="shared" si="67"/>
        <v>2007</v>
      </c>
      <c r="B63" s="695">
        <v>40232</v>
      </c>
      <c r="C63" s="766"/>
      <c r="D63" s="695">
        <v>40468</v>
      </c>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766"/>
      <c r="AS63" s="766"/>
      <c r="AT63" s="766"/>
      <c r="AU63" s="766"/>
      <c r="AV63" s="766"/>
      <c r="AW63" s="766"/>
      <c r="AX63" s="766"/>
      <c r="AY63" s="766"/>
      <c r="AZ63" s="766"/>
      <c r="BA63" s="766"/>
      <c r="BB63" s="766"/>
      <c r="BC63" s="766"/>
      <c r="BD63" s="766"/>
      <c r="BE63" s="766"/>
      <c r="BF63" s="766"/>
      <c r="BG63" s="766"/>
      <c r="BH63" s="700"/>
      <c r="BI63" s="699"/>
      <c r="BJ63" s="699"/>
      <c r="BK63" s="699"/>
      <c r="BL63" s="699"/>
      <c r="BM63" s="699"/>
      <c r="BN63" s="699"/>
      <c r="BO63" s="699"/>
      <c r="BP63" s="699"/>
      <c r="BQ63" s="699"/>
      <c r="BR63" s="699"/>
      <c r="BS63" s="699"/>
      <c r="BT63" s="699"/>
      <c r="BU63" s="699"/>
      <c r="BV63" s="699"/>
      <c r="BW63" s="699"/>
      <c r="BX63" s="699"/>
      <c r="BY63" s="699"/>
      <c r="BZ63" s="699"/>
      <c r="CA63" s="699"/>
      <c r="CB63" s="699"/>
      <c r="CC63" s="699"/>
      <c r="CD63" s="699"/>
      <c r="CE63" s="699"/>
      <c r="CF63" s="699"/>
      <c r="CG63" s="699"/>
      <c r="CH63" s="699"/>
      <c r="CI63" s="699"/>
      <c r="CJ63" s="700"/>
      <c r="CK63" s="700"/>
      <c r="CL63" s="699"/>
      <c r="CM63" s="699"/>
      <c r="CN63" s="699"/>
      <c r="CO63" s="700"/>
      <c r="CP63" s="699"/>
      <c r="CQ63" s="699"/>
      <c r="CR63" s="699"/>
      <c r="CS63" s="699"/>
      <c r="CT63" s="699"/>
      <c r="CU63" s="699"/>
      <c r="CV63" s="699"/>
      <c r="CW63" s="699"/>
      <c r="CX63" s="699"/>
      <c r="CY63" s="699"/>
      <c r="CZ63" s="699"/>
      <c r="DA63" s="699"/>
      <c r="DB63" s="699"/>
      <c r="DC63" s="699"/>
      <c r="DD63" s="699"/>
      <c r="DE63" s="699"/>
      <c r="DF63" s="699"/>
      <c r="DG63" s="699"/>
      <c r="DH63" s="703"/>
      <c r="DI63" s="703"/>
      <c r="DJ63" s="703"/>
      <c r="DK63" s="698"/>
      <c r="DL63" s="698"/>
      <c r="DM63" s="701"/>
      <c r="DN63" s="698"/>
      <c r="DO63" s="698"/>
      <c r="DP63" s="698"/>
      <c r="DQ63" s="698"/>
      <c r="DR63" s="698"/>
      <c r="DS63" s="698"/>
      <c r="DT63" s="698"/>
      <c r="DU63" s="698"/>
      <c r="DV63" s="698"/>
      <c r="DW63" s="712"/>
      <c r="DX63" s="698"/>
      <c r="DY63" s="698"/>
      <c r="DZ63" s="698"/>
      <c r="EA63" s="701"/>
      <c r="EB63" s="698"/>
      <c r="EC63" s="698"/>
      <c r="ED63" s="698"/>
      <c r="EE63" s="698"/>
      <c r="EF63" s="698"/>
      <c r="EG63" s="698"/>
      <c r="EH63" s="698"/>
      <c r="EI63" s="698"/>
      <c r="EJ63" s="698"/>
      <c r="EK63" s="698"/>
      <c r="EL63" s="698"/>
      <c r="EM63" s="698"/>
      <c r="EN63" s="698"/>
      <c r="EO63" s="698"/>
      <c r="EP63" s="698"/>
      <c r="EQ63" s="698"/>
      <c r="ER63" s="698"/>
      <c r="ES63" s="701"/>
      <c r="ET63" s="698"/>
      <c r="EU63" s="698"/>
      <c r="EV63" s="698"/>
      <c r="EW63" s="698"/>
      <c r="EX63" s="698"/>
      <c r="EY63" s="698"/>
      <c r="EZ63" s="698"/>
      <c r="FA63" s="701"/>
      <c r="FB63" s="698"/>
      <c r="FC63" s="698"/>
      <c r="FD63" s="698"/>
      <c r="FE63" s="698"/>
      <c r="FF63" s="698"/>
      <c r="FG63" s="698"/>
      <c r="FH63" s="698"/>
      <c r="FI63" s="698"/>
      <c r="FJ63" s="698"/>
      <c r="FK63" s="698"/>
      <c r="FL63" s="698"/>
      <c r="FM63" s="698"/>
      <c r="FN63" s="698"/>
      <c r="FO63" s="698"/>
      <c r="FP63" s="710"/>
      <c r="FQ63" s="698"/>
      <c r="FR63" s="698"/>
      <c r="FS63" s="698"/>
      <c r="FT63" s="701"/>
      <c r="FU63" s="698"/>
      <c r="FV63" s="698"/>
      <c r="FW63" s="698"/>
      <c r="FX63" s="698"/>
      <c r="FY63" s="698"/>
      <c r="FZ63" s="698"/>
      <c r="GA63" s="698"/>
      <c r="GB63" s="698"/>
      <c r="GC63" s="698"/>
      <c r="GD63" s="698"/>
      <c r="GE63" s="698"/>
      <c r="GF63" s="698"/>
      <c r="GG63" s="698"/>
      <c r="GH63" s="698"/>
      <c r="GI63" s="698"/>
      <c r="GJ63" s="698"/>
      <c r="GK63" s="698"/>
      <c r="GL63" s="698"/>
      <c r="GM63" s="698"/>
      <c r="GN63" s="698"/>
      <c r="GO63" s="698"/>
      <c r="GP63" s="698"/>
      <c r="GQ63" s="698"/>
      <c r="GR63" s="698"/>
      <c r="GS63" s="698"/>
      <c r="GT63" s="698"/>
      <c r="GU63" s="698"/>
      <c r="GV63" s="698"/>
      <c r="GW63" s="698"/>
      <c r="GX63" s="698"/>
      <c r="GY63" s="698"/>
      <c r="GZ63" s="698"/>
      <c r="HA63" s="698"/>
      <c r="HB63" s="698"/>
      <c r="HC63" s="698"/>
      <c r="HD63" s="698"/>
      <c r="HE63" s="698"/>
      <c r="HF63" s="698"/>
      <c r="HG63" s="698"/>
      <c r="HH63" s="698"/>
      <c r="HI63" s="698"/>
      <c r="HJ63" s="698"/>
      <c r="HK63" s="698"/>
      <c r="HL63" s="698"/>
      <c r="HM63" s="698"/>
      <c r="HN63" s="698"/>
      <c r="HO63" s="698"/>
      <c r="HP63" s="698"/>
      <c r="HQ63" s="698"/>
      <c r="HR63" s="698"/>
      <c r="HS63" s="699"/>
      <c r="HT63" s="699"/>
      <c r="HU63" s="699"/>
      <c r="HV63" s="699"/>
      <c r="HW63" s="699"/>
      <c r="HX63" s="699"/>
      <c r="HY63" s="699"/>
      <c r="HZ63" s="699"/>
      <c r="IA63" s="699"/>
      <c r="IB63" s="699"/>
      <c r="IC63" s="699"/>
      <c r="ID63" s="699"/>
      <c r="IE63" s="699"/>
      <c r="IF63" s="699"/>
      <c r="IG63" s="699"/>
      <c r="IH63" s="699"/>
      <c r="II63" s="699"/>
      <c r="IJ63" s="699"/>
      <c r="IK63" s="699"/>
      <c r="IL63" s="699"/>
      <c r="IM63" s="699"/>
      <c r="IN63" s="699"/>
      <c r="IO63" s="699"/>
      <c r="IP63" s="699"/>
      <c r="IQ63" s="699"/>
      <c r="IR63" s="699"/>
      <c r="IS63" s="699"/>
      <c r="IT63" s="699"/>
      <c r="IU63" s="699"/>
      <c r="IV63" s="699"/>
      <c r="IW63" s="699"/>
      <c r="IX63" s="699"/>
      <c r="IY63" s="699"/>
      <c r="IZ63" s="699"/>
      <c r="JA63" s="699"/>
      <c r="JB63" s="699"/>
      <c r="JC63" s="699"/>
      <c r="JD63" s="699"/>
      <c r="JE63" s="699"/>
      <c r="JF63" s="699"/>
      <c r="JG63" s="699"/>
      <c r="JH63" s="699"/>
      <c r="JI63" s="699"/>
      <c r="JJ63" s="699"/>
      <c r="JK63" s="699"/>
      <c r="JL63" s="699"/>
      <c r="JM63" s="699"/>
      <c r="JN63" s="699"/>
      <c r="JO63" s="699"/>
      <c r="JP63" s="699"/>
      <c r="JQ63" s="699"/>
      <c r="JR63" s="699"/>
      <c r="JS63" s="699"/>
      <c r="JT63" s="699"/>
      <c r="JU63" s="699"/>
      <c r="JV63" s="699"/>
      <c r="JW63" s="699"/>
      <c r="JX63" s="699"/>
      <c r="JY63" s="699"/>
      <c r="JZ63" s="699"/>
      <c r="KA63" s="699"/>
      <c r="KB63" s="699"/>
      <c r="KC63" s="699"/>
      <c r="KD63" s="699"/>
      <c r="KE63" s="699"/>
      <c r="KF63" s="699"/>
      <c r="KG63" s="699"/>
      <c r="KH63" s="699"/>
      <c r="KI63" s="699"/>
      <c r="KJ63" s="700"/>
    </row>
    <row r="64" spans="1:306" ht="8.1" customHeight="1">
      <c r="A64" s="694">
        <f t="shared" si="67"/>
        <v>2008</v>
      </c>
      <c r="B64" s="695">
        <v>40294</v>
      </c>
      <c r="C64" s="766"/>
      <c r="D64" s="695">
        <v>40348</v>
      </c>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766"/>
      <c r="AS64" s="766"/>
      <c r="AT64" s="766"/>
      <c r="AU64" s="766"/>
      <c r="AV64" s="766"/>
      <c r="AW64" s="766"/>
      <c r="AX64" s="766"/>
      <c r="AY64" s="766"/>
      <c r="AZ64" s="766"/>
      <c r="BA64" s="766"/>
      <c r="BB64" s="766"/>
      <c r="BC64" s="766"/>
      <c r="BD64" s="766"/>
      <c r="BE64" s="766"/>
      <c r="BF64" s="766"/>
      <c r="BG64" s="766"/>
      <c r="DH64" s="696"/>
      <c r="DI64" s="696"/>
      <c r="DJ64" s="696"/>
      <c r="DK64" s="697"/>
      <c r="DL64" s="697"/>
      <c r="DM64" s="697"/>
      <c r="DN64" s="697"/>
      <c r="DO64" s="697"/>
      <c r="DP64" s="697"/>
      <c r="DQ64" s="697"/>
      <c r="DR64" s="701"/>
      <c r="DS64" s="698"/>
      <c r="DT64" s="698"/>
      <c r="DU64" s="698"/>
      <c r="DV64" s="698"/>
      <c r="DW64" s="712"/>
      <c r="DX64" s="698"/>
      <c r="DY64" s="698"/>
      <c r="DZ64" s="698"/>
      <c r="EA64" s="698"/>
      <c r="EB64" s="698"/>
      <c r="EC64" s="698"/>
      <c r="ED64" s="698"/>
      <c r="EE64" s="698"/>
      <c r="EF64" s="698"/>
      <c r="EG64" s="698"/>
      <c r="EH64" s="698"/>
      <c r="EI64" s="698"/>
      <c r="EJ64" s="698"/>
      <c r="EK64" s="698"/>
      <c r="EL64" s="698"/>
      <c r="EM64" s="698"/>
      <c r="EN64" s="698"/>
      <c r="EO64" s="698"/>
      <c r="EP64" s="698"/>
      <c r="EQ64" s="698"/>
      <c r="ER64" s="698"/>
      <c r="ES64" s="698"/>
      <c r="ET64" s="698"/>
      <c r="EU64" s="701"/>
      <c r="EV64" s="701"/>
      <c r="EW64" s="698"/>
      <c r="EX64" s="698"/>
      <c r="EY64" s="698"/>
      <c r="EZ64" s="698"/>
      <c r="FA64" s="698"/>
      <c r="FB64" s="698"/>
      <c r="FC64" s="698"/>
      <c r="FD64" s="698"/>
      <c r="FE64" s="698"/>
      <c r="FF64" s="698"/>
      <c r="FG64" s="698"/>
      <c r="FH64" s="698"/>
      <c r="FI64" s="698"/>
      <c r="FJ64" s="698"/>
      <c r="FK64" s="698"/>
      <c r="FL64" s="698"/>
      <c r="FM64" s="698"/>
      <c r="FN64" s="698"/>
      <c r="FO64" s="701"/>
      <c r="FP64" s="711"/>
      <c r="FQ64" s="698"/>
      <c r="FR64" s="698"/>
      <c r="FS64" s="701"/>
      <c r="FT64" s="701"/>
      <c r="FU64" s="697"/>
      <c r="FV64" s="697"/>
      <c r="FW64" s="697"/>
      <c r="FX64" s="697"/>
      <c r="FY64" s="697"/>
      <c r="FZ64" s="697"/>
      <c r="GA64" s="697"/>
      <c r="GB64" s="697"/>
      <c r="GC64" s="697"/>
      <c r="GD64" s="697"/>
      <c r="GE64" s="697"/>
      <c r="GF64" s="697"/>
      <c r="GG64" s="697"/>
      <c r="GH64" s="697"/>
      <c r="GI64" s="697"/>
      <c r="GJ64" s="697"/>
      <c r="GK64" s="697"/>
      <c r="GL64" s="697"/>
      <c r="GM64" s="697"/>
      <c r="GN64" s="697"/>
      <c r="GO64" s="697"/>
      <c r="GP64" s="697"/>
      <c r="GQ64" s="697"/>
      <c r="GR64" s="697"/>
      <c r="GS64" s="697"/>
      <c r="GT64" s="697"/>
      <c r="GU64" s="697"/>
      <c r="GV64" s="697"/>
      <c r="GW64" s="697"/>
      <c r="GX64" s="697"/>
      <c r="GY64" s="697"/>
      <c r="GZ64" s="697"/>
      <c r="HA64" s="697"/>
      <c r="HB64" s="697"/>
      <c r="HC64" s="697"/>
      <c r="HD64" s="697"/>
      <c r="HE64" s="697"/>
      <c r="HF64" s="697"/>
      <c r="HG64" s="697"/>
      <c r="HH64" s="697"/>
      <c r="HI64" s="697"/>
      <c r="HJ64" s="697"/>
      <c r="HK64" s="697"/>
      <c r="HL64" s="697"/>
      <c r="HM64" s="697"/>
      <c r="HN64" s="697"/>
      <c r="HO64" s="697"/>
      <c r="HP64" s="697"/>
      <c r="HQ64" s="697"/>
      <c r="HR64" s="697"/>
    </row>
    <row r="65" spans="1:354" ht="8.1" customHeight="1">
      <c r="A65" s="694">
        <f t="shared" si="67"/>
        <v>2009</v>
      </c>
      <c r="B65" s="695">
        <v>40297</v>
      </c>
      <c r="C65" s="766"/>
      <c r="D65" s="695">
        <v>40344</v>
      </c>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c r="BA65" s="766"/>
      <c r="BB65" s="766"/>
      <c r="BC65" s="766"/>
      <c r="BD65" s="766"/>
      <c r="BE65" s="766"/>
      <c r="BF65" s="766"/>
      <c r="BG65" s="766"/>
      <c r="DH65" s="696"/>
      <c r="DI65" s="696"/>
      <c r="DJ65" s="696"/>
      <c r="DK65" s="697"/>
      <c r="DL65" s="697"/>
      <c r="DM65" s="697"/>
      <c r="DN65" s="697"/>
      <c r="DO65" s="697"/>
      <c r="DP65" s="697"/>
      <c r="DQ65" s="697"/>
      <c r="DR65" s="697"/>
      <c r="DS65" s="697"/>
      <c r="DT65" s="697"/>
      <c r="DU65" s="701"/>
      <c r="DV65" s="698"/>
      <c r="DW65" s="712"/>
      <c r="DX65" s="698"/>
      <c r="DY65" s="698"/>
      <c r="DZ65" s="698"/>
      <c r="EA65" s="698"/>
      <c r="EB65" s="698"/>
      <c r="EC65" s="698"/>
      <c r="ED65" s="698"/>
      <c r="EE65" s="698"/>
      <c r="EF65" s="698"/>
      <c r="EG65" s="698"/>
      <c r="EH65" s="698"/>
      <c r="EI65" s="698"/>
      <c r="EJ65" s="698"/>
      <c r="EK65" s="701"/>
      <c r="EL65" s="698"/>
      <c r="EM65" s="698"/>
      <c r="EN65" s="698"/>
      <c r="EO65" s="698"/>
      <c r="EP65" s="698"/>
      <c r="EQ65" s="698"/>
      <c r="ER65" s="698"/>
      <c r="ES65" s="698"/>
      <c r="ET65" s="698"/>
      <c r="EU65" s="698"/>
      <c r="EV65" s="698"/>
      <c r="EW65" s="698"/>
      <c r="EX65" s="698"/>
      <c r="EY65" s="698"/>
      <c r="EZ65" s="698"/>
      <c r="FA65" s="698"/>
      <c r="FB65" s="698"/>
      <c r="FC65" s="698"/>
      <c r="FD65" s="698"/>
      <c r="FE65" s="701"/>
      <c r="FF65" s="701"/>
      <c r="FG65" s="698"/>
      <c r="FH65" s="698"/>
      <c r="FI65" s="698"/>
      <c r="FJ65" s="698"/>
      <c r="FK65" s="698"/>
      <c r="FL65" s="698"/>
      <c r="FM65" s="698"/>
      <c r="FN65" s="698"/>
      <c r="FO65" s="698"/>
      <c r="FP65" s="711"/>
      <c r="FQ65" s="697"/>
      <c r="FR65" s="697"/>
      <c r="FS65" s="697"/>
      <c r="FT65" s="697"/>
      <c r="FU65" s="697"/>
      <c r="FV65" s="697"/>
      <c r="FW65" s="697"/>
      <c r="FX65" s="697"/>
      <c r="FY65" s="697"/>
      <c r="FZ65" s="697"/>
      <c r="GA65" s="697"/>
      <c r="GB65" s="697"/>
      <c r="GC65" s="697"/>
      <c r="GD65" s="697"/>
      <c r="GE65" s="697"/>
      <c r="GF65" s="697"/>
      <c r="GG65" s="697"/>
      <c r="GH65" s="697"/>
      <c r="GI65" s="697"/>
      <c r="GJ65" s="697"/>
      <c r="GK65" s="697"/>
      <c r="GL65" s="697"/>
      <c r="GM65" s="697"/>
      <c r="GN65" s="697"/>
      <c r="GO65" s="697"/>
      <c r="GP65" s="697"/>
      <c r="GQ65" s="697"/>
      <c r="GR65" s="697"/>
      <c r="GS65" s="697"/>
      <c r="GT65" s="697"/>
      <c r="GU65" s="697"/>
      <c r="GV65" s="697"/>
      <c r="GW65" s="697"/>
      <c r="GX65" s="697"/>
      <c r="GY65" s="697"/>
      <c r="GZ65" s="697"/>
      <c r="HA65" s="697"/>
      <c r="HB65" s="697"/>
      <c r="HC65" s="697"/>
      <c r="HD65" s="697"/>
      <c r="HE65" s="697"/>
      <c r="HF65" s="697"/>
      <c r="HG65" s="697"/>
      <c r="HH65" s="697"/>
      <c r="HI65" s="697"/>
      <c r="HJ65" s="697"/>
      <c r="HK65" s="697"/>
      <c r="HL65" s="697"/>
      <c r="HM65" s="697"/>
      <c r="HN65" s="697"/>
      <c r="HO65" s="697"/>
      <c r="HP65" s="697"/>
      <c r="HQ65" s="697"/>
      <c r="HR65" s="697"/>
    </row>
    <row r="66" spans="1:354" ht="8.1" customHeight="1">
      <c r="A66" s="694">
        <f t="shared" si="67"/>
        <v>2010</v>
      </c>
      <c r="B66" s="695">
        <v>40288</v>
      </c>
      <c r="C66" s="766"/>
      <c r="D66" s="695">
        <v>40342</v>
      </c>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66"/>
      <c r="AC66" s="766"/>
      <c r="AD66" s="766"/>
      <c r="AE66" s="766"/>
      <c r="AF66" s="766"/>
      <c r="AG66" s="766"/>
      <c r="AH66" s="766"/>
      <c r="AI66" s="766"/>
      <c r="AJ66" s="766"/>
      <c r="AK66" s="766"/>
      <c r="AL66" s="766"/>
      <c r="AM66" s="766"/>
      <c r="AN66" s="766"/>
      <c r="AO66" s="766"/>
      <c r="AP66" s="766"/>
      <c r="AQ66" s="766"/>
      <c r="AR66" s="766"/>
      <c r="AS66" s="766"/>
      <c r="AT66" s="766"/>
      <c r="AU66" s="766"/>
      <c r="AV66" s="766"/>
      <c r="AW66" s="766"/>
      <c r="AX66" s="766"/>
      <c r="AY66" s="766"/>
      <c r="AZ66" s="766"/>
      <c r="BA66" s="766"/>
      <c r="BB66" s="766"/>
      <c r="BC66" s="766"/>
      <c r="BD66" s="766"/>
      <c r="BE66" s="766"/>
      <c r="BF66" s="766"/>
      <c r="BG66" s="766"/>
      <c r="DH66" s="696"/>
      <c r="DI66" s="696"/>
      <c r="DJ66" s="696"/>
      <c r="DK66" s="697"/>
      <c r="DL66" s="701"/>
      <c r="DM66" s="698"/>
      <c r="DN66" s="701"/>
      <c r="DO66" s="698"/>
      <c r="DP66" s="698"/>
      <c r="DQ66" s="698"/>
      <c r="DR66" s="698"/>
      <c r="DS66" s="698"/>
      <c r="DT66" s="698"/>
      <c r="DU66" s="698"/>
      <c r="DV66" s="698"/>
      <c r="DW66" s="712"/>
      <c r="DX66" s="698"/>
      <c r="DY66" s="698"/>
      <c r="DZ66" s="698"/>
      <c r="EA66" s="698"/>
      <c r="EB66" s="698"/>
      <c r="EC66" s="698"/>
      <c r="ED66" s="698"/>
      <c r="EE66" s="698"/>
      <c r="EF66" s="698"/>
      <c r="EG66" s="698"/>
      <c r="EH66" s="698"/>
      <c r="EI66" s="698"/>
      <c r="EJ66" s="698"/>
      <c r="EK66" s="698"/>
      <c r="EL66" s="698"/>
      <c r="EM66" s="698"/>
      <c r="EN66" s="701"/>
      <c r="EO66" s="701"/>
      <c r="EP66" s="698"/>
      <c r="EQ66" s="698"/>
      <c r="ER66" s="698"/>
      <c r="ES66" s="701"/>
      <c r="ET66" s="701"/>
      <c r="EU66" s="698"/>
      <c r="EV66" s="698"/>
      <c r="EW66" s="698"/>
      <c r="EX66" s="698"/>
      <c r="EY66" s="698"/>
      <c r="EZ66" s="698"/>
      <c r="FA66" s="701"/>
      <c r="FB66" s="698"/>
      <c r="FC66" s="698"/>
      <c r="FD66" s="698"/>
      <c r="FE66" s="698"/>
      <c r="FF66" s="698"/>
      <c r="FG66" s="698"/>
      <c r="FH66" s="698"/>
      <c r="FI66" s="698"/>
      <c r="FJ66" s="698"/>
      <c r="FK66" s="698"/>
      <c r="FL66" s="698"/>
      <c r="FM66" s="701"/>
      <c r="FN66" s="701"/>
      <c r="FO66" s="697"/>
      <c r="FP66" s="709"/>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c r="GV66" s="697"/>
      <c r="GW66" s="697"/>
      <c r="GX66" s="697"/>
      <c r="GY66" s="697"/>
      <c r="GZ66" s="697"/>
      <c r="HA66" s="697"/>
      <c r="HB66" s="697"/>
      <c r="HC66" s="697"/>
      <c r="HD66" s="697"/>
      <c r="HE66" s="697"/>
      <c r="HF66" s="697"/>
      <c r="HG66" s="697"/>
      <c r="HH66" s="697"/>
      <c r="HI66" s="697"/>
      <c r="HJ66" s="697"/>
      <c r="HK66" s="697"/>
      <c r="HL66" s="697"/>
      <c r="HM66" s="697"/>
      <c r="HN66" s="697"/>
      <c r="HO66" s="697"/>
      <c r="HP66" s="697"/>
      <c r="HQ66" s="697"/>
      <c r="HR66" s="697"/>
    </row>
    <row r="67" spans="1:354" ht="8.1" customHeight="1">
      <c r="A67" s="694">
        <f t="shared" si="67"/>
        <v>2011</v>
      </c>
      <c r="B67" s="695">
        <v>40705</v>
      </c>
      <c r="C67" s="766"/>
      <c r="D67" s="695">
        <v>40705</v>
      </c>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66"/>
      <c r="AC67" s="766"/>
      <c r="AD67" s="766"/>
      <c r="AE67" s="766"/>
      <c r="AF67" s="766"/>
      <c r="AG67" s="766"/>
      <c r="AH67" s="766"/>
      <c r="AI67" s="766"/>
      <c r="AJ67" s="766"/>
      <c r="AK67" s="766"/>
      <c r="AL67" s="766"/>
      <c r="AM67" s="766"/>
      <c r="AN67" s="766"/>
      <c r="AO67" s="766"/>
      <c r="AP67" s="766"/>
      <c r="AQ67" s="766"/>
      <c r="AR67" s="766"/>
      <c r="AS67" s="766"/>
      <c r="AT67" s="766"/>
      <c r="AU67" s="766"/>
      <c r="AV67" s="766"/>
      <c r="AW67" s="766"/>
      <c r="AX67" s="766"/>
      <c r="AY67" s="766"/>
      <c r="AZ67" s="766"/>
      <c r="BA67" s="766"/>
      <c r="BB67" s="766"/>
      <c r="BC67" s="766"/>
      <c r="BD67" s="766"/>
      <c r="BE67" s="766"/>
      <c r="BF67" s="766"/>
      <c r="BG67" s="766"/>
      <c r="DK67" s="697"/>
      <c r="DL67" s="697"/>
      <c r="DM67" s="697"/>
      <c r="DN67" s="697"/>
      <c r="DO67" s="697"/>
      <c r="DP67" s="697"/>
      <c r="DQ67" s="697"/>
      <c r="DR67" s="697"/>
      <c r="DS67" s="697"/>
      <c r="DT67" s="697"/>
      <c r="DU67" s="697"/>
      <c r="DV67" s="697"/>
      <c r="DW67" s="713"/>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701"/>
      <c r="FM67" s="697"/>
      <c r="FN67" s="697"/>
      <c r="FO67" s="697"/>
      <c r="FP67" s="709"/>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c r="GV67" s="697"/>
      <c r="GW67" s="697"/>
      <c r="GX67" s="697"/>
      <c r="GY67" s="697"/>
      <c r="GZ67" s="697"/>
      <c r="HA67" s="697"/>
      <c r="HB67" s="697"/>
      <c r="HC67" s="697"/>
      <c r="HD67" s="697"/>
      <c r="HE67" s="697"/>
      <c r="HF67" s="697"/>
      <c r="HG67" s="697"/>
      <c r="HH67" s="697"/>
      <c r="HI67" s="697"/>
      <c r="HJ67" s="697"/>
      <c r="HK67" s="697"/>
      <c r="HL67" s="697"/>
      <c r="HM67" s="697"/>
      <c r="HN67" s="697"/>
      <c r="HO67" s="697"/>
      <c r="HP67" s="697"/>
      <c r="HQ67" s="697"/>
      <c r="HR67" s="697"/>
    </row>
    <row r="68" spans="1:354" ht="8.1" customHeight="1">
      <c r="A68" s="694">
        <f t="shared" si="67"/>
        <v>2012</v>
      </c>
      <c r="B68" s="695">
        <v>40942</v>
      </c>
      <c r="C68" s="766"/>
      <c r="D68" s="695">
        <v>41257</v>
      </c>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766"/>
      <c r="AK68" s="766"/>
      <c r="AL68" s="766"/>
      <c r="AM68" s="766"/>
      <c r="AN68" s="700"/>
      <c r="AO68" s="766"/>
      <c r="AP68" s="766"/>
      <c r="AQ68" s="766"/>
      <c r="AR68" s="699"/>
      <c r="AS68" s="766"/>
      <c r="AT68" s="766"/>
      <c r="AU68" s="766"/>
      <c r="AV68" s="766"/>
      <c r="AW68" s="766"/>
      <c r="AX68" s="766"/>
      <c r="AY68" s="766"/>
      <c r="AZ68" s="766"/>
      <c r="BA68" s="766"/>
      <c r="BB68" s="766"/>
      <c r="BC68" s="766"/>
      <c r="BD68" s="766"/>
      <c r="BE68" s="766"/>
      <c r="BF68" s="766"/>
      <c r="BG68" s="766"/>
      <c r="DV68" s="700"/>
      <c r="DW68" s="830"/>
      <c r="DX68" s="696"/>
      <c r="DY68" s="696"/>
      <c r="DZ68" s="696"/>
      <c r="EA68" s="696"/>
      <c r="EB68" s="696"/>
      <c r="EC68" s="696"/>
      <c r="ED68" s="696"/>
      <c r="EE68" s="696"/>
      <c r="EF68" s="696"/>
      <c r="EG68" s="696"/>
      <c r="EH68" s="696"/>
      <c r="EI68" s="696"/>
      <c r="EJ68" s="696"/>
      <c r="EK68" s="696"/>
      <c r="EL68" s="696"/>
      <c r="EM68" s="696"/>
      <c r="EN68" s="696"/>
      <c r="EO68" s="696"/>
      <c r="EP68" s="696"/>
      <c r="EQ68" s="701"/>
      <c r="ER68" s="696"/>
      <c r="ES68" s="696"/>
      <c r="ET68" s="696"/>
      <c r="EU68" s="696"/>
      <c r="EV68" s="696"/>
      <c r="EW68" s="696"/>
      <c r="EX68" s="696"/>
      <c r="EY68" s="696"/>
      <c r="EZ68" s="696"/>
      <c r="FA68" s="696"/>
      <c r="FB68" s="696"/>
      <c r="FC68" s="696"/>
      <c r="FD68" s="696"/>
      <c r="FE68" s="696"/>
      <c r="FF68" s="696"/>
      <c r="FG68" s="696"/>
      <c r="FH68" s="696"/>
      <c r="FI68" s="696"/>
      <c r="FJ68" s="696"/>
      <c r="FK68" s="696"/>
      <c r="FL68" s="696"/>
      <c r="FM68" s="696"/>
      <c r="FN68" s="696"/>
      <c r="FO68" s="696"/>
      <c r="FP68" s="831"/>
      <c r="MP68" s="700"/>
    </row>
    <row r="69" spans="1:354" ht="8.1" customHeight="1">
      <c r="A69" s="694">
        <f t="shared" si="67"/>
        <v>2013</v>
      </c>
      <c r="B69" s="695">
        <v>41787</v>
      </c>
      <c r="C69" s="766"/>
      <c r="D69" s="695">
        <v>41865</v>
      </c>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c r="BA69" s="766"/>
      <c r="BB69" s="766"/>
      <c r="BC69" s="766"/>
      <c r="BD69" s="766"/>
      <c r="BE69" s="766"/>
      <c r="BF69" s="766"/>
      <c r="BG69" s="766"/>
      <c r="DW69" s="830"/>
      <c r="DX69" s="696"/>
      <c r="DY69" s="696"/>
      <c r="DZ69" s="696"/>
      <c r="EA69" s="696"/>
      <c r="EB69" s="696"/>
      <c r="EC69" s="696"/>
      <c r="ED69" s="696"/>
      <c r="EE69" s="696"/>
      <c r="EF69" s="696"/>
      <c r="EG69" s="696"/>
      <c r="EH69" s="696"/>
      <c r="EI69" s="696"/>
      <c r="EJ69" s="696"/>
      <c r="EK69" s="696"/>
      <c r="EL69" s="696"/>
      <c r="EM69" s="696"/>
      <c r="EN69" s="696"/>
      <c r="EO69" s="696"/>
      <c r="EP69" s="696"/>
      <c r="EQ69" s="696"/>
      <c r="ER69" s="696"/>
      <c r="ES69" s="696"/>
      <c r="ET69" s="696"/>
      <c r="EU69" s="696"/>
      <c r="EV69" s="696"/>
      <c r="EW69" s="696"/>
      <c r="EX69" s="701"/>
      <c r="EY69" s="696"/>
      <c r="EZ69" s="696"/>
      <c r="FA69" s="696"/>
      <c r="FB69" s="696"/>
      <c r="FC69" s="696"/>
      <c r="FD69" s="696"/>
      <c r="FE69" s="696"/>
      <c r="FF69" s="696"/>
      <c r="FG69" s="696"/>
      <c r="FH69" s="696"/>
      <c r="FI69" s="696"/>
      <c r="FJ69" s="696"/>
      <c r="FK69" s="696"/>
      <c r="FL69" s="696"/>
      <c r="FM69" s="696"/>
      <c r="FN69" s="696"/>
      <c r="FO69" s="696"/>
      <c r="FP69" s="831"/>
      <c r="HX69" s="701"/>
    </row>
    <row r="70" spans="1:354" ht="8.1" customHeight="1">
      <c r="A70" s="694">
        <f t="shared" si="67"/>
        <v>2014</v>
      </c>
      <c r="B70" s="695">
        <v>41796</v>
      </c>
      <c r="C70" s="766"/>
      <c r="D70" s="695">
        <v>41921</v>
      </c>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c r="BA70" s="766"/>
      <c r="BB70" s="766"/>
      <c r="BC70" s="766"/>
      <c r="BD70" s="766"/>
      <c r="BE70" s="766"/>
      <c r="BF70" s="766"/>
      <c r="BG70" s="766"/>
      <c r="DW70" s="830"/>
      <c r="DX70" s="696"/>
      <c r="DY70" s="696"/>
      <c r="DZ70" s="696"/>
      <c r="EA70" s="696"/>
      <c r="EB70" s="696"/>
      <c r="EC70" s="696"/>
      <c r="ED70" s="696"/>
      <c r="EE70" s="696"/>
      <c r="EF70" s="696"/>
      <c r="EG70" s="696"/>
      <c r="EH70" s="696"/>
      <c r="EI70" s="696"/>
      <c r="EJ70" s="696"/>
      <c r="EK70" s="696"/>
      <c r="EL70" s="696"/>
      <c r="EM70" s="696"/>
      <c r="EN70" s="696"/>
      <c r="EO70" s="696"/>
      <c r="EP70" s="696"/>
      <c r="EQ70" s="696"/>
      <c r="ER70" s="696"/>
      <c r="ES70" s="696"/>
      <c r="ET70" s="696"/>
      <c r="EU70" s="696"/>
      <c r="EV70" s="696"/>
      <c r="EW70" s="696"/>
      <c r="EX70" s="696"/>
      <c r="EY70" s="696"/>
      <c r="EZ70" s="696"/>
      <c r="FA70" s="696"/>
      <c r="FB70" s="696"/>
      <c r="FC70" s="696"/>
      <c r="FD70" s="696"/>
      <c r="FE70" s="696"/>
      <c r="FF70" s="696"/>
      <c r="FG70" s="701"/>
      <c r="FH70" s="696"/>
      <c r="FI70" s="696"/>
      <c r="FJ70" s="696"/>
      <c r="FK70" s="696"/>
      <c r="FL70" s="696"/>
      <c r="FM70" s="696"/>
      <c r="FN70" s="696"/>
      <c r="FO70" s="696"/>
      <c r="FP70" s="831"/>
      <c r="FW70" s="701"/>
      <c r="GU70" s="701"/>
      <c r="KB70" s="700"/>
    </row>
    <row r="71" spans="1:354" ht="8.1" customHeight="1">
      <c r="A71" s="694">
        <f t="shared" si="67"/>
        <v>2015</v>
      </c>
      <c r="B71" s="695">
        <v>42471</v>
      </c>
      <c r="C71" s="766"/>
      <c r="D71" s="695">
        <v>42716</v>
      </c>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c r="BA71" s="766"/>
      <c r="BB71" s="766"/>
      <c r="BC71" s="766"/>
      <c r="BD71" s="766"/>
      <c r="BE71" s="766"/>
      <c r="BF71" s="766"/>
      <c r="BG71" s="766"/>
      <c r="DC71" s="701"/>
      <c r="DH71" s="701"/>
      <c r="DW71" s="830"/>
      <c r="DX71" s="696"/>
      <c r="DY71" s="696"/>
      <c r="DZ71" s="696"/>
      <c r="EA71" s="696"/>
      <c r="EB71" s="696"/>
      <c r="EC71" s="696"/>
      <c r="ED71" s="696"/>
      <c r="EE71" s="696"/>
      <c r="EF71" s="696"/>
      <c r="EG71" s="696"/>
      <c r="EH71" s="696"/>
      <c r="EI71" s="696"/>
      <c r="EJ71" s="696"/>
      <c r="EK71" s="696"/>
      <c r="EL71" s="701"/>
      <c r="EM71" s="696"/>
      <c r="EN71" s="696"/>
      <c r="EO71" s="696"/>
      <c r="EP71" s="696"/>
      <c r="EQ71" s="696"/>
      <c r="ER71" s="696"/>
      <c r="ES71" s="696"/>
      <c r="ET71" s="696"/>
      <c r="EU71" s="696"/>
      <c r="EV71" s="696"/>
      <c r="EW71" s="701"/>
      <c r="EX71" s="696"/>
      <c r="EY71" s="696"/>
      <c r="EZ71" s="696"/>
      <c r="FA71" s="696"/>
      <c r="FB71" s="696"/>
      <c r="FC71" s="696"/>
      <c r="FD71" s="696"/>
      <c r="FE71" s="696"/>
      <c r="FF71" s="696"/>
      <c r="FG71" s="696"/>
      <c r="FH71" s="696"/>
      <c r="FI71" s="696"/>
      <c r="FJ71" s="696"/>
      <c r="FK71" s="696"/>
      <c r="FL71" s="696"/>
      <c r="FM71" s="1025"/>
      <c r="FN71" s="696"/>
      <c r="FO71" s="696"/>
      <c r="FP71" s="831"/>
      <c r="LN71" s="1026"/>
      <c r="MN71" s="1026"/>
    </row>
    <row r="72" spans="1:354" ht="8.1" customHeight="1">
      <c r="A72" s="694">
        <f t="shared" si="67"/>
        <v>2016</v>
      </c>
      <c r="B72" s="695"/>
      <c r="C72" s="766"/>
      <c r="D72" s="695"/>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c r="AR72" s="766"/>
      <c r="AS72" s="766"/>
      <c r="AT72" s="766"/>
      <c r="AU72" s="766"/>
      <c r="AV72" s="766"/>
      <c r="AW72" s="766"/>
      <c r="AX72" s="766"/>
      <c r="AY72" s="766"/>
      <c r="AZ72" s="766"/>
      <c r="BA72" s="766"/>
      <c r="BB72" s="766"/>
      <c r="BC72" s="766"/>
      <c r="BD72" s="766"/>
      <c r="BE72" s="766"/>
      <c r="BF72" s="766"/>
      <c r="BG72" s="766"/>
      <c r="DW72" s="830"/>
      <c r="DX72" s="696"/>
      <c r="DY72" s="696"/>
      <c r="DZ72" s="696"/>
      <c r="EA72" s="696"/>
      <c r="EB72" s="696"/>
      <c r="EC72" s="696"/>
      <c r="ED72" s="696"/>
      <c r="EE72" s="696"/>
      <c r="EF72" s="696"/>
      <c r="EG72" s="696"/>
      <c r="EH72" s="696"/>
      <c r="EI72" s="696"/>
      <c r="EJ72" s="696"/>
      <c r="EK72" s="696"/>
      <c r="EL72" s="696"/>
      <c r="EM72" s="696"/>
      <c r="EN72" s="696"/>
      <c r="EO72" s="696"/>
      <c r="EP72" s="696"/>
      <c r="EQ72" s="696"/>
      <c r="ER72" s="696"/>
      <c r="ES72" s="696"/>
      <c r="ET72" s="696"/>
      <c r="EU72" s="696"/>
      <c r="EV72" s="696"/>
      <c r="EW72" s="696"/>
      <c r="EX72" s="696"/>
      <c r="EY72" s="696"/>
      <c r="EZ72" s="696"/>
      <c r="FA72" s="696"/>
      <c r="FB72" s="696"/>
      <c r="FC72" s="696"/>
      <c r="FD72" s="696"/>
      <c r="FE72" s="696"/>
      <c r="FF72" s="696"/>
      <c r="FG72" s="696"/>
      <c r="FH72" s="696"/>
      <c r="FI72" s="696"/>
      <c r="FJ72" s="696"/>
      <c r="FK72" s="696"/>
      <c r="FL72" s="696"/>
      <c r="FM72" s="696"/>
      <c r="FN72" s="696"/>
      <c r="FO72" s="696"/>
      <c r="FP72" s="831"/>
    </row>
    <row r="73" spans="1:354" ht="8.1" customHeight="1">
      <c r="A73" s="694">
        <f t="shared" si="67"/>
        <v>2017</v>
      </c>
      <c r="B73" s="695"/>
      <c r="C73" s="766"/>
      <c r="D73" s="695"/>
      <c r="E73" s="766"/>
      <c r="F73" s="766"/>
      <c r="G73" s="766"/>
      <c r="H73" s="766"/>
      <c r="I73" s="766"/>
      <c r="J73" s="766"/>
      <c r="K73" s="766"/>
      <c r="L73" s="766"/>
      <c r="M73" s="766"/>
      <c r="N73" s="766"/>
      <c r="O73" s="766"/>
      <c r="P73" s="766"/>
      <c r="Q73" s="766"/>
      <c r="R73" s="766"/>
      <c r="S73" s="766"/>
      <c r="T73" s="766"/>
      <c r="U73" s="766"/>
      <c r="V73" s="766"/>
      <c r="W73" s="766"/>
      <c r="X73" s="766"/>
      <c r="Y73" s="766"/>
      <c r="Z73" s="766"/>
      <c r="AA73" s="766"/>
      <c r="AB73" s="766"/>
      <c r="AC73" s="766"/>
      <c r="AD73" s="766"/>
      <c r="AE73" s="766"/>
      <c r="AF73" s="766"/>
      <c r="AG73" s="766"/>
      <c r="AH73" s="766"/>
      <c r="AI73" s="766"/>
      <c r="AJ73" s="766"/>
      <c r="AK73" s="766"/>
      <c r="AL73" s="766"/>
      <c r="AM73" s="766"/>
      <c r="AN73" s="766"/>
      <c r="AO73" s="766"/>
      <c r="AP73" s="766"/>
      <c r="AQ73" s="766"/>
      <c r="AR73" s="766"/>
      <c r="AS73" s="766"/>
      <c r="AT73" s="766"/>
      <c r="AU73" s="766"/>
      <c r="AV73" s="766"/>
      <c r="AW73" s="766"/>
      <c r="AX73" s="766"/>
      <c r="AY73" s="766"/>
      <c r="AZ73" s="766"/>
      <c r="BA73" s="766"/>
      <c r="BB73" s="766"/>
      <c r="BC73" s="766"/>
      <c r="BD73" s="766"/>
      <c r="BE73" s="766"/>
      <c r="BF73" s="766"/>
      <c r="BG73" s="766"/>
      <c r="DW73" s="830"/>
      <c r="DX73" s="696"/>
      <c r="DY73" s="696"/>
      <c r="DZ73" s="696"/>
      <c r="EA73" s="696"/>
      <c r="EB73" s="696"/>
      <c r="EC73" s="696"/>
      <c r="ED73" s="696"/>
      <c r="EE73" s="696"/>
      <c r="EF73" s="696"/>
      <c r="EG73" s="696"/>
      <c r="EH73" s="696"/>
      <c r="EI73" s="696"/>
      <c r="EJ73" s="696"/>
      <c r="EK73" s="696"/>
      <c r="EL73" s="696"/>
      <c r="EM73" s="696"/>
      <c r="EN73" s="696"/>
      <c r="EO73" s="696"/>
      <c r="EP73" s="696"/>
      <c r="EQ73" s="696"/>
      <c r="ER73" s="696"/>
      <c r="ES73" s="696"/>
      <c r="ET73" s="696"/>
      <c r="EU73" s="696"/>
      <c r="EV73" s="696"/>
      <c r="EW73" s="696"/>
      <c r="EX73" s="696"/>
      <c r="EY73" s="696"/>
      <c r="EZ73" s="696"/>
      <c r="FA73" s="696"/>
      <c r="FB73" s="696"/>
      <c r="FC73" s="696"/>
      <c r="FD73" s="696"/>
      <c r="FE73" s="696"/>
      <c r="FF73" s="696"/>
      <c r="FG73" s="696"/>
      <c r="FH73" s="696"/>
      <c r="FI73" s="696"/>
      <c r="FJ73" s="696"/>
      <c r="FK73" s="696"/>
      <c r="FL73" s="696"/>
      <c r="FM73" s="696"/>
      <c r="FN73" s="696"/>
      <c r="FO73" s="696"/>
      <c r="FP73" s="831"/>
    </row>
    <row r="74" spans="1:354" ht="8.1" customHeight="1">
      <c r="A74" s="694">
        <f t="shared" si="67"/>
        <v>2018</v>
      </c>
      <c r="B74" s="695"/>
      <c r="C74" s="766"/>
      <c r="D74" s="695"/>
      <c r="E74" s="766"/>
      <c r="F74" s="766"/>
      <c r="G74" s="766"/>
      <c r="H74" s="766"/>
      <c r="I74" s="766"/>
      <c r="J74" s="766"/>
      <c r="K74" s="766"/>
      <c r="L74" s="766"/>
      <c r="M74" s="766"/>
      <c r="N74" s="766"/>
      <c r="O74" s="766"/>
      <c r="P74" s="766"/>
      <c r="Q74" s="766"/>
      <c r="R74" s="766"/>
      <c r="S74" s="766"/>
      <c r="T74" s="766"/>
      <c r="U74" s="766"/>
      <c r="V74" s="766"/>
      <c r="W74" s="766"/>
      <c r="X74" s="766"/>
      <c r="Y74" s="766"/>
      <c r="Z74" s="766"/>
      <c r="AA74" s="766"/>
      <c r="AB74" s="766"/>
      <c r="AC74" s="766"/>
      <c r="AD74" s="766"/>
      <c r="AE74" s="766"/>
      <c r="AF74" s="766"/>
      <c r="AG74" s="766"/>
      <c r="AH74" s="766"/>
      <c r="AI74" s="766"/>
      <c r="AJ74" s="766"/>
      <c r="AK74" s="766"/>
      <c r="AL74" s="766"/>
      <c r="AM74" s="766"/>
      <c r="AN74" s="766"/>
      <c r="AO74" s="766"/>
      <c r="AP74" s="766"/>
      <c r="AQ74" s="766"/>
      <c r="AR74" s="766"/>
      <c r="AS74" s="766"/>
      <c r="AT74" s="766"/>
      <c r="AU74" s="766"/>
      <c r="AV74" s="766"/>
      <c r="AW74" s="766"/>
      <c r="AX74" s="766"/>
      <c r="AY74" s="766"/>
      <c r="AZ74" s="766"/>
      <c r="BA74" s="766"/>
      <c r="BB74" s="766"/>
      <c r="BC74" s="766"/>
      <c r="BD74" s="766"/>
      <c r="BE74" s="766"/>
      <c r="BF74" s="766"/>
      <c r="BG74" s="766"/>
      <c r="DW74" s="830"/>
      <c r="DX74" s="696"/>
      <c r="DY74" s="696"/>
      <c r="DZ74" s="696"/>
      <c r="EA74" s="696"/>
      <c r="EB74" s="696"/>
      <c r="EC74" s="696"/>
      <c r="ED74" s="696"/>
      <c r="EE74" s="696"/>
      <c r="EF74" s="696"/>
      <c r="EG74" s="696"/>
      <c r="EH74" s="696"/>
      <c r="EI74" s="696"/>
      <c r="EJ74" s="696"/>
      <c r="EK74" s="696"/>
      <c r="EL74" s="696"/>
      <c r="EM74" s="696"/>
      <c r="EN74" s="696"/>
      <c r="EO74" s="696"/>
      <c r="EP74" s="696"/>
      <c r="EQ74" s="696"/>
      <c r="ER74" s="696"/>
      <c r="ES74" s="696"/>
      <c r="ET74" s="696"/>
      <c r="EU74" s="696"/>
      <c r="EV74" s="696"/>
      <c r="EW74" s="696"/>
      <c r="EX74" s="696"/>
      <c r="EY74" s="696"/>
      <c r="EZ74" s="696"/>
      <c r="FA74" s="696"/>
      <c r="FB74" s="696"/>
      <c r="FC74" s="696"/>
      <c r="FD74" s="696"/>
      <c r="FE74" s="696"/>
      <c r="FF74" s="696"/>
      <c r="FG74" s="696"/>
      <c r="FH74" s="696"/>
      <c r="FI74" s="696"/>
      <c r="FJ74" s="696"/>
      <c r="FK74" s="696"/>
      <c r="FL74" s="696"/>
      <c r="FM74" s="696"/>
      <c r="FN74" s="696"/>
      <c r="FO74" s="696"/>
      <c r="FP74" s="831"/>
    </row>
    <row r="75" spans="1:354" ht="8.1" customHeight="1">
      <c r="A75" s="694">
        <f t="shared" si="67"/>
        <v>2019</v>
      </c>
      <c r="B75" s="695"/>
      <c r="C75" s="766"/>
      <c r="D75" s="695"/>
      <c r="E75" s="766"/>
      <c r="F75" s="766"/>
      <c r="G75" s="766"/>
      <c r="H75" s="766"/>
      <c r="I75" s="766"/>
      <c r="J75" s="766"/>
      <c r="K75" s="766"/>
      <c r="L75" s="766"/>
      <c r="M75" s="766"/>
      <c r="N75" s="766"/>
      <c r="O75" s="766"/>
      <c r="P75" s="766"/>
      <c r="Q75" s="766"/>
      <c r="R75" s="766"/>
      <c r="S75" s="766"/>
      <c r="T75" s="766"/>
      <c r="U75" s="766"/>
      <c r="V75" s="766"/>
      <c r="W75" s="766"/>
      <c r="X75" s="766"/>
      <c r="Y75" s="766"/>
      <c r="Z75" s="766"/>
      <c r="AA75" s="766"/>
      <c r="AB75" s="766"/>
      <c r="AC75" s="766"/>
      <c r="AD75" s="766"/>
      <c r="AE75" s="766"/>
      <c r="AF75" s="766"/>
      <c r="AG75" s="766"/>
      <c r="AH75" s="766"/>
      <c r="AI75" s="766"/>
      <c r="AJ75" s="766"/>
      <c r="AK75" s="766"/>
      <c r="AL75" s="766"/>
      <c r="AM75" s="766"/>
      <c r="AN75" s="766"/>
      <c r="AO75" s="766"/>
      <c r="AP75" s="766"/>
      <c r="AQ75" s="766"/>
      <c r="AR75" s="766"/>
      <c r="AS75" s="766"/>
      <c r="AT75" s="766"/>
      <c r="AU75" s="766"/>
      <c r="AV75" s="766"/>
      <c r="AW75" s="766"/>
      <c r="AX75" s="766"/>
      <c r="AY75" s="766"/>
      <c r="AZ75" s="766"/>
      <c r="BA75" s="766"/>
      <c r="BB75" s="766"/>
      <c r="BC75" s="766"/>
      <c r="BD75" s="766"/>
      <c r="BE75" s="766"/>
      <c r="BF75" s="766"/>
      <c r="BG75" s="766"/>
      <c r="DW75" s="830"/>
      <c r="DX75" s="696"/>
      <c r="DY75" s="696"/>
      <c r="DZ75" s="696"/>
      <c r="EA75" s="696"/>
      <c r="EB75" s="696"/>
      <c r="EC75" s="696"/>
      <c r="ED75" s="696"/>
      <c r="EE75" s="696"/>
      <c r="EF75" s="696"/>
      <c r="EG75" s="696"/>
      <c r="EH75" s="696"/>
      <c r="EI75" s="696"/>
      <c r="EJ75" s="696"/>
      <c r="EK75" s="696"/>
      <c r="EL75" s="696"/>
      <c r="EM75" s="696"/>
      <c r="EN75" s="696"/>
      <c r="EO75" s="696"/>
      <c r="EP75" s="696"/>
      <c r="EQ75" s="696"/>
      <c r="ER75" s="696"/>
      <c r="ES75" s="696"/>
      <c r="ET75" s="696"/>
      <c r="EU75" s="696"/>
      <c r="EV75" s="696"/>
      <c r="EW75" s="696"/>
      <c r="EX75" s="696"/>
      <c r="EY75" s="696"/>
      <c r="EZ75" s="696"/>
      <c r="FA75" s="696"/>
      <c r="FB75" s="696"/>
      <c r="FC75" s="696"/>
      <c r="FD75" s="696"/>
      <c r="FE75" s="696"/>
      <c r="FF75" s="696"/>
      <c r="FG75" s="696"/>
      <c r="FH75" s="696"/>
      <c r="FI75" s="696"/>
      <c r="FJ75" s="696"/>
      <c r="FK75" s="696"/>
      <c r="FL75" s="696"/>
      <c r="FM75" s="696"/>
      <c r="FN75" s="696"/>
      <c r="FO75" s="696"/>
      <c r="FP75" s="831"/>
    </row>
    <row r="76" spans="1:354" ht="8.1" customHeight="1">
      <c r="A76" s="694">
        <f t="shared" si="67"/>
        <v>2020</v>
      </c>
      <c r="B76" s="695"/>
      <c r="C76" s="766"/>
      <c r="D76" s="695"/>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c r="AE76" s="766"/>
      <c r="AF76" s="766"/>
      <c r="AG76" s="766"/>
      <c r="AH76" s="766"/>
      <c r="AI76" s="766"/>
      <c r="AJ76" s="766"/>
      <c r="AK76" s="766"/>
      <c r="AL76" s="766"/>
      <c r="AM76" s="766"/>
      <c r="AN76" s="766"/>
      <c r="AO76" s="766"/>
      <c r="AP76" s="766"/>
      <c r="AQ76" s="766"/>
      <c r="AR76" s="766"/>
      <c r="AS76" s="766"/>
      <c r="AT76" s="766"/>
      <c r="AU76" s="766"/>
      <c r="AV76" s="766"/>
      <c r="AW76" s="766"/>
      <c r="AX76" s="766"/>
      <c r="AY76" s="766"/>
      <c r="AZ76" s="766"/>
      <c r="BA76" s="766"/>
      <c r="BB76" s="766"/>
      <c r="BC76" s="766"/>
      <c r="BD76" s="766"/>
      <c r="BE76" s="766"/>
      <c r="BF76" s="766"/>
      <c r="BG76" s="766"/>
      <c r="DW76" s="830"/>
      <c r="DX76" s="696"/>
      <c r="DY76" s="696"/>
      <c r="DZ76" s="696"/>
      <c r="EA76" s="696"/>
      <c r="EB76" s="696"/>
      <c r="EC76" s="696"/>
      <c r="ED76" s="696"/>
      <c r="EE76" s="696"/>
      <c r="EF76" s="696"/>
      <c r="EG76" s="696"/>
      <c r="EH76" s="696"/>
      <c r="EI76" s="696"/>
      <c r="EJ76" s="696"/>
      <c r="EK76" s="696"/>
      <c r="EL76" s="696"/>
      <c r="EM76" s="696"/>
      <c r="EN76" s="696"/>
      <c r="EO76" s="696"/>
      <c r="EP76" s="696"/>
      <c r="EQ76" s="696"/>
      <c r="ER76" s="696"/>
      <c r="ES76" s="696"/>
      <c r="ET76" s="696"/>
      <c r="EU76" s="696"/>
      <c r="EV76" s="696"/>
      <c r="EW76" s="696"/>
      <c r="EX76" s="696"/>
      <c r="EY76" s="696"/>
      <c r="EZ76" s="696"/>
      <c r="FA76" s="696"/>
      <c r="FB76" s="696"/>
      <c r="FC76" s="696"/>
      <c r="FD76" s="696"/>
      <c r="FE76" s="696"/>
      <c r="FF76" s="696"/>
      <c r="FG76" s="696"/>
      <c r="FH76" s="696"/>
      <c r="FI76" s="696"/>
      <c r="FJ76" s="696"/>
      <c r="FK76" s="696"/>
      <c r="FL76" s="696"/>
      <c r="FM76" s="696"/>
      <c r="FN76" s="696"/>
      <c r="FO76" s="696"/>
      <c r="FP76" s="831"/>
    </row>
    <row r="77" spans="1:354" ht="8.1" customHeight="1">
      <c r="A77" s="694">
        <f t="shared" si="67"/>
        <v>2021</v>
      </c>
      <c r="B77" s="695"/>
      <c r="C77" s="766"/>
      <c r="D77" s="695"/>
      <c r="E77" s="766"/>
      <c r="F77" s="766"/>
      <c r="G77" s="766"/>
      <c r="H77" s="766"/>
      <c r="I77" s="766"/>
      <c r="J77" s="766"/>
      <c r="K77" s="766"/>
      <c r="L77" s="766"/>
      <c r="M77" s="766"/>
      <c r="N77" s="766"/>
      <c r="O77" s="766"/>
      <c r="P77" s="766"/>
      <c r="Q77" s="766"/>
      <c r="R77" s="766"/>
      <c r="S77" s="766"/>
      <c r="T77" s="766"/>
      <c r="U77" s="766"/>
      <c r="V77" s="766"/>
      <c r="W77" s="766"/>
      <c r="X77" s="766"/>
      <c r="Y77" s="766"/>
      <c r="Z77" s="766"/>
      <c r="AA77" s="766"/>
      <c r="AB77" s="766"/>
      <c r="AC77" s="766"/>
      <c r="AD77" s="766"/>
      <c r="AE77" s="766"/>
      <c r="AF77" s="766"/>
      <c r="AG77" s="766"/>
      <c r="AH77" s="766"/>
      <c r="AI77" s="766"/>
      <c r="AJ77" s="766"/>
      <c r="AK77" s="766"/>
      <c r="AL77" s="766"/>
      <c r="AM77" s="766"/>
      <c r="AN77" s="766"/>
      <c r="AO77" s="766"/>
      <c r="AP77" s="766"/>
      <c r="AQ77" s="766"/>
      <c r="AR77" s="766"/>
      <c r="AS77" s="766"/>
      <c r="AT77" s="766"/>
      <c r="AU77" s="766"/>
      <c r="AV77" s="766"/>
      <c r="AW77" s="766"/>
      <c r="AX77" s="766"/>
      <c r="AY77" s="766"/>
      <c r="AZ77" s="766"/>
      <c r="BA77" s="766"/>
      <c r="BB77" s="766"/>
      <c r="BC77" s="766"/>
      <c r="BD77" s="766"/>
      <c r="BE77" s="766"/>
      <c r="BF77" s="766"/>
      <c r="BG77" s="766"/>
      <c r="DW77" s="830"/>
      <c r="DX77" s="696"/>
      <c r="DY77" s="696"/>
      <c r="DZ77" s="696"/>
      <c r="EA77" s="696"/>
      <c r="EB77" s="696"/>
      <c r="EC77" s="696"/>
      <c r="ED77" s="696"/>
      <c r="EE77" s="696"/>
      <c r="EF77" s="696"/>
      <c r="EG77" s="696"/>
      <c r="EH77" s="696"/>
      <c r="EI77" s="696"/>
      <c r="EJ77" s="696"/>
      <c r="EK77" s="696"/>
      <c r="EL77" s="696"/>
      <c r="EM77" s="696"/>
      <c r="EN77" s="696"/>
      <c r="EO77" s="696"/>
      <c r="EP77" s="696"/>
      <c r="EQ77" s="696"/>
      <c r="ER77" s="696"/>
      <c r="ES77" s="696"/>
      <c r="ET77" s="696"/>
      <c r="EU77" s="696"/>
      <c r="EV77" s="696"/>
      <c r="EW77" s="696"/>
      <c r="EX77" s="696"/>
      <c r="EY77" s="696"/>
      <c r="EZ77" s="696"/>
      <c r="FA77" s="696"/>
      <c r="FB77" s="696"/>
      <c r="FC77" s="696"/>
      <c r="FD77" s="696"/>
      <c r="FE77" s="696"/>
      <c r="FF77" s="696"/>
      <c r="FG77" s="696"/>
      <c r="FH77" s="696"/>
      <c r="FI77" s="696"/>
      <c r="FJ77" s="696"/>
      <c r="FK77" s="696"/>
      <c r="FL77" s="696"/>
      <c r="FM77" s="696"/>
      <c r="FN77" s="696"/>
      <c r="FO77" s="696"/>
      <c r="FP77" s="831"/>
    </row>
    <row r="78" spans="1:354" ht="8.1" customHeight="1">
      <c r="A78" s="694">
        <f t="shared" si="67"/>
        <v>2022</v>
      </c>
      <c r="B78" s="695"/>
      <c r="C78" s="766"/>
      <c r="D78" s="695"/>
      <c r="E78" s="766"/>
      <c r="F78" s="766"/>
      <c r="G78" s="766"/>
      <c r="H78" s="766"/>
      <c r="I78" s="766"/>
      <c r="J78" s="766"/>
      <c r="K78" s="766"/>
      <c r="L78" s="766"/>
      <c r="M78" s="766"/>
      <c r="N78" s="766"/>
      <c r="O78" s="766"/>
      <c r="P78" s="766"/>
      <c r="Q78" s="766"/>
      <c r="R78" s="766"/>
      <c r="S78" s="766"/>
      <c r="T78" s="766"/>
      <c r="U78" s="766"/>
      <c r="V78" s="766"/>
      <c r="W78" s="766"/>
      <c r="X78" s="766"/>
      <c r="Y78" s="766"/>
      <c r="Z78" s="766"/>
      <c r="AA78" s="766"/>
      <c r="AB78" s="766"/>
      <c r="AC78" s="766"/>
      <c r="AD78" s="766"/>
      <c r="AE78" s="766"/>
      <c r="AF78" s="766"/>
      <c r="AG78" s="766"/>
      <c r="AH78" s="766"/>
      <c r="AI78" s="766"/>
      <c r="AJ78" s="766"/>
      <c r="AK78" s="766"/>
      <c r="AL78" s="766"/>
      <c r="AM78" s="766"/>
      <c r="AN78" s="766"/>
      <c r="AO78" s="766"/>
      <c r="AP78" s="766"/>
      <c r="AQ78" s="766"/>
      <c r="AR78" s="766"/>
      <c r="AS78" s="766"/>
      <c r="AT78" s="766"/>
      <c r="AU78" s="766"/>
      <c r="AV78" s="766"/>
      <c r="AW78" s="766"/>
      <c r="AX78" s="766"/>
      <c r="AY78" s="766"/>
      <c r="AZ78" s="766"/>
      <c r="BA78" s="766"/>
      <c r="BB78" s="766"/>
      <c r="BC78" s="766"/>
      <c r="BD78" s="766"/>
      <c r="BE78" s="766"/>
      <c r="BF78" s="766"/>
      <c r="BG78" s="766"/>
      <c r="DW78" s="830"/>
      <c r="DX78" s="696"/>
      <c r="DY78" s="696"/>
      <c r="DZ78" s="696"/>
      <c r="EA78" s="696"/>
      <c r="EB78" s="696"/>
      <c r="EC78" s="696"/>
      <c r="ED78" s="696"/>
      <c r="EE78" s="696"/>
      <c r="EF78" s="696"/>
      <c r="EG78" s="696"/>
      <c r="EH78" s="696"/>
      <c r="EI78" s="696"/>
      <c r="EJ78" s="696"/>
      <c r="EK78" s="696"/>
      <c r="EL78" s="696"/>
      <c r="EM78" s="696"/>
      <c r="EN78" s="696"/>
      <c r="EO78" s="696"/>
      <c r="EP78" s="696"/>
      <c r="EQ78" s="696"/>
      <c r="ER78" s="696"/>
      <c r="ES78" s="696"/>
      <c r="ET78" s="696"/>
      <c r="EU78" s="696"/>
      <c r="EV78" s="696"/>
      <c r="EW78" s="696"/>
      <c r="EX78" s="696"/>
      <c r="EY78" s="696"/>
      <c r="EZ78" s="696"/>
      <c r="FA78" s="696"/>
      <c r="FB78" s="696"/>
      <c r="FC78" s="696"/>
      <c r="FD78" s="696"/>
      <c r="FE78" s="696"/>
      <c r="FF78" s="696"/>
      <c r="FG78" s="696"/>
      <c r="FH78" s="696"/>
      <c r="FI78" s="696"/>
      <c r="FJ78" s="696"/>
      <c r="FK78" s="696"/>
      <c r="FL78" s="696"/>
      <c r="FM78" s="696"/>
      <c r="FN78" s="696"/>
      <c r="FO78" s="696"/>
      <c r="FP78" s="831"/>
    </row>
    <row r="79" spans="1:354" ht="8.1" customHeight="1">
      <c r="A79" s="694">
        <f t="shared" si="67"/>
        <v>2023</v>
      </c>
      <c r="B79" s="695"/>
      <c r="C79" s="766"/>
      <c r="D79" s="695"/>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766"/>
      <c r="AP79" s="766"/>
      <c r="AQ79" s="766"/>
      <c r="AR79" s="766"/>
      <c r="AS79" s="766"/>
      <c r="AT79" s="766"/>
      <c r="AU79" s="766"/>
      <c r="AV79" s="766"/>
      <c r="AW79" s="766"/>
      <c r="AX79" s="766"/>
      <c r="AY79" s="766"/>
      <c r="AZ79" s="766"/>
      <c r="BA79" s="766"/>
      <c r="BB79" s="766"/>
      <c r="BC79" s="766"/>
      <c r="BD79" s="766"/>
      <c r="BE79" s="766"/>
      <c r="BF79" s="766"/>
      <c r="BG79" s="766"/>
      <c r="DW79" s="830"/>
      <c r="DX79" s="696"/>
      <c r="DY79" s="696"/>
      <c r="DZ79" s="696"/>
      <c r="EA79" s="696"/>
      <c r="EB79" s="696"/>
      <c r="EC79" s="696"/>
      <c r="ED79" s="696"/>
      <c r="EE79" s="696"/>
      <c r="EF79" s="696"/>
      <c r="EG79" s="696"/>
      <c r="EH79" s="696"/>
      <c r="EI79" s="696"/>
      <c r="EJ79" s="696"/>
      <c r="EK79" s="696"/>
      <c r="EL79" s="696"/>
      <c r="EM79" s="696"/>
      <c r="EN79" s="696"/>
      <c r="EO79" s="696"/>
      <c r="EP79" s="696"/>
      <c r="EQ79" s="696"/>
      <c r="ER79" s="696"/>
      <c r="ES79" s="696"/>
      <c r="ET79" s="696"/>
      <c r="EU79" s="696"/>
      <c r="EV79" s="696"/>
      <c r="EW79" s="696"/>
      <c r="EX79" s="696"/>
      <c r="EY79" s="696"/>
      <c r="EZ79" s="696"/>
      <c r="FA79" s="696"/>
      <c r="FB79" s="696"/>
      <c r="FC79" s="696"/>
      <c r="FD79" s="696"/>
      <c r="FE79" s="696"/>
      <c r="FF79" s="696"/>
      <c r="FG79" s="696"/>
      <c r="FH79" s="696"/>
      <c r="FI79" s="696"/>
      <c r="FJ79" s="696"/>
      <c r="FK79" s="696"/>
      <c r="FL79" s="696"/>
      <c r="FM79" s="696"/>
      <c r="FN79" s="696"/>
      <c r="FO79" s="696"/>
      <c r="FP79" s="831"/>
    </row>
    <row r="80" spans="1:354" ht="8.1" customHeight="1">
      <c r="A80" s="694">
        <f t="shared" si="67"/>
        <v>2024</v>
      </c>
      <c r="B80" s="695"/>
      <c r="C80" s="766"/>
      <c r="D80" s="695"/>
      <c r="E80" s="766"/>
      <c r="F80" s="766"/>
      <c r="G80" s="766"/>
      <c r="H80" s="766"/>
      <c r="I80" s="766"/>
      <c r="J80" s="766"/>
      <c r="K80" s="766"/>
      <c r="L80" s="766"/>
      <c r="M80" s="766"/>
      <c r="N80" s="766"/>
      <c r="O80" s="766"/>
      <c r="P80" s="766"/>
      <c r="Q80" s="766"/>
      <c r="R80" s="766"/>
      <c r="S80" s="766"/>
      <c r="T80" s="766"/>
      <c r="U80" s="766"/>
      <c r="V80" s="766"/>
      <c r="W80" s="766"/>
      <c r="X80" s="766"/>
      <c r="Y80" s="766"/>
      <c r="Z80" s="766"/>
      <c r="AA80" s="766"/>
      <c r="AB80" s="766"/>
      <c r="AC80" s="766"/>
      <c r="AD80" s="766"/>
      <c r="AE80" s="766"/>
      <c r="AF80" s="766"/>
      <c r="AG80" s="766"/>
      <c r="AH80" s="766"/>
      <c r="AI80" s="766"/>
      <c r="AJ80" s="766"/>
      <c r="AK80" s="766"/>
      <c r="AL80" s="766"/>
      <c r="AM80" s="766"/>
      <c r="AN80" s="766"/>
      <c r="AO80" s="766"/>
      <c r="AP80" s="766"/>
      <c r="AQ80" s="766"/>
      <c r="AR80" s="766"/>
      <c r="AS80" s="766"/>
      <c r="AT80" s="766"/>
      <c r="AU80" s="766"/>
      <c r="AV80" s="766"/>
      <c r="AW80" s="766"/>
      <c r="AX80" s="766"/>
      <c r="AY80" s="766"/>
      <c r="AZ80" s="766"/>
      <c r="BA80" s="766"/>
      <c r="BB80" s="766"/>
      <c r="BC80" s="766"/>
      <c r="BD80" s="766"/>
      <c r="BE80" s="766"/>
      <c r="BF80" s="766"/>
      <c r="BG80" s="766"/>
      <c r="DW80" s="830"/>
      <c r="DX80" s="696"/>
      <c r="DY80" s="696"/>
      <c r="DZ80" s="696"/>
      <c r="EA80" s="696"/>
      <c r="EB80" s="696"/>
      <c r="EC80" s="696"/>
      <c r="ED80" s="696"/>
      <c r="EE80" s="696"/>
      <c r="EF80" s="696"/>
      <c r="EG80" s="696"/>
      <c r="EH80" s="696"/>
      <c r="EI80" s="696"/>
      <c r="EJ80" s="696"/>
      <c r="EK80" s="696"/>
      <c r="EL80" s="696"/>
      <c r="EM80" s="696"/>
      <c r="EN80" s="696"/>
      <c r="EO80" s="696"/>
      <c r="EP80" s="696"/>
      <c r="EQ80" s="696"/>
      <c r="ER80" s="696"/>
      <c r="ES80" s="696"/>
      <c r="ET80" s="696"/>
      <c r="EU80" s="696"/>
      <c r="EV80" s="696"/>
      <c r="EW80" s="696"/>
      <c r="EX80" s="696"/>
      <c r="EY80" s="696"/>
      <c r="EZ80" s="696"/>
      <c r="FA80" s="696"/>
      <c r="FB80" s="696"/>
      <c r="FC80" s="696"/>
      <c r="FD80" s="696"/>
      <c r="FE80" s="696"/>
      <c r="FF80" s="696"/>
      <c r="FG80" s="696"/>
      <c r="FH80" s="696"/>
      <c r="FI80" s="696"/>
      <c r="FJ80" s="696"/>
      <c r="FK80" s="696"/>
      <c r="FL80" s="696"/>
      <c r="FM80" s="696"/>
      <c r="FN80" s="696"/>
      <c r="FO80" s="696"/>
      <c r="FP80" s="831"/>
    </row>
    <row r="81" spans="1:172" ht="8.1" customHeight="1" thickBot="1">
      <c r="A81" s="694">
        <f t="shared" si="67"/>
        <v>2025</v>
      </c>
      <c r="B81" s="695"/>
      <c r="C81" s="766"/>
      <c r="D81" s="695"/>
      <c r="E81" s="766"/>
      <c r="F81" s="766"/>
      <c r="G81" s="766"/>
      <c r="H81" s="766"/>
      <c r="I81" s="766"/>
      <c r="J81" s="766"/>
      <c r="K81" s="766"/>
      <c r="L81" s="766"/>
      <c r="M81" s="766"/>
      <c r="N81" s="766"/>
      <c r="O81" s="766"/>
      <c r="P81" s="766"/>
      <c r="Q81" s="766"/>
      <c r="R81" s="766"/>
      <c r="S81" s="766"/>
      <c r="T81" s="766"/>
      <c r="U81" s="766"/>
      <c r="V81" s="766"/>
      <c r="W81" s="766"/>
      <c r="X81" s="766"/>
      <c r="Y81" s="766"/>
      <c r="Z81" s="766"/>
      <c r="AA81" s="766"/>
      <c r="AB81" s="766"/>
      <c r="AC81" s="766"/>
      <c r="AD81" s="766"/>
      <c r="AE81" s="766"/>
      <c r="AF81" s="766"/>
      <c r="AG81" s="766"/>
      <c r="AH81" s="766"/>
      <c r="AI81" s="766"/>
      <c r="AJ81" s="766"/>
      <c r="AK81" s="766"/>
      <c r="AL81" s="766"/>
      <c r="AM81" s="766"/>
      <c r="AN81" s="766"/>
      <c r="AO81" s="766"/>
      <c r="AP81" s="766"/>
      <c r="AQ81" s="766"/>
      <c r="AR81" s="766"/>
      <c r="AS81" s="766"/>
      <c r="AT81" s="766"/>
      <c r="AU81" s="766"/>
      <c r="AV81" s="766"/>
      <c r="AW81" s="766"/>
      <c r="AX81" s="766"/>
      <c r="AY81" s="766"/>
      <c r="AZ81" s="766"/>
      <c r="BA81" s="766"/>
      <c r="BB81" s="766"/>
      <c r="BC81" s="766"/>
      <c r="BD81" s="766"/>
      <c r="BE81" s="766"/>
      <c r="BF81" s="766"/>
      <c r="BG81" s="766"/>
      <c r="DW81" s="832"/>
      <c r="DX81" s="833"/>
      <c r="DY81" s="833"/>
      <c r="DZ81" s="833"/>
      <c r="EA81" s="833"/>
      <c r="EB81" s="833"/>
      <c r="EC81" s="833"/>
      <c r="ED81" s="833"/>
      <c r="EE81" s="833"/>
      <c r="EF81" s="833"/>
      <c r="EG81" s="833"/>
      <c r="EH81" s="833"/>
      <c r="EI81" s="833"/>
      <c r="EJ81" s="833"/>
      <c r="EK81" s="833"/>
      <c r="EL81" s="833"/>
      <c r="EM81" s="833"/>
      <c r="EN81" s="833"/>
      <c r="EO81" s="833"/>
      <c r="EP81" s="833"/>
      <c r="EQ81" s="833"/>
      <c r="ER81" s="833"/>
      <c r="ES81" s="833"/>
      <c r="ET81" s="833"/>
      <c r="EU81" s="833"/>
      <c r="EV81" s="833"/>
      <c r="EW81" s="833"/>
      <c r="EX81" s="833"/>
      <c r="EY81" s="833"/>
      <c r="EZ81" s="833"/>
      <c r="FA81" s="833"/>
      <c r="FB81" s="833"/>
      <c r="FC81" s="833"/>
      <c r="FD81" s="833"/>
      <c r="FE81" s="833"/>
      <c r="FF81" s="833"/>
      <c r="FG81" s="833"/>
      <c r="FH81" s="833"/>
      <c r="FI81" s="833"/>
      <c r="FJ81" s="833"/>
      <c r="FK81" s="833"/>
      <c r="FL81" s="833"/>
      <c r="FM81" s="833"/>
      <c r="FN81" s="833"/>
      <c r="FO81" s="833"/>
      <c r="FP81" s="834"/>
    </row>
    <row r="82" spans="1:172" ht="8.1" customHeight="1" thickTop="1">
      <c r="B82" s="695"/>
      <c r="C82" s="766"/>
      <c r="D82" s="695"/>
      <c r="E82" s="766"/>
      <c r="F82" s="766"/>
      <c r="G82" s="766"/>
      <c r="H82" s="766"/>
      <c r="I82" s="766"/>
      <c r="J82" s="766"/>
      <c r="K82" s="766"/>
      <c r="L82" s="766"/>
      <c r="M82" s="766"/>
      <c r="N82" s="766"/>
      <c r="O82" s="766"/>
      <c r="P82" s="766"/>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6"/>
      <c r="AN82" s="766"/>
      <c r="AO82" s="766"/>
      <c r="AP82" s="766"/>
      <c r="AQ82" s="766"/>
      <c r="AR82" s="766"/>
      <c r="AS82" s="766"/>
      <c r="AT82" s="766"/>
      <c r="AU82" s="766"/>
      <c r="AV82" s="766"/>
      <c r="AW82" s="766"/>
      <c r="AX82" s="766"/>
      <c r="AY82" s="766"/>
      <c r="AZ82" s="766"/>
      <c r="BA82" s="766"/>
      <c r="BB82" s="766"/>
      <c r="BC82" s="766"/>
      <c r="BD82" s="766"/>
      <c r="BE82" s="766"/>
      <c r="BF82" s="766"/>
      <c r="BG82" s="766"/>
    </row>
    <row r="83" spans="1:172" ht="8.1" customHeight="1">
      <c r="B83" s="695"/>
      <c r="C83" s="766"/>
      <c r="D83" s="695"/>
      <c r="E83" s="766"/>
      <c r="F83" s="766"/>
      <c r="G83" s="766"/>
      <c r="H83" s="766"/>
      <c r="I83" s="766"/>
      <c r="J83" s="766"/>
      <c r="K83" s="766"/>
      <c r="L83" s="766"/>
      <c r="M83" s="766"/>
      <c r="N83" s="766"/>
      <c r="O83" s="766"/>
      <c r="P83" s="766"/>
      <c r="Q83" s="766"/>
      <c r="R83" s="766"/>
      <c r="S83" s="766"/>
      <c r="T83" s="766"/>
      <c r="U83" s="766"/>
      <c r="V83" s="766"/>
      <c r="W83" s="766"/>
      <c r="X83" s="766"/>
      <c r="Y83" s="766"/>
      <c r="Z83" s="766"/>
      <c r="AA83" s="766"/>
      <c r="AB83" s="766"/>
      <c r="AC83" s="766"/>
      <c r="AD83" s="766"/>
      <c r="AE83" s="766"/>
      <c r="AF83" s="766"/>
      <c r="AG83" s="766"/>
      <c r="AH83" s="766"/>
      <c r="AI83" s="766"/>
      <c r="AJ83" s="766"/>
      <c r="AK83" s="766"/>
      <c r="AL83" s="766"/>
      <c r="AM83" s="766"/>
      <c r="AN83" s="766"/>
      <c r="AO83" s="766"/>
      <c r="AP83" s="766"/>
      <c r="AQ83" s="766"/>
      <c r="AR83" s="766"/>
      <c r="AS83" s="766"/>
      <c r="AT83" s="766"/>
      <c r="AU83" s="766"/>
      <c r="AV83" s="766"/>
      <c r="AW83" s="766"/>
      <c r="AX83" s="766"/>
      <c r="AY83" s="766"/>
      <c r="AZ83" s="766"/>
      <c r="BA83" s="766"/>
      <c r="BB83" s="766"/>
      <c r="BC83" s="766"/>
      <c r="BD83" s="766"/>
      <c r="BE83" s="766"/>
      <c r="BF83" s="766"/>
      <c r="BG83" s="766"/>
    </row>
    <row r="84" spans="1:172">
      <c r="B84" s="695"/>
      <c r="C84" s="766"/>
      <c r="D84" s="695"/>
      <c r="E84" s="766"/>
      <c r="F84" s="766"/>
      <c r="G84" s="766"/>
      <c r="H84" s="766"/>
      <c r="I84" s="766"/>
      <c r="J84" s="766"/>
      <c r="K84" s="766"/>
      <c r="L84" s="766"/>
      <c r="M84" s="766"/>
      <c r="N84" s="766"/>
      <c r="O84" s="766"/>
      <c r="P84" s="766"/>
      <c r="Q84" s="766"/>
      <c r="R84" s="766"/>
      <c r="S84" s="766"/>
      <c r="T84" s="766"/>
      <c r="U84" s="766"/>
      <c r="V84" s="766"/>
      <c r="W84" s="766"/>
      <c r="X84" s="766"/>
      <c r="Y84" s="766"/>
      <c r="Z84" s="766"/>
      <c r="AA84" s="766"/>
      <c r="AB84" s="766"/>
      <c r="AC84" s="766"/>
      <c r="AD84" s="766"/>
      <c r="AE84" s="766"/>
      <c r="AF84" s="766"/>
      <c r="AG84" s="766"/>
      <c r="AH84" s="766"/>
      <c r="AI84" s="766"/>
      <c r="AJ84" s="766"/>
      <c r="AK84" s="766"/>
      <c r="AL84" s="766"/>
      <c r="AM84" s="766"/>
      <c r="AN84" s="766"/>
      <c r="AO84" s="766"/>
      <c r="AP84" s="766"/>
      <c r="AQ84" s="766"/>
      <c r="AR84" s="766"/>
      <c r="AS84" s="766"/>
      <c r="AT84" s="766"/>
      <c r="AU84" s="766"/>
      <c r="AV84" s="766"/>
      <c r="AW84" s="766"/>
      <c r="AX84" s="766"/>
      <c r="AY84" s="766"/>
      <c r="AZ84" s="766"/>
      <c r="BA84" s="766"/>
      <c r="BB84" s="766"/>
      <c r="BC84" s="766"/>
      <c r="BD84" s="766"/>
      <c r="BE84" s="766"/>
      <c r="BF84" s="766"/>
      <c r="BG84" s="766"/>
    </row>
    <row r="85" spans="1:172">
      <c r="B85" s="695"/>
      <c r="C85" s="766"/>
      <c r="D85" s="695"/>
      <c r="E85" s="766"/>
      <c r="F85" s="766"/>
      <c r="G85" s="766"/>
      <c r="H85" s="766"/>
      <c r="I85" s="766"/>
      <c r="J85" s="766"/>
      <c r="K85" s="766"/>
      <c r="L85" s="766"/>
      <c r="M85" s="766"/>
      <c r="N85" s="766"/>
      <c r="O85" s="766"/>
      <c r="P85" s="766"/>
      <c r="Q85" s="766"/>
      <c r="R85" s="766"/>
      <c r="S85" s="766"/>
      <c r="T85" s="766"/>
      <c r="U85" s="766"/>
      <c r="V85" s="766"/>
      <c r="W85" s="766"/>
      <c r="X85" s="766"/>
      <c r="Y85" s="766"/>
      <c r="Z85" s="766"/>
      <c r="AA85" s="766"/>
      <c r="AB85" s="766"/>
      <c r="AC85" s="766"/>
      <c r="AD85" s="766"/>
      <c r="AE85" s="766"/>
      <c r="AF85" s="766"/>
      <c r="AG85" s="766"/>
      <c r="AH85" s="766"/>
      <c r="AI85" s="766"/>
      <c r="AJ85" s="766"/>
      <c r="AK85" s="766"/>
      <c r="AL85" s="766"/>
      <c r="AM85" s="766"/>
      <c r="AN85" s="766"/>
      <c r="AO85" s="766"/>
      <c r="AP85" s="766"/>
      <c r="AQ85" s="766"/>
      <c r="AR85" s="766"/>
      <c r="AS85" s="766"/>
      <c r="AT85" s="766"/>
      <c r="AU85" s="766"/>
      <c r="AV85" s="766"/>
      <c r="AW85" s="766"/>
      <c r="AX85" s="766"/>
      <c r="AY85" s="766"/>
      <c r="AZ85" s="766"/>
      <c r="BA85" s="766"/>
      <c r="BB85" s="766"/>
      <c r="BC85" s="766"/>
      <c r="BD85" s="766"/>
      <c r="BE85" s="766"/>
      <c r="BF85" s="766"/>
      <c r="BG85" s="766"/>
    </row>
    <row r="86" spans="1:172">
      <c r="B86" s="695"/>
      <c r="C86" s="766"/>
      <c r="D86" s="695"/>
      <c r="E86" s="766"/>
      <c r="F86" s="766"/>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c r="BA86" s="766"/>
      <c r="BB86" s="766"/>
      <c r="BC86" s="766"/>
      <c r="BD86" s="766"/>
      <c r="BE86" s="766"/>
      <c r="BF86" s="766"/>
      <c r="BG86" s="766"/>
    </row>
    <row r="87" spans="1:172">
      <c r="B87" s="695"/>
      <c r="C87" s="766"/>
      <c r="D87" s="695"/>
      <c r="E87" s="766"/>
      <c r="F87" s="766"/>
      <c r="G87" s="766"/>
      <c r="H87" s="766"/>
      <c r="I87" s="766"/>
      <c r="J87" s="766"/>
      <c r="K87" s="766"/>
      <c r="L87" s="766"/>
      <c r="M87" s="766"/>
      <c r="N87" s="766"/>
      <c r="O87" s="766"/>
      <c r="P87" s="766"/>
      <c r="Q87" s="766"/>
      <c r="R87" s="766"/>
      <c r="S87" s="766"/>
      <c r="T87" s="766"/>
      <c r="U87" s="766"/>
      <c r="V87" s="766"/>
      <c r="W87" s="766"/>
      <c r="X87" s="766"/>
      <c r="Y87" s="766"/>
      <c r="Z87" s="766"/>
      <c r="AA87" s="766"/>
      <c r="AB87" s="766"/>
      <c r="AC87" s="766"/>
      <c r="AD87" s="766"/>
      <c r="AE87" s="766"/>
      <c r="AF87" s="766"/>
      <c r="AG87" s="766"/>
      <c r="AH87" s="766"/>
      <c r="AI87" s="766"/>
      <c r="AJ87" s="766"/>
      <c r="AK87" s="766"/>
      <c r="AL87" s="766"/>
      <c r="AM87" s="766"/>
      <c r="AN87" s="766"/>
      <c r="AO87" s="766"/>
      <c r="AP87" s="766"/>
      <c r="AQ87" s="766"/>
      <c r="AR87" s="766"/>
      <c r="AS87" s="766"/>
      <c r="AT87" s="766"/>
      <c r="AU87" s="766"/>
      <c r="AV87" s="766"/>
      <c r="AW87" s="766"/>
      <c r="AX87" s="766"/>
      <c r="AY87" s="766"/>
      <c r="AZ87" s="766"/>
      <c r="BA87" s="766"/>
      <c r="BB87" s="766"/>
      <c r="BC87" s="766"/>
      <c r="BD87" s="766"/>
      <c r="BE87" s="766"/>
      <c r="BF87" s="766"/>
      <c r="BG87" s="766"/>
    </row>
    <row r="88" spans="1:172">
      <c r="B88" s="695"/>
      <c r="C88" s="766"/>
      <c r="D88" s="695"/>
      <c r="E88" s="766"/>
      <c r="F88" s="766"/>
      <c r="G88" s="766"/>
      <c r="H88" s="766"/>
      <c r="I88" s="766"/>
      <c r="J88" s="766"/>
      <c r="K88" s="766"/>
      <c r="L88" s="766"/>
      <c r="M88" s="766"/>
      <c r="N88" s="766"/>
      <c r="O88" s="766"/>
      <c r="P88" s="766"/>
      <c r="Q88" s="766"/>
      <c r="R88" s="766"/>
      <c r="S88" s="766"/>
      <c r="T88" s="766"/>
      <c r="U88" s="766"/>
      <c r="V88" s="766"/>
      <c r="W88" s="766"/>
      <c r="X88" s="766"/>
      <c r="Y88" s="766"/>
      <c r="Z88" s="766"/>
      <c r="AA88" s="766"/>
      <c r="AB88" s="766"/>
      <c r="AC88" s="766"/>
      <c r="AD88" s="766"/>
      <c r="AE88" s="766"/>
      <c r="AF88" s="766"/>
      <c r="AG88" s="766"/>
      <c r="AH88" s="766"/>
      <c r="AI88" s="766"/>
      <c r="AJ88" s="766"/>
      <c r="AK88" s="766"/>
      <c r="AL88" s="766"/>
      <c r="AM88" s="766"/>
      <c r="AN88" s="766"/>
      <c r="AO88" s="766"/>
      <c r="AP88" s="766"/>
      <c r="AQ88" s="766"/>
      <c r="AR88" s="766"/>
      <c r="AS88" s="766"/>
      <c r="AT88" s="766"/>
      <c r="AU88" s="766"/>
      <c r="AV88" s="766"/>
      <c r="AW88" s="766"/>
      <c r="AX88" s="766"/>
      <c r="AY88" s="766"/>
      <c r="AZ88" s="766"/>
      <c r="BA88" s="766"/>
      <c r="BB88" s="766"/>
      <c r="BC88" s="766"/>
      <c r="BD88" s="766"/>
      <c r="BE88" s="766"/>
      <c r="BF88" s="766"/>
      <c r="BG88" s="766"/>
    </row>
    <row r="89" spans="1:172">
      <c r="B89" s="695"/>
      <c r="C89" s="695"/>
      <c r="D89" s="695"/>
    </row>
    <row r="90" spans="1:172">
      <c r="B90" s="695"/>
      <c r="C90" s="695"/>
      <c r="D90" s="695"/>
    </row>
    <row r="91" spans="1:172">
      <c r="B91" s="695"/>
      <c r="C91" s="695"/>
      <c r="D91" s="695"/>
    </row>
  </sheetData>
  <mergeCells count="1">
    <mergeCell ref="A4:E4"/>
  </mergeCells>
  <printOptions horizontalCentered="1"/>
  <pageMargins left="0.7" right="0.7" top="1.25" bottom="0.5" header="0.3" footer="0"/>
  <pageSetup scale="31" orientation="landscape" r:id="rId1"/>
  <headerFooter scaleWithDoc="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O150"/>
  <sheetViews>
    <sheetView zoomScaleNormal="100" workbookViewId="0">
      <pane xSplit="3" ySplit="2" topLeftCell="D3" activePane="bottomRight" state="frozen"/>
      <selection pane="topRight" activeCell="D1" sqref="D1"/>
      <selection pane="bottomLeft" activeCell="A6" sqref="A6"/>
      <selection pane="bottomRight" activeCell="A89" sqref="A89"/>
    </sheetView>
    <sheetView topLeftCell="A121" workbookViewId="1">
      <selection activeCell="B119" sqref="B119"/>
    </sheetView>
  </sheetViews>
  <sheetFormatPr defaultRowHeight="15.75"/>
  <cols>
    <col min="2" max="3" width="8.88671875" style="315"/>
  </cols>
  <sheetData>
    <row r="2" spans="2:39" s="315" customFormat="1">
      <c r="B2" s="842" t="s">
        <v>1125</v>
      </c>
      <c r="C2" s="842" t="s">
        <v>1126</v>
      </c>
      <c r="D2" s="315" t="s">
        <v>1087</v>
      </c>
      <c r="E2" s="315" t="s">
        <v>1088</v>
      </c>
      <c r="F2" s="315" t="s">
        <v>1089</v>
      </c>
      <c r="G2" s="315" t="s">
        <v>1090</v>
      </c>
      <c r="H2" s="315" t="s">
        <v>1092</v>
      </c>
      <c r="I2" s="315" t="s">
        <v>1091</v>
      </c>
      <c r="J2" s="315" t="s">
        <v>1093</v>
      </c>
      <c r="K2" s="315" t="s">
        <v>1094</v>
      </c>
      <c r="L2" s="315" t="s">
        <v>1095</v>
      </c>
      <c r="M2" s="315" t="s">
        <v>1096</v>
      </c>
      <c r="N2" s="315" t="s">
        <v>1097</v>
      </c>
      <c r="O2" s="315" t="s">
        <v>1098</v>
      </c>
      <c r="P2" s="315" t="s">
        <v>1099</v>
      </c>
      <c r="Q2" s="315" t="s">
        <v>1100</v>
      </c>
      <c r="R2" s="315" t="s">
        <v>1101</v>
      </c>
      <c r="S2" s="315" t="s">
        <v>1102</v>
      </c>
      <c r="T2" s="315" t="s">
        <v>1104</v>
      </c>
      <c r="U2" s="315" t="s">
        <v>1103</v>
      </c>
      <c r="V2" s="315" t="s">
        <v>1105</v>
      </c>
      <c r="W2" s="315" t="s">
        <v>1106</v>
      </c>
      <c r="X2" s="315" t="s">
        <v>1107</v>
      </c>
      <c r="Y2" s="315" t="s">
        <v>1108</v>
      </c>
      <c r="Z2" s="315" t="s">
        <v>1109</v>
      </c>
      <c r="AA2" s="315" t="s">
        <v>1110</v>
      </c>
      <c r="AB2" s="315" t="s">
        <v>1111</v>
      </c>
      <c r="AC2" s="315" t="s">
        <v>1112</v>
      </c>
      <c r="AD2" s="315" t="s">
        <v>1113</v>
      </c>
      <c r="AE2" s="315" t="s">
        <v>1114</v>
      </c>
      <c r="AF2" s="315" t="s">
        <v>1115</v>
      </c>
      <c r="AG2" s="315" t="s">
        <v>1116</v>
      </c>
      <c r="AH2" s="315" t="s">
        <v>1117</v>
      </c>
      <c r="AI2" s="315" t="s">
        <v>1118</v>
      </c>
      <c r="AJ2" s="315" t="s">
        <v>1119</v>
      </c>
      <c r="AK2" s="315" t="s">
        <v>1120</v>
      </c>
      <c r="AL2" s="315" t="s">
        <v>1121</v>
      </c>
      <c r="AM2" s="315" t="s">
        <v>1122</v>
      </c>
    </row>
    <row r="3" spans="2:39">
      <c r="B3" s="315">
        <v>1950</v>
      </c>
      <c r="C3" s="896">
        <f>AVERAGE(B3)</f>
        <v>1950</v>
      </c>
      <c r="P3">
        <v>1</v>
      </c>
    </row>
    <row r="4" spans="2:39">
      <c r="B4" s="315">
        <f t="shared" ref="B4:B65" si="0">+B3+1</f>
        <v>1951</v>
      </c>
      <c r="C4" s="896">
        <v>40294</v>
      </c>
      <c r="O4">
        <v>1</v>
      </c>
    </row>
    <row r="5" spans="2:39">
      <c r="B5" s="315">
        <f t="shared" si="0"/>
        <v>1952</v>
      </c>
      <c r="C5" s="896">
        <v>40375</v>
      </c>
      <c r="W5">
        <v>1</v>
      </c>
    </row>
    <row r="6" spans="2:39">
      <c r="B6" s="315">
        <f t="shared" si="0"/>
        <v>1953</v>
      </c>
      <c r="C6" s="896">
        <v>40334</v>
      </c>
      <c r="S6">
        <v>1</v>
      </c>
    </row>
    <row r="7" spans="2:39">
      <c r="B7" s="315">
        <f t="shared" si="0"/>
        <v>1954</v>
      </c>
      <c r="C7" s="896">
        <v>40320</v>
      </c>
      <c r="R7">
        <v>1</v>
      </c>
    </row>
    <row r="8" spans="2:39">
      <c r="B8" s="315">
        <f t="shared" si="0"/>
        <v>1955</v>
      </c>
      <c r="C8" s="896">
        <v>40286</v>
      </c>
      <c r="N8">
        <v>1</v>
      </c>
    </row>
    <row r="9" spans="2:39">
      <c r="B9" s="315">
        <f t="shared" si="0"/>
        <v>1956</v>
      </c>
      <c r="C9" s="896">
        <v>40352</v>
      </c>
      <c r="U9">
        <v>1</v>
      </c>
    </row>
    <row r="10" spans="2:39">
      <c r="B10" s="315">
        <f t="shared" si="0"/>
        <v>1957</v>
      </c>
      <c r="C10" s="896">
        <v>40270</v>
      </c>
      <c r="M10">
        <v>1</v>
      </c>
    </row>
    <row r="11" spans="2:39">
      <c r="B11" s="315">
        <f t="shared" si="0"/>
        <v>1958</v>
      </c>
      <c r="C11" s="896">
        <v>40315</v>
      </c>
      <c r="Q11">
        <v>1</v>
      </c>
    </row>
    <row r="12" spans="2:39">
      <c r="B12" s="315">
        <f t="shared" si="0"/>
        <v>1959</v>
      </c>
      <c r="C12" s="896">
        <v>40306</v>
      </c>
      <c r="P12">
        <v>1</v>
      </c>
    </row>
    <row r="13" spans="2:39">
      <c r="B13" s="315">
        <f t="shared" si="0"/>
        <v>1960</v>
      </c>
      <c r="C13" s="896">
        <v>40280</v>
      </c>
      <c r="N13">
        <v>1</v>
      </c>
    </row>
    <row r="14" spans="2:39">
      <c r="B14" s="315">
        <f t="shared" si="0"/>
        <v>1961</v>
      </c>
      <c r="C14" s="896">
        <v>40302</v>
      </c>
      <c r="P14">
        <v>1</v>
      </c>
    </row>
    <row r="15" spans="2:39">
      <c r="B15" s="315">
        <f t="shared" si="0"/>
        <v>1962</v>
      </c>
      <c r="C15" s="896">
        <v>40315</v>
      </c>
      <c r="Q15">
        <v>1</v>
      </c>
    </row>
    <row r="16" spans="2:39">
      <c r="B16" s="315">
        <f t="shared" si="0"/>
        <v>1963</v>
      </c>
      <c r="C16" s="896">
        <v>40302</v>
      </c>
      <c r="P16">
        <v>1</v>
      </c>
    </row>
    <row r="17" spans="2:20">
      <c r="B17" s="315">
        <f t="shared" si="0"/>
        <v>1964</v>
      </c>
      <c r="C17" s="896">
        <v>40308</v>
      </c>
      <c r="P17">
        <v>1</v>
      </c>
    </row>
    <row r="18" spans="2:20">
      <c r="B18" s="315">
        <f t="shared" si="0"/>
        <v>1965</v>
      </c>
      <c r="C18" s="896">
        <v>40302</v>
      </c>
      <c r="P18">
        <v>1</v>
      </c>
    </row>
    <row r="19" spans="2:20">
      <c r="B19" s="315">
        <f t="shared" si="0"/>
        <v>1966</v>
      </c>
      <c r="C19" s="896">
        <v>40343</v>
      </c>
      <c r="T19">
        <v>1</v>
      </c>
    </row>
    <row r="20" spans="2:20">
      <c r="B20" s="315">
        <f t="shared" si="0"/>
        <v>1967</v>
      </c>
      <c r="C20" s="896">
        <v>40256</v>
      </c>
      <c r="K20">
        <v>1</v>
      </c>
    </row>
    <row r="21" spans="2:20">
      <c r="B21" s="315">
        <f t="shared" si="0"/>
        <v>1968</v>
      </c>
      <c r="C21" s="896">
        <v>40270</v>
      </c>
      <c r="M21">
        <v>1</v>
      </c>
    </row>
    <row r="22" spans="2:20">
      <c r="B22" s="315">
        <f t="shared" si="0"/>
        <v>1969</v>
      </c>
      <c r="C22" s="896">
        <v>40300</v>
      </c>
      <c r="P22">
        <v>1</v>
      </c>
    </row>
    <row r="23" spans="2:20">
      <c r="B23" s="315">
        <f t="shared" si="0"/>
        <v>1970</v>
      </c>
      <c r="C23" s="896">
        <v>40285</v>
      </c>
      <c r="N23">
        <v>1</v>
      </c>
    </row>
    <row r="24" spans="2:20">
      <c r="B24" s="315">
        <f t="shared" si="0"/>
        <v>1971</v>
      </c>
      <c r="C24" s="896">
        <v>40283</v>
      </c>
      <c r="N24">
        <v>1</v>
      </c>
    </row>
    <row r="25" spans="2:20">
      <c r="B25" s="315">
        <f t="shared" si="0"/>
        <v>1972</v>
      </c>
      <c r="C25" s="896">
        <v>40293</v>
      </c>
      <c r="O25">
        <v>1</v>
      </c>
    </row>
    <row r="26" spans="2:20">
      <c r="B26" s="315">
        <f t="shared" si="0"/>
        <v>1973</v>
      </c>
      <c r="C26" s="896">
        <v>40260</v>
      </c>
      <c r="L26">
        <v>1</v>
      </c>
    </row>
    <row r="27" spans="2:20">
      <c r="B27" s="315">
        <f t="shared" si="0"/>
        <v>1974</v>
      </c>
      <c r="C27" s="896">
        <v>40246</v>
      </c>
      <c r="J27">
        <v>1</v>
      </c>
    </row>
    <row r="28" spans="2:20">
      <c r="B28" s="315">
        <f t="shared" si="0"/>
        <v>1975</v>
      </c>
      <c r="C28" s="896">
        <v>40263</v>
      </c>
      <c r="L28">
        <v>1</v>
      </c>
    </row>
    <row r="29" spans="2:20">
      <c r="B29" s="315">
        <f t="shared" si="0"/>
        <v>1976</v>
      </c>
      <c r="C29" s="896">
        <v>40275</v>
      </c>
      <c r="M29">
        <v>1</v>
      </c>
    </row>
    <row r="30" spans="2:20">
      <c r="B30" s="315">
        <f t="shared" si="0"/>
        <v>1977</v>
      </c>
      <c r="C30" s="896">
        <v>40287</v>
      </c>
      <c r="N30">
        <v>1</v>
      </c>
    </row>
    <row r="31" spans="2:20">
      <c r="B31" s="315">
        <f t="shared" si="0"/>
        <v>1978</v>
      </c>
      <c r="C31" s="896">
        <v>40298</v>
      </c>
      <c r="O31">
        <v>1</v>
      </c>
    </row>
    <row r="32" spans="2:20">
      <c r="B32" s="315">
        <f t="shared" si="0"/>
        <v>1979</v>
      </c>
      <c r="C32" s="896">
        <v>40255</v>
      </c>
      <c r="K32">
        <v>1</v>
      </c>
    </row>
    <row r="33" spans="2:19">
      <c r="B33" s="315">
        <f t="shared" si="0"/>
        <v>1980</v>
      </c>
      <c r="C33" s="896">
        <v>40292</v>
      </c>
      <c r="O33">
        <v>1</v>
      </c>
    </row>
    <row r="34" spans="2:19">
      <c r="B34" s="315">
        <f t="shared" si="0"/>
        <v>1981</v>
      </c>
      <c r="C34" s="896">
        <v>40240</v>
      </c>
      <c r="J34">
        <v>1</v>
      </c>
    </row>
    <row r="35" spans="2:19">
      <c r="B35" s="315">
        <f t="shared" si="0"/>
        <v>1982</v>
      </c>
      <c r="C35" s="896">
        <v>40255</v>
      </c>
      <c r="K35">
        <v>1</v>
      </c>
    </row>
    <row r="36" spans="2:19">
      <c r="B36" s="315">
        <f t="shared" si="0"/>
        <v>1983</v>
      </c>
      <c r="C36" s="896">
        <v>40240</v>
      </c>
      <c r="J36">
        <v>1</v>
      </c>
    </row>
    <row r="37" spans="2:19">
      <c r="B37" s="315">
        <f t="shared" si="0"/>
        <v>1984</v>
      </c>
      <c r="C37" s="896">
        <v>40339</v>
      </c>
      <c r="S37">
        <v>1</v>
      </c>
    </row>
    <row r="38" spans="2:19">
      <c r="B38" s="315">
        <f t="shared" si="0"/>
        <v>1985</v>
      </c>
      <c r="C38" s="896">
        <v>40294</v>
      </c>
      <c r="O38">
        <v>1</v>
      </c>
    </row>
    <row r="39" spans="2:19">
      <c r="B39" s="315">
        <f t="shared" si="0"/>
        <v>1986</v>
      </c>
      <c r="C39" s="896">
        <v>40305</v>
      </c>
      <c r="P39">
        <v>1</v>
      </c>
    </row>
    <row r="40" spans="2:19">
      <c r="B40" s="315">
        <f t="shared" si="0"/>
        <v>1987</v>
      </c>
      <c r="C40" s="896">
        <v>40259</v>
      </c>
      <c r="L40">
        <v>1</v>
      </c>
    </row>
    <row r="41" spans="2:19">
      <c r="B41" s="315">
        <f t="shared" si="0"/>
        <v>1988</v>
      </c>
      <c r="C41" s="896">
        <v>40328</v>
      </c>
      <c r="R41">
        <v>1</v>
      </c>
    </row>
    <row r="42" spans="2:19">
      <c r="B42" s="315">
        <f t="shared" si="0"/>
        <v>1989</v>
      </c>
      <c r="C42" s="896">
        <v>40298</v>
      </c>
      <c r="O42">
        <v>1</v>
      </c>
    </row>
    <row r="43" spans="2:19">
      <c r="B43" s="315">
        <f t="shared" si="0"/>
        <v>1990</v>
      </c>
      <c r="C43" s="896">
        <v>40292</v>
      </c>
      <c r="O43">
        <v>1</v>
      </c>
    </row>
    <row r="44" spans="2:19">
      <c r="B44" s="315">
        <f t="shared" si="0"/>
        <v>1991</v>
      </c>
      <c r="C44" s="896">
        <v>40308</v>
      </c>
      <c r="P44">
        <v>1</v>
      </c>
    </row>
    <row r="45" spans="2:19">
      <c r="B45" s="315">
        <f t="shared" si="0"/>
        <v>1992</v>
      </c>
      <c r="C45" s="896">
        <v>40284</v>
      </c>
      <c r="N45">
        <v>1</v>
      </c>
    </row>
    <row r="46" spans="2:19">
      <c r="B46" s="315">
        <f t="shared" si="0"/>
        <v>1993</v>
      </c>
      <c r="C46" s="896">
        <v>40296</v>
      </c>
      <c r="O46">
        <v>1</v>
      </c>
    </row>
    <row r="47" spans="2:19">
      <c r="B47" s="315">
        <f t="shared" si="0"/>
        <v>1994</v>
      </c>
      <c r="C47" s="896">
        <v>40307</v>
      </c>
      <c r="P47">
        <v>1</v>
      </c>
    </row>
    <row r="48" spans="2:19">
      <c r="B48" s="315">
        <f t="shared" si="0"/>
        <v>1995</v>
      </c>
      <c r="C48" s="896">
        <v>40262</v>
      </c>
      <c r="L48">
        <v>1</v>
      </c>
    </row>
    <row r="49" spans="2:25">
      <c r="B49" s="315">
        <f t="shared" si="0"/>
        <v>1996</v>
      </c>
      <c r="C49" s="896">
        <v>40307</v>
      </c>
      <c r="P49">
        <v>1</v>
      </c>
    </row>
    <row r="50" spans="2:25">
      <c r="B50" s="315">
        <f t="shared" si="0"/>
        <v>1997</v>
      </c>
      <c r="C50" s="896">
        <v>40304</v>
      </c>
      <c r="P50">
        <v>1</v>
      </c>
    </row>
    <row r="51" spans="2:25">
      <c r="B51" s="315">
        <f t="shared" si="0"/>
        <v>1998</v>
      </c>
      <c r="C51" s="896">
        <v>40397</v>
      </c>
      <c r="Y51">
        <v>1</v>
      </c>
    </row>
    <row r="52" spans="2:25">
      <c r="B52" s="315">
        <f t="shared" si="0"/>
        <v>1999</v>
      </c>
      <c r="C52" s="896">
        <v>40299</v>
      </c>
      <c r="P52">
        <v>1</v>
      </c>
    </row>
    <row r="53" spans="2:25">
      <c r="B53" s="315">
        <f t="shared" si="0"/>
        <v>2000</v>
      </c>
      <c r="C53" s="896">
        <v>40233</v>
      </c>
      <c r="I53">
        <v>1</v>
      </c>
    </row>
    <row r="54" spans="2:25">
      <c r="B54" s="315">
        <f t="shared" si="0"/>
        <v>2001</v>
      </c>
      <c r="C54" s="896">
        <v>40260</v>
      </c>
      <c r="L54">
        <v>1</v>
      </c>
    </row>
    <row r="55" spans="2:25">
      <c r="B55" s="315">
        <f t="shared" si="0"/>
        <v>2002</v>
      </c>
      <c r="C55" s="896">
        <v>40303</v>
      </c>
      <c r="P55">
        <v>1</v>
      </c>
    </row>
    <row r="56" spans="2:25">
      <c r="B56" s="315">
        <f t="shared" si="0"/>
        <v>2003</v>
      </c>
      <c r="C56" s="896">
        <v>40283</v>
      </c>
      <c r="N56">
        <v>1</v>
      </c>
    </row>
    <row r="57" spans="2:25">
      <c r="B57" s="315">
        <f t="shared" si="0"/>
        <v>2004</v>
      </c>
      <c r="C57" s="896">
        <v>40287</v>
      </c>
      <c r="N57">
        <v>1</v>
      </c>
    </row>
    <row r="58" spans="2:25">
      <c r="B58" s="315">
        <f t="shared" si="0"/>
        <v>2005</v>
      </c>
      <c r="C58" s="896">
        <v>40286</v>
      </c>
      <c r="N58">
        <v>1</v>
      </c>
    </row>
    <row r="59" spans="2:25">
      <c r="B59" s="315">
        <f t="shared" si="0"/>
        <v>2006</v>
      </c>
      <c r="C59" s="896">
        <v>40347</v>
      </c>
      <c r="T59">
        <v>1</v>
      </c>
    </row>
    <row r="60" spans="2:25">
      <c r="B60" s="315">
        <f t="shared" si="0"/>
        <v>2007</v>
      </c>
      <c r="C60" s="896">
        <v>40232</v>
      </c>
      <c r="I60">
        <v>1</v>
      </c>
    </row>
    <row r="61" spans="2:25">
      <c r="B61" s="315">
        <f t="shared" si="0"/>
        <v>2008</v>
      </c>
      <c r="C61" s="896">
        <v>40294</v>
      </c>
      <c r="O61">
        <v>1</v>
      </c>
    </row>
    <row r="62" spans="2:25">
      <c r="B62" s="315">
        <f t="shared" si="0"/>
        <v>2009</v>
      </c>
      <c r="C62" s="896">
        <v>40297</v>
      </c>
      <c r="O62">
        <v>1</v>
      </c>
    </row>
    <row r="63" spans="2:25">
      <c r="B63" s="315">
        <f t="shared" si="0"/>
        <v>2010</v>
      </c>
      <c r="C63" s="896">
        <v>40288</v>
      </c>
      <c r="N63">
        <v>1</v>
      </c>
    </row>
    <row r="64" spans="2:25">
      <c r="B64" s="315">
        <f t="shared" si="0"/>
        <v>2011</v>
      </c>
      <c r="C64" s="896">
        <v>40705</v>
      </c>
      <c r="T64">
        <v>1</v>
      </c>
    </row>
    <row r="65" spans="2:39">
      <c r="B65" s="315">
        <f t="shared" si="0"/>
        <v>2012</v>
      </c>
      <c r="C65" s="896">
        <v>40942</v>
      </c>
      <c r="G65">
        <v>1</v>
      </c>
    </row>
    <row r="66" spans="2:39" s="32" customFormat="1">
      <c r="B66" s="911">
        <f>+B65+1</f>
        <v>2013</v>
      </c>
      <c r="C66" s="896">
        <v>41422</v>
      </c>
      <c r="R66" s="32">
        <v>1</v>
      </c>
    </row>
    <row r="67" spans="2:39">
      <c r="B67" s="315">
        <f t="shared" ref="B67:B82" si="1">+B66+1</f>
        <v>2014</v>
      </c>
      <c r="C67" s="896">
        <v>42161</v>
      </c>
      <c r="D67" s="32"/>
      <c r="E67" s="32"/>
      <c r="F67" s="32"/>
      <c r="G67" s="32"/>
      <c r="H67" s="32"/>
      <c r="I67" s="32"/>
      <c r="J67" s="32"/>
      <c r="K67" s="32"/>
      <c r="L67" s="32"/>
      <c r="M67" s="32"/>
      <c r="N67" s="32"/>
      <c r="O67" s="32"/>
      <c r="P67" s="32"/>
      <c r="Q67" s="32"/>
      <c r="R67" s="32"/>
      <c r="S67" s="32">
        <v>1</v>
      </c>
      <c r="T67" s="32"/>
      <c r="U67" s="32"/>
      <c r="V67" s="32"/>
      <c r="W67" s="32"/>
      <c r="X67" s="32"/>
      <c r="Y67" s="32"/>
      <c r="Z67" s="32"/>
      <c r="AA67" s="32"/>
      <c r="AB67" s="32"/>
      <c r="AC67" s="32"/>
      <c r="AD67" s="32"/>
      <c r="AE67" s="32"/>
      <c r="AF67" s="32"/>
      <c r="AG67" s="32"/>
      <c r="AH67" s="32"/>
      <c r="AI67" s="32"/>
      <c r="AJ67" s="32"/>
      <c r="AK67" s="32"/>
      <c r="AL67" s="32"/>
      <c r="AM67" s="32"/>
    </row>
    <row r="68" spans="2:39">
      <c r="B68" s="315">
        <f t="shared" si="1"/>
        <v>2015</v>
      </c>
      <c r="C68" s="1027">
        <v>42471</v>
      </c>
      <c r="D68" s="32"/>
      <c r="E68" s="32"/>
      <c r="F68" s="32"/>
      <c r="G68" s="32"/>
      <c r="H68" s="32"/>
      <c r="I68" s="32"/>
      <c r="J68" s="32"/>
      <c r="K68" s="32"/>
      <c r="L68" s="32"/>
      <c r="M68" s="32"/>
      <c r="N68" s="32">
        <v>1</v>
      </c>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row>
    <row r="69" spans="2:39">
      <c r="B69" s="315">
        <f t="shared" si="1"/>
        <v>2016</v>
      </c>
      <c r="C69" s="99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row>
    <row r="70" spans="2:39">
      <c r="B70" s="315">
        <f t="shared" si="1"/>
        <v>2017</v>
      </c>
      <c r="C70" s="99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row>
    <row r="71" spans="2:39">
      <c r="B71" s="315">
        <f t="shared" si="1"/>
        <v>2018</v>
      </c>
      <c r="C71" s="99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row>
    <row r="72" spans="2:39">
      <c r="B72" s="315">
        <f t="shared" si="1"/>
        <v>2019</v>
      </c>
      <c r="C72" s="99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row>
    <row r="73" spans="2:39">
      <c r="B73" s="315">
        <f t="shared" si="1"/>
        <v>2020</v>
      </c>
      <c r="C73" s="992"/>
      <c r="D73" s="332"/>
      <c r="E73" s="332"/>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row>
    <row r="74" spans="2:39">
      <c r="B74" s="315">
        <f t="shared" si="1"/>
        <v>2021</v>
      </c>
      <c r="C74" s="99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row>
    <row r="75" spans="2:39">
      <c r="B75" s="315">
        <f t="shared" si="1"/>
        <v>2022</v>
      </c>
      <c r="C75" s="99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row>
    <row r="76" spans="2:39">
      <c r="B76" s="315">
        <f t="shared" si="1"/>
        <v>2023</v>
      </c>
      <c r="C76" s="99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898" t="s">
        <v>1123</v>
      </c>
      <c r="AH76" s="332"/>
      <c r="AI76" s="332"/>
      <c r="AJ76" s="332"/>
      <c r="AK76" s="332"/>
      <c r="AL76" s="332"/>
      <c r="AM76" s="332"/>
    </row>
    <row r="77" spans="2:39">
      <c r="B77" s="315">
        <f t="shared" si="1"/>
        <v>2024</v>
      </c>
      <c r="C77" s="99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row>
    <row r="78" spans="2:39">
      <c r="B78" s="315">
        <f t="shared" si="1"/>
        <v>2025</v>
      </c>
      <c r="C78" s="99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row>
    <row r="79" spans="2:39">
      <c r="B79" s="315">
        <f t="shared" si="1"/>
        <v>2026</v>
      </c>
      <c r="C79" s="99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row>
    <row r="80" spans="2:39">
      <c r="B80" s="315">
        <f t="shared" si="1"/>
        <v>2027</v>
      </c>
      <c r="C80" s="99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row>
    <row r="81" spans="2:41">
      <c r="B81" s="315">
        <f t="shared" si="1"/>
        <v>2028</v>
      </c>
      <c r="C81" s="99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row>
    <row r="82" spans="2:41">
      <c r="B82" s="315">
        <f t="shared" si="1"/>
        <v>2029</v>
      </c>
      <c r="C82" s="992"/>
      <c r="D82" s="332"/>
      <c r="E82" s="332"/>
      <c r="F82" s="332"/>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O82" s="895" t="s">
        <v>1124</v>
      </c>
    </row>
    <row r="83" spans="2:41">
      <c r="C83" s="315" t="s">
        <v>1086</v>
      </c>
      <c r="D83" s="40">
        <f>SUM(D3:D82)</f>
        <v>0</v>
      </c>
      <c r="E83" s="40">
        <f t="shared" ref="E83:AM83" si="2">SUM(E3:E82)</f>
        <v>0</v>
      </c>
      <c r="F83" s="40">
        <f t="shared" si="2"/>
        <v>0</v>
      </c>
      <c r="G83" s="40">
        <f t="shared" si="2"/>
        <v>1</v>
      </c>
      <c r="H83" s="40">
        <f t="shared" si="2"/>
        <v>0</v>
      </c>
      <c r="I83" s="40">
        <f t="shared" si="2"/>
        <v>2</v>
      </c>
      <c r="J83" s="40">
        <f t="shared" si="2"/>
        <v>3</v>
      </c>
      <c r="K83" s="40">
        <f t="shared" si="2"/>
        <v>3</v>
      </c>
      <c r="L83" s="40">
        <f t="shared" si="2"/>
        <v>5</v>
      </c>
      <c r="M83" s="40">
        <f t="shared" si="2"/>
        <v>3</v>
      </c>
      <c r="N83" s="40">
        <f t="shared" si="2"/>
        <v>11</v>
      </c>
      <c r="O83" s="40">
        <f t="shared" si="2"/>
        <v>10</v>
      </c>
      <c r="P83" s="40">
        <f t="shared" si="2"/>
        <v>14</v>
      </c>
      <c r="Q83" s="40">
        <f t="shared" si="2"/>
        <v>2</v>
      </c>
      <c r="R83" s="40">
        <f t="shared" si="2"/>
        <v>3</v>
      </c>
      <c r="S83" s="40">
        <f t="shared" si="2"/>
        <v>3</v>
      </c>
      <c r="T83" s="40">
        <f t="shared" si="2"/>
        <v>3</v>
      </c>
      <c r="U83" s="40">
        <f t="shared" si="2"/>
        <v>1</v>
      </c>
      <c r="V83" s="40">
        <f t="shared" si="2"/>
        <v>0</v>
      </c>
      <c r="W83" s="40">
        <f t="shared" si="2"/>
        <v>1</v>
      </c>
      <c r="X83" s="40">
        <f t="shared" si="2"/>
        <v>0</v>
      </c>
      <c r="Y83" s="40">
        <f t="shared" si="2"/>
        <v>1</v>
      </c>
      <c r="Z83" s="40">
        <f t="shared" si="2"/>
        <v>0</v>
      </c>
      <c r="AA83" s="40">
        <f t="shared" si="2"/>
        <v>0</v>
      </c>
      <c r="AB83" s="40">
        <f t="shared" si="2"/>
        <v>0</v>
      </c>
      <c r="AC83" s="40">
        <f t="shared" si="2"/>
        <v>0</v>
      </c>
      <c r="AD83" s="40">
        <f t="shared" si="2"/>
        <v>0</v>
      </c>
      <c r="AE83" s="40">
        <f t="shared" si="2"/>
        <v>0</v>
      </c>
      <c r="AF83" s="40">
        <f t="shared" si="2"/>
        <v>0</v>
      </c>
      <c r="AG83" s="40">
        <f t="shared" si="2"/>
        <v>0</v>
      </c>
      <c r="AH83" s="40">
        <f t="shared" si="2"/>
        <v>0</v>
      </c>
      <c r="AI83" s="40">
        <f t="shared" si="2"/>
        <v>0</v>
      </c>
      <c r="AJ83" s="40">
        <f t="shared" si="2"/>
        <v>0</v>
      </c>
      <c r="AK83" s="40">
        <f t="shared" si="2"/>
        <v>0</v>
      </c>
      <c r="AL83" s="40">
        <f t="shared" si="2"/>
        <v>0</v>
      </c>
      <c r="AM83" s="40">
        <f t="shared" si="2"/>
        <v>0</v>
      </c>
      <c r="AO83" s="40">
        <f>SUM(D83:AM83)</f>
        <v>66</v>
      </c>
    </row>
    <row r="84" spans="2:41" s="40" customFormat="1">
      <c r="B84" s="842"/>
      <c r="C84" s="842"/>
      <c r="D84" s="40">
        <f>+D83</f>
        <v>0</v>
      </c>
      <c r="E84" s="40">
        <f>+D84+E83</f>
        <v>0</v>
      </c>
      <c r="F84" s="40">
        <f t="shared" ref="F84:AM84" si="3">+E84+F83</f>
        <v>0</v>
      </c>
      <c r="G84" s="40">
        <f t="shared" si="3"/>
        <v>1</v>
      </c>
      <c r="H84" s="40">
        <f t="shared" si="3"/>
        <v>1</v>
      </c>
      <c r="I84" s="40">
        <f t="shared" si="3"/>
        <v>3</v>
      </c>
      <c r="J84" s="40">
        <f t="shared" si="3"/>
        <v>6</v>
      </c>
      <c r="K84" s="40">
        <f t="shared" si="3"/>
        <v>9</v>
      </c>
      <c r="L84" s="40">
        <f t="shared" si="3"/>
        <v>14</v>
      </c>
      <c r="M84" s="40">
        <f t="shared" si="3"/>
        <v>17</v>
      </c>
      <c r="N84" s="40">
        <f t="shared" si="3"/>
        <v>28</v>
      </c>
      <c r="O84" s="40">
        <f t="shared" si="3"/>
        <v>38</v>
      </c>
      <c r="P84" s="40">
        <f t="shared" si="3"/>
        <v>52</v>
      </c>
      <c r="Q84" s="40">
        <f t="shared" si="3"/>
        <v>54</v>
      </c>
      <c r="R84" s="40">
        <f t="shared" si="3"/>
        <v>57</v>
      </c>
      <c r="S84" s="40">
        <f t="shared" si="3"/>
        <v>60</v>
      </c>
      <c r="T84" s="40">
        <f t="shared" si="3"/>
        <v>63</v>
      </c>
      <c r="U84" s="40">
        <f t="shared" si="3"/>
        <v>64</v>
      </c>
      <c r="V84" s="40">
        <f t="shared" si="3"/>
        <v>64</v>
      </c>
      <c r="W84" s="40">
        <f t="shared" si="3"/>
        <v>65</v>
      </c>
      <c r="X84" s="40">
        <f t="shared" si="3"/>
        <v>65</v>
      </c>
      <c r="Y84" s="40">
        <f t="shared" si="3"/>
        <v>66</v>
      </c>
      <c r="Z84" s="40">
        <f t="shared" si="3"/>
        <v>66</v>
      </c>
      <c r="AA84" s="40">
        <f t="shared" si="3"/>
        <v>66</v>
      </c>
      <c r="AB84" s="40">
        <f t="shared" si="3"/>
        <v>66</v>
      </c>
      <c r="AC84" s="40">
        <f t="shared" si="3"/>
        <v>66</v>
      </c>
      <c r="AD84" s="40">
        <f t="shared" si="3"/>
        <v>66</v>
      </c>
      <c r="AE84" s="40">
        <f t="shared" si="3"/>
        <v>66</v>
      </c>
      <c r="AF84" s="40">
        <f t="shared" si="3"/>
        <v>66</v>
      </c>
      <c r="AG84" s="40">
        <f t="shared" si="3"/>
        <v>66</v>
      </c>
      <c r="AH84" s="40">
        <f t="shared" si="3"/>
        <v>66</v>
      </c>
      <c r="AI84" s="40">
        <f t="shared" si="3"/>
        <v>66</v>
      </c>
      <c r="AJ84" s="40">
        <f t="shared" si="3"/>
        <v>66</v>
      </c>
      <c r="AK84" s="40">
        <f t="shared" si="3"/>
        <v>66</v>
      </c>
      <c r="AL84" s="40">
        <f t="shared" si="3"/>
        <v>66</v>
      </c>
      <c r="AM84" s="40">
        <f t="shared" si="3"/>
        <v>66</v>
      </c>
    </row>
    <row r="85" spans="2:41">
      <c r="C85" s="315" t="s">
        <v>1070</v>
      </c>
      <c r="D85" s="897">
        <f>(+D84/$AO$83)*100</f>
        <v>0</v>
      </c>
      <c r="E85" s="897">
        <f t="shared" ref="E85:AM85" si="4">(+E84/$AO$83)*100</f>
        <v>0</v>
      </c>
      <c r="F85" s="897">
        <f t="shared" si="4"/>
        <v>0</v>
      </c>
      <c r="G85" s="897">
        <f t="shared" si="4"/>
        <v>1.5151515151515151</v>
      </c>
      <c r="H85" s="897">
        <f t="shared" si="4"/>
        <v>1.5151515151515151</v>
      </c>
      <c r="I85" s="897">
        <f t="shared" si="4"/>
        <v>4.5454545454545459</v>
      </c>
      <c r="J85" s="897">
        <f t="shared" si="4"/>
        <v>9.0909090909090917</v>
      </c>
      <c r="K85" s="897">
        <f t="shared" si="4"/>
        <v>13.636363636363635</v>
      </c>
      <c r="L85" s="897">
        <f t="shared" si="4"/>
        <v>21.212121212121211</v>
      </c>
      <c r="M85" s="897">
        <f t="shared" si="4"/>
        <v>25.757575757575758</v>
      </c>
      <c r="N85" s="897">
        <f t="shared" si="4"/>
        <v>42.424242424242422</v>
      </c>
      <c r="O85" s="897">
        <f t="shared" si="4"/>
        <v>57.575757575757578</v>
      </c>
      <c r="P85" s="897">
        <f t="shared" si="4"/>
        <v>78.787878787878782</v>
      </c>
      <c r="Q85" s="897">
        <f t="shared" si="4"/>
        <v>81.818181818181827</v>
      </c>
      <c r="R85" s="897">
        <f t="shared" si="4"/>
        <v>86.36363636363636</v>
      </c>
      <c r="S85" s="897">
        <f t="shared" si="4"/>
        <v>90.909090909090907</v>
      </c>
      <c r="T85" s="897">
        <f t="shared" si="4"/>
        <v>95.454545454545453</v>
      </c>
      <c r="U85" s="897">
        <f t="shared" si="4"/>
        <v>96.969696969696969</v>
      </c>
      <c r="V85" s="897">
        <f t="shared" si="4"/>
        <v>96.969696969696969</v>
      </c>
      <c r="W85" s="897">
        <f t="shared" si="4"/>
        <v>98.484848484848484</v>
      </c>
      <c r="X85" s="897">
        <f t="shared" si="4"/>
        <v>98.484848484848484</v>
      </c>
      <c r="Y85" s="897">
        <f t="shared" si="4"/>
        <v>100</v>
      </c>
      <c r="Z85" s="897">
        <f t="shared" si="4"/>
        <v>100</v>
      </c>
      <c r="AA85" s="897">
        <f t="shared" si="4"/>
        <v>100</v>
      </c>
      <c r="AB85" s="897">
        <f t="shared" si="4"/>
        <v>100</v>
      </c>
      <c r="AC85" s="897">
        <f t="shared" si="4"/>
        <v>100</v>
      </c>
      <c r="AD85" s="897">
        <f t="shared" si="4"/>
        <v>100</v>
      </c>
      <c r="AE85" s="897">
        <f t="shared" si="4"/>
        <v>100</v>
      </c>
      <c r="AF85" s="897">
        <f t="shared" si="4"/>
        <v>100</v>
      </c>
      <c r="AG85" s="897">
        <f t="shared" si="4"/>
        <v>100</v>
      </c>
      <c r="AH85" s="897">
        <f t="shared" si="4"/>
        <v>100</v>
      </c>
      <c r="AI85" s="897">
        <f t="shared" si="4"/>
        <v>100</v>
      </c>
      <c r="AJ85" s="897">
        <f t="shared" si="4"/>
        <v>100</v>
      </c>
      <c r="AK85" s="897">
        <f t="shared" si="4"/>
        <v>100</v>
      </c>
      <c r="AL85" s="897">
        <f t="shared" si="4"/>
        <v>100</v>
      </c>
      <c r="AM85" s="897">
        <f t="shared" si="4"/>
        <v>100</v>
      </c>
    </row>
    <row r="87" spans="2:41" ht="15" customHeight="1"/>
    <row r="88" spans="2:41" ht="15" customHeight="1"/>
    <row r="89" spans="2:41" ht="15" customHeight="1"/>
    <row r="90" spans="2:41" ht="15" customHeight="1"/>
    <row r="91" spans="2:41" ht="15" customHeight="1"/>
    <row r="92" spans="2:41" ht="15" customHeight="1"/>
    <row r="93" spans="2:41" ht="15" customHeight="1"/>
    <row r="94" spans="2:41" ht="15" customHeight="1"/>
    <row r="95" spans="2:41" ht="15" customHeight="1"/>
    <row r="96" spans="2:41"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sheetData>
  <pageMargins left="0.7" right="0.7" top="0.75" bottom="0.75" header="0.3" footer="0.3"/>
  <pageSetup scale="88" fitToHeight="2" orientation="landscape" r:id="rId1"/>
  <rowBreaks count="1" manualBreakCount="1">
    <brk id="11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topLeftCell="A13" zoomScale="75" zoomScaleNormal="75" workbookViewId="0">
      <selection activeCell="I8" sqref="I8"/>
    </sheetView>
    <sheetView topLeftCell="A10" workbookViewId="1"/>
  </sheetViews>
  <sheetFormatPr defaultColWidth="0" defaultRowHeight="15" zeroHeight="1"/>
  <cols>
    <col min="1" max="1" width="2.77734375" customWidth="1"/>
    <col min="2" max="2" width="8.88671875" customWidth="1"/>
    <col min="3" max="3" width="23.88671875" customWidth="1"/>
    <col min="4" max="4" width="4.77734375" customWidth="1"/>
    <col min="5" max="5" width="2.6640625" customWidth="1"/>
    <col min="6" max="6" width="16" customWidth="1"/>
    <col min="7" max="7" width="8" customWidth="1"/>
    <col min="8" max="9" width="8.88671875" customWidth="1"/>
    <col min="10" max="10" width="9.88671875" customWidth="1"/>
    <col min="11" max="11" width="2.77734375" customWidth="1"/>
    <col min="12" max="12" width="2.77734375" hidden="1" customWidth="1"/>
  </cols>
  <sheetData>
    <row r="1" spans="1:10"/>
    <row r="2" spans="1:10" ht="23.25">
      <c r="B2" s="1146" t="s">
        <v>1</v>
      </c>
      <c r="C2" s="1147"/>
      <c r="D2" s="1147"/>
      <c r="E2" s="1147"/>
      <c r="F2" s="1147"/>
      <c r="G2" s="1147"/>
      <c r="H2" s="1148"/>
      <c r="I2" s="1148"/>
      <c r="J2" s="1148"/>
    </row>
    <row r="3" spans="1:10" ht="15.75" thickBot="1"/>
    <row r="4" spans="1:10" ht="220.5" customHeight="1" thickTop="1" thickBot="1">
      <c r="B4" s="1143" t="s">
        <v>975</v>
      </c>
      <c r="C4" s="1144"/>
      <c r="D4" s="1144"/>
      <c r="E4" s="1144"/>
      <c r="F4" s="1144"/>
      <c r="G4" s="1144"/>
      <c r="H4" s="1144"/>
      <c r="I4" s="1144"/>
      <c r="J4" s="1145"/>
    </row>
    <row r="5" spans="1:10" ht="15.75" thickTop="1">
      <c r="B5" s="177"/>
      <c r="C5" s="177"/>
      <c r="D5" s="177"/>
      <c r="E5" s="177"/>
      <c r="F5" s="177"/>
      <c r="G5" s="177"/>
      <c r="H5" s="177"/>
      <c r="I5" s="177"/>
      <c r="J5" s="177"/>
    </row>
    <row r="6" spans="1:10">
      <c r="B6" s="177"/>
      <c r="C6" s="177" t="s">
        <v>7</v>
      </c>
      <c r="D6" s="178" t="s">
        <v>74</v>
      </c>
      <c r="E6" s="179" t="s">
        <v>9</v>
      </c>
      <c r="F6" s="177">
        <v>7.6539999999999997E-2</v>
      </c>
      <c r="G6" s="543" t="s">
        <v>4</v>
      </c>
      <c r="H6" s="177"/>
      <c r="I6" s="177"/>
      <c r="J6" s="177"/>
    </row>
    <row r="7" spans="1:10" ht="18.75">
      <c r="B7" s="177"/>
      <c r="C7" s="177" t="s">
        <v>8</v>
      </c>
      <c r="D7" s="178" t="s">
        <v>593</v>
      </c>
      <c r="E7" s="179" t="s">
        <v>9</v>
      </c>
      <c r="F7" s="177">
        <v>150</v>
      </c>
      <c r="G7" s="543" t="s">
        <v>3</v>
      </c>
      <c r="H7" s="177"/>
      <c r="I7" s="655"/>
      <c r="J7" s="33"/>
    </row>
    <row r="8" spans="1:10" ht="15.75" thickBot="1">
      <c r="B8" s="180"/>
      <c r="C8" s="180"/>
      <c r="D8" s="181"/>
      <c r="E8" s="180"/>
      <c r="F8" s="180"/>
      <c r="G8" s="544"/>
      <c r="H8" s="177"/>
      <c r="I8" s="177"/>
      <c r="J8" s="177"/>
    </row>
    <row r="9" spans="1:10" ht="19.5" thickTop="1">
      <c r="A9" s="36"/>
      <c r="B9" s="1139" t="s">
        <v>5</v>
      </c>
      <c r="C9" s="182" t="s">
        <v>18</v>
      </c>
      <c r="D9" s="183" t="s">
        <v>594</v>
      </c>
      <c r="E9" s="184" t="s">
        <v>9</v>
      </c>
      <c r="F9" s="752">
        <f>'Tornado Model'!$G$112</f>
        <v>143.56351296219893</v>
      </c>
      <c r="G9" s="545" t="s">
        <v>2</v>
      </c>
      <c r="H9" s="180"/>
      <c r="I9" s="177"/>
      <c r="J9" s="177"/>
    </row>
    <row r="10" spans="1:10" ht="18.75">
      <c r="A10" s="36"/>
      <c r="B10" s="1140"/>
      <c r="C10" s="180" t="s">
        <v>10</v>
      </c>
      <c r="D10" s="181" t="s">
        <v>595</v>
      </c>
      <c r="E10" s="185" t="s">
        <v>9</v>
      </c>
      <c r="F10" s="186" t="s">
        <v>596</v>
      </c>
      <c r="G10" s="546" t="s">
        <v>2</v>
      </c>
      <c r="H10" s="177"/>
      <c r="I10" s="177"/>
      <c r="J10" s="177"/>
    </row>
    <row r="11" spans="1:10" ht="18.75">
      <c r="A11" s="36"/>
      <c r="B11" s="1141"/>
      <c r="C11" s="180" t="s">
        <v>10</v>
      </c>
      <c r="D11" s="181" t="s">
        <v>595</v>
      </c>
      <c r="E11" s="185" t="s">
        <v>9</v>
      </c>
      <c r="F11" s="180">
        <f>0.8*F9</f>
        <v>114.85081036975915</v>
      </c>
      <c r="G11" s="546" t="s">
        <v>2</v>
      </c>
      <c r="H11" s="180"/>
      <c r="I11" s="177"/>
      <c r="J11" s="177"/>
    </row>
    <row r="12" spans="1:10" ht="18.75">
      <c r="A12" s="36"/>
      <c r="B12" s="1141"/>
      <c r="C12" s="180" t="s">
        <v>11</v>
      </c>
      <c r="D12" s="181" t="s">
        <v>597</v>
      </c>
      <c r="E12" s="185" t="s">
        <v>9</v>
      </c>
      <c r="F12" s="186" t="s">
        <v>598</v>
      </c>
      <c r="G12" s="546" t="s">
        <v>2</v>
      </c>
      <c r="H12" s="177"/>
      <c r="I12" s="177"/>
      <c r="J12" s="177"/>
    </row>
    <row r="13" spans="1:10" ht="18.75">
      <c r="A13" s="36"/>
      <c r="B13" s="1141"/>
      <c r="C13" s="180" t="s">
        <v>11</v>
      </c>
      <c r="D13" s="181" t="s">
        <v>597</v>
      </c>
      <c r="E13" s="185" t="s">
        <v>9</v>
      </c>
      <c r="F13" s="180">
        <f>0.2*F9</f>
        <v>28.712702592439786</v>
      </c>
      <c r="G13" s="546" t="s">
        <v>2</v>
      </c>
      <c r="H13" s="180"/>
    </row>
    <row r="14" spans="1:10" ht="18.75">
      <c r="A14" s="36"/>
      <c r="B14" s="1141"/>
      <c r="C14" s="180" t="s">
        <v>12</v>
      </c>
      <c r="D14" s="181" t="s">
        <v>15</v>
      </c>
      <c r="E14" s="185" t="s">
        <v>9</v>
      </c>
      <c r="F14" s="187" t="s">
        <v>599</v>
      </c>
      <c r="G14" s="546"/>
      <c r="H14" s="177"/>
      <c r="I14" s="177"/>
      <c r="J14" s="177"/>
    </row>
    <row r="15" spans="1:10">
      <c r="A15" s="36"/>
      <c r="B15" s="1141"/>
      <c r="C15" s="180" t="s">
        <v>12</v>
      </c>
      <c r="D15" s="181" t="s">
        <v>15</v>
      </c>
      <c r="E15" s="185" t="s">
        <v>9</v>
      </c>
      <c r="F15" s="188">
        <f>(((+F6*F11^2)/12960000)/32.1725)*5280^2</f>
        <v>67.504794511513012</v>
      </c>
      <c r="G15" s="546" t="s">
        <v>17</v>
      </c>
      <c r="H15" s="180"/>
      <c r="I15" s="177"/>
      <c r="J15" s="177"/>
    </row>
    <row r="16" spans="1:10" ht="18.75">
      <c r="A16" s="36"/>
      <c r="B16" s="1141"/>
      <c r="C16" s="180" t="s">
        <v>13</v>
      </c>
      <c r="D16" s="181" t="s">
        <v>14</v>
      </c>
      <c r="E16" s="185" t="s">
        <v>9</v>
      </c>
      <c r="F16" s="187" t="s">
        <v>600</v>
      </c>
      <c r="G16" s="546"/>
      <c r="H16" s="177"/>
      <c r="I16" s="177"/>
      <c r="J16" s="177"/>
    </row>
    <row r="17" spans="1:10" ht="15.75" thickBot="1">
      <c r="A17" s="36"/>
      <c r="B17" s="1142"/>
      <c r="C17" s="189" t="s">
        <v>13</v>
      </c>
      <c r="D17" s="190" t="s">
        <v>14</v>
      </c>
      <c r="E17" s="191" t="s">
        <v>9</v>
      </c>
      <c r="F17" s="192">
        <f>((+F13/F7*F15)*5280)/3600</f>
        <v>18.951729752978828</v>
      </c>
      <c r="G17" s="547" t="s">
        <v>16</v>
      </c>
      <c r="H17" s="180"/>
      <c r="I17" s="177"/>
      <c r="J17" s="177"/>
    </row>
    <row r="18" spans="1:10" ht="15.75" thickTop="1">
      <c r="B18" s="180"/>
      <c r="C18" s="180"/>
      <c r="D18" s="180"/>
      <c r="E18" s="180"/>
      <c r="F18" s="180"/>
      <c r="G18" s="544"/>
      <c r="H18" s="177"/>
      <c r="I18" s="177"/>
      <c r="J18" s="177"/>
    </row>
    <row r="19" spans="1:10" ht="15.75" thickBot="1">
      <c r="B19" s="180"/>
      <c r="C19" s="180"/>
      <c r="D19" s="180"/>
      <c r="E19" s="180"/>
      <c r="F19" s="180"/>
      <c r="G19" s="544"/>
      <c r="H19" s="177"/>
      <c r="I19" s="177"/>
      <c r="J19" s="177"/>
    </row>
    <row r="20" spans="1:10" ht="19.5" thickTop="1">
      <c r="A20" s="36"/>
      <c r="B20" s="1135" t="s">
        <v>6</v>
      </c>
      <c r="C20" s="193" t="s">
        <v>18</v>
      </c>
      <c r="D20" s="194" t="s">
        <v>594</v>
      </c>
      <c r="E20" s="195" t="s">
        <v>9</v>
      </c>
      <c r="F20" s="753">
        <f>'Tornado Model'!$G$114</f>
        <v>199.72412498644391</v>
      </c>
      <c r="G20" s="548" t="s">
        <v>2</v>
      </c>
      <c r="H20" s="180"/>
      <c r="I20" s="177"/>
      <c r="J20" s="177"/>
    </row>
    <row r="21" spans="1:10" ht="18.75">
      <c r="A21" s="36"/>
      <c r="B21" s="1136"/>
      <c r="C21" s="180" t="s">
        <v>10</v>
      </c>
      <c r="D21" s="181" t="s">
        <v>595</v>
      </c>
      <c r="E21" s="185" t="s">
        <v>9</v>
      </c>
      <c r="F21" s="186" t="s">
        <v>596</v>
      </c>
      <c r="G21" s="549" t="s">
        <v>2</v>
      </c>
      <c r="H21" s="177"/>
      <c r="I21" s="177"/>
      <c r="J21" s="177"/>
    </row>
    <row r="22" spans="1:10" ht="18.75">
      <c r="A22" s="36"/>
      <c r="B22" s="1137"/>
      <c r="C22" s="180" t="s">
        <v>10</v>
      </c>
      <c r="D22" s="181" t="s">
        <v>595</v>
      </c>
      <c r="E22" s="185" t="s">
        <v>9</v>
      </c>
      <c r="F22" s="180">
        <f>0.8*F20</f>
        <v>159.77929998915513</v>
      </c>
      <c r="G22" s="549" t="s">
        <v>2</v>
      </c>
      <c r="H22" s="180"/>
      <c r="I22" s="177"/>
      <c r="J22" s="177"/>
    </row>
    <row r="23" spans="1:10" ht="18.75">
      <c r="A23" s="36"/>
      <c r="B23" s="1137"/>
      <c r="C23" s="180" t="s">
        <v>11</v>
      </c>
      <c r="D23" s="181" t="s">
        <v>597</v>
      </c>
      <c r="E23" s="185" t="s">
        <v>9</v>
      </c>
      <c r="F23" s="186" t="s">
        <v>598</v>
      </c>
      <c r="G23" s="549" t="s">
        <v>2</v>
      </c>
      <c r="H23" s="177"/>
      <c r="I23" s="177"/>
      <c r="J23" s="177"/>
    </row>
    <row r="24" spans="1:10" ht="18.75">
      <c r="A24" s="36"/>
      <c r="B24" s="1137"/>
      <c r="C24" s="180" t="s">
        <v>11</v>
      </c>
      <c r="D24" s="181" t="s">
        <v>597</v>
      </c>
      <c r="E24" s="185" t="s">
        <v>9</v>
      </c>
      <c r="F24" s="180">
        <f>0.2*F20</f>
        <v>39.944824997288784</v>
      </c>
      <c r="G24" s="549" t="s">
        <v>2</v>
      </c>
      <c r="H24" s="180"/>
      <c r="I24" s="177"/>
      <c r="J24" s="177"/>
    </row>
    <row r="25" spans="1:10" ht="18.75">
      <c r="B25" s="1137"/>
      <c r="C25" s="180" t="s">
        <v>12</v>
      </c>
      <c r="D25" s="181" t="s">
        <v>15</v>
      </c>
      <c r="E25" s="185" t="s">
        <v>9</v>
      </c>
      <c r="F25" s="187" t="s">
        <v>599</v>
      </c>
      <c r="G25" s="549"/>
      <c r="H25" s="177"/>
      <c r="I25" s="177"/>
      <c r="J25" s="177"/>
    </row>
    <row r="26" spans="1:10">
      <c r="B26" s="1137"/>
      <c r="C26" s="180" t="s">
        <v>12</v>
      </c>
      <c r="D26" s="181" t="s">
        <v>15</v>
      </c>
      <c r="E26" s="185" t="s">
        <v>9</v>
      </c>
      <c r="F26" s="188">
        <f>(((+F6*F22^2)/12960000)/32.1725)*5280^2</f>
        <v>130.64943024709149</v>
      </c>
      <c r="G26" s="549" t="s">
        <v>17</v>
      </c>
      <c r="H26" s="177"/>
      <c r="I26" s="177"/>
      <c r="J26" s="177"/>
    </row>
    <row r="27" spans="1:10" ht="18.75">
      <c r="B27" s="1137"/>
      <c r="C27" s="180" t="s">
        <v>13</v>
      </c>
      <c r="D27" s="181" t="s">
        <v>14</v>
      </c>
      <c r="E27" s="185" t="s">
        <v>9</v>
      </c>
      <c r="F27" s="187" t="s">
        <v>600</v>
      </c>
      <c r="G27" s="549"/>
      <c r="H27" s="177"/>
      <c r="I27" s="177"/>
      <c r="J27" s="177"/>
    </row>
    <row r="28" spans="1:10" ht="15.75" thickBot="1">
      <c r="B28" s="1138"/>
      <c r="C28" s="196" t="s">
        <v>13</v>
      </c>
      <c r="D28" s="197" t="s">
        <v>14</v>
      </c>
      <c r="E28" s="198" t="s">
        <v>9</v>
      </c>
      <c r="F28" s="199">
        <f>((+F24/F7*F26)*5280)/3600</f>
        <v>51.027959910552113</v>
      </c>
      <c r="G28" s="550" t="s">
        <v>16</v>
      </c>
      <c r="H28" s="177"/>
      <c r="I28" s="177"/>
      <c r="J28" s="177"/>
    </row>
    <row r="29" spans="1:10" ht="15.75" thickTop="1"/>
    <row r="30" spans="1:10"/>
    <row r="31" spans="1:10"/>
  </sheetData>
  <customSheetViews>
    <customSheetView guid="{CFA9FB8A-52FF-44B9-AE70-27339693E196}" topLeftCell="A6">
      <selection activeCell="F6" sqref="F6"/>
      <pageMargins left="0.75" right="0.75" top="1" bottom="1" header="0.5" footer="0.5"/>
      <pageSetup scale="72" orientation="portrait" r:id="rId1"/>
      <headerFooter alignWithMargins="0"/>
    </customSheetView>
  </customSheetViews>
  <mergeCells count="4">
    <mergeCell ref="B20:B28"/>
    <mergeCell ref="B9:B17"/>
    <mergeCell ref="B4:J4"/>
    <mergeCell ref="B2:J2"/>
  </mergeCells>
  <phoneticPr fontId="18" type="noConversion"/>
  <printOptions horizontalCentered="1"/>
  <pageMargins left="0.75" right="0.75" top="1.25" bottom="0.5" header="0.5" footer="0"/>
  <pageSetup firstPageNumber="113" orientation="landscape" useFirstPageNumber="1" r:id="rId2"/>
  <headerFooter scaleWithDoc="0">
    <oddFooter>&amp;CPage &amp;P of 172</oddFooter>
  </headerFooter>
  <rowBreaks count="1" manualBreakCount="1">
    <brk id="7" min="1" max="9" man="1"/>
  </rowBreaks>
  <colBreaks count="1" manualBreakCount="1">
    <brk id="1"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E9" sqref="E9"/>
    </sheetView>
    <sheetView workbookViewId="1">
      <selection activeCell="C8" sqref="C8"/>
    </sheetView>
  </sheetViews>
  <sheetFormatPr defaultColWidth="0" defaultRowHeight="15" zeroHeight="1"/>
  <cols>
    <col min="1" max="1" width="2.88671875" style="395" customWidth="1"/>
    <col min="2" max="2" width="35.44140625" style="169" customWidth="1"/>
    <col min="3" max="9" width="8.88671875" style="169" customWidth="1"/>
  </cols>
  <sheetData>
    <row r="1" spans="1:9" s="362" customFormat="1" ht="15.75" thickBot="1">
      <c r="A1" s="392"/>
      <c r="B1" s="393"/>
      <c r="C1" s="393"/>
      <c r="D1" s="393"/>
      <c r="E1" s="393"/>
      <c r="F1" s="393"/>
      <c r="G1" s="393"/>
      <c r="H1" s="393"/>
      <c r="I1" s="394"/>
    </row>
    <row r="2" spans="1:9" ht="19.5" thickTop="1" thickBot="1">
      <c r="B2" s="1149" t="s">
        <v>677</v>
      </c>
      <c r="C2" s="1150"/>
      <c r="D2" s="1150"/>
      <c r="E2" s="1150"/>
      <c r="F2" s="1150"/>
      <c r="G2" s="1150"/>
      <c r="H2" s="1151"/>
      <c r="I2" s="395"/>
    </row>
    <row r="3" spans="1:9" ht="19.5" thickTop="1" thickBot="1">
      <c r="A3" s="396"/>
      <c r="B3" s="386"/>
      <c r="C3" s="1152" t="s">
        <v>509</v>
      </c>
      <c r="D3" s="1152"/>
      <c r="E3" s="1152"/>
      <c r="F3" s="1152"/>
      <c r="G3" s="1152"/>
      <c r="H3" s="1152"/>
      <c r="I3" s="388"/>
    </row>
    <row r="4" spans="1:9" ht="16.5" thickBot="1">
      <c r="A4" s="396"/>
      <c r="B4" s="387"/>
      <c r="C4" s="559" t="s">
        <v>678</v>
      </c>
      <c r="D4" s="559" t="s">
        <v>679</v>
      </c>
      <c r="E4" s="559" t="s">
        <v>680</v>
      </c>
      <c r="F4" s="559" t="s">
        <v>681</v>
      </c>
      <c r="G4" s="559" t="s">
        <v>682</v>
      </c>
      <c r="H4" s="559" t="s">
        <v>790</v>
      </c>
      <c r="I4" s="388"/>
    </row>
    <row r="5" spans="1:9" s="352" customFormat="1" ht="12.75">
      <c r="A5" s="400"/>
      <c r="B5" s="401" t="s">
        <v>683</v>
      </c>
      <c r="C5" s="402">
        <f>COUNT('F0 - EF0'!$G$7:$G$800)</f>
        <v>697</v>
      </c>
      <c r="D5" s="402">
        <f>COUNT('F1 - EF1'!$G$7:$G$300)</f>
        <v>243</v>
      </c>
      <c r="E5" s="402">
        <f>COUNT('F2 - EF2'!$G$7:$G$200)</f>
        <v>128</v>
      </c>
      <c r="F5" s="402">
        <f>COUNT('F3 - EF3'!$G$7:$G$101)</f>
        <v>43</v>
      </c>
      <c r="G5" s="402">
        <f>COUNT('F4 - EF4'!$G$7:$G$49)</f>
        <v>23</v>
      </c>
      <c r="H5" s="402">
        <f>COUNT('EF5'!$G$7:$G$10)</f>
        <v>1</v>
      </c>
      <c r="I5" s="403"/>
    </row>
    <row r="6" spans="1:9" s="352" customFormat="1" ht="12.75">
      <c r="A6" s="400"/>
      <c r="B6" s="404"/>
      <c r="C6" s="405"/>
      <c r="D6" s="405"/>
      <c r="E6" s="405"/>
      <c r="F6" s="405"/>
      <c r="G6" s="405"/>
      <c r="H6" s="405"/>
      <c r="I6" s="403"/>
    </row>
    <row r="7" spans="1:9" s="352" customFormat="1" ht="12.75">
      <c r="A7" s="400"/>
      <c r="B7" s="404" t="s">
        <v>684</v>
      </c>
      <c r="C7" s="406">
        <f>COUNT('F0 - EF0'!$G$7:$G$800)</f>
        <v>697</v>
      </c>
      <c r="D7" s="406">
        <f>COUNT('F1 - EF1'!$G$7:$G$300)</f>
        <v>243</v>
      </c>
      <c r="E7" s="406">
        <f>COUNT('F2 - EF2'!$G$7:$G$200)</f>
        <v>128</v>
      </c>
      <c r="F7" s="406">
        <f>COUNT('F3 - EF3'!$G$7:$G$101)</f>
        <v>43</v>
      </c>
      <c r="G7" s="406">
        <f>COUNT('F4 - EF4'!$G$7:$G$49)</f>
        <v>23</v>
      </c>
      <c r="H7" s="406">
        <f>COUNT('EF5'!$G$7:$G$10)</f>
        <v>1</v>
      </c>
      <c r="I7" s="403"/>
    </row>
    <row r="8" spans="1:9" s="352" customFormat="1" ht="12.75">
      <c r="A8" s="400"/>
      <c r="B8" s="403" t="s">
        <v>685</v>
      </c>
      <c r="C8" s="407">
        <f>EXP(MEDIAN('F0 - EF0'!$J$7:$J$703))</f>
        <v>0.5</v>
      </c>
      <c r="D8" s="408">
        <f>EXP(MEDIAN('F1 - EF1'!$J$7:$J$249))</f>
        <v>1.5</v>
      </c>
      <c r="E8" s="408">
        <f>EXP(MEDIAN('F2 - EF2'!$J$7:$J$134))</f>
        <v>2.4454038521274968</v>
      </c>
      <c r="F8" s="408">
        <f>EXP(MEDIAN('F3 - EF3'!$J$7:$J$49))</f>
        <v>6.8000000000000007</v>
      </c>
      <c r="G8" s="408">
        <f>EXP(MEDIAN('F4 - EF4'!$J$7:$J$29))</f>
        <v>10.000000000000002</v>
      </c>
      <c r="H8" s="409">
        <f>EXP(MEDIAN('EF5'!$J$7))</f>
        <v>34.999999999999993</v>
      </c>
      <c r="I8" s="410"/>
    </row>
    <row r="9" spans="1:9" s="352" customFormat="1" ht="12.75">
      <c r="A9" s="400"/>
      <c r="B9" s="403" t="s">
        <v>686</v>
      </c>
      <c r="C9" s="411">
        <f>EXP(AVERAGE('F0 - EF0'!$J$7:$J$703))</f>
        <v>0.4101076223745776</v>
      </c>
      <c r="D9" s="412">
        <f>EXP(AVERAGE('F1 - EF1'!$J$7:$J$249))</f>
        <v>1.2437564638883674</v>
      </c>
      <c r="E9" s="412">
        <f>EXP(AVERAGE('F2 - EF2'!$J$7:$J$134))</f>
        <v>1.5092756352066619</v>
      </c>
      <c r="F9" s="412">
        <f>EXP(AVERAGE('F3 - EF3'!$J$7:$J$49))</f>
        <v>5.4283881777172978</v>
      </c>
      <c r="G9" s="412">
        <f>EXP(AVERAGE('F4 - EF4'!$J$7:$J$29))</f>
        <v>9.5909449521003634</v>
      </c>
      <c r="H9" s="413">
        <f>EXP(AVERAGE('EF5'!$J$7))</f>
        <v>34.999999999999993</v>
      </c>
      <c r="I9" s="410"/>
    </row>
    <row r="10" spans="1:9" s="352" customFormat="1" ht="14.25">
      <c r="A10" s="400"/>
      <c r="B10" s="403" t="s">
        <v>695</v>
      </c>
      <c r="C10" s="411">
        <f>EXP(AVERAGE('F0 - EF0'!$J$7:$J$703)-(1.645*(VARP('F0 - EF0'!$J$7:$J$703)^0.5)))</f>
        <v>4.7077305468701293E-2</v>
      </c>
      <c r="D10" s="412">
        <f>EXP(AVERAGE('F1 - EF1'!$J$7:$J$249)-(1.645*(VARP('F1 - EF1'!$J$7:$J$249)^0.5)))</f>
        <v>9.1572975948600838E-2</v>
      </c>
      <c r="E10" s="412">
        <f>EXP(AVERAGE('F2 - EF2'!$J$7:$J$134)-(1.645*(VARP('F2 - EF2'!$J$7:$J$134)^0.5)))</f>
        <v>8.0650642014419058E-2</v>
      </c>
      <c r="F10" s="412">
        <f>EXP(AVERAGE('F3 - EF3'!$J$7:$J$49)-(1.645*(VARP('F3 - EF3'!$J$7:$J$49)^0.5)))</f>
        <v>0.9450297916871081</v>
      </c>
      <c r="G10" s="412">
        <f>EXP(AVERAGE('F4 - EF4'!$J$7:$J$29)-(1.645*(VARP('F4 - EF4'!$J$7:$J$29)^0.5)))</f>
        <v>2.7809218820422679</v>
      </c>
      <c r="H10" s="413">
        <f>EXP(AVERAGE('EF5'!$J$7)-(1.645*(VARP('EF5'!$J$7)^0.5)))</f>
        <v>34.999999999999993</v>
      </c>
      <c r="I10" s="410"/>
    </row>
    <row r="11" spans="1:9" s="352" customFormat="1" ht="14.25">
      <c r="A11" s="400"/>
      <c r="B11" s="403" t="s">
        <v>696</v>
      </c>
      <c r="C11" s="411">
        <f>EXP(AVERAGE('F0 - EF0'!$J$7:$J$703)+(VARP('F0 - EF0'!$J$7:$J$703)/2))</f>
        <v>0.97476311502017121</v>
      </c>
      <c r="D11" s="412">
        <f>EXP(AVERAGE('F1 - EF1'!$J$7:$J$249)+(VARP('F1 - EF1'!$J$7:$J$249)/2))</f>
        <v>4.3737781294332514</v>
      </c>
      <c r="E11" s="412">
        <f>EXP(AVERAGE('F2 - EF2'!$J$7:$J$134)+(VARP('F2 - EF2'!$J$7:$J$134)/2))</f>
        <v>7.3675370975432628</v>
      </c>
      <c r="F11" s="412">
        <f>EXP(AVERAGE('F3 - EF3'!$J$7:$J$49)+(VARP('F3 - EF3'!$J$7:$J$49)/2))</f>
        <v>9.548016798973773</v>
      </c>
      <c r="G11" s="412">
        <f>EXP(AVERAGE('F4 - EF4'!$J$7:$J$29)+(VARP('F4 - EF4'!$J$7:$J$29)/2))</f>
        <v>12.730839337195938</v>
      </c>
      <c r="H11" s="413">
        <f>EXP(AVERAGE('EF5'!$J$7)+(VARP('EF5'!$J$7)/2))</f>
        <v>34.999999999999993</v>
      </c>
      <c r="I11" s="410"/>
    </row>
    <row r="12" spans="1:9" s="352" customFormat="1" ht="14.25">
      <c r="A12" s="400"/>
      <c r="B12" s="403" t="s">
        <v>697</v>
      </c>
      <c r="C12" s="414">
        <f>EXP(AVERAGE('F0 - EF0'!$J$7:$J$703)+(1.645*(VARP('F0 - EF0'!$J$7:$J$703)^0.5)))</f>
        <v>3.5725974597579051</v>
      </c>
      <c r="D12" s="415">
        <f>EXP(AVERAGE('F1 - EF1'!$J$7:$J$249)+(1.645*(VARP('F1 - EF1'!$J$7:$J$249)^0.5)))</f>
        <v>16.89286741464397</v>
      </c>
      <c r="E12" s="415">
        <f>EXP(AVERAGE('F2 - EF2'!$J$7:$J$134)+(1.645*(VARP('F2 - EF2'!$J$7:$J$134)^0.5)))</f>
        <v>28.244200990008448</v>
      </c>
      <c r="F12" s="415">
        <f>EXP(AVERAGE('F3 - EF3'!$J$7:$J$49)+(1.645*(VARP('F3 - EF3'!$J$7:$J$49)^0.5)))</f>
        <v>31.18144895239169</v>
      </c>
      <c r="G12" s="415">
        <f>EXP(AVERAGE('F4 - EF4'!$J$7:$J$29)+(1.645*(VARP('F4 - EF4'!$J$7:$J$29)^0.5)))</f>
        <v>33.077601232964568</v>
      </c>
      <c r="H12" s="416">
        <f>EXP(AVERAGE('EF5'!$J$7)+(1.645*(VARP('EF5'!$J$7)^0.5)))</f>
        <v>34.999999999999993</v>
      </c>
      <c r="I12" s="410"/>
    </row>
    <row r="13" spans="1:9" s="352" customFormat="1" ht="12.75">
      <c r="A13" s="400"/>
      <c r="B13" s="404"/>
      <c r="C13" s="417"/>
      <c r="D13" s="417"/>
      <c r="E13" s="417"/>
      <c r="F13" s="417"/>
      <c r="G13" s="417"/>
      <c r="H13" s="417"/>
      <c r="I13" s="403"/>
    </row>
    <row r="14" spans="1:9" s="352" customFormat="1" ht="12.75">
      <c r="A14" s="400"/>
      <c r="B14" s="404" t="s">
        <v>687</v>
      </c>
      <c r="C14" s="405">
        <f>COUNT('F0 - EF0'!$G$7:$G$800)</f>
        <v>697</v>
      </c>
      <c r="D14" s="405">
        <f>COUNT('F1 - EF1'!$G$7:$G$300)</f>
        <v>243</v>
      </c>
      <c r="E14" s="405">
        <f>COUNT('F2 - EF2'!$G$7:$G$200)</f>
        <v>128</v>
      </c>
      <c r="F14" s="405">
        <f>COUNT('F3 - EF3'!$G$7:$G$101)</f>
        <v>43</v>
      </c>
      <c r="G14" s="405">
        <f>COUNT('F4 - EF4'!$G$7:$G$49)</f>
        <v>23</v>
      </c>
      <c r="H14" s="405">
        <f>COUNT('EF5'!$G$7:$G$10)</f>
        <v>1</v>
      </c>
      <c r="I14" s="403"/>
    </row>
    <row r="15" spans="1:9" s="352" customFormat="1" ht="12.75">
      <c r="A15" s="400"/>
      <c r="B15" s="404" t="s">
        <v>692</v>
      </c>
      <c r="C15" s="418">
        <f>EXP(MEDIAN('F0 - EF0'!$I$7:$I$703))</f>
        <v>30.000000000000004</v>
      </c>
      <c r="D15" s="419">
        <f>EXP(MEDIAN('F1 - EF1'!$I$7:$I$249))</f>
        <v>55.000000000000014</v>
      </c>
      <c r="E15" s="419">
        <f>EXP(MEDIAN('F2 - EF2'!$I$7:$I$134))</f>
        <v>100.00000000000004</v>
      </c>
      <c r="F15" s="419">
        <f>EXP(MEDIAN('F3 - EF3'!$I$7:$I$49))</f>
        <v>450.00000000000006</v>
      </c>
      <c r="G15" s="419">
        <f>EXP(MEDIAN('F4 - EF4'!$I$7:$I$29))</f>
        <v>879.99999999999977</v>
      </c>
      <c r="H15" s="420">
        <f>EXP(MEDIAN('EF5'!$I$7))</f>
        <v>1407.9999999999998</v>
      </c>
      <c r="I15" s="403"/>
    </row>
    <row r="16" spans="1:9" s="352" customFormat="1" ht="12.75">
      <c r="A16" s="400"/>
      <c r="B16" s="404" t="s">
        <v>693</v>
      </c>
      <c r="C16" s="421">
        <f>EXP(AVERAGE('F0 - EF0'!$I$7:$I$703))</f>
        <v>33.697801820313963</v>
      </c>
      <c r="D16" s="412">
        <f>EXP(AVERAGE('F1 - EF1'!$I$7:$I$249))</f>
        <v>62.126121680739729</v>
      </c>
      <c r="E16" s="412">
        <f>EXP(AVERAGE('F2 - EF2'!$I$7:$I$134))</f>
        <v>84.896333782957484</v>
      </c>
      <c r="F16" s="412">
        <f>EXP(AVERAGE('F3 - EF3'!$I$7:$I$49))</f>
        <v>266.83740026715475</v>
      </c>
      <c r="G16" s="412">
        <f>EXP(AVERAGE('F4 - EF4'!$I$7:$I$29))</f>
        <v>872.17684111549534</v>
      </c>
      <c r="H16" s="422">
        <f>EXP(AVERAGE('EF5'!$I$7))</f>
        <v>1407.9999999999998</v>
      </c>
      <c r="I16" s="403"/>
    </row>
    <row r="17" spans="1:9" s="352" customFormat="1" ht="14.25">
      <c r="A17" s="400"/>
      <c r="B17" s="404" t="s">
        <v>698</v>
      </c>
      <c r="C17" s="421">
        <f>EXP(AVERAGE('F0 - EF0'!$I$7:$I$703)-(1.645*(VARP('F0 - EF0'!$I$7:$I$703)^0.5)))</f>
        <v>8.4930241834018911</v>
      </c>
      <c r="D17" s="412">
        <f>EXP(AVERAGE('F1 - EF1'!$I$7:$I$249)-(1.645*(VARP('F1 - EF1'!$I$7:$I$249)^0.5)))</f>
        <v>7.5647820791975571</v>
      </c>
      <c r="E17" s="412">
        <f>EXP(AVERAGE('F2 - EF2'!$I$7:$I$134)-(1.645*(VARP('F2 - EF2'!$I$7:$I$134)^0.5)))</f>
        <v>7.4869433290921723</v>
      </c>
      <c r="F17" s="412">
        <f>EXP(AVERAGE('F3 - EF3'!$I$7:$I$49)-(1.645*(VARP('F3 - EF3'!$I$7:$I$49)^0.5)))</f>
        <v>34.469480754590883</v>
      </c>
      <c r="G17" s="412">
        <f>EXP(AVERAGE('F4 - EF4'!$I$7:$I$29)-(1.645*(VARP('F4 - EF4'!$I$7:$I$29)^0.5)))</f>
        <v>266.02142053704392</v>
      </c>
      <c r="H17" s="422">
        <f>EXP(AVERAGE('EF5'!$I$7)-(1.645*(VARP('EF5'!$I$7)^0.5)))</f>
        <v>1407.9999999999998</v>
      </c>
      <c r="I17" s="403"/>
    </row>
    <row r="18" spans="1:9" s="352" customFormat="1" ht="14.25">
      <c r="A18" s="400"/>
      <c r="B18" s="404" t="s">
        <v>699</v>
      </c>
      <c r="C18" s="421">
        <f>EXP(AVERAGE('F0 - EF0'!$I$7:$I$703)+(VARP('F0 - EF0'!$I$7:$I$703)/2))</f>
        <v>47.865276260290784</v>
      </c>
      <c r="D18" s="412">
        <f>EXP(AVERAGE('F1 - EF1'!$I$7:$I$249)+(VARP('F1 - EF1'!$I$7:$I$249)/2))</f>
        <v>140.9514578856037</v>
      </c>
      <c r="E18" s="412">
        <f>EXP(AVERAGE('F2 - EF2'!$I$7:$I$134)+(VARP('F2 - EF2'!$I$7:$I$134)/2))</f>
        <v>252.38192171490704</v>
      </c>
      <c r="F18" s="412">
        <f>EXP(AVERAGE('F3 - EF3'!$I$7:$I$49)+(VARP('F3 - EF3'!$I$7:$I$49)/2))</f>
        <v>578.56304542494809</v>
      </c>
      <c r="G18" s="412">
        <f>EXP(AVERAGE('F4 - EF4'!$I$7:$I$29)+(VARP('F4 - EF4'!$I$7:$I$29)/2))</f>
        <v>1131.7424096547848</v>
      </c>
      <c r="H18" s="422">
        <f>EXP(AVERAGE('EF5'!$I$7)+(VARP('EF5'!$I$7)/2))</f>
        <v>1407.9999999999998</v>
      </c>
      <c r="I18" s="403"/>
    </row>
    <row r="19" spans="1:9" s="352" customFormat="1" ht="14.25">
      <c r="A19" s="400"/>
      <c r="B19" s="404" t="s">
        <v>700</v>
      </c>
      <c r="C19" s="423">
        <f>EXP(AVERAGE('F0 - EF0'!$I$7:$I$703)+(1.645*(VARP('F0 - EF0'!$I$7:$I$703)^0.5)))</f>
        <v>133.70288639238416</v>
      </c>
      <c r="D19" s="424">
        <f>EXP(AVERAGE('F1 - EF1'!$I$7:$I$249)+(1.645*(VARP('F1 - EF1'!$I$7:$I$249)^0.5)))</f>
        <v>510.21363929355834</v>
      </c>
      <c r="E19" s="424">
        <f>EXP(AVERAGE('F2 - EF2'!$I$7:$I$134)+(1.645*(VARP('F2 - EF2'!$I$7:$I$134)^0.5)))</f>
        <v>962.6608848208358</v>
      </c>
      <c r="F19" s="424">
        <f>EXP(AVERAGE('F3 - EF3'!$I$7:$I$49)+(1.645*(VARP('F3 - EF3'!$I$7:$I$49)^0.5)))</f>
        <v>2065.6591460795526</v>
      </c>
      <c r="G19" s="424">
        <f>EXP(AVERAGE('F4 - EF4'!$I$7:$I$29)+(1.645*(VARP('F4 - EF4'!$I$7:$I$29)^0.5)))</f>
        <v>2859.5157511846919</v>
      </c>
      <c r="H19" s="425">
        <f>EXP(AVERAGE('EF5'!$I$7)+(1.645*(VARP('EF5'!$I$7)^0.5)))</f>
        <v>1407.9999999999998</v>
      </c>
      <c r="I19" s="403"/>
    </row>
    <row r="20" spans="1:9" s="352" customFormat="1" ht="12.75">
      <c r="A20" s="400"/>
      <c r="B20" s="404"/>
      <c r="C20" s="405"/>
      <c r="D20" s="405"/>
      <c r="E20" s="405"/>
      <c r="F20" s="405"/>
      <c r="G20" s="405"/>
      <c r="H20" s="405"/>
      <c r="I20" s="403"/>
    </row>
    <row r="21" spans="1:9" s="352" customFormat="1" ht="12.75">
      <c r="A21" s="400"/>
      <c r="B21" s="404" t="s">
        <v>688</v>
      </c>
      <c r="C21" s="405">
        <f>COUNT('F0 - EF0'!$G$7:$G$800)</f>
        <v>697</v>
      </c>
      <c r="D21" s="405">
        <f>COUNT('F1 - EF1'!$G$7:$G$300)</f>
        <v>243</v>
      </c>
      <c r="E21" s="405">
        <f>COUNT('F2 - EF2'!$G$7:$G$200)</f>
        <v>128</v>
      </c>
      <c r="F21" s="405">
        <f>COUNT('F3 - EF3'!$G$7:$G$101)</f>
        <v>43</v>
      </c>
      <c r="G21" s="405">
        <f>COUNT('F4 - EF4'!$G$7:$G$49)</f>
        <v>23</v>
      </c>
      <c r="H21" s="405">
        <f>COUNT('EF5'!$G$7:$G$10)</f>
        <v>1</v>
      </c>
      <c r="I21" s="403"/>
    </row>
    <row r="22" spans="1:9" s="352" customFormat="1" ht="14.25">
      <c r="A22" s="400"/>
      <c r="B22" s="404" t="s">
        <v>701</v>
      </c>
      <c r="C22" s="418">
        <f>EXP(MEDIAN('F0 - EF0'!$K$7:$K$703))</f>
        <v>7.1022727272727296E-3</v>
      </c>
      <c r="D22" s="419">
        <f>EXP(MEDIAN('F1 - EF1'!$K$7:$K$249))</f>
        <v>5.1136363636363619E-2</v>
      </c>
      <c r="E22" s="419">
        <f>EXP(MEDIAN('F2 - EF2'!$K$7:$K$134))</f>
        <v>0.16613853996833458</v>
      </c>
      <c r="F22" s="419">
        <f>EXP(MEDIAN('F3 - EF3'!$K$7:$K$49))</f>
        <v>1.0227272727272727</v>
      </c>
      <c r="G22" s="419">
        <f>EXP(MEDIAN('F4 - EF4'!$K$7:$K$29))</f>
        <v>4.9715909090909092</v>
      </c>
      <c r="H22" s="420">
        <f>EXP(MEDIAN('EF5'!$K$7))</f>
        <v>27.999999999999996</v>
      </c>
      <c r="I22" s="403"/>
    </row>
    <row r="23" spans="1:9" s="352" customFormat="1" ht="14.25">
      <c r="A23" s="400"/>
      <c r="B23" s="404" t="s">
        <v>702</v>
      </c>
      <c r="C23" s="421">
        <f>EXP(AVERAGE('F0 - EF0'!$K$7:$K$703))</f>
        <v>7.8521166953284018E-3</v>
      </c>
      <c r="D23" s="412">
        <f>EXP(AVERAGE('F1 - EF1'!$K$7:$K$249))</f>
        <v>4.3903275804963365E-2</v>
      </c>
      <c r="E23" s="412">
        <f>EXP(AVERAGE('F2 - EF2'!$K$7:$K$134))</f>
        <v>7.2802254600563041E-2</v>
      </c>
      <c r="F23" s="412">
        <f>EXP(AVERAGE('F3 - EF3'!$K$7:$K$49))</f>
        <v>0.8230096528312737</v>
      </c>
      <c r="G23" s="412">
        <f>EXP(AVERAGE('F4 - EF4'!$K$7:$K$29))</f>
        <v>4.7528409497929012</v>
      </c>
      <c r="H23" s="422">
        <f>EXP(AVERAGE('EF5'!$K$7))</f>
        <v>27.999999999999996</v>
      </c>
      <c r="I23" s="403"/>
    </row>
    <row r="24" spans="1:9" s="352" customFormat="1" ht="14.25">
      <c r="A24" s="400"/>
      <c r="B24" s="404" t="s">
        <v>703</v>
      </c>
      <c r="C24" s="421">
        <f>EXP(AVERAGE('F0 - EF0'!$K$7:$K$703)-(1.645*(VARP('F0 - EF0'!$K$7:$K$703)^0.5)))</f>
        <v>3.4856525189349473E-4</v>
      </c>
      <c r="D24" s="412">
        <f>EXP(AVERAGE('F1 - EF1'!$K$7:$K$249)-(1.645*(VARP('F1 - EF1'!$K$7:$K$249)^0.5)))</f>
        <v>6.2329447848244511E-4</v>
      </c>
      <c r="E24" s="412">
        <f>EXP(AVERAGE('F2 - EF2'!$K$7:$K$134)-(1.645*(VARP('F2 - EF2'!$K$7:$K$134)^0.5)))</f>
        <v>4.6771806029975558E-4</v>
      </c>
      <c r="F24" s="412">
        <f>EXP(AVERAGE('F3 - EF3'!$K$7:$K$49)-(1.645*(VARP('F3 - EF3'!$K$7:$K$49)^0.5)))</f>
        <v>3.4448013761739969E-2</v>
      </c>
      <c r="G24" s="412">
        <f>EXP(AVERAGE('F4 - EF4'!$K$7:$K$29)-(1.645*(VARP('F4 - EF4'!$K$7:$K$29)^0.5)))</f>
        <v>0.96725062494296354</v>
      </c>
      <c r="H24" s="422">
        <f>EXP(AVERAGE('EF5'!$K$7)-(1.645*(VARP('EF5'!$K$7)^0.5)))</f>
        <v>27.999999999999996</v>
      </c>
      <c r="I24" s="403"/>
    </row>
    <row r="25" spans="1:9" s="352" customFormat="1" ht="14.25">
      <c r="A25" s="400"/>
      <c r="B25" s="404" t="s">
        <v>704</v>
      </c>
      <c r="C25" s="421">
        <f>EXP(AVERAGE('F0 - EF0'!$K$7:$K$703)+(VARP('F0 - EF0'!$K$7:$K$703)/2))</f>
        <v>4.7150539560649435E-2</v>
      </c>
      <c r="D25" s="412">
        <f>EXP(AVERAGE('F1 - EF1'!$K$7:$K$249)+(VARP('F1 - EF1'!$K$7:$K$249)/2))</f>
        <v>1.2449792416824175</v>
      </c>
      <c r="E25" s="412">
        <f>EXP(AVERAGE('F2 - EF2'!$K$7:$K$134)+(VARP('F2 - EF2'!$K$7:$K$134)/2))</f>
        <v>8.0667607713640983</v>
      </c>
      <c r="F25" s="412">
        <f>EXP(AVERAGE('F3 - EF3'!$K$7:$K$49)+(VARP('F3 - EF3'!$K$7:$K$49)/2))</f>
        <v>5.2914830266018926</v>
      </c>
      <c r="G25" s="412">
        <f>EXP(AVERAGE('F4 - EF4'!$K$7:$K$29)+(VARP('F4 - EF4'!$K$7:$K$29)/2))</f>
        <v>7.5917820333427235</v>
      </c>
      <c r="H25" s="422">
        <f>EXP(AVERAGE('EF5'!$K$7)+(VARP('EF5'!$K$7)/2))</f>
        <v>27.999999999999996</v>
      </c>
      <c r="I25" s="403"/>
    </row>
    <row r="26" spans="1:9" s="352" customFormat="1" ht="14.25">
      <c r="A26" s="400"/>
      <c r="B26" s="404" t="s">
        <v>705</v>
      </c>
      <c r="C26" s="423">
        <f>EXP(AVERAGE('F0 - EF0'!$K$7:$K$703)+(1.645*(VARP('F0 - EF0'!$K$7:$K$703)^0.5)))</f>
        <v>0.17688434593559002</v>
      </c>
      <c r="D26" s="424">
        <f>EXP(AVERAGE('F1 - EF1'!$K$7:$K$249)+(1.645*(VARP('F1 - EF1'!$K$7:$K$249)^0.5)))</f>
        <v>3.092434945195762</v>
      </c>
      <c r="E26" s="424">
        <f>EXP(AVERAGE('F2 - EF2'!$K$7:$K$134)+(1.645*(VARP('F2 - EF2'!$K$7:$K$134)^0.5)))</f>
        <v>11.331972666457178</v>
      </c>
      <c r="F26" s="424">
        <f>EXP(AVERAGE('F3 - EF3'!$K$7:$K$49)+(1.645*(VARP('F3 - EF3'!$K$7:$K$49)^0.5)))</f>
        <v>19.662814040261249</v>
      </c>
      <c r="G26" s="424">
        <f>EXP(AVERAGE('F4 - EF4'!$K$7:$K$29)+(1.645*(VARP('F4 - EF4'!$K$7:$K$29)^0.5)))</f>
        <v>23.354337036856748</v>
      </c>
      <c r="H26" s="425">
        <f>EXP(AVERAGE('EF5'!$K$7)+(1.645*(VARP('EF5'!$K$7)^0.5)))</f>
        <v>27.999999999999996</v>
      </c>
      <c r="I26" s="403"/>
    </row>
    <row r="27" spans="1:9" s="352" customFormat="1" ht="13.5" thickBot="1">
      <c r="A27" s="400"/>
      <c r="B27" s="360"/>
      <c r="C27" s="360"/>
      <c r="D27" s="360"/>
      <c r="E27" s="360"/>
      <c r="F27" s="360"/>
      <c r="G27" s="360"/>
      <c r="H27" s="360"/>
      <c r="I27" s="403"/>
    </row>
    <row r="28" spans="1:9">
      <c r="A28" s="396"/>
      <c r="B28" s="398" t="s">
        <v>689</v>
      </c>
      <c r="C28" s="384"/>
      <c r="D28" s="384"/>
      <c r="E28" s="384"/>
      <c r="F28" s="384"/>
      <c r="G28" s="384"/>
      <c r="H28" s="384"/>
      <c r="I28" s="388"/>
    </row>
    <row r="29" spans="1:9">
      <c r="A29" s="396"/>
      <c r="B29" s="503" t="s">
        <v>690</v>
      </c>
      <c r="C29" s="385"/>
      <c r="D29" s="385"/>
      <c r="E29" s="385"/>
      <c r="F29" s="385"/>
      <c r="G29" s="385"/>
      <c r="H29" s="385"/>
      <c r="I29" s="388"/>
    </row>
    <row r="30" spans="1:9" ht="15.75" thickBot="1">
      <c r="A30" s="396"/>
      <c r="B30" s="501" t="s">
        <v>789</v>
      </c>
      <c r="C30" s="502"/>
      <c r="D30" s="502"/>
      <c r="E30" s="502"/>
      <c r="F30" s="502"/>
      <c r="G30" s="502"/>
      <c r="H30" s="502"/>
      <c r="I30" s="388"/>
    </row>
    <row r="31" spans="1:9">
      <c r="A31" s="396"/>
      <c r="B31" s="394"/>
      <c r="C31" s="394"/>
      <c r="D31" s="394"/>
      <c r="E31" s="394"/>
      <c r="F31" s="394"/>
      <c r="G31" s="394"/>
      <c r="H31" s="394"/>
      <c r="I31" s="388"/>
    </row>
    <row r="32" spans="1:9" hidden="1">
      <c r="A32" s="396"/>
      <c r="B32" s="385"/>
      <c r="C32" s="385"/>
      <c r="D32" s="385"/>
      <c r="E32" s="385"/>
      <c r="F32" s="385"/>
      <c r="G32" s="385"/>
      <c r="H32" s="385"/>
      <c r="I32" s="388"/>
    </row>
    <row r="33" spans="1:9" hidden="1">
      <c r="A33" s="396"/>
      <c r="B33" s="397"/>
      <c r="C33" s="397"/>
      <c r="D33" s="397"/>
      <c r="E33" s="397"/>
      <c r="F33" s="397"/>
      <c r="G33" s="397"/>
      <c r="H33" s="397"/>
      <c r="I33" s="399"/>
    </row>
  </sheetData>
  <mergeCells count="2">
    <mergeCell ref="B2:H2"/>
    <mergeCell ref="C3:H3"/>
  </mergeCells>
  <printOptions horizontalCentered="1"/>
  <pageMargins left="0.7" right="0.7" top="1.25" bottom="0.5" header="0.3" footer="0"/>
  <pageSetup orientation="landscape" r:id="rId1"/>
  <headerFooter scaleWithDoc="0">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58"/>
  <sheetViews>
    <sheetView topLeftCell="A178" zoomScaleNormal="100" zoomScaleSheetLayoutView="50" workbookViewId="0">
      <selection activeCell="E185" sqref="E185"/>
    </sheetView>
    <sheetView topLeftCell="A67" workbookViewId="1">
      <selection activeCell="B139" sqref="B139"/>
    </sheetView>
  </sheetViews>
  <sheetFormatPr defaultColWidth="0" defaultRowHeight="15" zeroHeight="1"/>
  <cols>
    <col min="1" max="1" width="2.77734375" customWidth="1"/>
    <col min="2" max="2" width="16.77734375" customWidth="1"/>
    <col min="3" max="9" width="10.77734375" customWidth="1"/>
    <col min="10" max="10" width="8.88671875" customWidth="1"/>
    <col min="11" max="11" width="2.77734375" customWidth="1"/>
    <col min="12" max="12" width="11.21875" hidden="1" customWidth="1"/>
    <col min="13" max="13" width="3.77734375" hidden="1" customWidth="1"/>
  </cols>
  <sheetData>
    <row r="1" spans="2:12"/>
    <row r="2" spans="2:12" ht="15.75" thickBot="1"/>
    <row r="3" spans="2:12" ht="24" thickTop="1">
      <c r="B3" s="1153" t="s">
        <v>534</v>
      </c>
      <c r="C3" s="1157"/>
      <c r="D3" s="1157"/>
      <c r="E3" s="1157"/>
      <c r="F3" s="1157"/>
      <c r="G3" s="1157"/>
      <c r="H3" s="1157"/>
      <c r="I3" s="1158"/>
    </row>
    <row r="4" spans="2:12" ht="15.75">
      <c r="B4" s="87"/>
      <c r="C4" s="1156" t="s">
        <v>509</v>
      </c>
      <c r="D4" s="1156"/>
      <c r="E4" s="1156"/>
      <c r="F4" s="1156"/>
      <c r="G4" s="1156"/>
      <c r="H4" s="1156"/>
      <c r="I4" s="88"/>
    </row>
    <row r="5" spans="2:12" ht="16.5" thickBot="1">
      <c r="B5" s="89" t="s">
        <v>510</v>
      </c>
      <c r="C5" s="90" t="s">
        <v>511</v>
      </c>
      <c r="D5" s="90" t="s">
        <v>196</v>
      </c>
      <c r="E5" s="90" t="s">
        <v>197</v>
      </c>
      <c r="F5" s="90" t="s">
        <v>198</v>
      </c>
      <c r="G5" s="90" t="s">
        <v>199</v>
      </c>
      <c r="H5" s="90" t="s">
        <v>200</v>
      </c>
      <c r="I5" s="91" t="s">
        <v>512</v>
      </c>
    </row>
    <row r="6" spans="2:12">
      <c r="B6" s="77"/>
      <c r="C6" s="52"/>
      <c r="D6" s="52"/>
      <c r="E6" s="52"/>
      <c r="F6" s="52"/>
      <c r="G6" s="52"/>
      <c r="H6" s="52"/>
      <c r="I6" s="53"/>
    </row>
    <row r="7" spans="2:12" ht="15.75">
      <c r="B7" s="54" t="s">
        <v>521</v>
      </c>
      <c r="C7" s="78">
        <f>(COUNTIF('Database - Tornado Segments'!$Z$8:$Z$2000, "F00")+COUNTIF('Database - Tornado Segments'!$Z$8:$Z$2000, "EF00"))</f>
        <v>4</v>
      </c>
      <c r="D7" s="78">
        <f>(COUNTIF('Database - Tornado Segments'!$Z$8:$Z$2000, "F10")+COUNTIF('Database - Tornado Segments'!$Z$8:$Z$2000, "EF10"))</f>
        <v>0</v>
      </c>
      <c r="E7" s="78">
        <f>(COUNTIF('Database - Tornado Segments'!$Z$8:$Z$2000, "F20")+COUNTIF('Database - Tornado Segments'!$Z$8:$Z$2000, "EF20"))</f>
        <v>0</v>
      </c>
      <c r="F7" s="78">
        <f>(COUNTIF('Database - Tornado Segments'!$Z$8:$Z$2000, "F30")+COUNTIF('Database - Tornado Segments'!$Z$8:$Z$2000, "EF30"))</f>
        <v>0</v>
      </c>
      <c r="G7" s="78">
        <f>(COUNTIF('Database - Tornado Segments'!$Z$8:$Z$2000, "F40")+COUNTIF('Database - Tornado Segments'!$Z$8:$Z$2000, "EF40"))</f>
        <v>0</v>
      </c>
      <c r="H7" s="78">
        <f>(COUNTIF('Database - Tornado Segments'!$Z$8:$Z$2000, "F50")+COUNTIF('Database - Tornado Segments'!$Z$8:$Z$2000, "EF50"))</f>
        <v>0</v>
      </c>
      <c r="I7" s="79">
        <f>SUM(C7:H7)</f>
        <v>4</v>
      </c>
    </row>
    <row r="8" spans="2:12" ht="15.75">
      <c r="B8" s="54" t="s">
        <v>522</v>
      </c>
      <c r="C8" s="78">
        <f>(COUNTIF('Database - Tornado Segments'!$Z$8:$Z$2000, "F00.1")+COUNTIF('Database - Tornado Segments'!$Z$8:$Z$2000, "EF00.1"))</f>
        <v>233</v>
      </c>
      <c r="D8" s="78">
        <f>(COUNTIF('Database - Tornado Segments'!$Z$8:$Z$2000, "F10.1")+COUNTIF('Database - Tornado Segments'!$Z$8:$Z$2000, "EF10.1"))</f>
        <v>42</v>
      </c>
      <c r="E8" s="78">
        <f>(COUNTIF('Database - Tornado Segments'!$Z$8:$Z$2000, "F20.1")+COUNTIF('Database - Tornado Segments'!$Z$8:$Z$2000, "EF20.1"))</f>
        <v>29</v>
      </c>
      <c r="F8" s="78">
        <f>(COUNTIF('Database - Tornado Segments'!$Z$8:$Z$2000, "F30.1")+COUNTIF('Database - Tornado Segments'!$Z$8:$Z$2000, "EF30.1"))</f>
        <v>1</v>
      </c>
      <c r="G8" s="78">
        <f>(COUNTIF('Database - Tornado Segments'!$Z$8:$Z$2000, "F40.1")+COUNTIF('Database - Tornado Segments'!$Z$8:$Z$2000, "EF40.1"))</f>
        <v>0</v>
      </c>
      <c r="H8" s="78">
        <f>(COUNTIF('Database - Tornado Segments'!$Z$8:$Z$2000, "F50.1")+COUNTIF('Database - Tornado Segments'!$Z$8:$Z$2000, "EF50.1"))</f>
        <v>0</v>
      </c>
      <c r="I8" s="79">
        <f t="shared" ref="I8:I16" si="0">SUM(C8:H8)</f>
        <v>305</v>
      </c>
    </row>
    <row r="9" spans="2:12" ht="15.75">
      <c r="B9" s="54" t="s">
        <v>523</v>
      </c>
      <c r="C9" s="78">
        <f>(COUNTIF('Database - Tornado Segments'!$Z$8:$Z$2000, "F00.2")+COUNTIF('Database - Tornado Segments'!$Z$8:$Z$2000, "EF00.2"))</f>
        <v>109</v>
      </c>
      <c r="D9" s="78">
        <f>(COUNTIF('Database - Tornado Segments'!$Z$8:$Z$2000, "F10.2")+COUNTIF('Database - Tornado Segments'!$Z$8:$Z$2000, "EF10.2"))</f>
        <v>21</v>
      </c>
      <c r="E9" s="78">
        <f>(COUNTIF('Database - Tornado Segments'!$Z$8:$Z$2000, "F20.2")+COUNTIF('Database - Tornado Segments'!$Z$8:$Z$2000, "EF20.2"))</f>
        <v>5</v>
      </c>
      <c r="F9" s="78">
        <f>(COUNTIF('Database - Tornado Segments'!$Z$8:$Z$2000, "F30.2")+COUNTIF('Database - Tornado Segments'!$Z$8:$Z$2000, "EF30.2"))</f>
        <v>0</v>
      </c>
      <c r="G9" s="78">
        <f>(COUNTIF('Database - Tornado Segments'!$Z$8:$Z$2000, "F40.2")+COUNTIF('Database - Tornado Segments'!$Z$8:$Z$2000, "EF40.2"))</f>
        <v>0</v>
      </c>
      <c r="H9" s="78">
        <f>(COUNTIF('Database - Tornado Segments'!$Z$8:$Z$2000, "F50.2")+COUNTIF('Database - Tornado Segments'!$Z$8:$Z$2000, "EF50.2"))</f>
        <v>0</v>
      </c>
      <c r="I9" s="79">
        <f t="shared" si="0"/>
        <v>135</v>
      </c>
    </row>
    <row r="10" spans="2:12" ht="15.75">
      <c r="B10" s="54" t="s">
        <v>524</v>
      </c>
      <c r="C10" s="78">
        <f>(COUNTIF('Database - Tornado Segments'!$Z$8:$Z$2000, "F00.5")+COUNTIF('Database - Tornado Segments'!$Z$8:$Z$2000, "EF00.5"))</f>
        <v>121</v>
      </c>
      <c r="D10" s="78">
        <f>(COUNTIF('Database - Tornado Segments'!$Z$8:$Z$2000, "F10.5")+COUNTIF('Database - Tornado Segments'!$Z$8:$Z$2000, "EF10.5"))</f>
        <v>24</v>
      </c>
      <c r="E10" s="78">
        <f>(COUNTIF('Database - Tornado Segments'!$Z$8:$Z$2000, "F20.5")+COUNTIF('Database - Tornado Segments'!$Z$8:$Z$2000, "EF20.5"))</f>
        <v>8</v>
      </c>
      <c r="F10" s="78">
        <f>(COUNTIF('Database - Tornado Segments'!$Z$8:$Z$2000, "F30.5")+COUNTIF('Database - Tornado Segments'!$Z$8:$Z$2000, "EF30.5"))</f>
        <v>1</v>
      </c>
      <c r="G10" s="78">
        <f>(COUNTIF('Database - Tornado Segments'!$Z$8:$Z$2000, "F40.5")+COUNTIF('Database - Tornado Segments'!$Z$8:$Z$2000, "EF40.5"))</f>
        <v>0</v>
      </c>
      <c r="H10" s="78">
        <f>(COUNTIF('Database - Tornado Segments'!$Z$8:$Z$2000, "F50.5")+COUNTIF('Database - Tornado Segments'!$Z$8:$Z$2000, "EF50.5"))</f>
        <v>0</v>
      </c>
      <c r="I10" s="79">
        <f t="shared" si="0"/>
        <v>154</v>
      </c>
      <c r="K10" s="664"/>
      <c r="L10" s="437"/>
    </row>
    <row r="11" spans="2:12" ht="15.75">
      <c r="B11" s="54" t="s">
        <v>525</v>
      </c>
      <c r="C11" s="78">
        <f>(COUNTIF('Database - Tornado Segments'!$Z$8:$Z$2000, "F01")+COUNTIF('Database - Tornado Segments'!$Z$8:$Z$2000, "EF01"))</f>
        <v>114</v>
      </c>
      <c r="D11" s="78">
        <f>(COUNTIF('Database - Tornado Segments'!$Z$8:$Z$2000, "F11")+COUNTIF('Database - Tornado Segments'!$Z$8:$Z$2000, "EF11"))</f>
        <v>38</v>
      </c>
      <c r="E11" s="78">
        <f>(COUNTIF('Database - Tornado Segments'!$Z$8:$Z$2000, "F21")+COUNTIF('Database - Tornado Segments'!$Z$8:$Z$2000, "EF21"))</f>
        <v>14</v>
      </c>
      <c r="F11" s="78">
        <f>(COUNTIF('Database - Tornado Segments'!$Z$8:$Z$2000, "F31")+COUNTIF('Database - Tornado Segments'!$Z$8:$Z$2000, "EF31"))</f>
        <v>2</v>
      </c>
      <c r="G11" s="78">
        <f>(COUNTIF('Database - Tornado Segments'!$Z$8:$Z$2000, "F41")+COUNTIF('Database - Tornado Segments'!$Z$8:$Z$2000, "EF41"))</f>
        <v>0</v>
      </c>
      <c r="H11" s="78">
        <f>(COUNTIF('Database - Tornado Segments'!$Z$8:$Z$2000, "F51")+COUNTIF('Database - Tornado Segments'!$Z$8:$Z$2000, "EF51"))</f>
        <v>0</v>
      </c>
      <c r="I11" s="79">
        <f t="shared" si="0"/>
        <v>168</v>
      </c>
      <c r="K11" s="665"/>
    </row>
    <row r="12" spans="2:12" ht="15.75">
      <c r="B12" s="54" t="s">
        <v>526</v>
      </c>
      <c r="C12" s="78">
        <f>(COUNTIF('Database - Tornado Segments'!$Z$8:$Z$2000, "F02")+COUNTIF('Database - Tornado Segments'!$Z$8:$Z$2000, "EF02"))</f>
        <v>90</v>
      </c>
      <c r="D12" s="78">
        <f>(COUNTIF('Database - Tornado Segments'!$Z$8:$Z$2000, "F12")+COUNTIF('Database - Tornado Segments'!$Z$8:$Z$2000, "EF12"))</f>
        <v>67</v>
      </c>
      <c r="E12" s="78">
        <f>(COUNTIF('Database - Tornado Segments'!$Z$8:$Z$2000, "F22")+COUNTIF('Database - Tornado Segments'!$Z$8:$Z$2000, "EF22"))</f>
        <v>29</v>
      </c>
      <c r="F12" s="78">
        <f>(COUNTIF('Database - Tornado Segments'!$Z$8:$Z$2000, "F32")+COUNTIF('Database - Tornado Segments'!$Z$8:$Z$2000, "EF32"))</f>
        <v>13</v>
      </c>
      <c r="G12" s="78">
        <f>(COUNTIF('Database - Tornado Segments'!$Z$8:$Z$2000, "F42")+COUNTIF('Database - Tornado Segments'!$Z$8:$Z$2000, "EF42"))</f>
        <v>2</v>
      </c>
      <c r="H12" s="78">
        <f>(COUNTIF('Database - Tornado Segments'!$Z$8:$Z$2000, "F52")+COUNTIF('Database - Tornado Segments'!$Z$8:$Z$2000, "EF52"))</f>
        <v>0</v>
      </c>
      <c r="I12" s="79">
        <f t="shared" si="0"/>
        <v>201</v>
      </c>
      <c r="K12" s="665"/>
    </row>
    <row r="13" spans="2:12" ht="15.75">
      <c r="B13" s="54" t="s">
        <v>527</v>
      </c>
      <c r="C13" s="78">
        <f>(COUNTIF('Database - Tornado Segments'!$Z$8:$Z$2000, "F05")+COUNTIF('Database - Tornado Segments'!$Z$8:$Z$2000, "EF05"))</f>
        <v>19</v>
      </c>
      <c r="D13" s="78">
        <f>(COUNTIF('Database - Tornado Segments'!$Z$8:$Z$2000, "F15")+COUNTIF('Database - Tornado Segments'!$Z$8:$Z$2000, "EF15"))</f>
        <v>23</v>
      </c>
      <c r="E13" s="78">
        <f>(COUNTIF('Database - Tornado Segments'!$Z$8:$Z$2000, "F25")+COUNTIF('Database - Tornado Segments'!$Z$8:$Z$2000, "EF25"))</f>
        <v>26</v>
      </c>
      <c r="F13" s="78">
        <f>(COUNTIF('Database - Tornado Segments'!$Z$8:$Z$2000, "F35")+COUNTIF('Database - Tornado Segments'!$Z$8:$Z$2000, "EF35"))</f>
        <v>11</v>
      </c>
      <c r="G13" s="78">
        <f>(COUNTIF('Database - Tornado Segments'!$Z$8:$Z$2000, "F45")+COUNTIF('Database - Tornado Segments'!$Z$8:$Z$2000, "EF45"))</f>
        <v>9</v>
      </c>
      <c r="H13" s="78">
        <f>(COUNTIF('Database - Tornado Segments'!$Z$8:$Z$2000, "F55")+COUNTIF('Database - Tornado Segments'!$Z$8:$Z$2000, "EF55"))</f>
        <v>0</v>
      </c>
      <c r="I13" s="79">
        <f t="shared" si="0"/>
        <v>88</v>
      </c>
      <c r="K13" s="665"/>
    </row>
    <row r="14" spans="2:12" ht="15.75">
      <c r="B14" s="54" t="s">
        <v>528</v>
      </c>
      <c r="C14" s="78">
        <f>(COUNTIF('Database - Tornado Segments'!$Z$8:$Z$2000, "F010")+COUNTIF('Database - Tornado Segments'!$Z$8:$Z$2000, "EF010"))</f>
        <v>5</v>
      </c>
      <c r="D14" s="78">
        <f>(COUNTIF('Database - Tornado Segments'!$Z$8:$Z$2000, "F110")+COUNTIF('Database - Tornado Segments'!$Z$8:$Z$2000, "EF110"))</f>
        <v>23</v>
      </c>
      <c r="E14" s="78">
        <f>(COUNTIF('Database - Tornado Segments'!$Z$8:$Z$2000, "F210")+COUNTIF('Database - Tornado Segments'!$Z$8:$Z$2000, "EF210"))</f>
        <v>15</v>
      </c>
      <c r="F14" s="78">
        <f>(COUNTIF('Database - Tornado Segments'!$Z$8:$Z$2000, "F310")+COUNTIF('Database - Tornado Segments'!$Z$8:$Z$2000, "EF310"))</f>
        <v>12</v>
      </c>
      <c r="G14" s="78">
        <f>(COUNTIF('Database - Tornado Segments'!$Z$8:$Z$2000, "F410")+COUNTIF('Database - Tornado Segments'!$Z$8:$Z$2000, "EF410"))</f>
        <v>7</v>
      </c>
      <c r="H14" s="78">
        <f>(COUNTIF('Database - Tornado Segments'!$Z$8:$Z$2000, "F510")+COUNTIF('Database - Tornado Segments'!$Z$8:$Z$2000, "EF510"))</f>
        <v>0</v>
      </c>
      <c r="I14" s="79">
        <f t="shared" si="0"/>
        <v>62</v>
      </c>
      <c r="K14" s="665"/>
    </row>
    <row r="15" spans="2:12" ht="15.75">
      <c r="B15" s="54" t="s">
        <v>529</v>
      </c>
      <c r="C15" s="78">
        <f>(COUNTIF('Database - Tornado Segments'!$Z$8:$Z$2000, "F020")+COUNTIF('Database - Tornado Segments'!$Z$8:$Z$2000, "EF020"))</f>
        <v>2</v>
      </c>
      <c r="D15" s="78">
        <f>(COUNTIF('Database - Tornado Segments'!$Z$8:$Z$2000, "F120")+COUNTIF('Database - Tornado Segments'!$Z$8:$Z$2000, "EF120"))</f>
        <v>5</v>
      </c>
      <c r="E15" s="78">
        <f>(COUNTIF('Database - Tornado Segments'!$Z$8:$Z$2000, "F220")+COUNTIF('Database - Tornado Segments'!$Z$8:$Z$2000, "EF220"))</f>
        <v>1</v>
      </c>
      <c r="F15" s="78">
        <f>(COUNTIF('Database - Tornado Segments'!$Z$8:$Z$2000, "F320")+COUNTIF('Database - Tornado Segments'!$Z$8:$Z$2000, "EF320"))</f>
        <v>3</v>
      </c>
      <c r="G15" s="78">
        <f>(COUNTIF('Database - Tornado Segments'!$Z$8:$Z$2000, "F420")+COUNTIF('Database - Tornado Segments'!$Z$8:$Z$2000, "EF420"))</f>
        <v>5</v>
      </c>
      <c r="H15" s="78">
        <f>(COUNTIF('Database - Tornado Segments'!$Z$8:$Z$2000, "F520")+COUNTIF('Database - Tornado Segments'!$Z$8:$Z$2000, "EF520"))</f>
        <v>0</v>
      </c>
      <c r="I15" s="79">
        <f t="shared" si="0"/>
        <v>16</v>
      </c>
      <c r="K15" s="665"/>
    </row>
    <row r="16" spans="2:12" ht="15.75">
      <c r="B16" s="54" t="s">
        <v>530</v>
      </c>
      <c r="C16" s="78">
        <f>(COUNTIF('Database - Tornado Segments'!$Z$8:$Z$2000, "F050")+COUNTIF('Database - Tornado Segments'!$Z$8:$Z$2000, "EF050"))</f>
        <v>0</v>
      </c>
      <c r="D16" s="78">
        <f>(COUNTIF('Database - Tornado Segments'!$Z$8:$Z$2000, "F150")+COUNTIF('Database - Tornado Segments'!$Z$8:$Z$2000, "EF150"))</f>
        <v>0</v>
      </c>
      <c r="E16" s="78">
        <f>(COUNTIF('Database - Tornado Segments'!$Z$8:$Z$2000, "F250")+COUNTIF('Database - Tornado Segments'!$Z$8:$Z$2000, "EF250"))</f>
        <v>1</v>
      </c>
      <c r="F16" s="78">
        <f>(COUNTIF('Database - Tornado Segments'!$Z$8:$Z$2000, "F350")+COUNTIF('Database - Tornado Segments'!$Z$8:$Z$2000, "EF350"))</f>
        <v>0</v>
      </c>
      <c r="G16" s="78">
        <f>(COUNTIF('Database - Tornado Segments'!$Z$8:$Z$2000, "F450")+COUNTIF('Database - Tornado Segments'!$Z$8:$Z$2000, "EF450"))</f>
        <v>0</v>
      </c>
      <c r="H16" s="78">
        <f>(COUNTIF('Database - Tornado Segments'!$Z$8:$Z$2000, "F550")+COUNTIF('Database - Tornado Segments'!$Z$8:$Z$2000, "EF550"))</f>
        <v>0</v>
      </c>
      <c r="I16" s="79">
        <f t="shared" si="0"/>
        <v>1</v>
      </c>
      <c r="K16" s="665"/>
    </row>
    <row r="17" spans="2:11">
      <c r="B17" s="54"/>
      <c r="C17" s="52"/>
      <c r="D17" s="52"/>
      <c r="E17" s="52"/>
      <c r="F17" s="52"/>
      <c r="G17" s="52"/>
      <c r="H17" s="52"/>
      <c r="I17" s="53"/>
      <c r="K17" s="665"/>
    </row>
    <row r="18" spans="2:11" ht="16.5" thickBot="1">
      <c r="B18" s="56"/>
      <c r="C18" s="57"/>
      <c r="D18" s="57"/>
      <c r="E18" s="57"/>
      <c r="F18" s="57"/>
      <c r="G18" s="57"/>
      <c r="H18" s="80" t="s">
        <v>531</v>
      </c>
      <c r="I18" s="81">
        <f>SUM(I7:I16)</f>
        <v>1134</v>
      </c>
      <c r="K18" s="665"/>
    </row>
    <row r="19" spans="2:11" ht="15.75" thickTop="1">
      <c r="B19" s="1"/>
      <c r="C19" s="1"/>
      <c r="D19" s="1"/>
      <c r="E19" s="1"/>
      <c r="F19" s="1"/>
      <c r="G19" s="1"/>
      <c r="H19" s="1"/>
      <c r="I19" s="2"/>
    </row>
    <row r="20" spans="2:11">
      <c r="B20" s="1"/>
      <c r="C20" s="1"/>
      <c r="D20" s="1"/>
      <c r="E20" s="1"/>
      <c r="F20" s="1"/>
      <c r="G20" s="1"/>
      <c r="H20" s="1"/>
      <c r="I20" s="2"/>
    </row>
    <row r="21" spans="2:11" ht="15.75" thickBot="1">
      <c r="B21" s="1"/>
      <c r="C21" s="1"/>
      <c r="D21" s="1"/>
      <c r="E21" s="1"/>
      <c r="F21" s="1"/>
      <c r="G21" s="1"/>
      <c r="H21" s="1"/>
      <c r="I21" s="2"/>
    </row>
    <row r="22" spans="2:11" ht="24" thickTop="1">
      <c r="B22" s="1153" t="s">
        <v>532</v>
      </c>
      <c r="C22" s="1157"/>
      <c r="D22" s="1157"/>
      <c r="E22" s="1157"/>
      <c r="F22" s="1157"/>
      <c r="G22" s="1157"/>
      <c r="H22" s="1157"/>
      <c r="I22" s="1158"/>
    </row>
    <row r="23" spans="2:11" ht="15.75">
      <c r="B23" s="87"/>
      <c r="C23" s="1156" t="s">
        <v>509</v>
      </c>
      <c r="D23" s="1156"/>
      <c r="E23" s="1156"/>
      <c r="F23" s="1156"/>
      <c r="G23" s="1156"/>
      <c r="H23" s="1156"/>
      <c r="I23" s="88"/>
    </row>
    <row r="24" spans="2:11" ht="16.5" thickBot="1">
      <c r="B24" s="89" t="s">
        <v>510</v>
      </c>
      <c r="C24" s="90" t="s">
        <v>511</v>
      </c>
      <c r="D24" s="90" t="s">
        <v>196</v>
      </c>
      <c r="E24" s="90" t="s">
        <v>197</v>
      </c>
      <c r="F24" s="90" t="s">
        <v>198</v>
      </c>
      <c r="G24" s="90" t="s">
        <v>199</v>
      </c>
      <c r="H24" s="90" t="s">
        <v>200</v>
      </c>
      <c r="I24" s="91" t="s">
        <v>512</v>
      </c>
    </row>
    <row r="25" spans="2:11">
      <c r="B25" s="77"/>
      <c r="C25" s="52"/>
      <c r="D25" s="52"/>
      <c r="E25" s="52"/>
      <c r="F25" s="52"/>
      <c r="G25" s="52"/>
      <c r="H25" s="52"/>
      <c r="I25" s="53"/>
    </row>
    <row r="26" spans="2:11" ht="15.75">
      <c r="B26" s="92" t="s">
        <v>542</v>
      </c>
      <c r="C26" s="78">
        <f>(COUNTIF('Database - Tornado Segments'!$Z$8:$Z$2000, "F00")+COUNTIF('Database - Tornado Segments'!$Z$8:$Z$2000, "EF00"))+C27</f>
        <v>697</v>
      </c>
      <c r="D26" s="78">
        <f>(COUNTIF('Database - Tornado Segments'!$Z$8:$Z$2000, "F10")+COUNTIF('Database - Tornado Segments'!$Z$8:$Z$2000, "EF10"))+D27</f>
        <v>243</v>
      </c>
      <c r="E26" s="78">
        <f>(COUNTIF('Database - Tornado Segments'!$Z$8:$Z$2000, "F20")+COUNTIF('Database - Tornado Segments'!$Z$8:$Z$2000, "EF20"))+E27</f>
        <v>128</v>
      </c>
      <c r="F26" s="78">
        <f>(COUNTIF('Database - Tornado Segments'!$Z$8:$Z$2000, "F30")+COUNTIF('Database - Tornado Segments'!$Z$8:$Z$2000, "EF30"))+F27</f>
        <v>43</v>
      </c>
      <c r="G26" s="78">
        <f>(COUNTIF('Database - Tornado Segments'!$Z$8:$Z$2000, "F40")+COUNTIF('Database - Tornado Segments'!$Z$8:$Z$2000, "EF40"))+G27</f>
        <v>23</v>
      </c>
      <c r="H26" s="78">
        <f>(COUNTIF('Database - Tornado Segments'!$Z$8:$Z$2000, "F50")+COUNTIF('Database - Tornado Segments'!$Z$8:$Z$2000, "EF50"))+H27</f>
        <v>0</v>
      </c>
      <c r="I26" s="79">
        <f>SUM(C26:H26)</f>
        <v>1134</v>
      </c>
    </row>
    <row r="27" spans="2:11" ht="15.75">
      <c r="B27" s="92" t="s">
        <v>541</v>
      </c>
      <c r="C27" s="78">
        <f>(COUNTIF('Database - Tornado Segments'!$Z$8:$Z$2000, "F00.1")+COUNTIF('Database - Tornado Segments'!$Z$8:$Z$2000, "EF00.1"))+C28</f>
        <v>693</v>
      </c>
      <c r="D27" s="78">
        <f>(COUNTIF('Database - Tornado Segments'!$Z$8:$Z$2000, "F10.1")+COUNTIF('Database - Tornado Segments'!$Z$8:$Z$2000, "EF10.1"))+D28</f>
        <v>243</v>
      </c>
      <c r="E27" s="78">
        <f>(COUNTIF('Database - Tornado Segments'!$Z$8:$Z$2000, "F20.1")+COUNTIF('Database - Tornado Segments'!$Z$8:$Z$2000, "EF20.1"))+E28</f>
        <v>128</v>
      </c>
      <c r="F27" s="78">
        <f>(COUNTIF('Database - Tornado Segments'!$Z$8:$Z$2000, "F30.1")+COUNTIF('Database - Tornado Segments'!$Z$8:$Z$2000, "EF30.1"))+F28</f>
        <v>43</v>
      </c>
      <c r="G27" s="78">
        <f>(COUNTIF('Database - Tornado Segments'!$Z$8:$Z$2000, "F40.1")+COUNTIF('Database - Tornado Segments'!$Z$8:$Z$2000, "EF40.1"))+G28</f>
        <v>23</v>
      </c>
      <c r="H27" s="78">
        <f>(COUNTIF('Database - Tornado Segments'!$Z$8:$Z$2000, "F50.1")+COUNTIF('Database - Tornado Segments'!$Z$8:$Z$2000, "EF50.1"))+H28</f>
        <v>0</v>
      </c>
      <c r="I27" s="79">
        <f t="shared" ref="I27:I35" si="1">SUM(C27:H27)</f>
        <v>1130</v>
      </c>
    </row>
    <row r="28" spans="2:11" ht="15.75">
      <c r="B28" s="92" t="s">
        <v>540</v>
      </c>
      <c r="C28" s="78">
        <f>(COUNTIF('Database - Tornado Segments'!$Z$8:$Z$2000, "F00.2")+COUNTIF('Database - Tornado Segments'!$Z$8:$Z$2000, "EF00.2"))+C29</f>
        <v>460</v>
      </c>
      <c r="D28" s="78">
        <f>(COUNTIF('Database - Tornado Segments'!$Z$8:$Z$2000, "F10.2")+COUNTIF('Database - Tornado Segments'!$Z$8:$Z$2000, "EF10.2"))+D29</f>
        <v>201</v>
      </c>
      <c r="E28" s="78">
        <f>(COUNTIF('Database - Tornado Segments'!$Z$8:$Z$2000, "F20.2")+COUNTIF('Database - Tornado Segments'!$Z$8:$Z$2000, "EF20.2"))+E29</f>
        <v>99</v>
      </c>
      <c r="F28" s="78">
        <f>(COUNTIF('Database - Tornado Segments'!$Z$8:$Z$2000, "F30.2")+COUNTIF('Database - Tornado Segments'!$Z$8:$Z$2000, "EF30.2"))+F29</f>
        <v>42</v>
      </c>
      <c r="G28" s="78">
        <f>(COUNTIF('Database - Tornado Segments'!$Z$8:$Z$2000, "F40.2")+COUNTIF('Database - Tornado Segments'!$Z$8:$Z$2000, "EF40.2"))+G29</f>
        <v>23</v>
      </c>
      <c r="H28" s="78">
        <f>(COUNTIF('Database - Tornado Segments'!$Z$8:$Z$2000, "F50.2")+COUNTIF('Database - Tornado Segments'!$Z$8:$Z$2000, "EF50.2"))+H29</f>
        <v>0</v>
      </c>
      <c r="I28" s="79">
        <f t="shared" si="1"/>
        <v>825</v>
      </c>
    </row>
    <row r="29" spans="2:11" ht="15.75">
      <c r="B29" s="92" t="s">
        <v>539</v>
      </c>
      <c r="C29" s="78">
        <f>(COUNTIF('Database - Tornado Segments'!$Z$8:$Z$2000, "F00.5")+COUNTIF('Database - Tornado Segments'!$Z$8:$Z$2000, "EF00.5"))+C30</f>
        <v>351</v>
      </c>
      <c r="D29" s="78">
        <f>(COUNTIF('Database - Tornado Segments'!$Z$8:$Z$2000, "F10.5")+COUNTIF('Database - Tornado Segments'!$Z$8:$Z$2000, "EF10.5"))+D30</f>
        <v>180</v>
      </c>
      <c r="E29" s="78">
        <f>(COUNTIF('Database - Tornado Segments'!$Z$8:$Z$2000, "F20.5")+COUNTIF('Database - Tornado Segments'!$Z$8:$Z$2000, "EF20.5"))+E30</f>
        <v>94</v>
      </c>
      <c r="F29" s="78">
        <f>(COUNTIF('Database - Tornado Segments'!$Z$8:$Z$2000, "F30.5")+COUNTIF('Database - Tornado Segments'!$Z$8:$Z$2000, "EF30.5"))+F30</f>
        <v>42</v>
      </c>
      <c r="G29" s="78">
        <f>(COUNTIF('Database - Tornado Segments'!$Z$8:$Z$2000, "F40.5")+COUNTIF('Database - Tornado Segments'!$Z$8:$Z$2000, "EF40.5"))+G30</f>
        <v>23</v>
      </c>
      <c r="H29" s="78">
        <f>(COUNTIF('Database - Tornado Segments'!$Z$8:$Z$2000, "F50.5")+COUNTIF('Database - Tornado Segments'!$Z$8:$Z$2000, "EF50.5"))+H30</f>
        <v>0</v>
      </c>
      <c r="I29" s="79">
        <f t="shared" si="1"/>
        <v>690</v>
      </c>
    </row>
    <row r="30" spans="2:11" ht="15.75">
      <c r="B30" s="92" t="s">
        <v>543</v>
      </c>
      <c r="C30" s="78">
        <f>(COUNTIF('Database - Tornado Segments'!$Z$8:$Z$2000, "F01")+COUNTIF('Database - Tornado Segments'!$Z$8:$Z$2000, "EF01"))+C31</f>
        <v>230</v>
      </c>
      <c r="D30" s="78">
        <f>(COUNTIF('Database - Tornado Segments'!$Z$8:$Z$2000, "F11")+COUNTIF('Database - Tornado Segments'!$Z$8:$Z$2000, "EF11"))+D31</f>
        <v>156</v>
      </c>
      <c r="E30" s="78">
        <f>(COUNTIF('Database - Tornado Segments'!$Z$8:$Z$2000, "F21")+COUNTIF('Database - Tornado Segments'!$Z$8:$Z$2000, "EF21"))+E31</f>
        <v>86</v>
      </c>
      <c r="F30" s="78">
        <f>(COUNTIF('Database - Tornado Segments'!$Z$8:$Z$2000, "F31")+COUNTIF('Database - Tornado Segments'!$Z$8:$Z$2000, "EF31"))+F31</f>
        <v>41</v>
      </c>
      <c r="G30" s="78">
        <f>(COUNTIF('Database - Tornado Segments'!$Z$8:$Z$2000, "F41")+COUNTIF('Database - Tornado Segments'!$Z$8:$Z$2000, "EF41"))+G31</f>
        <v>23</v>
      </c>
      <c r="H30" s="78">
        <f>(COUNTIF('Database - Tornado Segments'!$Z$8:$Z$2000, "F51")+COUNTIF('Database - Tornado Segments'!$Z$8:$Z$2000, "EF51"))+H31</f>
        <v>0</v>
      </c>
      <c r="I30" s="79">
        <f t="shared" si="1"/>
        <v>536</v>
      </c>
    </row>
    <row r="31" spans="2:11" ht="15.75">
      <c r="B31" s="92" t="s">
        <v>544</v>
      </c>
      <c r="C31" s="78">
        <f>(COUNTIF('Database - Tornado Segments'!$Z$8:$Z$2000, "F02")+COUNTIF('Database - Tornado Segments'!$Z$8:$Z$2000, "EF02"))+C32</f>
        <v>116</v>
      </c>
      <c r="D31" s="78">
        <f>(COUNTIF('Database - Tornado Segments'!$Z$8:$Z$2000, "F12")+COUNTIF('Database - Tornado Segments'!$Z$8:$Z$2000, "EF12"))+D32</f>
        <v>118</v>
      </c>
      <c r="E31" s="78">
        <f>(COUNTIF('Database - Tornado Segments'!$Z$8:$Z$2000, "F22")+COUNTIF('Database - Tornado Segments'!$Z$8:$Z$2000, "EF22"))+E32</f>
        <v>72</v>
      </c>
      <c r="F31" s="78">
        <f>(COUNTIF('Database - Tornado Segments'!$Z$8:$Z$2000, "F32")+COUNTIF('Database - Tornado Segments'!$Z$8:$Z$2000, "EF32"))+F32</f>
        <v>39</v>
      </c>
      <c r="G31" s="78">
        <f>(COUNTIF('Database - Tornado Segments'!$Z$8:$Z$2000, "F42")+COUNTIF('Database - Tornado Segments'!$Z$8:$Z$2000, "EF42"))+G32</f>
        <v>23</v>
      </c>
      <c r="H31" s="78">
        <f>(COUNTIF('Database - Tornado Segments'!$Z$8:$Z$2000, "F52")+COUNTIF('Database - Tornado Segments'!$Z$8:$Z$2000, "EF52"))+H32</f>
        <v>0</v>
      </c>
      <c r="I31" s="79">
        <f t="shared" si="1"/>
        <v>368</v>
      </c>
    </row>
    <row r="32" spans="2:11" ht="15.75">
      <c r="B32" s="92" t="s">
        <v>545</v>
      </c>
      <c r="C32" s="78">
        <f>(COUNTIF('Database - Tornado Segments'!$Z$8:$Z$2000, "F05")+COUNTIF('Database - Tornado Segments'!$Z$8:$Z$2000, "EF05"))+C33</f>
        <v>26</v>
      </c>
      <c r="D32" s="78">
        <f>(COUNTIF('Database - Tornado Segments'!$Z$8:$Z$2000, "F15")+COUNTIF('Database - Tornado Segments'!$Z$8:$Z$2000, "EF15"))+D33</f>
        <v>51</v>
      </c>
      <c r="E32" s="78">
        <f>(COUNTIF('Database - Tornado Segments'!$Z$8:$Z$2000, "F25")+COUNTIF('Database - Tornado Segments'!$Z$8:$Z$2000, "EF25"))+E33</f>
        <v>43</v>
      </c>
      <c r="F32" s="78">
        <f>(COUNTIF('Database - Tornado Segments'!$Z$8:$Z$2000, "F35")+COUNTIF('Database - Tornado Segments'!$Z$8:$Z$2000, "EF35"))+F33</f>
        <v>26</v>
      </c>
      <c r="G32" s="78">
        <f>(COUNTIF('Database - Tornado Segments'!$Z$8:$Z$2000, "F45")+COUNTIF('Database - Tornado Segments'!$Z$8:$Z$2000, "EF45"))+G33</f>
        <v>21</v>
      </c>
      <c r="H32" s="78">
        <f>(COUNTIF('Database - Tornado Segments'!$Z$8:$Z$2000, "F55")+COUNTIF('Database - Tornado Segments'!$Z$8:$Z$2000, "EF55"))+H33</f>
        <v>0</v>
      </c>
      <c r="I32" s="79">
        <f t="shared" si="1"/>
        <v>167</v>
      </c>
    </row>
    <row r="33" spans="2:9" ht="15.75">
      <c r="B33" s="92" t="s">
        <v>546</v>
      </c>
      <c r="C33" s="78">
        <f>(COUNTIF('Database - Tornado Segments'!$Z$8:$Z$2000, "F010")+COUNTIF('Database - Tornado Segments'!$Z$8:$Z$2000, "EF010"))+C34</f>
        <v>7</v>
      </c>
      <c r="D33" s="78">
        <f>(COUNTIF('Database - Tornado Segments'!$Z$8:$Z$2000, "F110")+COUNTIF('Database - Tornado Segments'!$Z$8:$Z$2000, "EF110"))+D34</f>
        <v>28</v>
      </c>
      <c r="E33" s="78">
        <f>(COUNTIF('Database - Tornado Segments'!$Z$8:$Z$2000, "F210")+COUNTIF('Database - Tornado Segments'!$Z$8:$Z$2000, "EF210"))+E34</f>
        <v>17</v>
      </c>
      <c r="F33" s="78">
        <f>(COUNTIF('Database - Tornado Segments'!$Z$8:$Z$2000, "F310")+COUNTIF('Database - Tornado Segments'!$Z$8:$Z$2000, "EF310"))+F34</f>
        <v>15</v>
      </c>
      <c r="G33" s="78">
        <f>(COUNTIF('Database - Tornado Segments'!$Z$8:$Z$2000, "F410")+COUNTIF('Database - Tornado Segments'!$Z$8:$Z$2000, "EF410"))+G34</f>
        <v>12</v>
      </c>
      <c r="H33" s="78">
        <f>(COUNTIF('Database - Tornado Segments'!$Z$8:$Z$2000, "F510")+COUNTIF('Database - Tornado Segments'!$Z$8:$Z$2000, "EF510"))+H34</f>
        <v>0</v>
      </c>
      <c r="I33" s="79">
        <f t="shared" si="1"/>
        <v>79</v>
      </c>
    </row>
    <row r="34" spans="2:9" ht="15.75">
      <c r="B34" s="92" t="s">
        <v>547</v>
      </c>
      <c r="C34" s="78">
        <f>(COUNTIF('Database - Tornado Segments'!$Z$8:$Z$2000, "F020")+COUNTIF('Database - Tornado Segments'!$Z$8:$Z$2000, "EF020"))+C35</f>
        <v>2</v>
      </c>
      <c r="D34" s="78">
        <f>(COUNTIF('Database - Tornado Segments'!$Z$8:$Z$2000, "F120")+COUNTIF('Database - Tornado Segments'!$Z$8:$Z$2000, "EF120"))+D35</f>
        <v>5</v>
      </c>
      <c r="E34" s="78">
        <f>(COUNTIF('Database - Tornado Segments'!$Z$8:$Z$2000, "F220")+COUNTIF('Database - Tornado Segments'!$Z$8:$Z$2000, "EF220"))+E35</f>
        <v>2</v>
      </c>
      <c r="F34" s="78">
        <f>(COUNTIF('Database - Tornado Segments'!$Z$8:$Z$2000, "F320")+COUNTIF('Database - Tornado Segments'!$Z$8:$Z$2000, "EF320"))+F35</f>
        <v>3</v>
      </c>
      <c r="G34" s="78">
        <f>(COUNTIF('Database - Tornado Segments'!$Z$8:$Z$2000, "F420")+COUNTIF('Database - Tornado Segments'!$Z$8:$Z$2000, "EF420"))+G35</f>
        <v>5</v>
      </c>
      <c r="H34" s="78">
        <f>(COUNTIF('Database - Tornado Segments'!$Z$8:$Z$2000, "F520")+COUNTIF('Database - Tornado Segments'!$Z$8:$Z$2000, "EF520"))+H35</f>
        <v>0</v>
      </c>
      <c r="I34" s="79">
        <f t="shared" si="1"/>
        <v>17</v>
      </c>
    </row>
    <row r="35" spans="2:9" ht="15.75">
      <c r="B35" s="92" t="s">
        <v>548</v>
      </c>
      <c r="C35" s="78">
        <f>(COUNTIF('Database - Tornado Segments'!$Z$8:$Z$2000, "F050")+COUNTIF('Database - Tornado Segments'!$Z$8:$Z$2000, "EF050"))</f>
        <v>0</v>
      </c>
      <c r="D35" s="78">
        <f>(COUNTIF('Database - Tornado Segments'!$Z$8:$Z$2000, "F150")+COUNTIF('Database - Tornado Segments'!$Z$8:$Z$2000, "EF150"))</f>
        <v>0</v>
      </c>
      <c r="E35" s="78">
        <f>(COUNTIF('Database - Tornado Segments'!$Z$8:$Z$2000, "F250")+COUNTIF('Database - Tornado Segments'!$Z$8:$Z$2000, "EF250"))</f>
        <v>1</v>
      </c>
      <c r="F35" s="78">
        <f>(COUNTIF('Database - Tornado Segments'!$Z$8:$Z$2000, "F350")+COUNTIF('Database - Tornado Segments'!$Z$8:$Z$2000, "EF350"))</f>
        <v>0</v>
      </c>
      <c r="G35" s="78">
        <f>(COUNTIF('Database - Tornado Segments'!$Z$8:$Z$2000, "F450")+COUNTIF('Database - Tornado Segments'!$Z$8:$Z$2000, "EF450"))</f>
        <v>0</v>
      </c>
      <c r="H35" s="78">
        <f>(COUNTIF('Database - Tornado Segments'!$Z$8:$Z$2000, "F550")+COUNTIF('Database - Tornado Segments'!$Z$8:$Z$2000, "EF550"))</f>
        <v>0</v>
      </c>
      <c r="I35" s="79">
        <f t="shared" si="1"/>
        <v>1</v>
      </c>
    </row>
    <row r="36" spans="2:9" ht="16.5" thickBot="1">
      <c r="B36" s="93"/>
      <c r="C36" s="57"/>
      <c r="D36" s="57"/>
      <c r="E36" s="57"/>
      <c r="F36" s="57"/>
      <c r="G36" s="57"/>
      <c r="H36" s="80"/>
      <c r="I36" s="81"/>
    </row>
    <row r="37" spans="2:9" ht="15.75" thickTop="1">
      <c r="B37" s="1"/>
      <c r="C37" s="1"/>
      <c r="D37" s="1"/>
      <c r="E37" s="1"/>
      <c r="F37" s="1"/>
      <c r="G37" s="1"/>
      <c r="H37" s="1"/>
      <c r="I37" s="2"/>
    </row>
    <row r="38" spans="2:9">
      <c r="B38" s="1"/>
      <c r="C38" s="1"/>
      <c r="D38" s="1"/>
      <c r="E38" s="1"/>
      <c r="F38" s="1"/>
      <c r="G38" s="1"/>
      <c r="H38" s="1"/>
      <c r="I38" s="2"/>
    </row>
    <row r="39" spans="2:9" ht="15.75" thickBot="1">
      <c r="B39" s="1"/>
      <c r="C39" s="1"/>
      <c r="D39" s="1"/>
      <c r="E39" s="1"/>
      <c r="F39" s="1"/>
      <c r="G39" s="1"/>
      <c r="H39" s="1"/>
      <c r="I39" s="2"/>
    </row>
    <row r="40" spans="2:9" ht="24" thickTop="1">
      <c r="B40" s="1153" t="s">
        <v>535</v>
      </c>
      <c r="C40" s="1157"/>
      <c r="D40" s="1157"/>
      <c r="E40" s="1157"/>
      <c r="F40" s="1157"/>
      <c r="G40" s="1157"/>
      <c r="H40" s="1157"/>
      <c r="I40" s="1158"/>
    </row>
    <row r="41" spans="2:9" ht="15.75">
      <c r="B41" s="87"/>
      <c r="C41" s="1156" t="s">
        <v>509</v>
      </c>
      <c r="D41" s="1156"/>
      <c r="E41" s="1156"/>
      <c r="F41" s="1156"/>
      <c r="G41" s="1156"/>
      <c r="H41" s="1156"/>
      <c r="I41" s="88"/>
    </row>
    <row r="42" spans="2:9" ht="16.5" thickBot="1">
      <c r="B42" s="89" t="s">
        <v>513</v>
      </c>
      <c r="C42" s="90" t="s">
        <v>511</v>
      </c>
      <c r="D42" s="90" t="s">
        <v>196</v>
      </c>
      <c r="E42" s="90" t="s">
        <v>197</v>
      </c>
      <c r="F42" s="90" t="s">
        <v>198</v>
      </c>
      <c r="G42" s="90" t="s">
        <v>199</v>
      </c>
      <c r="H42" s="90" t="s">
        <v>200</v>
      </c>
      <c r="I42" s="91" t="s">
        <v>512</v>
      </c>
    </row>
    <row r="43" spans="2:9">
      <c r="B43" s="77"/>
      <c r="C43" s="52"/>
      <c r="D43" s="52"/>
      <c r="E43" s="52"/>
      <c r="F43" s="52"/>
      <c r="G43" s="52"/>
      <c r="H43" s="52"/>
      <c r="I43" s="53"/>
    </row>
    <row r="44" spans="2:9" ht="15.75">
      <c r="B44" s="54" t="s">
        <v>516</v>
      </c>
      <c r="C44" s="78">
        <f>(COUNTIF('Database - Tornado Segments'!$Y$8:$Y$2000, "F02")+COUNTIF('Database - Tornado Segments'!$Y$8:$Y$2000, "EF02"))</f>
        <v>8</v>
      </c>
      <c r="D44" s="78">
        <f>(COUNTIF('Database - Tornado Segments'!$Y$8:$Y$2000, "F12")+COUNTIF('Database - Tornado Segments'!$Y$8:$Y$2000, "EF12"))</f>
        <v>1</v>
      </c>
      <c r="E44" s="78">
        <f>(COUNTIF('Database - Tornado Segments'!$Y$8:$Y$2000, "F22")+COUNTIF('Database - Tornado Segments'!$Y$8:$Y$2000, "EF22"))</f>
        <v>0</v>
      </c>
      <c r="F44" s="78">
        <f>(COUNTIF('Database - Tornado Segments'!$Y$8:$Y$2000, "F32")+COUNTIF('Database - Tornado Segments'!$Y$8:$Y$2000, "EF32"))</f>
        <v>0</v>
      </c>
      <c r="G44" s="78">
        <f>(COUNTIF('Database - Tornado Segments'!$Y$8:$Y$2000, "F42")+COUNTIF('Database - Tornado Segments'!$Y$8:$Y$2000, "EF42"))</f>
        <v>0</v>
      </c>
      <c r="H44" s="78">
        <f>(COUNTIF('Database - Tornado Segments'!$Y$8:$Y$2000, "F52")+COUNTIF('Database - Tornado Segments'!$Y$8:$Y$2000, "EF52"))</f>
        <v>0</v>
      </c>
      <c r="I44" s="79">
        <f t="shared" ref="I44:I53" si="2">SUM(C44:H44)</f>
        <v>9</v>
      </c>
    </row>
    <row r="45" spans="2:9" ht="15.75">
      <c r="B45" s="54" t="s">
        <v>517</v>
      </c>
      <c r="C45" s="78">
        <f>(COUNTIF('Database - Tornado Segments'!$Y$8:$Y$2000, "F05")+COUNTIF('Database - Tornado Segments'!$Y$8:$Y$2000, "EF05"))</f>
        <v>7</v>
      </c>
      <c r="D45" s="78">
        <f>(COUNTIF('Database - Tornado Segments'!$Y$8:$Y$2000, "F15")+COUNTIF('Database - Tornado Segments'!$Y$8:$Y$2000, "EF15"))</f>
        <v>1</v>
      </c>
      <c r="E45" s="78">
        <f>(COUNTIF('Database - Tornado Segments'!$Y$8:$Y$2000, "F25")+COUNTIF('Database - Tornado Segments'!$Y$8:$Y$2000, "EF25"))</f>
        <v>0</v>
      </c>
      <c r="F45" s="78">
        <f>(COUNTIF('Database - Tornado Segments'!$Y$8:$Y$2000, "F35")+COUNTIF('Database - Tornado Segments'!$Y$8:$Y$2000, "EF35"))</f>
        <v>0</v>
      </c>
      <c r="G45" s="78">
        <f>(COUNTIF('Database - Tornado Segments'!$Y$8:$Y$2000, "F45")+COUNTIF('Database - Tornado Segments'!$Y$8:$Y$2000, "EF45"))</f>
        <v>0</v>
      </c>
      <c r="H45" s="78">
        <f>(COUNTIF('Database - Tornado Segments'!$Y$8:$Y$2000, "F55")+COUNTIF('Database - Tornado Segments'!$Y$8:$Y$2000, "EF55"))</f>
        <v>0</v>
      </c>
      <c r="I45" s="79">
        <f t="shared" si="2"/>
        <v>8</v>
      </c>
    </row>
    <row r="46" spans="2:9" ht="15.75">
      <c r="B46" s="54" t="s">
        <v>518</v>
      </c>
      <c r="C46" s="78">
        <f>(COUNTIF('Database - Tornado Segments'!$Y$8:$Y$2000, "F010")+COUNTIF('Database - Tornado Segments'!$Y$8:$Y$2000, "EF010"))</f>
        <v>116</v>
      </c>
      <c r="D46" s="78">
        <f>(COUNTIF('Database - Tornado Segments'!$Y$8:$Y$2000, "F110")+COUNTIF('Database - Tornado Segments'!$Y$8:$Y$2000, "EF110"))</f>
        <v>42</v>
      </c>
      <c r="E46" s="78">
        <f>(COUNTIF('Database - Tornado Segments'!$Y$8:$Y$2000, "F210")+COUNTIF('Database - Tornado Segments'!$Y$8:$Y$2000, "EF210"))</f>
        <v>28</v>
      </c>
      <c r="F46" s="78">
        <f>(COUNTIF('Database - Tornado Segments'!$Y$8:$Y$2000, "F310")+COUNTIF('Database - Tornado Segments'!$Y$8:$Y$2000, "EF310"))</f>
        <v>1</v>
      </c>
      <c r="G46" s="78">
        <f>(COUNTIF('Database - Tornado Segments'!$Y$8:$Y$2000, "F410")+COUNTIF('Database - Tornado Segments'!$Y$8:$Y$2000, "EF410"))</f>
        <v>0</v>
      </c>
      <c r="H46" s="78">
        <f>(COUNTIF('Database - Tornado Segments'!$Y$8:$Y$2000, "F510")+COUNTIF('Database - Tornado Segments'!$Y$8:$Y$2000, "EF510"))</f>
        <v>0</v>
      </c>
      <c r="I46" s="79">
        <f t="shared" si="2"/>
        <v>187</v>
      </c>
    </row>
    <row r="47" spans="2:9" ht="15.75">
      <c r="B47" s="54" t="s">
        <v>519</v>
      </c>
      <c r="C47" s="78">
        <f>(COUNTIF('Database - Tornado Segments'!$Y$8:$Y$2000, "F020")+COUNTIF('Database - Tornado Segments'!$Y$8:$Y$2000, "EF020"))</f>
        <v>283</v>
      </c>
      <c r="D47" s="78">
        <f>(COUNTIF('Database - Tornado Segments'!$Y$8:$Y$2000, "F120")+COUNTIF('Database - Tornado Segments'!$Y$8:$Y$2000, "EF120"))</f>
        <v>58</v>
      </c>
      <c r="E47" s="78">
        <f>(COUNTIF('Database - Tornado Segments'!$Y$8:$Y$2000, "F220")+COUNTIF('Database - Tornado Segments'!$Y$8:$Y$2000, "EF220"))</f>
        <v>14</v>
      </c>
      <c r="F47" s="78">
        <f>(COUNTIF('Database - Tornado Segments'!$Y$8:$Y$2000, "F320")+COUNTIF('Database - Tornado Segments'!$Y$8:$Y$2000, "EF320"))</f>
        <v>5</v>
      </c>
      <c r="G47" s="78">
        <f>(COUNTIF('Database - Tornado Segments'!$Y$8:$Y$2000, "F420")+COUNTIF('Database - Tornado Segments'!$Y$8:$Y$2000, "EF420"))</f>
        <v>0</v>
      </c>
      <c r="H47" s="78">
        <f>(COUNTIF('Database - Tornado Segments'!$Y$8:$Y$2000, "F520")+COUNTIF('Database - Tornado Segments'!$Y$8:$Y$2000, "EF520"))</f>
        <v>0</v>
      </c>
      <c r="I47" s="79">
        <f t="shared" si="2"/>
        <v>360</v>
      </c>
    </row>
    <row r="48" spans="2:9" ht="15.75">
      <c r="B48" s="54" t="s">
        <v>520</v>
      </c>
      <c r="C48" s="78">
        <f>(COUNTIF('Database - Tornado Segments'!$Y$8:$Y$2000, "F050")+COUNTIF('Database - Tornado Segments'!$Y$8:$Y$2000, "EF050"))</f>
        <v>197</v>
      </c>
      <c r="D48" s="78">
        <f>(COUNTIF('Database - Tornado Segments'!$Y$8:$Y$2000, "F150")+COUNTIF('Database - Tornado Segments'!$Y$8:$Y$2000, "EF150"))</f>
        <v>37</v>
      </c>
      <c r="E48" s="78">
        <f>(COUNTIF('Database - Tornado Segments'!$Y$8:$Y$2000, "F250")+COUNTIF('Database - Tornado Segments'!$Y$8:$Y$2000, "EF250"))</f>
        <v>13</v>
      </c>
      <c r="F48" s="78">
        <f>(COUNTIF('Database - Tornado Segments'!$Y$8:$Y$2000, "F350")+COUNTIF('Database - Tornado Segments'!$Y$8:$Y$2000, "EF350"))</f>
        <v>3</v>
      </c>
      <c r="G48" s="78">
        <f>(COUNTIF('Database - Tornado Segments'!$Y$8:$Y$2000, "F450")+COUNTIF('Database - Tornado Segments'!$Y$8:$Y$2000, "EF450"))</f>
        <v>1</v>
      </c>
      <c r="H48" s="78">
        <f>(COUNTIF('Database - Tornado Segments'!$Y$8:$Y$2000, "F550")+COUNTIF('Database - Tornado Segments'!$Y$8:$Y$2000, "EF550"))</f>
        <v>0</v>
      </c>
      <c r="I48" s="79">
        <f t="shared" si="2"/>
        <v>251</v>
      </c>
    </row>
    <row r="49" spans="2:9" ht="15.75">
      <c r="B49" s="54" t="s">
        <v>515</v>
      </c>
      <c r="C49" s="78">
        <f>(COUNTIF('Database - Tornado Segments'!$Y$8:$Y$2000, "F0100")+COUNTIF('Database - Tornado Segments'!$Y$8:$Y$2000, "EF0100"))</f>
        <v>67</v>
      </c>
      <c r="D49" s="78">
        <f>(COUNTIF('Database - Tornado Segments'!$Y$8:$Y$2000, "F1100")+COUNTIF('Database - Tornado Segments'!$Y$8:$Y$2000, "EF1100"))</f>
        <v>52</v>
      </c>
      <c r="E49" s="78">
        <f>(COUNTIF('Database - Tornado Segments'!$Y$8:$Y$2000, "F2100")+COUNTIF('Database - Tornado Segments'!$Y$8:$Y$2000, "EF2100"))</f>
        <v>33</v>
      </c>
      <c r="F49" s="78">
        <f>(COUNTIF('Database - Tornado Segments'!$Y$8:$Y$2000, "F3100")+COUNTIF('Database - Tornado Segments'!$Y$8:$Y$2000, "EF3100"))</f>
        <v>7</v>
      </c>
      <c r="G49" s="78">
        <f>(COUNTIF('Database - Tornado Segments'!$Y$8:$Y$2000, "F4100")+COUNTIF('Database - Tornado Segments'!$Y$8:$Y$2000, "EF4100"))</f>
        <v>0</v>
      </c>
      <c r="H49" s="78">
        <f>(COUNTIF('Database - Tornado Segments'!$Y$8:$Y$2000, "F5100")+COUNTIF('Database - Tornado Segments'!$Y$8:$Y$2000, "EF5100"))</f>
        <v>0</v>
      </c>
      <c r="I49" s="79">
        <f t="shared" si="2"/>
        <v>159</v>
      </c>
    </row>
    <row r="50" spans="2:9" ht="15.75">
      <c r="B50" s="82" t="s">
        <v>557</v>
      </c>
      <c r="C50" s="78">
        <f>(COUNTIF('Database - Tornado Segments'!$Y$8:$Y$2000, "F0200")+COUNTIF('Database - Tornado Segments'!$Y$8:$Y$2000, "EF0200"))</f>
        <v>16</v>
      </c>
      <c r="D50" s="78">
        <f>(COUNTIF('Database - Tornado Segments'!$Y$8:$Y$2000, "F1200")+COUNTIF('Database - Tornado Segments'!$Y$8:$Y$2000, "EF1200"))</f>
        <v>36</v>
      </c>
      <c r="E50" s="78">
        <f>(COUNTIF('Database - Tornado Segments'!$Y$8:$Y$2000, "F2200")+COUNTIF('Database - Tornado Segments'!$Y$8:$Y$2000, "EF2200"))</f>
        <v>25</v>
      </c>
      <c r="F50" s="78">
        <f>(COUNTIF('Database - Tornado Segments'!$Y$8:$Y$2000, "F3200")+COUNTIF('Database - Tornado Segments'!$Y$8:$Y$2000, "EF3200"))</f>
        <v>8</v>
      </c>
      <c r="G50" s="78">
        <f>(COUNTIF('Database - Tornado Segments'!$Y$8:$Y$2000, "F4200")+COUNTIF('Database - Tornado Segments'!$Y$8:$Y$2000, "EF4200"))</f>
        <v>2</v>
      </c>
      <c r="H50" s="78">
        <f>(COUNTIF('Database - Tornado Segments'!$Y$8:$Y$2000, "F5200")+COUNTIF('Database - Tornado Segments'!$Y$8:$Y$2000, "EF5200"))</f>
        <v>0</v>
      </c>
      <c r="I50" s="79">
        <f t="shared" si="2"/>
        <v>87</v>
      </c>
    </row>
    <row r="51" spans="2:9" ht="15.75">
      <c r="B51" s="82" t="s">
        <v>558</v>
      </c>
      <c r="C51" s="78">
        <f>(COUNTIF('Database - Tornado Segments'!$Y$8:$Y$2000, "F0500")+COUNTIF('Database - Tornado Segments'!$Y$8:$Y$2000, "EF0500"))</f>
        <v>3</v>
      </c>
      <c r="D51" s="78">
        <f>(COUNTIF('Database - Tornado Segments'!$Y$8:$Y$2000, "F1500")+COUNTIF('Database - Tornado Segments'!$Y$8:$Y$2000, "EF1500"))</f>
        <v>11</v>
      </c>
      <c r="E51" s="78">
        <f>(COUNTIF('Database - Tornado Segments'!$Y$8:$Y$2000, "F2500")+COUNTIF('Database - Tornado Segments'!$Y$8:$Y$2000, "EF2500"))</f>
        <v>8</v>
      </c>
      <c r="F51" s="78">
        <f>(COUNTIF('Database - Tornado Segments'!$Y$8:$Y$2000, "F3500")+COUNTIF('Database - Tornado Segments'!$Y$8:$Y$2000, "EF3500"))</f>
        <v>14</v>
      </c>
      <c r="G51" s="78">
        <f>(COUNTIF('Database - Tornado Segments'!$Y$8:$Y$2000, "F4500")+COUNTIF('Database - Tornado Segments'!$Y$8:$Y$2000, "EF4500"))</f>
        <v>11</v>
      </c>
      <c r="H51" s="78">
        <f>(COUNTIF('Database - Tornado Segments'!$Y$8:$Y$2000, "F5500")+COUNTIF('Database - Tornado Segments'!$Y$8:$Y$2000, "EF5500"))</f>
        <v>0</v>
      </c>
      <c r="I51" s="79">
        <f t="shared" si="2"/>
        <v>47</v>
      </c>
    </row>
    <row r="52" spans="2:9" ht="15.75">
      <c r="B52" s="82" t="s">
        <v>559</v>
      </c>
      <c r="C52" s="78">
        <f>(COUNTIF('Database - Tornado Segments'!$Y$8:$Y$2000, "F01000")+COUNTIF('Database - Tornado Segments'!$Y$8:$Y$2000, "EF01000"))</f>
        <v>0</v>
      </c>
      <c r="D52" s="78">
        <f>(COUNTIF('Database - Tornado Segments'!$Y$8:$Y$2000, "F11000")+COUNTIF('Database - Tornado Segments'!$Y$8:$Y$2000, "EF11000"))</f>
        <v>5</v>
      </c>
      <c r="E52" s="78">
        <f>(COUNTIF('Database - Tornado Segments'!$Y$8:$Y$2000, "F21000")+COUNTIF('Database - Tornado Segments'!$Y$8:$Y$2000, "EF21000"))</f>
        <v>7</v>
      </c>
      <c r="F52" s="78">
        <f>(COUNTIF('Database - Tornado Segments'!$Y$8:$Y$2000, "F31000")+COUNTIF('Database - Tornado Segments'!$Y$8:$Y$2000, "EF31000"))</f>
        <v>5</v>
      </c>
      <c r="G52" s="78">
        <f>(COUNTIF('Database - Tornado Segments'!$Y$8:$Y$2000, "F41000")+COUNTIF('Database - Tornado Segments'!$Y$8:$Y$2000, "EF41000"))</f>
        <v>8</v>
      </c>
      <c r="H52" s="78">
        <f>(COUNTIF('Database - Tornado Segments'!$Y$8:$Y$2000, "F51000")+COUNTIF('Database - Tornado Segments'!$Y$8:$Y$2000, "EF51000"))</f>
        <v>0</v>
      </c>
      <c r="I52" s="79">
        <f t="shared" si="2"/>
        <v>25</v>
      </c>
    </row>
    <row r="53" spans="2:9" ht="15.75">
      <c r="B53" s="426" t="s">
        <v>706</v>
      </c>
      <c r="C53" s="78">
        <f>(COUNTIF('Database - Tornado Segments'!$Y$8:$Y$2000, "F02000")+COUNTIF('Database - Tornado Segments'!$Y$8:$Y$2000, "EF02000"))</f>
        <v>0</v>
      </c>
      <c r="D53" s="78">
        <f>(COUNTIF('Database - Tornado Segments'!$Y$8:$Y$2000, "F12000")+COUNTIF('Database - Tornado Segments'!$Y$8:$Y$2000, "EF12000"))</f>
        <v>0</v>
      </c>
      <c r="E53" s="78">
        <f>(COUNTIF('Database - Tornado Segments'!$Y$8:$Y$2000, "F22000")+COUNTIF('Database - Tornado Segments'!$Y$8:$Y$2000, "EF22000"))</f>
        <v>0</v>
      </c>
      <c r="F53" s="78">
        <f>(COUNTIF('Database - Tornado Segments'!$Y$8:$Y$2000, "F32000")+COUNTIF('Database - Tornado Segments'!$Y$8:$Y$2000, "EF32000"))</f>
        <v>0</v>
      </c>
      <c r="G53" s="78">
        <f>(COUNTIF('Database - Tornado Segments'!$Y$8:$Y$2000, "F42000")+COUNTIF('Database - Tornado Segments'!$Y$8:$Y$2000, "EF42000"))</f>
        <v>1</v>
      </c>
      <c r="H53" s="78">
        <f>(COUNTIF('Database - Tornado Segments'!$Y$8:$Y$2000, "F52000")+COUNTIF('Database - Tornado Segments'!$Y$8:$Y$2000, "EF52000"))</f>
        <v>0</v>
      </c>
      <c r="I53" s="79">
        <f t="shared" si="2"/>
        <v>1</v>
      </c>
    </row>
    <row r="54" spans="2:9">
      <c r="B54" s="82"/>
      <c r="C54" s="83"/>
      <c r="D54" s="83"/>
      <c r="E54" s="83"/>
      <c r="F54" s="83"/>
      <c r="G54" s="83"/>
      <c r="H54" s="83"/>
      <c r="I54" s="84"/>
    </row>
    <row r="55" spans="2:9" ht="16.5" thickBot="1">
      <c r="B55" s="85"/>
      <c r="C55" s="86"/>
      <c r="D55" s="86"/>
      <c r="E55" s="86"/>
      <c r="F55" s="86"/>
      <c r="G55" s="86"/>
      <c r="H55" s="80" t="s">
        <v>531</v>
      </c>
      <c r="I55" s="81">
        <f>SUM(I44:I53)</f>
        <v>1134</v>
      </c>
    </row>
    <row r="56" spans="2:9" ht="15.75" thickTop="1">
      <c r="B56" s="73"/>
      <c r="C56" s="73"/>
      <c r="D56" s="73"/>
      <c r="E56" s="73"/>
      <c r="F56" s="73"/>
      <c r="G56" s="73"/>
      <c r="H56" s="73"/>
      <c r="I56" s="74"/>
    </row>
    <row r="57" spans="2:9">
      <c r="B57" s="73"/>
      <c r="C57" s="73"/>
      <c r="D57" s="73"/>
      <c r="E57" s="73"/>
      <c r="F57" s="73"/>
      <c r="G57" s="73"/>
      <c r="H57" s="73"/>
      <c r="I57" s="74"/>
    </row>
    <row r="58" spans="2:9" ht="15.75" thickBot="1">
      <c r="B58" s="73"/>
      <c r="C58" s="73"/>
      <c r="D58" s="73"/>
      <c r="E58" s="73"/>
      <c r="F58" s="73"/>
      <c r="G58" s="73"/>
      <c r="H58" s="73"/>
      <c r="I58" s="74"/>
    </row>
    <row r="59" spans="2:9" ht="24" thickTop="1">
      <c r="B59" s="1153" t="s">
        <v>533</v>
      </c>
      <c r="C59" s="1154"/>
      <c r="D59" s="1154"/>
      <c r="E59" s="1154"/>
      <c r="F59" s="1154"/>
      <c r="G59" s="1154"/>
      <c r="H59" s="1154"/>
      <c r="I59" s="1155"/>
    </row>
    <row r="60" spans="2:9" ht="15.75">
      <c r="B60" s="87"/>
      <c r="C60" s="1156" t="s">
        <v>509</v>
      </c>
      <c r="D60" s="1156"/>
      <c r="E60" s="1156"/>
      <c r="F60" s="1156"/>
      <c r="G60" s="1156"/>
      <c r="H60" s="1156"/>
      <c r="I60" s="88"/>
    </row>
    <row r="61" spans="2:9" ht="16.5" thickBot="1">
      <c r="B61" s="89" t="s">
        <v>513</v>
      </c>
      <c r="C61" s="90" t="s">
        <v>511</v>
      </c>
      <c r="D61" s="90" t="s">
        <v>196</v>
      </c>
      <c r="E61" s="90" t="s">
        <v>197</v>
      </c>
      <c r="F61" s="90" t="s">
        <v>198</v>
      </c>
      <c r="G61" s="90" t="s">
        <v>199</v>
      </c>
      <c r="H61" s="90" t="s">
        <v>200</v>
      </c>
      <c r="I61" s="91" t="s">
        <v>512</v>
      </c>
    </row>
    <row r="62" spans="2:9">
      <c r="B62" s="77"/>
      <c r="C62" s="52"/>
      <c r="D62" s="52"/>
      <c r="E62" s="52"/>
      <c r="F62" s="52"/>
      <c r="G62" s="52"/>
      <c r="H62" s="52"/>
      <c r="I62" s="53"/>
    </row>
    <row r="63" spans="2:9" ht="15.75">
      <c r="B63" s="92" t="s">
        <v>538</v>
      </c>
      <c r="C63" s="78">
        <f>(COUNTIF('Database - Tornado Segments'!$Y$8:$Y$2000, "F02")+COUNTIF('Database - Tornado Segments'!$Y$8:$Y$2000, "EF02"))+C64</f>
        <v>697</v>
      </c>
      <c r="D63" s="78">
        <f>(COUNTIF('Database - Tornado Segments'!$Y$8:$Y$2000, "F12")+COUNTIF('Database - Tornado Segments'!$Y$8:$Y$2000, "EF12"))+D64</f>
        <v>243</v>
      </c>
      <c r="E63" s="78">
        <f>(COUNTIF('Database - Tornado Segments'!$Y$8:$Y$2000, "F22")+COUNTIF('Database - Tornado Segments'!$Y$8:$Y$2000, "EF22"))+E64</f>
        <v>128</v>
      </c>
      <c r="F63" s="78">
        <f>(COUNTIF('Database - Tornado Segments'!$Y$8:$Y$2000, "F32")+COUNTIF('Database - Tornado Segments'!$Y$8:$Y$2000, "EF32"))+F64</f>
        <v>43</v>
      </c>
      <c r="G63" s="78">
        <f>(COUNTIF('Database - Tornado Segments'!$Y$8:$Y$2000, "F42")+COUNTIF('Database - Tornado Segments'!$Y$8:$Y$2000, "EF42"))+G64</f>
        <v>23</v>
      </c>
      <c r="H63" s="78">
        <f>(COUNTIF('Database - Tornado Segments'!$Y$8:$Y$2000, "F52")+COUNTIF('Database - Tornado Segments'!$Y$8:$Y$2000, "EF52"))+H64</f>
        <v>0</v>
      </c>
      <c r="I63" s="79">
        <f t="shared" ref="I63:I72" si="3">SUM(C63:H63)</f>
        <v>1134</v>
      </c>
    </row>
    <row r="64" spans="2:9" ht="15.75">
      <c r="B64" s="92" t="s">
        <v>555</v>
      </c>
      <c r="C64" s="78">
        <f>(COUNTIF('Database - Tornado Segments'!$Y$8:$Y$2000, "F05")+COUNTIF('Database - Tornado Segments'!$Y$8:$Y$2000, "EF05"))+C65</f>
        <v>689</v>
      </c>
      <c r="D64" s="78">
        <f>(COUNTIF('Database - Tornado Segments'!$Y$8:$Y$2000, "F15")+COUNTIF('Database - Tornado Segments'!$Y$8:$Y$2000, "EF15"))+D65</f>
        <v>242</v>
      </c>
      <c r="E64" s="78">
        <f>(COUNTIF('Database - Tornado Segments'!$Y$8:$Y$2000, "F25")+COUNTIF('Database - Tornado Segments'!$Y$8:$Y$2000, "EF25"))+E65</f>
        <v>128</v>
      </c>
      <c r="F64" s="78">
        <f>(COUNTIF('Database - Tornado Segments'!$Y$8:$Y$2000, "F35")+COUNTIF('Database - Tornado Segments'!$Y$8:$Y$2000, "EF35"))+F65</f>
        <v>43</v>
      </c>
      <c r="G64" s="78">
        <f>(COUNTIF('Database - Tornado Segments'!$Y$8:$Y$2000, "F45")+COUNTIF('Database - Tornado Segments'!$Y$8:$Y$2000, "EF45"))+G65</f>
        <v>23</v>
      </c>
      <c r="H64" s="78">
        <f>(COUNTIF('Database - Tornado Segments'!$Y$8:$Y$2000, "F55")+COUNTIF('Database - Tornado Segments'!$Y$8:$Y$2000, "EF55"))+H65</f>
        <v>0</v>
      </c>
      <c r="I64" s="79">
        <f t="shared" si="3"/>
        <v>1125</v>
      </c>
    </row>
    <row r="65" spans="2:9" ht="15.75">
      <c r="B65" s="92" t="s">
        <v>554</v>
      </c>
      <c r="C65" s="78">
        <f>(COUNTIF('Database - Tornado Segments'!$Y$8:$Y$2000, "F010")+COUNTIF('Database - Tornado Segments'!$Y$8:$Y$2000, "EF010"))+C66</f>
        <v>682</v>
      </c>
      <c r="D65" s="78">
        <f>(COUNTIF('Database - Tornado Segments'!$Y$8:$Y$2000, "F110")+COUNTIF('Database - Tornado Segments'!$Y$8:$Y$2000, "EF110"))+D66</f>
        <v>241</v>
      </c>
      <c r="E65" s="78">
        <f>(COUNTIF('Database - Tornado Segments'!$Y$8:$Y$2000, "F210")+COUNTIF('Database - Tornado Segments'!$Y$8:$Y$2000, "EF210"))+E66</f>
        <v>128</v>
      </c>
      <c r="F65" s="78">
        <f>(COUNTIF('Database - Tornado Segments'!$Y$8:$Y$2000, "F310")+COUNTIF('Database - Tornado Segments'!$Y$8:$Y$2000, "EF310"))+F66</f>
        <v>43</v>
      </c>
      <c r="G65" s="78">
        <f>(COUNTIF('Database - Tornado Segments'!$Y$8:$Y$2000, "F410")+COUNTIF('Database - Tornado Segments'!$Y$8:$Y$2000, "EF410"))+G66</f>
        <v>23</v>
      </c>
      <c r="H65" s="78">
        <f>(COUNTIF('Database - Tornado Segments'!$Y$8:$Y$2000, "F510")+COUNTIF('Database - Tornado Segments'!$Y$8:$Y$2000, "EF510"))+H66</f>
        <v>0</v>
      </c>
      <c r="I65" s="79">
        <f t="shared" si="3"/>
        <v>1117</v>
      </c>
    </row>
    <row r="66" spans="2:9" ht="15.75">
      <c r="B66" s="92" t="s">
        <v>537</v>
      </c>
      <c r="C66" s="78">
        <f>(COUNTIF('Database - Tornado Segments'!$Y$8:$Y$2000, "F020")+COUNTIF('Database - Tornado Segments'!$Y$8:$Y$2000, "EF020"))+C67</f>
        <v>566</v>
      </c>
      <c r="D66" s="78">
        <f>(COUNTIF('Database - Tornado Segments'!$Y$8:$Y$2000, "F120")+COUNTIF('Database - Tornado Segments'!$Y$8:$Y$2000, "EF120"))+D67</f>
        <v>199</v>
      </c>
      <c r="E66" s="78">
        <f>(COUNTIF('Database - Tornado Segments'!$Y$8:$Y$2000, "F220")+COUNTIF('Database - Tornado Segments'!$Y$8:$Y$2000, "EF220"))+E67</f>
        <v>100</v>
      </c>
      <c r="F66" s="78">
        <f>(COUNTIF('Database - Tornado Segments'!$Y$8:$Y$2000, "F320")+COUNTIF('Database - Tornado Segments'!$Y$8:$Y$2000, "EF320"))+F67</f>
        <v>42</v>
      </c>
      <c r="G66" s="78">
        <f>(COUNTIF('Database - Tornado Segments'!$Y$8:$Y$2000, "F420")+COUNTIF('Database - Tornado Segments'!$Y$8:$Y$2000, "EF420"))+G67</f>
        <v>23</v>
      </c>
      <c r="H66" s="78">
        <f>(COUNTIF('Database - Tornado Segments'!$Y$8:$Y$2000, "F520")+COUNTIF('Database - Tornado Segments'!$Y$8:$Y$2000, "EF520"))+H67</f>
        <v>0</v>
      </c>
      <c r="I66" s="79">
        <f t="shared" si="3"/>
        <v>930</v>
      </c>
    </row>
    <row r="67" spans="2:9" ht="15.75">
      <c r="B67" s="92" t="s">
        <v>536</v>
      </c>
      <c r="C67" s="78">
        <f>(COUNTIF('Database - Tornado Segments'!$Y$8:$Y$2000, "F050")+COUNTIF('Database - Tornado Segments'!$Y$8:$Y$2000, "EF050"))+C68</f>
        <v>283</v>
      </c>
      <c r="D67" s="78">
        <f>(COUNTIF('Database - Tornado Segments'!$Y$8:$Y$2000, "F150")+COUNTIF('Database - Tornado Segments'!$Y$8:$Y$2000, "EF150"))+D68</f>
        <v>141</v>
      </c>
      <c r="E67" s="78">
        <f>(COUNTIF('Database - Tornado Segments'!$Y$8:$Y$2000, "F250")+COUNTIF('Database - Tornado Segments'!$Y$8:$Y$2000, "EF250"))+E68</f>
        <v>86</v>
      </c>
      <c r="F67" s="78">
        <f>(COUNTIF('Database - Tornado Segments'!$Y$8:$Y$2000, "F350")+COUNTIF('Database - Tornado Segments'!$Y$8:$Y$2000, "EF350"))+F68</f>
        <v>37</v>
      </c>
      <c r="G67" s="78">
        <f>(COUNTIF('Database - Tornado Segments'!$Y$8:$Y$2000, "F450")+COUNTIF('Database - Tornado Segments'!$Y$8:$Y$2000, "EF450"))+G68</f>
        <v>23</v>
      </c>
      <c r="H67" s="78">
        <f>(COUNTIF('Database - Tornado Segments'!$Y$8:$Y$2000, "F550")+COUNTIF('Database - Tornado Segments'!$Y$8:$Y$2000, "EF550"))+H68</f>
        <v>0</v>
      </c>
      <c r="I67" s="79">
        <f t="shared" si="3"/>
        <v>570</v>
      </c>
    </row>
    <row r="68" spans="2:9" ht="15.75">
      <c r="B68" s="92" t="s">
        <v>553</v>
      </c>
      <c r="C68" s="78">
        <f>(COUNTIF('Database - Tornado Segments'!$Y$8:$Y$2000, "F0100")+COUNTIF('Database - Tornado Segments'!$Y$8:$Y$2000, "EF0100"))+C69</f>
        <v>86</v>
      </c>
      <c r="D68" s="78">
        <f>(COUNTIF('Database - Tornado Segments'!$Y$8:$Y$2000, "F1100")+COUNTIF('Database - Tornado Segments'!$Y$8:$Y$2000, "EF1100"))+D69</f>
        <v>104</v>
      </c>
      <c r="E68" s="78">
        <f>(COUNTIF('Database - Tornado Segments'!$Y$8:$Y$2000, "F2100")+COUNTIF('Database - Tornado Segments'!$Y$8:$Y$2000, "EF2100"))+E69</f>
        <v>73</v>
      </c>
      <c r="F68" s="78">
        <f>(COUNTIF('Database - Tornado Segments'!$Y$8:$Y$2000, "F3100")+COUNTIF('Database - Tornado Segments'!$Y$8:$Y$2000, "EF3100"))+F69</f>
        <v>34</v>
      </c>
      <c r="G68" s="78">
        <f>(COUNTIF('Database - Tornado Segments'!$Y$8:$Y$2000, "F4100")+COUNTIF('Database - Tornado Segments'!$Y$8:$Y$2000, "EF4100"))+G69</f>
        <v>22</v>
      </c>
      <c r="H68" s="78">
        <f>(COUNTIF('Database - Tornado Segments'!$Y$8:$Y$2000, "F5100")+COUNTIF('Database - Tornado Segments'!$Y$8:$Y$2000, "EF5100"))+H69</f>
        <v>0</v>
      </c>
      <c r="I68" s="79">
        <f t="shared" si="3"/>
        <v>319</v>
      </c>
    </row>
    <row r="69" spans="2:9" ht="15.75">
      <c r="B69" s="92" t="s">
        <v>552</v>
      </c>
      <c r="C69" s="78">
        <f>(COUNTIF('Database - Tornado Segments'!$Y$8:$Y$2000, "F0200")+COUNTIF('Database - Tornado Segments'!$Y$8:$Y$2000, "EF0200"))+C70</f>
        <v>19</v>
      </c>
      <c r="D69" s="78">
        <f>(COUNTIF('Database - Tornado Segments'!$Y$8:$Y$2000, "F1200")+COUNTIF('Database - Tornado Segments'!$Y$8:$Y$2000, "EF1200"))+D70</f>
        <v>52</v>
      </c>
      <c r="E69" s="78">
        <f>(COUNTIF('Database - Tornado Segments'!$Y$8:$Y$2000, "F2200")+COUNTIF('Database - Tornado Segments'!$Y$8:$Y$2000, "EF2200"))+E70</f>
        <v>40</v>
      </c>
      <c r="F69" s="78">
        <f>(COUNTIF('Database - Tornado Segments'!$Y$8:$Y$2000, "F3200")+COUNTIF('Database - Tornado Segments'!$Y$8:$Y$2000, "EF3200"))+F70</f>
        <v>27</v>
      </c>
      <c r="G69" s="78">
        <f>(COUNTIF('Database - Tornado Segments'!$Y$8:$Y$2000, "F4200")+COUNTIF('Database - Tornado Segments'!$Y$8:$Y$2000, "EF4200"))+G70</f>
        <v>22</v>
      </c>
      <c r="H69" s="78">
        <f>(COUNTIF('Database - Tornado Segments'!$Y$8:$Y$2000, "F5200")+COUNTIF('Database - Tornado Segments'!$Y$8:$Y$2000, "EF5200"))+H70</f>
        <v>0</v>
      </c>
      <c r="I69" s="79">
        <f t="shared" si="3"/>
        <v>160</v>
      </c>
    </row>
    <row r="70" spans="2:9" ht="15.75">
      <c r="B70" s="92" t="s">
        <v>551</v>
      </c>
      <c r="C70" s="78">
        <f>(COUNTIF('Database - Tornado Segments'!$Y$8:$Y$2000, "F0500")+COUNTIF('Database - Tornado Segments'!$Y$8:$Y$2000, "EF0500"))+C71</f>
        <v>3</v>
      </c>
      <c r="D70" s="78">
        <f>(COUNTIF('Database - Tornado Segments'!$Y$8:$Y$2000, "F1500")+COUNTIF('Database - Tornado Segments'!$Y$8:$Y$2000, "EF1500"))+D71</f>
        <v>16</v>
      </c>
      <c r="E70" s="78">
        <f>(COUNTIF('Database - Tornado Segments'!$Y$8:$Y$2000, "F2500")+COUNTIF('Database - Tornado Segments'!$Y$8:$Y$2000, "EF2500"))+E71</f>
        <v>15</v>
      </c>
      <c r="F70" s="78">
        <f>(COUNTIF('Database - Tornado Segments'!$Y$8:$Y$2000, "F3500")+COUNTIF('Database - Tornado Segments'!$Y$8:$Y$2000, "EF3500"))+F71</f>
        <v>19</v>
      </c>
      <c r="G70" s="78">
        <f>(COUNTIF('Database - Tornado Segments'!$Y$8:$Y$2000, "F4500")+COUNTIF('Database - Tornado Segments'!$Y$8:$Y$2000, "EF4500"))+G71</f>
        <v>20</v>
      </c>
      <c r="H70" s="78">
        <f>(COUNTIF('Database - Tornado Segments'!$Y$8:$Y$2000, "F5500")+COUNTIF('Database - Tornado Segments'!$Y$8:$Y$2000, "EF5500"))+H71</f>
        <v>0</v>
      </c>
      <c r="I70" s="79">
        <f t="shared" si="3"/>
        <v>73</v>
      </c>
    </row>
    <row r="71" spans="2:9" ht="15.75">
      <c r="B71" s="94" t="s">
        <v>550</v>
      </c>
      <c r="C71" s="78">
        <f>(COUNTIF('Database - Tornado Segments'!$Y$8:$Y$2000, "F01000")+COUNTIF('Database - Tornado Segments'!$Y$8:$Y$2000, "EF01000"))+C72</f>
        <v>0</v>
      </c>
      <c r="D71" s="78">
        <f>(COUNTIF('Database - Tornado Segments'!$Y$8:$Y$2000, "F11000")+COUNTIF('Database - Tornado Segments'!$Y$8:$Y$2000, "EF11000"))+D72</f>
        <v>5</v>
      </c>
      <c r="E71" s="78">
        <f>(COUNTIF('Database - Tornado Segments'!$Y$8:$Y$2000, "F21000")+COUNTIF('Database - Tornado Segments'!$Y$8:$Y$2000, "EF21000"))+E72</f>
        <v>7</v>
      </c>
      <c r="F71" s="78">
        <f>(COUNTIF('Database - Tornado Segments'!$Y$8:$Y$2000, "F31000")+COUNTIF('Database - Tornado Segments'!$Y$8:$Y$2000, "EF31000"))+F72</f>
        <v>5</v>
      </c>
      <c r="G71" s="78">
        <f>(COUNTIF('Database - Tornado Segments'!$Y$8:$Y$2000, "F41000")+COUNTIF('Database - Tornado Segments'!$Y$8:$Y$2000, "EF41000"))+G72</f>
        <v>9</v>
      </c>
      <c r="H71" s="78">
        <f>(COUNTIF('Database - Tornado Segments'!$Y$8:$Y$2000, "F51000")+COUNTIF('Database - Tornado Segments'!$Y$8:$Y$2000, "EF51000"))+H72</f>
        <v>0</v>
      </c>
      <c r="I71" s="79">
        <f t="shared" si="3"/>
        <v>26</v>
      </c>
    </row>
    <row r="72" spans="2:9" ht="15.75">
      <c r="B72" s="94" t="s">
        <v>549</v>
      </c>
      <c r="C72" s="78">
        <f>(COUNTIF('Database - Tornado Segments'!$Y$8:$Y$2000, "F02000")+COUNTIF('Database - Tornado Segments'!$Y$8:$Y$2000, "EF02000"))</f>
        <v>0</v>
      </c>
      <c r="D72" s="78">
        <f>(COUNTIF('Database - Tornado Segments'!$Y$8:$Y$2000, "F12000")+COUNTIF('Database - Tornado Segments'!$Y$8:$Y$2000, "EF12000"))</f>
        <v>0</v>
      </c>
      <c r="E72" s="78">
        <f>(COUNTIF('Database - Tornado Segments'!$Y$8:$Y$2000, "F22000")+COUNTIF('Database - Tornado Segments'!$Y$8:$Y$2000, "EF22000"))</f>
        <v>0</v>
      </c>
      <c r="F72" s="78">
        <f>(COUNTIF('Database - Tornado Segments'!$Y$8:$Y$2000, "F32000")+COUNTIF('Database - Tornado Segments'!$Y$8:$Y$2000, "EF32000"))</f>
        <v>0</v>
      </c>
      <c r="G72" s="78">
        <f>(COUNTIF('Database - Tornado Segments'!$Y$8:$Y$2000, "F42000")+COUNTIF('Database - Tornado Segments'!$Y$8:$Y$2000, "EF42000"))</f>
        <v>1</v>
      </c>
      <c r="H72" s="78">
        <f>(COUNTIF('Database - Tornado Segments'!$Y$8:$Y$2000, "F52000")+COUNTIF('Database - Tornado Segments'!$Y$8:$Y$2000, "EF52000"))</f>
        <v>0</v>
      </c>
      <c r="I72" s="79">
        <f t="shared" si="3"/>
        <v>1</v>
      </c>
    </row>
    <row r="73" spans="2:9" ht="16.5" thickBot="1">
      <c r="B73" s="95"/>
      <c r="C73" s="86"/>
      <c r="D73" s="86"/>
      <c r="E73" s="86"/>
      <c r="F73" s="86"/>
      <c r="G73" s="86"/>
      <c r="H73" s="80"/>
      <c r="I73" s="81"/>
    </row>
    <row r="74" spans="2:9" ht="15.75" thickTop="1"/>
    <row r="75" spans="2:9"/>
    <row r="76" spans="2:9" ht="15.75" thickBot="1"/>
    <row r="77" spans="2:9" ht="24" thickTop="1">
      <c r="B77" s="1159" t="s">
        <v>707</v>
      </c>
      <c r="C77" s="1157"/>
      <c r="D77" s="1157"/>
      <c r="E77" s="1157"/>
      <c r="F77" s="1157"/>
      <c r="G77" s="1157"/>
      <c r="H77" s="1157"/>
      <c r="I77" s="1158"/>
    </row>
    <row r="78" spans="2:9" ht="15.75">
      <c r="B78" s="87"/>
      <c r="C78" s="1156" t="s">
        <v>509</v>
      </c>
      <c r="D78" s="1156"/>
      <c r="E78" s="1156"/>
      <c r="F78" s="1156"/>
      <c r="G78" s="1156"/>
      <c r="H78" s="1156"/>
      <c r="I78" s="88"/>
    </row>
    <row r="79" spans="2:9" ht="19.5" thickBot="1">
      <c r="B79" s="427" t="s">
        <v>709</v>
      </c>
      <c r="C79" s="90" t="s">
        <v>511</v>
      </c>
      <c r="D79" s="90" t="s">
        <v>196</v>
      </c>
      <c r="E79" s="90" t="s">
        <v>197</v>
      </c>
      <c r="F79" s="90" t="s">
        <v>198</v>
      </c>
      <c r="G79" s="90" t="s">
        <v>199</v>
      </c>
      <c r="H79" s="90" t="s">
        <v>200</v>
      </c>
      <c r="I79" s="91" t="s">
        <v>512</v>
      </c>
    </row>
    <row r="80" spans="2:9">
      <c r="B80" s="77"/>
      <c r="C80" s="52"/>
      <c r="D80" s="52"/>
      <c r="E80" s="52"/>
      <c r="F80" s="52"/>
      <c r="G80" s="52"/>
      <c r="H80" s="52"/>
      <c r="I80" s="53"/>
    </row>
    <row r="81" spans="2:9" ht="15.75">
      <c r="B81" s="426" t="s">
        <v>721</v>
      </c>
      <c r="C81" s="78">
        <f>(COUNTIF('Database - Tornado Segments'!$AA$8:$AA$2000, "F00.0002")+COUNTIF('Database - Tornado Segments'!$AA$8:$AA$2000, "EF00.0002"))</f>
        <v>12</v>
      </c>
      <c r="D81" s="78">
        <f>(COUNTIF('Database - Tornado Segments'!$AA$8:$AA$2000, "F10.0002")+COUNTIF('Database - Tornado Segments'!$AA$8:$AA$2000, "EF10.0002"))</f>
        <v>2</v>
      </c>
      <c r="E81" s="78">
        <f>(COUNTIF('Database - Tornado Segments'!$AA$8:$AA$2000, "F20.0002")+COUNTIF('Database - Tornado Segments'!$AA$8:$AA$2000, "EF20.0002"))</f>
        <v>0</v>
      </c>
      <c r="F81" s="78">
        <f>(COUNTIF('Database - Tornado Segments'!$AA$8:$AA$2000, "F30.0002")+COUNTIF('Database - Tornado Segments'!$AA$8:$AA$2000, "EF30.0002"))</f>
        <v>0</v>
      </c>
      <c r="G81" s="78">
        <f>(COUNTIF('Database - Tornado Segments'!$AA$8:$AA$2000, "F40.0002")+COUNTIF('Database - Tornado Segments'!$AA$8:$AA$2000, "EF40.0002"))</f>
        <v>0</v>
      </c>
      <c r="H81" s="78">
        <f>(COUNTIF('Database - Tornado Segments'!$AA$8:$AA$2000, "F50.0002")+COUNTIF('Database - Tornado Segments'!$AA$8:$AA$2000, "EF50.0002"))</f>
        <v>0</v>
      </c>
      <c r="I81" s="79">
        <f t="shared" ref="I81:I96" si="4">SUM(C81:H81)</f>
        <v>14</v>
      </c>
    </row>
    <row r="82" spans="2:9" ht="15.75">
      <c r="B82" s="426" t="s">
        <v>722</v>
      </c>
      <c r="C82" s="78">
        <f>(COUNTIF('Database - Tornado Segments'!$AA$8:$AA$2000, "F00.0005")+COUNTIF('Database - Tornado Segments'!$AA$8:$AA$2000, "EF00.0005"))</f>
        <v>0</v>
      </c>
      <c r="D82" s="78">
        <f>(COUNTIF('Database - Tornado Segments'!$AA$8:$AA$2000, "F10.0005")+COUNTIF('Database - Tornado Segments'!$AA$8:$AA$2000, "EF10.0005"))</f>
        <v>0</v>
      </c>
      <c r="E82" s="78">
        <f>(COUNTIF('Database - Tornado Segments'!$AA$8:$AA$2000, "F20.0005")+COUNTIF('Database - Tornado Segments'!$AA$8:$AA$2000, "EF20.0005"))</f>
        <v>0</v>
      </c>
      <c r="F82" s="78">
        <f>(COUNTIF('Database - Tornado Segments'!$AA$8:$AA$2000, "F30.0005")+COUNTIF('Database - Tornado Segments'!$AA$8:$AA$2000, "EF30.0005"))</f>
        <v>0</v>
      </c>
      <c r="G82" s="78">
        <f>(COUNTIF('Database - Tornado Segments'!$AA$8:$AA$2000, "F40.0005")+COUNTIF('Database - Tornado Segments'!$AA$8:$AA$2000, "EF40.0005"))</f>
        <v>0</v>
      </c>
      <c r="H82" s="78">
        <f>(COUNTIF('Database - Tornado Segments'!$AA$8:$AA$2000, "F50.0005")+COUNTIF('Database - Tornado Segments'!$AA$8:$AA$2000, "EF50.0005"))</f>
        <v>0</v>
      </c>
      <c r="I82" s="79">
        <f t="shared" si="4"/>
        <v>0</v>
      </c>
    </row>
    <row r="83" spans="2:9" ht="15.75">
      <c r="B83" s="426" t="s">
        <v>723</v>
      </c>
      <c r="C83" s="78">
        <f>(COUNTIF('Database - Tornado Segments'!$AA$8:$AA$2000, "F00.001")+COUNTIF('Database - Tornado Segments'!$AA$8:$AA$2000, "EF00.001"))</f>
        <v>180</v>
      </c>
      <c r="D83" s="78">
        <f>(COUNTIF('Database - Tornado Segments'!$AA$8:$AA$2000, "F10.001")+COUNTIF('Database - Tornado Segments'!$AA$8:$AA$2000, "EF10.001"))</f>
        <v>36</v>
      </c>
      <c r="E83" s="78">
        <f>(COUNTIF('Database - Tornado Segments'!$AA$8:$AA$2000, "F20.001")+COUNTIF('Database - Tornado Segments'!$AA$8:$AA$2000, "EF20.001"))</f>
        <v>27</v>
      </c>
      <c r="F83" s="78">
        <f>(COUNTIF('Database - Tornado Segments'!$AA$8:$AA$2000, "F30.001")+COUNTIF('Database - Tornado Segments'!$AA$8:$AA$2000, "EF30.001"))</f>
        <v>1</v>
      </c>
      <c r="G83" s="78">
        <f>(COUNTIF('Database - Tornado Segments'!$AA$8:$AA$2000, "F40.001")+COUNTIF('Database - Tornado Segments'!$AA$8:$AA$2000, "EF40.001"))</f>
        <v>0</v>
      </c>
      <c r="H83" s="78">
        <f>(COUNTIF('Database - Tornado Segments'!$AA$8:$AA$2000, "F50.001")+COUNTIF('Database - Tornado Segments'!$AA$8:$AA$2000, "EF50.001"))</f>
        <v>0</v>
      </c>
      <c r="I83" s="79">
        <f t="shared" si="4"/>
        <v>244</v>
      </c>
    </row>
    <row r="84" spans="2:9" ht="15.75">
      <c r="B84" s="426" t="s">
        <v>724</v>
      </c>
      <c r="C84" s="78">
        <f>(COUNTIF('Database - Tornado Segments'!$AA$8:$AA$2000, "F00.002")+COUNTIF('Database - Tornado Segments'!$AA$8:$AA$2000, "EF00.002"))</f>
        <v>112</v>
      </c>
      <c r="D84" s="78">
        <f>(COUNTIF('Database - Tornado Segments'!$AA$8:$AA$2000, "F10.002")+COUNTIF('Database - Tornado Segments'!$AA$8:$AA$2000, "EF10.002"))</f>
        <v>10</v>
      </c>
      <c r="E84" s="78">
        <f>(COUNTIF('Database - Tornado Segments'!$AA$8:$AA$2000, "F20.002")+COUNTIF('Database - Tornado Segments'!$AA$8:$AA$2000, "EF20.002"))</f>
        <v>3</v>
      </c>
      <c r="F84" s="78">
        <f>(COUNTIF('Database - Tornado Segments'!$AA$8:$AA$2000, "F30.002")+COUNTIF('Database - Tornado Segments'!$AA$8:$AA$2000, "EF30.002"))</f>
        <v>0</v>
      </c>
      <c r="G84" s="78">
        <f>(COUNTIF('Database - Tornado Segments'!$AA$8:$AA$2000, "F40.002")+COUNTIF('Database - Tornado Segments'!$AA$8:$AA$2000, "EF40.002"))</f>
        <v>0</v>
      </c>
      <c r="H84" s="78">
        <f>(COUNTIF('Database - Tornado Segments'!$AA$8:$AA$2000, "F50.002")+COUNTIF('Database - Tornado Segments'!$AA$8:$AA$2000, "EF50.002"))</f>
        <v>0</v>
      </c>
      <c r="I84" s="79">
        <f t="shared" si="4"/>
        <v>125</v>
      </c>
    </row>
    <row r="85" spans="2:9" ht="15.75">
      <c r="B85" s="426" t="s">
        <v>725</v>
      </c>
      <c r="C85" s="78">
        <f>(COUNTIF('Database - Tornado Segments'!$AA$8:$AA$2000, "F00.005")+COUNTIF('Database - Tornado Segments'!$AA$8:$AA$2000, "EF00.005"))</f>
        <v>79</v>
      </c>
      <c r="D85" s="78">
        <f>(COUNTIF('Database - Tornado Segments'!$AA$8:$AA$2000, "F10.005")+COUNTIF('Database - Tornado Segments'!$AA$8:$AA$2000, "EF10.005"))</f>
        <v>17</v>
      </c>
      <c r="E85" s="78">
        <f>(COUNTIF('Database - Tornado Segments'!$AA$8:$AA$2000, "F20.005")+COUNTIF('Database - Tornado Segments'!$AA$8:$AA$2000, "EF20.005"))</f>
        <v>5</v>
      </c>
      <c r="F85" s="78">
        <f>(COUNTIF('Database - Tornado Segments'!$AA$8:$AA$2000, "F30.005")+COUNTIF('Database - Tornado Segments'!$AA$8:$AA$2000, "EF30.005"))</f>
        <v>0</v>
      </c>
      <c r="G85" s="78">
        <f>(COUNTIF('Database - Tornado Segments'!$AA$8:$AA$2000, "F40.005")+COUNTIF('Database - Tornado Segments'!$AA$8:$AA$2000, "EF40.005"))</f>
        <v>0</v>
      </c>
      <c r="H85" s="78">
        <f>(COUNTIF('Database - Tornado Segments'!$AA$8:$AA$2000, "F50.005")+COUNTIF('Database - Tornado Segments'!$AA$8:$AA$2000, "EF50.005"))</f>
        <v>0</v>
      </c>
      <c r="I85" s="79">
        <f t="shared" si="4"/>
        <v>101</v>
      </c>
    </row>
    <row r="86" spans="2:9" ht="15.75">
      <c r="B86" s="426" t="s">
        <v>726</v>
      </c>
      <c r="C86" s="78">
        <f>(COUNTIF('Database - Tornado Segments'!$AA$8:$AA$2000, "F00.01")+COUNTIF('Database - Tornado Segments'!$AA$8:$AA$2000, "EF00.01"))</f>
        <v>79</v>
      </c>
      <c r="D86" s="78">
        <f>(COUNTIF('Database - Tornado Segments'!$AA$8:$AA$2000, "F10.01")+COUNTIF('Database - Tornado Segments'!$AA$8:$AA$2000, "EF10.01"))</f>
        <v>26</v>
      </c>
      <c r="E86" s="78">
        <f>(COUNTIF('Database - Tornado Segments'!$AA$8:$AA$2000, "F20.01")+COUNTIF('Database - Tornado Segments'!$AA$8:$AA$2000, "EF20.01"))</f>
        <v>5</v>
      </c>
      <c r="F86" s="78">
        <f>(COUNTIF('Database - Tornado Segments'!$AA$8:$AA$2000, "F30.01")+COUNTIF('Database - Tornado Segments'!$AA$8:$AA$2000, "EF30.01"))</f>
        <v>0</v>
      </c>
      <c r="G86" s="78">
        <f>(COUNTIF('Database - Tornado Segments'!$AA$8:$AA$2000, "F40.01")+COUNTIF('Database - Tornado Segments'!$AA$8:$AA$2000, "EF40.01"))</f>
        <v>0</v>
      </c>
      <c r="H86" s="78">
        <f>(COUNTIF('Database - Tornado Segments'!$AA$8:$AA$2000, "F50.01")+COUNTIF('Database - Tornado Segments'!$AA$8:$AA$2000, "EF50.01"))</f>
        <v>0</v>
      </c>
      <c r="I86" s="79">
        <f t="shared" si="4"/>
        <v>110</v>
      </c>
    </row>
    <row r="87" spans="2:9" ht="15.75">
      <c r="B87" s="426" t="s">
        <v>727</v>
      </c>
      <c r="C87" s="78">
        <f>(COUNTIF('Database - Tornado Segments'!$AA$8:$AA$2000, "F00.02")+COUNTIF('Database - Tornado Segments'!$AA$8:$AA$2000, "EF00.02"))</f>
        <v>104</v>
      </c>
      <c r="D87" s="78">
        <f>(COUNTIF('Database - Tornado Segments'!$AA$8:$AA$2000, "F10.02")+COUNTIF('Database - Tornado Segments'!$AA$8:$AA$2000, "EF10.02"))</f>
        <v>29</v>
      </c>
      <c r="E87" s="78">
        <f>(COUNTIF('Database - Tornado Segments'!$AA$8:$AA$2000, "F20.02")+COUNTIF('Database - Tornado Segments'!$AA$8:$AA$2000, "EF20.02"))</f>
        <v>8</v>
      </c>
      <c r="F87" s="78">
        <f>(COUNTIF('Database - Tornado Segments'!$AA$8:$AA$2000, "F30.02")+COUNTIF('Database - Tornado Segments'!$AA$8:$AA$2000, "EF30.02"))</f>
        <v>3</v>
      </c>
      <c r="G87" s="78">
        <f>(COUNTIF('Database - Tornado Segments'!$AA$8:$AA$2000, "F40.02")+COUNTIF('Database - Tornado Segments'!$AA$8:$AA$2000, "EF40.02"))</f>
        <v>0</v>
      </c>
      <c r="H87" s="78">
        <f>(COUNTIF('Database - Tornado Segments'!$AA$8:$AA$2000, "F50.02")+COUNTIF('Database - Tornado Segments'!$AA$8:$AA$2000, "EF50.02"))</f>
        <v>0</v>
      </c>
      <c r="I87" s="79">
        <f t="shared" si="4"/>
        <v>144</v>
      </c>
    </row>
    <row r="88" spans="2:9" ht="15.75">
      <c r="B88" s="426" t="s">
        <v>728</v>
      </c>
      <c r="C88" s="78">
        <f>(COUNTIF('Database - Tornado Segments'!$AA$8:$AA$2000, "F00.05")+COUNTIF('Database - Tornado Segments'!$AA$8:$AA$2000, "EF00.05"))</f>
        <v>57</v>
      </c>
      <c r="D88" s="78">
        <f>(COUNTIF('Database - Tornado Segments'!$AA$8:$AA$2000, "F10.05")+COUNTIF('Database - Tornado Segments'!$AA$8:$AA$2000, "EF10.05"))</f>
        <v>24</v>
      </c>
      <c r="E88" s="78">
        <f>(COUNTIF('Database - Tornado Segments'!$AA$8:$AA$2000, "F20.05")+COUNTIF('Database - Tornado Segments'!$AA$8:$AA$2000, "EF20.05"))</f>
        <v>8</v>
      </c>
      <c r="F88" s="78">
        <f>(COUNTIF('Database - Tornado Segments'!$AA$8:$AA$2000, "F30.05")+COUNTIF('Database - Tornado Segments'!$AA$8:$AA$2000, "EF30.05"))</f>
        <v>0</v>
      </c>
      <c r="G88" s="78">
        <f>(COUNTIF('Database - Tornado Segments'!$AA$8:$AA$2000, "F40.05")+COUNTIF('Database - Tornado Segments'!$AA$8:$AA$2000, "EF40.05"))</f>
        <v>0</v>
      </c>
      <c r="H88" s="78">
        <f>(COUNTIF('Database - Tornado Segments'!$AA$8:$AA$2000, "F50.05")+COUNTIF('Database - Tornado Segments'!$AA$8:$AA$2000, "EF50.05"))</f>
        <v>0</v>
      </c>
      <c r="I88" s="79">
        <f t="shared" si="4"/>
        <v>89</v>
      </c>
    </row>
    <row r="89" spans="2:9" ht="15.75">
      <c r="B89" s="426" t="s">
        <v>710</v>
      </c>
      <c r="C89" s="78">
        <f>(COUNTIF('Database - Tornado Segments'!$AA$8:$AA$2000, "F00.1")+COUNTIF('Database - Tornado Segments'!$AA$8:$AA$2000, "EF00.1"))</f>
        <v>39</v>
      </c>
      <c r="D89" s="78">
        <f>(COUNTIF('Database - Tornado Segments'!$AA$8:$AA$2000, "F10.1")+COUNTIF('Database - Tornado Segments'!$AA$8:$AA$2000, "EF10.1"))</f>
        <v>18</v>
      </c>
      <c r="E89" s="78">
        <f>(COUNTIF('Database - Tornado Segments'!$AA$8:$AA$2000, "F20.1")+COUNTIF('Database - Tornado Segments'!$AA$8:$AA$2000, "EF20.1"))</f>
        <v>11</v>
      </c>
      <c r="F89" s="78">
        <f>(COUNTIF('Database - Tornado Segments'!$AA$8:$AA$2000, "F30.1")+COUNTIF('Database - Tornado Segments'!$AA$8:$AA$2000, "EF30.1"))</f>
        <v>6</v>
      </c>
      <c r="G89" s="78">
        <f>(COUNTIF('Database - Tornado Segments'!$AA$8:$AA$2000, "F40.1")+COUNTIF('Database - Tornado Segments'!$AA$8:$AA$2000, "EF40.1"))</f>
        <v>0</v>
      </c>
      <c r="H89" s="78">
        <f>(COUNTIF('Database - Tornado Segments'!$AA$8:$AA$2000, "F50.1")+COUNTIF('Database - Tornado Segments'!$AA$8:$AA$2000, "EF50.1"))</f>
        <v>0</v>
      </c>
      <c r="I89" s="79">
        <f t="shared" si="4"/>
        <v>74</v>
      </c>
    </row>
    <row r="90" spans="2:9" ht="15.75">
      <c r="B90" s="426" t="s">
        <v>711</v>
      </c>
      <c r="C90" s="78">
        <f>(COUNTIF('Database - Tornado Segments'!$AA$8:$AA$2000, "F00.2")+COUNTIF('Database - Tornado Segments'!$AA$8:$AA$2000, "EF00.2"))</f>
        <v>23</v>
      </c>
      <c r="D90" s="78">
        <f>(COUNTIF('Database - Tornado Segments'!$AA$8:$AA$2000, "F10.2")+COUNTIF('Database - Tornado Segments'!$AA$8:$AA$2000, "EF10.2"))</f>
        <v>30</v>
      </c>
      <c r="E90" s="78">
        <f>(COUNTIF('Database - Tornado Segments'!$AA$8:$AA$2000, "F20.2")+COUNTIF('Database - Tornado Segments'!$AA$8:$AA$2000, "EF20.2"))</f>
        <v>18</v>
      </c>
      <c r="F90" s="78">
        <f>(COUNTIF('Database - Tornado Segments'!$AA$8:$AA$2000, "F30.2")+COUNTIF('Database - Tornado Segments'!$AA$8:$AA$2000, "EF30.2"))</f>
        <v>2</v>
      </c>
      <c r="G90" s="78">
        <f>(COUNTIF('Database - Tornado Segments'!$AA$8:$AA$2000, "F40.2")+COUNTIF('Database - Tornado Segments'!$AA$8:$AA$2000, "EF40.2"))</f>
        <v>1</v>
      </c>
      <c r="H90" s="78">
        <f>(COUNTIF('Database - Tornado Segments'!$AA$8:$AA$2000, "F50.2")+COUNTIF('Database - Tornado Segments'!$AA$8:$AA$2000, "EF50.2"))</f>
        <v>0</v>
      </c>
      <c r="I90" s="79">
        <f t="shared" si="4"/>
        <v>74</v>
      </c>
    </row>
    <row r="91" spans="2:9" ht="15.75">
      <c r="B91" s="426" t="s">
        <v>712</v>
      </c>
      <c r="C91" s="78">
        <f>(COUNTIF('Database - Tornado Segments'!$AA$8:$AA$2000, "F00.5")+COUNTIF('Database - Tornado Segments'!$AA$8:$AA$2000, "EF00.5"))</f>
        <v>6</v>
      </c>
      <c r="D91" s="78">
        <f>(COUNTIF('Database - Tornado Segments'!$AA$8:$AA$2000, "F10.5")+COUNTIF('Database - Tornado Segments'!$AA$8:$AA$2000, "EF10.5"))</f>
        <v>25</v>
      </c>
      <c r="E91" s="78">
        <f>(COUNTIF('Database - Tornado Segments'!$AA$8:$AA$2000, "F20.5")+COUNTIF('Database - Tornado Segments'!$AA$8:$AA$2000, "EF20.5"))</f>
        <v>18</v>
      </c>
      <c r="F91" s="78">
        <f>(COUNTIF('Database - Tornado Segments'!$AA$8:$AA$2000, "F30.5")+COUNTIF('Database - Tornado Segments'!$AA$8:$AA$2000, "EF30.5"))</f>
        <v>9</v>
      </c>
      <c r="G91" s="78">
        <f>(COUNTIF('Database - Tornado Segments'!$AA$8:$AA$2000, "F40.5")+COUNTIF('Database - Tornado Segments'!$AA$8:$AA$2000, "EF40.5"))</f>
        <v>1</v>
      </c>
      <c r="H91" s="78">
        <f>(COUNTIF('Database - Tornado Segments'!$AA$8:$AA$2000, "F50.5")+COUNTIF('Database - Tornado Segments'!$AA$8:$AA$2000, "EF50.5"))</f>
        <v>0</v>
      </c>
      <c r="I91" s="79">
        <f t="shared" si="4"/>
        <v>59</v>
      </c>
    </row>
    <row r="92" spans="2:9" ht="15.75">
      <c r="B92" s="426" t="s">
        <v>713</v>
      </c>
      <c r="C92" s="78">
        <f>(COUNTIF('Database - Tornado Segments'!$AA$8:$AA$2000, "F01")+COUNTIF('Database - Tornado Segments'!$AA$8:$AA$2000, "EF01"))</f>
        <v>4</v>
      </c>
      <c r="D92" s="78">
        <f>(COUNTIF('Database - Tornado Segments'!$AA$8:$AA$2000, "F11")+COUNTIF('Database - Tornado Segments'!$AA$8:$AA$2000, "EF11"))</f>
        <v>12</v>
      </c>
      <c r="E92" s="78">
        <f>(COUNTIF('Database - Tornado Segments'!$AA$8:$AA$2000, "F21")+COUNTIF('Database - Tornado Segments'!$AA$8:$AA$2000, "EF21"))</f>
        <v>12</v>
      </c>
      <c r="F92" s="78">
        <f>(COUNTIF('Database - Tornado Segments'!$AA$8:$AA$2000, "F31")+COUNTIF('Database - Tornado Segments'!$AA$8:$AA$2000, "EF31"))</f>
        <v>6</v>
      </c>
      <c r="G92" s="78">
        <f>(COUNTIF('Database - Tornado Segments'!$AA$8:$AA$2000, "F41")+COUNTIF('Database - Tornado Segments'!$AA$8:$AA$2000, "EF41"))</f>
        <v>1</v>
      </c>
      <c r="H92" s="78">
        <f>(COUNTIF('Database - Tornado Segments'!$AA$8:$AA$2000, "F51")+COUNTIF('Database - Tornado Segments'!$AA$8:$AA$2000, "EF51"))</f>
        <v>0</v>
      </c>
      <c r="I92" s="79">
        <f t="shared" si="4"/>
        <v>35</v>
      </c>
    </row>
    <row r="93" spans="2:9" ht="15.75">
      <c r="B93" s="426" t="s">
        <v>714</v>
      </c>
      <c r="C93" s="78">
        <f>(COUNTIF('Database - Tornado Segments'!$AA$8:$AA$2000, "F02")+COUNTIF('Database - Tornado Segments'!$AA$8:$AA$2000, "EF02"))</f>
        <v>2</v>
      </c>
      <c r="D93" s="78">
        <f>(COUNTIF('Database - Tornado Segments'!$AA$8:$AA$2000, "F12")+COUNTIF('Database - Tornado Segments'!$AA$8:$AA$2000, "EF12"))</f>
        <v>7</v>
      </c>
      <c r="E93" s="78">
        <f>(COUNTIF('Database - Tornado Segments'!$AA$8:$AA$2000, "F22")+COUNTIF('Database - Tornado Segments'!$AA$8:$AA$2000, "EF22"))</f>
        <v>8</v>
      </c>
      <c r="F93" s="78">
        <f>(COUNTIF('Database - Tornado Segments'!$AA$8:$AA$2000, "F32")+COUNTIF('Database - Tornado Segments'!$AA$8:$AA$2000, "EF32"))</f>
        <v>9</v>
      </c>
      <c r="G93" s="78">
        <f>(COUNTIF('Database - Tornado Segments'!$AA$8:$AA$2000, "F42")+COUNTIF('Database - Tornado Segments'!$AA$8:$AA$2000, "EF42"))</f>
        <v>9</v>
      </c>
      <c r="H93" s="78">
        <f>(COUNTIF('Database - Tornado Segments'!$AA$8:$AA$2000, "F52")+COUNTIF('Database - Tornado Segments'!$AA$8:$AA$2000, "EF52"))</f>
        <v>0</v>
      </c>
      <c r="I93" s="79">
        <f t="shared" si="4"/>
        <v>35</v>
      </c>
    </row>
    <row r="94" spans="2:9" ht="15.75">
      <c r="B94" s="426" t="s">
        <v>715</v>
      </c>
      <c r="C94" s="78">
        <f>(COUNTIF('Database - Tornado Segments'!$AA$8:$AA$2000, "F05")+COUNTIF('Database - Tornado Segments'!$AA$8:$AA$2000, "EF05"))</f>
        <v>0</v>
      </c>
      <c r="D94" s="78">
        <f>(COUNTIF('Database - Tornado Segments'!$AA$8:$AA$2000, "F15")+COUNTIF('Database - Tornado Segments'!$AA$8:$AA$2000, "EF15"))</f>
        <v>6</v>
      </c>
      <c r="E94" s="78">
        <f>(COUNTIF('Database - Tornado Segments'!$AA$8:$AA$2000, "F25")+COUNTIF('Database - Tornado Segments'!$AA$8:$AA$2000, "EF25"))</f>
        <v>5</v>
      </c>
      <c r="F94" s="78">
        <f>(COUNTIF('Database - Tornado Segments'!$AA$8:$AA$2000, "F35")+COUNTIF('Database - Tornado Segments'!$AA$8:$AA$2000, "EF35"))</f>
        <v>5</v>
      </c>
      <c r="G94" s="78">
        <f>(COUNTIF('Database - Tornado Segments'!$AA$8:$AA$2000, "F45")+COUNTIF('Database - Tornado Segments'!$AA$8:$AA$2000, "EF45"))</f>
        <v>4</v>
      </c>
      <c r="H94" s="78">
        <f>(COUNTIF('Database - Tornado Segments'!$AA$8:$AA$2000, "F55")+COUNTIF('Database - Tornado Segments'!$AA$8:$AA$2000, "EF55"))</f>
        <v>0</v>
      </c>
      <c r="I94" s="79">
        <f t="shared" si="4"/>
        <v>20</v>
      </c>
    </row>
    <row r="95" spans="2:9" ht="15.75">
      <c r="B95" s="426" t="s">
        <v>716</v>
      </c>
      <c r="C95" s="78">
        <f>(COUNTIF('Database - Tornado Segments'!$AA$8:$AA$2000, "F010")+COUNTIF('Database - Tornado Segments'!$AA$8:$AA$2000, "EF010"))</f>
        <v>0</v>
      </c>
      <c r="D95" s="78">
        <f>(COUNTIF('Database - Tornado Segments'!$AA$8:$AA$2000, "F110")+COUNTIF('Database - Tornado Segments'!$AA$8:$AA$2000, "EF110"))</f>
        <v>0</v>
      </c>
      <c r="E95" s="78">
        <f>(COUNTIF('Database - Tornado Segments'!$AA$8:$AA$2000, "F210")+COUNTIF('Database - Tornado Segments'!$AA$8:$AA$2000, "EF210"))</f>
        <v>1</v>
      </c>
      <c r="F95" s="78">
        <f>(COUNTIF('Database - Tornado Segments'!$AA$8:$AA$2000, "F310")+COUNTIF('Database - Tornado Segments'!$AA$8:$AA$2000, "EF310"))</f>
        <v>2</v>
      </c>
      <c r="G95" s="78">
        <f>(COUNTIF('Database - Tornado Segments'!$AA$8:$AA$2000, "F410")+COUNTIF('Database - Tornado Segments'!$AA$8:$AA$2000, "EF410"))</f>
        <v>6</v>
      </c>
      <c r="H95" s="78">
        <f>(COUNTIF('Database - Tornado Segments'!$AA$8:$AA$2000, "F510")+COUNTIF('Database - Tornado Segments'!$AA$8:$AA$2000, "EF510"))</f>
        <v>0</v>
      </c>
      <c r="I95" s="79">
        <f t="shared" si="4"/>
        <v>9</v>
      </c>
    </row>
    <row r="96" spans="2:9" ht="15.75">
      <c r="B96" s="426" t="s">
        <v>717</v>
      </c>
      <c r="C96" s="78">
        <f>(COUNTIF('Database - Tornado Segments'!$AA$8:$AA$2000, "F020")+COUNTIF('Database - Tornado Segments'!$AA$8:$AA$2000, "EF020"))</f>
        <v>0</v>
      </c>
      <c r="D96" s="78">
        <f>(COUNTIF('Database - Tornado Segments'!$AA$8:$AA$2000, "F120")+COUNTIF('Database - Tornado Segments'!$AA$8:$AA$2000, "EF120"))</f>
        <v>0</v>
      </c>
      <c r="E96" s="78">
        <f>(COUNTIF('Database - Tornado Segments'!$AA$8:$AA$2000, "F220")+COUNTIF('Database - Tornado Segments'!$AA$8:$AA$2000, "EF220"))</f>
        <v>0</v>
      </c>
      <c r="F96" s="78">
        <f>(COUNTIF('Database - Tornado Segments'!$AA$8:$AA$2000, "F320")+COUNTIF('Database - Tornado Segments'!$AA$8:$AA$2000, "EF320"))</f>
        <v>0</v>
      </c>
      <c r="G96" s="78">
        <f>(COUNTIF('Database - Tornado Segments'!$AA$8:$AA$2000, "F420")+COUNTIF('Database - Tornado Segments'!$AA$8:$AA$2000, "EF420"))</f>
        <v>1</v>
      </c>
      <c r="H96" s="78">
        <f>(COUNTIF('Database - Tornado Segments'!$AA$8:$AA$2000, "F520")+COUNTIF('Database - Tornado Segments'!$AA$8:$AA$2000, "EF520"))</f>
        <v>0</v>
      </c>
      <c r="I96" s="79">
        <f t="shared" si="4"/>
        <v>1</v>
      </c>
    </row>
    <row r="97" spans="2:9" ht="15.75">
      <c r="B97" s="426"/>
      <c r="C97" s="78"/>
      <c r="D97" s="78"/>
      <c r="E97" s="78"/>
      <c r="F97" s="78"/>
      <c r="G97" s="78"/>
      <c r="H97" s="78"/>
      <c r="I97" s="431"/>
    </row>
    <row r="98" spans="2:9" ht="16.5" thickBot="1">
      <c r="B98" s="432"/>
      <c r="C98" s="433"/>
      <c r="D98" s="433"/>
      <c r="E98" s="433"/>
      <c r="F98" s="433"/>
      <c r="G98" s="433"/>
      <c r="H98" s="434" t="s">
        <v>531</v>
      </c>
      <c r="I98" s="435">
        <f>SUM(I81:I97)</f>
        <v>1134</v>
      </c>
    </row>
    <row r="99" spans="2:9" ht="15.75" thickTop="1">
      <c r="B99" s="73"/>
      <c r="C99" s="73"/>
      <c r="D99" s="73"/>
      <c r="E99" s="73"/>
      <c r="F99" s="73"/>
      <c r="G99" s="73"/>
      <c r="H99" s="73"/>
      <c r="I99" s="74"/>
    </row>
    <row r="100" spans="2:9">
      <c r="B100" s="73"/>
      <c r="C100" s="73"/>
      <c r="D100" s="73"/>
      <c r="E100" s="73"/>
      <c r="F100" s="73"/>
      <c r="G100" s="73"/>
      <c r="H100" s="73"/>
      <c r="I100" s="74"/>
    </row>
    <row r="101" spans="2:9" ht="15.75" thickBot="1">
      <c r="B101" s="73"/>
      <c r="C101" s="73"/>
      <c r="D101" s="73"/>
      <c r="E101" s="73"/>
      <c r="F101" s="73"/>
      <c r="G101" s="73"/>
      <c r="H101" s="73"/>
      <c r="I101" s="74"/>
    </row>
    <row r="102" spans="2:9" ht="24" thickTop="1">
      <c r="B102" s="1159" t="s">
        <v>708</v>
      </c>
      <c r="C102" s="1154"/>
      <c r="D102" s="1154"/>
      <c r="E102" s="1154"/>
      <c r="F102" s="1154"/>
      <c r="G102" s="1154"/>
      <c r="H102" s="1154"/>
      <c r="I102" s="1155"/>
    </row>
    <row r="103" spans="2:9" ht="15.75">
      <c r="B103" s="87"/>
      <c r="C103" s="1156" t="s">
        <v>509</v>
      </c>
      <c r="D103" s="1156"/>
      <c r="E103" s="1156"/>
      <c r="F103" s="1156"/>
      <c r="G103" s="1156"/>
      <c r="H103" s="1156"/>
      <c r="I103" s="88"/>
    </row>
    <row r="104" spans="2:9" ht="19.5" thickBot="1">
      <c r="B104" s="427" t="s">
        <v>709</v>
      </c>
      <c r="C104" s="90" t="s">
        <v>511</v>
      </c>
      <c r="D104" s="90" t="s">
        <v>196</v>
      </c>
      <c r="E104" s="90" t="s">
        <v>197</v>
      </c>
      <c r="F104" s="90" t="s">
        <v>198</v>
      </c>
      <c r="G104" s="90" t="s">
        <v>199</v>
      </c>
      <c r="H104" s="90" t="s">
        <v>200</v>
      </c>
      <c r="I104" s="91" t="s">
        <v>512</v>
      </c>
    </row>
    <row r="105" spans="2:9">
      <c r="B105" s="77"/>
      <c r="C105" s="52"/>
      <c r="D105" s="52"/>
      <c r="E105" s="52"/>
      <c r="F105" s="52"/>
      <c r="G105" s="52"/>
      <c r="H105" s="52"/>
      <c r="I105" s="53"/>
    </row>
    <row r="106" spans="2:9" ht="15.75">
      <c r="B106" s="92" t="s">
        <v>729</v>
      </c>
      <c r="C106" s="78">
        <f>(COUNTIF('Database - Tornado Segments'!$AA$8:$AA$2000, "F00.0002")+COUNTIF('Database - Tornado Segments'!$AA$8:$AA$2000, "EF00.0002"))+C107</f>
        <v>697</v>
      </c>
      <c r="D106" s="78">
        <f>(COUNTIF('Database - Tornado Segments'!$AA$8:$AA$2000, "F10.0002")+COUNTIF('Database - Tornado Segments'!$AA$8:$AA$2000, "EF10.0002"))+D107</f>
        <v>242</v>
      </c>
      <c r="E106" s="78">
        <f>(COUNTIF('Database - Tornado Segments'!$AA$8:$AA$2000, "F20.0002")+COUNTIF('Database - Tornado Segments'!$AA$8:$AA$2000, "EF20.0002"))+E107</f>
        <v>129</v>
      </c>
      <c r="F106" s="78">
        <f>(COUNTIF('Database - Tornado Segments'!$AA$8:$AA$2000, "F30.0002")+COUNTIF('Database - Tornado Segments'!$AA$8:$AA$2000, "EF30.0002"))+F107</f>
        <v>43</v>
      </c>
      <c r="G106" s="78">
        <f>(COUNTIF('Database - Tornado Segments'!$AA$8:$AA$2000, "F40.0002")+COUNTIF('Database - Tornado Segments'!$AA$8:$AA$2000, "EF40.0002"))+G107</f>
        <v>23</v>
      </c>
      <c r="H106" s="78">
        <f>(COUNTIF('Database - Tornado Segments'!$AA$8:$AA$2000, "F50.0002")+COUNTIF('Database - Tornado Segments'!$AA$8:AA$2000, "EF50.0002"))+H107</f>
        <v>0</v>
      </c>
      <c r="I106" s="79">
        <f t="shared" ref="I106:I113" si="5">SUM(C106:H106)</f>
        <v>1134</v>
      </c>
    </row>
    <row r="107" spans="2:9" ht="15.75">
      <c r="B107" s="92" t="s">
        <v>730</v>
      </c>
      <c r="C107" s="78">
        <f>(COUNTIF('Database - Tornado Segments'!$AA$8:$AA$2000, "F00.0005")+COUNTIF('Database - Tornado Segments'!$AA$8:$AA$2000, "EF00.0005"))+C108</f>
        <v>685</v>
      </c>
      <c r="D107" s="78">
        <f>(COUNTIF('Database - Tornado Segments'!$AA$8:$AA$2000, "F10.0005")+COUNTIF('Database - Tornado Segments'!$AA$8:$AA$2000, "EF10.0005"))+D108</f>
        <v>240</v>
      </c>
      <c r="E107" s="78">
        <f>(COUNTIF('Database - Tornado Segments'!$AA$8:$AA$2000, "F20.0005")+COUNTIF('Database - Tornado Segments'!$AA$8:$AA$2000, "EF20.0005"))+E108</f>
        <v>129</v>
      </c>
      <c r="F107" s="78">
        <f>(COUNTIF('Database - Tornado Segments'!$AA$8:$AA$2000, "F30.0005")+COUNTIF('Database - Tornado Segments'!$AA$8:$AA$2000, "EF30.0005"))+F108</f>
        <v>43</v>
      </c>
      <c r="G107" s="78">
        <f>(COUNTIF('Database - Tornado Segments'!$AA$8:$AA$2000, "F40.0005")+COUNTIF('Database - Tornado Segments'!$AA$8:$AA$2000, "EF40.0005"))+G108</f>
        <v>23</v>
      </c>
      <c r="H107" s="78">
        <f>(COUNTIF('Database - Tornado Segments'!$AA$8:$AA$2000, "F50.0005")+COUNTIF('Database - Tornado Segments'!$AA$8:$AA$2000, "EF50.0005"))+H108</f>
        <v>0</v>
      </c>
      <c r="I107" s="79">
        <f t="shared" si="5"/>
        <v>1120</v>
      </c>
    </row>
    <row r="108" spans="2:9" ht="15.75">
      <c r="B108" s="92" t="s">
        <v>731</v>
      </c>
      <c r="C108" s="78">
        <f>(COUNTIF('Database - Tornado Segments'!$AA$8:$AA$2000, "F00.001")+COUNTIF('Database - Tornado Segments'!$AA$8:$AA$2000, "EF00.001"))+C109</f>
        <v>685</v>
      </c>
      <c r="D108" s="78">
        <f>(COUNTIF('Database - Tornado Segments'!$AA$8:$AA$2000, "F10.001")+COUNTIF('Database - Tornado Segments'!$AA$8:$AA$2000, "EF10.001"))+D109</f>
        <v>240</v>
      </c>
      <c r="E108" s="78">
        <f>(COUNTIF('Database - Tornado Segments'!$AA$8:$AA$2000, "F20.001")+COUNTIF('Database - Tornado Segments'!$AA$8:$AA$2000, "EF20.001"))+E109</f>
        <v>129</v>
      </c>
      <c r="F108" s="78">
        <f>(COUNTIF('Database - Tornado Segments'!$AA$8:$AA$2000, "F30.001")+COUNTIF('Database - Tornado Segments'!$AA$8:$AA$2000, "EF30.001"))+F109</f>
        <v>43</v>
      </c>
      <c r="G108" s="78">
        <f>(COUNTIF('Database - Tornado Segments'!$AA$8:$AA$2000, "F40.001")+COUNTIF('Database - Tornado Segments'!$AA$8:$AA$2000, "EF40.001"))+G109</f>
        <v>23</v>
      </c>
      <c r="H108" s="78">
        <f>(COUNTIF('Database - Tornado Segments'!$AA$8:$AA$2000, "F50.001")+COUNTIF('Database - Tornado Segments'!$AA$8:$AA$2000, "EF50.001"))+H109</f>
        <v>0</v>
      </c>
      <c r="I108" s="79">
        <f t="shared" si="5"/>
        <v>1120</v>
      </c>
    </row>
    <row r="109" spans="2:9" ht="15.75">
      <c r="B109" s="92" t="s">
        <v>732</v>
      </c>
      <c r="C109" s="78">
        <f>(COUNTIF('Database - Tornado Segments'!$AA$8:$AA$2000, "F00.002")+COUNTIF('Database - Tornado Segments'!$AA$8:$AA$2000, "EF00.002"))+C110</f>
        <v>505</v>
      </c>
      <c r="D109" s="78">
        <f>(COUNTIF('Database - Tornado Segments'!$AA$8:$AA$2000, "F10.002")+COUNTIF('Database - Tornado Segments'!$AA$8:$AA$2000, "EF10.002"))+D110</f>
        <v>204</v>
      </c>
      <c r="E109" s="78">
        <f>(COUNTIF('Database - Tornado Segments'!$AA$8:$AA$2000, "F20.002")+COUNTIF('Database - Tornado Segments'!$AA$8:$AA$2000, "EF20.002"))+E110</f>
        <v>102</v>
      </c>
      <c r="F109" s="78">
        <f>(COUNTIF('Database - Tornado Segments'!$AA$8:$AA$2000, "F30.002")+COUNTIF('Database - Tornado Segments'!$AA$8:$AA$2000, "EF30.002"))+F110</f>
        <v>42</v>
      </c>
      <c r="G109" s="78">
        <f>(COUNTIF('Database - Tornado Segments'!$AA$8:$AA$2000, "F40.002")+COUNTIF('Database - Tornado Segments'!$AA$8:$AA$2000, "EF40.002"))+G110</f>
        <v>23</v>
      </c>
      <c r="H109" s="78">
        <f>(COUNTIF('Database - Tornado Segments'!$AA$8:$AA$2000, "F50.002")+COUNTIF('Database - Tornado Segments'!$AA$8:$AA$2000, "EF50.002"))+H110</f>
        <v>0</v>
      </c>
      <c r="I109" s="79">
        <f t="shared" si="5"/>
        <v>876</v>
      </c>
    </row>
    <row r="110" spans="2:9" ht="15.75">
      <c r="B110" s="92" t="s">
        <v>733</v>
      </c>
      <c r="C110" s="78">
        <f>(COUNTIF('Database - Tornado Segments'!$AA$8:$AA$2000, "F00.005")+COUNTIF('Database - Tornado Segments'!$AA$8:$AA$2000, "EF00.005"))+C111</f>
        <v>393</v>
      </c>
      <c r="D110" s="78">
        <f>(COUNTIF('Database - Tornado Segments'!$AA$8:$AA$2000, "F10.005")+COUNTIF('Database - Tornado Segments'!$AA$8:$AA$2000, "EF10.005"))+D111</f>
        <v>194</v>
      </c>
      <c r="E110" s="78">
        <f>(COUNTIF('Database - Tornado Segments'!$AA$8:$AA$2000, "F20.005")+COUNTIF('Database - Tornado Segments'!$AA$8:$AA$2000, "EF20.005"))+E111</f>
        <v>99</v>
      </c>
      <c r="F110" s="78">
        <f>(COUNTIF('Database - Tornado Segments'!$AA$8:$AA$2000, "F30.005")+COUNTIF('Database - Tornado Segments'!$AA$8:$AA$2000, "EF30.005"))+F111</f>
        <v>42</v>
      </c>
      <c r="G110" s="78">
        <f>(COUNTIF('Database - Tornado Segments'!$AA$8:$AA$2000, "F40.005")+COUNTIF('Database - Tornado Segments'!$AA$8:$AA$2000, "EF40.005"))+G111</f>
        <v>23</v>
      </c>
      <c r="H110" s="78">
        <f>(COUNTIF('Database - Tornado Segments'!$AA$8:$AA$2000, "F50.005")+COUNTIF('Database - Tornado Segments'!$AA$8:$AA$2000, "EF50.005"))+H111</f>
        <v>0</v>
      </c>
      <c r="I110" s="79">
        <f t="shared" si="5"/>
        <v>751</v>
      </c>
    </row>
    <row r="111" spans="2:9" ht="15.75">
      <c r="B111" s="92" t="s">
        <v>734</v>
      </c>
      <c r="C111" s="78">
        <f>(COUNTIF('Database - Tornado Segments'!$AA$8:$AA$2000, "F00.01")+COUNTIF('Database - Tornado Segments'!$AA$8:$AA$2000, "EF00.01"))+C112</f>
        <v>314</v>
      </c>
      <c r="D111" s="78">
        <f>(COUNTIF('Database - Tornado Segments'!$AA$8:$AA$2000, "F10.01")+COUNTIF('Database - Tornado Segments'!$AA$8:$AA$2000, "EF10.01"))+D112</f>
        <v>177</v>
      </c>
      <c r="E111" s="78">
        <f>(COUNTIF('Database - Tornado Segments'!$AA$8:$AA$2000, "F20.01")+COUNTIF('Database - Tornado Segments'!$AA$8:$AA$2000, "EF20.01"))+E112</f>
        <v>94</v>
      </c>
      <c r="F111" s="78">
        <f>(COUNTIF('Database - Tornado Segments'!$AA$8:$AA$2000, "F30.01")+COUNTIF('Database - Tornado Segments'!$AA$8:$AA$2000, "EF30.01"))+F112</f>
        <v>42</v>
      </c>
      <c r="G111" s="78">
        <f>(COUNTIF('Database - Tornado Segments'!$AA$8:$AA$2000, "F40.01")+COUNTIF('Database - Tornado Segments'!$AA$8:$AA$2000, "EF40.01"))+G112</f>
        <v>23</v>
      </c>
      <c r="H111" s="78">
        <f>(COUNTIF('Database - Tornado Segments'!$AA$8:$AA$2000, "F50.01")+COUNTIF('Database - Tornado Segments'!$AA$8:$AA$2000, "EF50.01"))+H112</f>
        <v>0</v>
      </c>
      <c r="I111" s="79">
        <f t="shared" si="5"/>
        <v>650</v>
      </c>
    </row>
    <row r="112" spans="2:9" ht="15.75">
      <c r="B112" s="92" t="s">
        <v>735</v>
      </c>
      <c r="C112" s="78">
        <f>(COUNTIF('Database - Tornado Segments'!$AA$8:$AA$2000, "F00.02")+COUNTIF('Database - Tornado Segments'!$AA$8:$AA$2000, "EF00.02"))+C113</f>
        <v>235</v>
      </c>
      <c r="D112" s="78">
        <f>(COUNTIF('Database - Tornado Segments'!$AA$8:$AA$2000, "F10.02")+COUNTIF('Database - Tornado Segments'!$AA$8:$AA$2000, "EF10.02"))+D113</f>
        <v>151</v>
      </c>
      <c r="E112" s="78">
        <f>(COUNTIF('Database - Tornado Segments'!$AA$8:$AA$2000, "F20.02")+COUNTIF('Database - Tornado Segments'!$AA$8:$AA$2000, "EF20.02"))+E113</f>
        <v>89</v>
      </c>
      <c r="F112" s="78">
        <f>(COUNTIF('Database - Tornado Segments'!$AA$8:$AA$2000, "F30.02")+COUNTIF('Database - Tornado Segments'!$AA$8:$AA$2000, "EF30.02"))+F113</f>
        <v>42</v>
      </c>
      <c r="G112" s="78">
        <f>(COUNTIF('Database - Tornado Segments'!$AA$8:$AA$2000, "F40.02")+COUNTIF('Database - Tornado Segments'!$AA$8:$AA$2000, "EF40.02"))+G113</f>
        <v>23</v>
      </c>
      <c r="H112" s="78">
        <f>(COUNTIF('Database - Tornado Segments'!$AA$8:$AA$2000, "F50.02")+COUNTIF('Database - Tornado Segments'!$AA$8:$AA$2000, "EF50.02"))+H113</f>
        <v>0</v>
      </c>
      <c r="I112" s="79">
        <f t="shared" si="5"/>
        <v>540</v>
      </c>
    </row>
    <row r="113" spans="2:9" ht="15.75">
      <c r="B113" s="92" t="s">
        <v>736</v>
      </c>
      <c r="C113" s="78">
        <f>(COUNTIF('Database - Tornado Segments'!$AA$8:$AA$2000, "F00.05")+COUNTIF('Database - Tornado Segments'!$AA$8:$AA$2000, "EF00.05"))+C114</f>
        <v>131</v>
      </c>
      <c r="D113" s="78">
        <f>(COUNTIF('Database - Tornado Segments'!$AA$8:$AA$2000, "F10.05")+COUNTIF('Database - Tornado Segments'!$AA$8:$AA$2000, "EF10.05"))+D114</f>
        <v>122</v>
      </c>
      <c r="E113" s="78">
        <f>(COUNTIF('Database - Tornado Segments'!$AA$8:$AA$2000, "F20.05")+COUNTIF('Database - Tornado Segments'!$AA$8:$AA$2000, "EF20.05"))+E114</f>
        <v>81</v>
      </c>
      <c r="F113" s="78">
        <f>(COUNTIF('Database - Tornado Segments'!$AA$8:$AA$2000, "F30.05")+COUNTIF('Database - Tornado Segments'!$AA$8:$AA$2000, "EF30.05"))+F114</f>
        <v>39</v>
      </c>
      <c r="G113" s="78">
        <f>(COUNTIF('Database - Tornado Segments'!$AA$8:$AA$2000, "F40.05")+COUNTIF('Database - Tornado Segments'!$AA$8:$AA$2000, "EF40.05"))+G114</f>
        <v>23</v>
      </c>
      <c r="H113" s="78">
        <f>(COUNTIF('Database - Tornado Segments'!$AA$8:$AA$2000, "F50.05")+COUNTIF('Database - Tornado Segments'!$AA$8:$AA$2000, "EF50.05"))+H114</f>
        <v>0</v>
      </c>
      <c r="I113" s="79">
        <f t="shared" si="5"/>
        <v>396</v>
      </c>
    </row>
    <row r="114" spans="2:9" ht="15.75">
      <c r="B114" s="92" t="s">
        <v>541</v>
      </c>
      <c r="C114" s="78">
        <f>(COUNTIF('Database - Tornado Segments'!$AA$8:$AA$2000, "F00.1")+COUNTIF('Database - Tornado Segments'!$AA$8:$AA$2000, "EF00.1"))+C115</f>
        <v>74</v>
      </c>
      <c r="D114" s="78">
        <f>(COUNTIF('Database - Tornado Segments'!$AA$8:$AA$2000, "F10.1")+COUNTIF('Database - Tornado Segments'!$AA$8:$AA$2000, "EF10.1"))+D115</f>
        <v>98</v>
      </c>
      <c r="E114" s="78">
        <f>(COUNTIF('Database - Tornado Segments'!$AA$8:$AA$2000, "F20.1")+COUNTIF('Database - Tornado Segments'!$AA$8:$AA$2000, "EF20.1"))+E115</f>
        <v>73</v>
      </c>
      <c r="F114" s="78">
        <f>(COUNTIF('Database - Tornado Segments'!$AA$8:$AA$2000, "F30.1")+COUNTIF('Database - Tornado Segments'!$AA$8:$AA$2000, "EF30.1"))+F115</f>
        <v>39</v>
      </c>
      <c r="G114" s="78">
        <f>(COUNTIF('Database - Tornado Segments'!$AA$8:$AA$2000, "F40.1")+COUNTIF('Database - Tornado Segments'!$AA$8:$AA$2000, "EF40.1"))+G115</f>
        <v>23</v>
      </c>
      <c r="H114" s="78">
        <f>(COUNTIF('Database - Tornado Segments'!$AA$8:$AA$2000, "F50.1")+COUNTIF('Database - Tornado Segments'!$AA$8:$AA$2000, "EF50.1"))+H115</f>
        <v>0</v>
      </c>
      <c r="I114" s="79">
        <f t="shared" ref="I114:I121" si="6">SUM(C114:H114)</f>
        <v>307</v>
      </c>
    </row>
    <row r="115" spans="2:9" ht="15.75">
      <c r="B115" s="92" t="s">
        <v>540</v>
      </c>
      <c r="C115" s="78">
        <f>(COUNTIF('Database - Tornado Segments'!$AA$8:$AA$2000, "F00.2")+COUNTIF('Database - Tornado Segments'!$AA$8:$AA$2000, "EF00.2"))+C116</f>
        <v>35</v>
      </c>
      <c r="D115" s="78">
        <f>(COUNTIF('Database - Tornado Segments'!$AA$8:$AA$2000, "F10.2")+COUNTIF('Database - Tornado Segments'!$AA$8:$AA$2000, "EF10.2"))+D116</f>
        <v>80</v>
      </c>
      <c r="E115" s="78">
        <f>(COUNTIF('Database - Tornado Segments'!$AA$8:$AA$2000, "F20.2")+COUNTIF('Database - Tornado Segments'!$AA$8:$AA$2000, "EF20.2"))+E116</f>
        <v>62</v>
      </c>
      <c r="F115" s="78">
        <f>(COUNTIF('Database - Tornado Segments'!$AA$8:$AA$2000, "F30.2")+COUNTIF('Database - Tornado Segments'!$AA$8:$AA$2000, "EF30.2"))+F116</f>
        <v>33</v>
      </c>
      <c r="G115" s="78">
        <f>(COUNTIF('Database - Tornado Segments'!$AA$8:$AA$2000, "F40.2")+COUNTIF('Database - Tornado Segments'!$AA$8:$AA$2000, "EF40.2"))+G116</f>
        <v>23</v>
      </c>
      <c r="H115" s="78">
        <f>(COUNTIF('Database - Tornado Segments'!$AA$8:$AA$2000, "F50.2")+COUNTIF('Database - Tornado Segments'!$AA$8:$AA$2000, "EF50.2"))+H116</f>
        <v>0</v>
      </c>
      <c r="I115" s="79">
        <f t="shared" si="6"/>
        <v>233</v>
      </c>
    </row>
    <row r="116" spans="2:9" ht="15.75">
      <c r="B116" s="92" t="s">
        <v>539</v>
      </c>
      <c r="C116" s="78">
        <f>(COUNTIF('Database - Tornado Segments'!$AA$8:$AA$2000, "F00.5")+COUNTIF('Database - Tornado Segments'!$AA$8:$AA$2000, "EF00.5"))+C117</f>
        <v>12</v>
      </c>
      <c r="D116" s="78">
        <f>(COUNTIF('Database - Tornado Segments'!$AA$8:$AA$2000, "F10.5")+COUNTIF('Database - Tornado Segments'!$AA$8:$AA$2000, "EF10.5"))+D117</f>
        <v>50</v>
      </c>
      <c r="E116" s="78">
        <f>(COUNTIF('Database - Tornado Segments'!$AA$8:$AA$2000, "F20.5")+COUNTIF('Database - Tornado Segments'!$AA$8:$AA$2000, "EF20.5"))+E117</f>
        <v>44</v>
      </c>
      <c r="F116" s="78">
        <f>(COUNTIF('Database - Tornado Segments'!$AA$8:$AA$2000, "F30.5")+COUNTIF('Database - Tornado Segments'!$AA$8:$AA$2000, "EF30.5"))+F117</f>
        <v>31</v>
      </c>
      <c r="G116" s="78">
        <f>(COUNTIF('Database - Tornado Segments'!$AA$8:$AA$2000, "F40.5")+COUNTIF('Database - Tornado Segments'!$AA$8:$AA$2000, "EF40.5"))+G117</f>
        <v>22</v>
      </c>
      <c r="H116" s="78">
        <f>(COUNTIF('Database - Tornado Segments'!$AA$8:$AA$2000, "F50.5")+COUNTIF('Database - Tornado Segments'!$AA$8:$AA$2000, "EF50.5"))+H117</f>
        <v>0</v>
      </c>
      <c r="I116" s="79">
        <f t="shared" si="6"/>
        <v>159</v>
      </c>
    </row>
    <row r="117" spans="2:9" ht="15.75">
      <c r="B117" s="92" t="s">
        <v>543</v>
      </c>
      <c r="C117" s="78">
        <f>(COUNTIF('Database - Tornado Segments'!$AA$8:$AA$2000, "F01")+COUNTIF('Database - Tornado Segments'!$AA$8:$AA$2000, "EF01"))+C118</f>
        <v>6</v>
      </c>
      <c r="D117" s="78">
        <f>(COUNTIF('Database - Tornado Segments'!$AA$8:$AA$2000, "F11")+COUNTIF('Database - Tornado Segments'!$AA$8:$AA$2000, "EF11"))+D118</f>
        <v>25</v>
      </c>
      <c r="E117" s="78">
        <f>(COUNTIF('Database - Tornado Segments'!$AA$8:$AA$2000, "F21")+COUNTIF('Database - Tornado Segments'!$AA$8:$AA$2000, "EF21"))+E118</f>
        <v>26</v>
      </c>
      <c r="F117" s="78">
        <f>(COUNTIF('Database - Tornado Segments'!$AA$8:$AA$2000, "F31")+COUNTIF('Database - Tornado Segments'!$AA$8:$AA$2000, "EF31"))+F118</f>
        <v>22</v>
      </c>
      <c r="G117" s="78">
        <f>(COUNTIF('Database - Tornado Segments'!$AA$8:$AA$2000, "F41")+COUNTIF('Database - Tornado Segments'!$AA$8:$AA$2000, "EF41"))+G118</f>
        <v>21</v>
      </c>
      <c r="H117" s="78">
        <f>(COUNTIF('Database - Tornado Segments'!$AA$8:$AA$2000, "F51")+COUNTIF('Database - Tornado Segments'!$AA$8:$AA$2000, "EF51"))+H118</f>
        <v>0</v>
      </c>
      <c r="I117" s="79">
        <f t="shared" si="6"/>
        <v>100</v>
      </c>
    </row>
    <row r="118" spans="2:9" ht="15.75">
      <c r="B118" s="92" t="s">
        <v>544</v>
      </c>
      <c r="C118" s="78">
        <f>(COUNTIF('Database - Tornado Segments'!$AA$8:$AA$2000, "F02")+COUNTIF('Database - Tornado Segments'!$AA$8:$AA$2000, "EF02"))+C119</f>
        <v>2</v>
      </c>
      <c r="D118" s="78">
        <f>(COUNTIF('Database - Tornado Segments'!$AA$8:$AA$2000, "F12")+COUNTIF('Database - Tornado Segments'!$AA$8:$AA$2000, "EF12"))+D119</f>
        <v>13</v>
      </c>
      <c r="E118" s="78">
        <f>(COUNTIF('Database - Tornado Segments'!$AA$8:$AA$2000, "F22")+COUNTIF('Database - Tornado Segments'!$AA$8:$AA$2000, "EF22"))+E119</f>
        <v>14</v>
      </c>
      <c r="F118" s="78">
        <f>(COUNTIF('Database - Tornado Segments'!$AA$8:$AA$2000, "F32")+COUNTIF('Database - Tornado Segments'!$AA$8:$AA$2000, "EF32"))+F119</f>
        <v>16</v>
      </c>
      <c r="G118" s="78">
        <f>(COUNTIF('Database - Tornado Segments'!$AA$8:$AA$2000, "F42")+COUNTIF('Database - Tornado Segments'!$AA$8:$AA$2000, "EF42"))+G119</f>
        <v>20</v>
      </c>
      <c r="H118" s="78">
        <f>(COUNTIF('Database - Tornado Segments'!$AA$8:$AA$2000, "F52")+COUNTIF('Database - Tornado Segments'!$AA$8:$AA$2000, "EF52"))+H119</f>
        <v>0</v>
      </c>
      <c r="I118" s="79">
        <f t="shared" si="6"/>
        <v>65</v>
      </c>
    </row>
    <row r="119" spans="2:9" ht="15.75">
      <c r="B119" s="92" t="s">
        <v>545</v>
      </c>
      <c r="C119" s="78">
        <f>(COUNTIF('Database - Tornado Segments'!$AA$8:$AA$2000, "F05")+COUNTIF('Database - Tornado Segments'!$AA$8:$AA$2000, "EF05"))+C120</f>
        <v>0</v>
      </c>
      <c r="D119" s="78">
        <f>(COUNTIF('Database - Tornado Segments'!$AA$8:$AA$2000, "F15")+COUNTIF('Database - Tornado Segments'!$AA$8:$AA$2000, "EF15"))+D120</f>
        <v>6</v>
      </c>
      <c r="E119" s="78">
        <f>(COUNTIF('Database - Tornado Segments'!$AA$8:$AA$2000, "F25")+COUNTIF('Database - Tornado Segments'!$AA$8:$AA$2000, "EF25"))+E120</f>
        <v>6</v>
      </c>
      <c r="F119" s="78">
        <f>(COUNTIF('Database - Tornado Segments'!$AA$8:$AA$2000, "F35")+COUNTIF('Database - Tornado Segments'!$AA$8:$AA$2000, "EF35"))+F120</f>
        <v>7</v>
      </c>
      <c r="G119" s="78">
        <f>(COUNTIF('Database - Tornado Segments'!$AA$8:$AA$2000, "F45")+COUNTIF('Database - Tornado Segments'!$AA$8:$AA$2000, "EF45"))+G120</f>
        <v>11</v>
      </c>
      <c r="H119" s="78">
        <f>(COUNTIF('Database - Tornado Segments'!$AA$8:$AA$2000, "F55")+COUNTIF('Database - Tornado Segments'!$AA$8:$AA$2000, "EF55"))+H120</f>
        <v>0</v>
      </c>
      <c r="I119" s="79">
        <f t="shared" si="6"/>
        <v>30</v>
      </c>
    </row>
    <row r="120" spans="2:9" ht="15.75">
      <c r="B120" s="92" t="s">
        <v>546</v>
      </c>
      <c r="C120" s="78">
        <f>(COUNTIF('Database - Tornado Segments'!$AA$8:$AA$2000, "F010")+COUNTIF('Database - Tornado Segments'!$AA$8:$AA$2000, "EF010"))+C121</f>
        <v>0</v>
      </c>
      <c r="D120" s="78">
        <f>(COUNTIF('Database - Tornado Segments'!$AA$8:$AA$2000, "F110")+COUNTIF('Database - Tornado Segments'!$AA$8:$AA$2000, "EF110"))+D121</f>
        <v>0</v>
      </c>
      <c r="E120" s="78">
        <f>(COUNTIF('Database - Tornado Segments'!$AA$8:$AA$2000, "F210")+COUNTIF('Database - Tornado Segments'!$AA$8:$AA$2000, "EF210"))+E121</f>
        <v>1</v>
      </c>
      <c r="F120" s="78">
        <f>(COUNTIF('Database - Tornado Segments'!$AA$8:$AA$2000, "F310")+COUNTIF('Database - Tornado Segments'!$AA$8:$AA$2000, "EF310"))+F121</f>
        <v>2</v>
      </c>
      <c r="G120" s="78">
        <f>(COUNTIF('Database - Tornado Segments'!$AA$8:$AA$2000, "F410")+COUNTIF('Database - Tornado Segments'!$AA$8:$AA$2000, "EF410"))+G121</f>
        <v>7</v>
      </c>
      <c r="H120" s="78">
        <f>(COUNTIF('Database - Tornado Segments'!$AA$8:$AA$2000, "F510")+COUNTIF('Database - Tornado Segments'!$AA$8:$AA$2000, "EF510"))+H121</f>
        <v>0</v>
      </c>
      <c r="I120" s="79">
        <f t="shared" si="6"/>
        <v>10</v>
      </c>
    </row>
    <row r="121" spans="2:9" ht="15.75">
      <c r="B121" s="92" t="s">
        <v>547</v>
      </c>
      <c r="C121" s="78">
        <f>(COUNTIF('Database - Tornado Segments'!$AA$8:$AA$2000, "F020")+COUNTIF('Database - Tornado Segments'!$AA$8:$AA$2000, "EF020"))</f>
        <v>0</v>
      </c>
      <c r="D121" s="78">
        <f>(COUNTIF('Database - Tornado Segments'!$AA$8:$AA$2000, "F120")+COUNTIF('Database - Tornado Segments'!$AA$8:$AA$2000, "EF120"))</f>
        <v>0</v>
      </c>
      <c r="E121" s="78">
        <f>(COUNTIF('Database - Tornado Segments'!$AA$8:$AA$2000, "F220")+COUNTIF('Database - Tornado Segments'!$AA$8:$AA$2000, "EF220"))</f>
        <v>0</v>
      </c>
      <c r="F121" s="78">
        <f>(COUNTIF('Database - Tornado Segments'!$AA$8:$AA$2000, "F320")+COUNTIF('Database - Tornado Segments'!$AA$8:$AA$2000, "EF320"))</f>
        <v>0</v>
      </c>
      <c r="G121" s="78">
        <f>(COUNTIF('Database - Tornado Segments'!$AA$8:$AA$2000, "F420")+COUNTIF('Database - Tornado Segments'!$AA$8:$AA$2000, "EF420"))</f>
        <v>1</v>
      </c>
      <c r="H121" s="78">
        <f>(COUNTIF('Database - Tornado Segments'!$AA$8:$AA$2000, "F520")+COUNTIF('Database - Tornado Segments'!$AA$8:$AA$2000, "EF520"))</f>
        <v>0</v>
      </c>
      <c r="I121" s="79">
        <f t="shared" si="6"/>
        <v>1</v>
      </c>
    </row>
    <row r="122" spans="2:9" ht="15.75">
      <c r="B122" s="94"/>
      <c r="C122" s="78"/>
      <c r="D122" s="78"/>
      <c r="E122" s="78"/>
      <c r="F122" s="78"/>
      <c r="G122" s="78"/>
      <c r="H122" s="78"/>
      <c r="I122" s="79"/>
    </row>
    <row r="123" spans="2:9" ht="16.5" thickBot="1">
      <c r="B123" s="95"/>
      <c r="C123" s="86"/>
      <c r="D123" s="86"/>
      <c r="E123" s="86"/>
      <c r="F123" s="86"/>
      <c r="G123" s="86"/>
      <c r="H123" s="80"/>
      <c r="I123" s="81"/>
    </row>
    <row r="124" spans="2:9" ht="15.75" thickTop="1"/>
    <row r="125" spans="2:9"/>
    <row r="126" spans="2:9"/>
    <row r="127" spans="2:9">
      <c r="B127" s="1160" t="s">
        <v>1051</v>
      </c>
      <c r="C127" s="1161" t="s">
        <v>626</v>
      </c>
    </row>
    <row r="128" spans="2:9" ht="15" customHeight="1">
      <c r="B128" s="1148"/>
      <c r="C128" s="1161"/>
    </row>
    <row r="129" spans="2:3" ht="15" customHeight="1">
      <c r="B129" s="1148"/>
      <c r="C129" s="1161"/>
    </row>
    <row r="130" spans="2:3">
      <c r="B130" s="47">
        <v>1</v>
      </c>
      <c r="C130" s="1">
        <f>COUNTIF('Summary - Whole Tornadoes'!I$12:I$87,B130)</f>
        <v>1</v>
      </c>
    </row>
    <row r="131" spans="2:3">
      <c r="B131" s="1">
        <f t="shared" ref="B131:B162" si="7">+B130+1</f>
        <v>2</v>
      </c>
      <c r="C131" s="1">
        <f>COUNTIF('Summary - Whole Tornadoes'!I$12:I$87,B131)</f>
        <v>4</v>
      </c>
    </row>
    <row r="132" spans="2:3">
      <c r="B132" s="1">
        <f t="shared" si="7"/>
        <v>3</v>
      </c>
      <c r="C132" s="1">
        <f>COUNTIF('Summary - Whole Tornadoes'!I$12:I$87,B132)</f>
        <v>1</v>
      </c>
    </row>
    <row r="133" spans="2:3">
      <c r="B133" s="1">
        <f t="shared" si="7"/>
        <v>4</v>
      </c>
      <c r="C133" s="1">
        <f>COUNTIF('Summary - Whole Tornadoes'!I$12:I$87,B133)</f>
        <v>4</v>
      </c>
    </row>
    <row r="134" spans="2:3">
      <c r="B134" s="1">
        <f t="shared" si="7"/>
        <v>5</v>
      </c>
      <c r="C134" s="1">
        <f>COUNTIF('Summary - Whole Tornadoes'!I$12:I$87,B134)</f>
        <v>2</v>
      </c>
    </row>
    <row r="135" spans="2:3">
      <c r="B135" s="1">
        <f t="shared" si="7"/>
        <v>6</v>
      </c>
      <c r="C135" s="1">
        <f>COUNTIF('Summary - Whole Tornadoes'!I$12:I$87,B135)</f>
        <v>3</v>
      </c>
    </row>
    <row r="136" spans="2:3">
      <c r="B136" s="1">
        <f t="shared" si="7"/>
        <v>7</v>
      </c>
      <c r="C136" s="1">
        <f>COUNTIF('Summary - Whole Tornadoes'!I$12:I$87,B136)</f>
        <v>1</v>
      </c>
    </row>
    <row r="137" spans="2:3">
      <c r="B137" s="1">
        <f t="shared" si="7"/>
        <v>8</v>
      </c>
      <c r="C137" s="1">
        <f>COUNTIF('Summary - Whole Tornadoes'!I$12:I$87,B137)</f>
        <v>3</v>
      </c>
    </row>
    <row r="138" spans="2:3">
      <c r="B138" s="1">
        <f t="shared" si="7"/>
        <v>9</v>
      </c>
      <c r="C138" s="1">
        <f>COUNTIF('Summary - Whole Tornadoes'!I$12:I$87,B138)</f>
        <v>0</v>
      </c>
    </row>
    <row r="139" spans="2:3">
      <c r="B139" s="1">
        <f t="shared" si="7"/>
        <v>10</v>
      </c>
      <c r="C139" s="1">
        <f>COUNTIF('Summary - Whole Tornadoes'!I$12:I$87,B139)</f>
        <v>3</v>
      </c>
    </row>
    <row r="140" spans="2:3">
      <c r="B140" s="1">
        <f t="shared" si="7"/>
        <v>11</v>
      </c>
      <c r="C140" s="1">
        <f>COUNTIF('Summary - Whole Tornadoes'!I$12:I$87,B140)</f>
        <v>3</v>
      </c>
    </row>
    <row r="141" spans="2:3">
      <c r="B141" s="1">
        <f t="shared" si="7"/>
        <v>12</v>
      </c>
      <c r="C141" s="1">
        <f>COUNTIF('Summary - Whole Tornadoes'!I$12:I$87,B141)</f>
        <v>3</v>
      </c>
    </row>
    <row r="142" spans="2:3">
      <c r="B142" s="1">
        <f t="shared" si="7"/>
        <v>13</v>
      </c>
      <c r="C142" s="1">
        <f>COUNTIF('Summary - Whole Tornadoes'!I$12:I$87,B142)</f>
        <v>5</v>
      </c>
    </row>
    <row r="143" spans="2:3">
      <c r="B143" s="1">
        <f t="shared" si="7"/>
        <v>14</v>
      </c>
      <c r="C143" s="1">
        <f>COUNTIF('Summary - Whole Tornadoes'!I$12:I$87,B143)</f>
        <v>3</v>
      </c>
    </row>
    <row r="144" spans="2:3">
      <c r="B144" s="1">
        <f t="shared" si="7"/>
        <v>15</v>
      </c>
      <c r="C144" s="1">
        <f>COUNTIF('Summary - Whole Tornadoes'!I$12:I$87,B144)</f>
        <v>2</v>
      </c>
    </row>
    <row r="145" spans="2:3">
      <c r="B145" s="1">
        <f t="shared" si="7"/>
        <v>16</v>
      </c>
      <c r="C145" s="1">
        <f>COUNTIF('Summary - Whole Tornadoes'!I$12:I$87,B145)</f>
        <v>4</v>
      </c>
    </row>
    <row r="146" spans="2:3">
      <c r="B146" s="1">
        <f t="shared" si="7"/>
        <v>17</v>
      </c>
      <c r="C146" s="1">
        <f>COUNTIF('Summary - Whole Tornadoes'!I$12:I$87,B146)</f>
        <v>0</v>
      </c>
    </row>
    <row r="147" spans="2:3">
      <c r="B147" s="1">
        <f t="shared" si="7"/>
        <v>18</v>
      </c>
      <c r="C147" s="1">
        <f>COUNTIF('Summary - Whole Tornadoes'!I$12:I$87,B147)</f>
        <v>2</v>
      </c>
    </row>
    <row r="148" spans="2:3">
      <c r="B148" s="1">
        <f t="shared" si="7"/>
        <v>19</v>
      </c>
      <c r="C148" s="1">
        <f>COUNTIF('Summary - Whole Tornadoes'!I$12:I$87,B148)</f>
        <v>2</v>
      </c>
    </row>
    <row r="149" spans="2:3">
      <c r="B149" s="1">
        <f t="shared" si="7"/>
        <v>20</v>
      </c>
      <c r="C149" s="1">
        <f>COUNTIF('Summary - Whole Tornadoes'!I$12:I$87,B149)</f>
        <v>1</v>
      </c>
    </row>
    <row r="150" spans="2:3">
      <c r="B150" s="1">
        <f t="shared" si="7"/>
        <v>21</v>
      </c>
      <c r="C150" s="1">
        <f>COUNTIF('Summary - Whole Tornadoes'!I$12:I$87,B150)</f>
        <v>2</v>
      </c>
    </row>
    <row r="151" spans="2:3">
      <c r="B151" s="1">
        <f t="shared" si="7"/>
        <v>22</v>
      </c>
      <c r="C151" s="1">
        <f>COUNTIF('Summary - Whole Tornadoes'!I$12:I$87,B151)</f>
        <v>2</v>
      </c>
    </row>
    <row r="152" spans="2:3">
      <c r="B152" s="1">
        <f t="shared" si="7"/>
        <v>23</v>
      </c>
      <c r="C152" s="1">
        <f>COUNTIF('Summary - Whole Tornadoes'!I$12:I$87,B152)</f>
        <v>0</v>
      </c>
    </row>
    <row r="153" spans="2:3">
      <c r="B153" s="1">
        <f t="shared" si="7"/>
        <v>24</v>
      </c>
      <c r="C153" s="1">
        <f>COUNTIF('Summary - Whole Tornadoes'!I$12:I$87,B153)</f>
        <v>0</v>
      </c>
    </row>
    <row r="154" spans="2:3">
      <c r="B154" s="1">
        <f t="shared" si="7"/>
        <v>25</v>
      </c>
      <c r="C154" s="1">
        <f>COUNTIF('Summary - Whole Tornadoes'!I$12:I$87,B154)</f>
        <v>1</v>
      </c>
    </row>
    <row r="155" spans="2:3">
      <c r="B155" s="1">
        <f t="shared" si="7"/>
        <v>26</v>
      </c>
      <c r="C155" s="1">
        <f>COUNTIF('Summary - Whole Tornadoes'!I$12:I$87,B155)</f>
        <v>1</v>
      </c>
    </row>
    <row r="156" spans="2:3">
      <c r="B156" s="1">
        <f t="shared" si="7"/>
        <v>27</v>
      </c>
      <c r="C156" s="1">
        <f>COUNTIF('Summary - Whole Tornadoes'!I$12:I$87,B156)</f>
        <v>0</v>
      </c>
    </row>
    <row r="157" spans="2:3">
      <c r="B157" s="1">
        <f t="shared" si="7"/>
        <v>28</v>
      </c>
      <c r="C157" s="1">
        <f>COUNTIF('Summary - Whole Tornadoes'!I$12:I$87,B157)</f>
        <v>1</v>
      </c>
    </row>
    <row r="158" spans="2:3">
      <c r="B158" s="1">
        <f t="shared" si="7"/>
        <v>29</v>
      </c>
      <c r="C158" s="1">
        <f>COUNTIF('Summary - Whole Tornadoes'!I$12:I$87,B158)</f>
        <v>1</v>
      </c>
    </row>
    <row r="159" spans="2:3">
      <c r="B159" s="1">
        <f t="shared" si="7"/>
        <v>30</v>
      </c>
      <c r="C159" s="1">
        <f>COUNTIF('Summary - Whole Tornadoes'!I$12:I$87,B159)</f>
        <v>0</v>
      </c>
    </row>
    <row r="160" spans="2:3">
      <c r="B160" s="1">
        <f t="shared" si="7"/>
        <v>31</v>
      </c>
      <c r="C160" s="1">
        <f>COUNTIF('Summary - Whole Tornadoes'!I$12:I$87,B160)</f>
        <v>0</v>
      </c>
    </row>
    <row r="161" spans="2:3">
      <c r="B161" s="1">
        <f t="shared" si="7"/>
        <v>32</v>
      </c>
      <c r="C161" s="1">
        <f>COUNTIF('Summary - Whole Tornadoes'!I$12:I$87,B161)</f>
        <v>2</v>
      </c>
    </row>
    <row r="162" spans="2:3">
      <c r="B162" s="1">
        <f t="shared" si="7"/>
        <v>33</v>
      </c>
      <c r="C162" s="1">
        <f>COUNTIF('Summary - Whole Tornadoes'!I$12:I$87,B162)</f>
        <v>1</v>
      </c>
    </row>
    <row r="163" spans="2:3">
      <c r="B163" s="1">
        <f t="shared" ref="B163:B199" si="8">+B162+1</f>
        <v>34</v>
      </c>
      <c r="C163" s="1">
        <f>COUNTIF('Summary - Whole Tornadoes'!I$12:I$87,B163)</f>
        <v>0</v>
      </c>
    </row>
    <row r="164" spans="2:3">
      <c r="B164" s="1">
        <f t="shared" si="8"/>
        <v>35</v>
      </c>
      <c r="C164" s="1">
        <f>COUNTIF('Summary - Whole Tornadoes'!I$12:I$87,B164)</f>
        <v>2</v>
      </c>
    </row>
    <row r="165" spans="2:3">
      <c r="B165" s="1">
        <f t="shared" si="8"/>
        <v>36</v>
      </c>
      <c r="C165" s="1">
        <f>COUNTIF('Summary - Whole Tornadoes'!I$12:I$87,B165)</f>
        <v>1</v>
      </c>
    </row>
    <row r="166" spans="2:3">
      <c r="B166" s="1">
        <f t="shared" si="8"/>
        <v>37</v>
      </c>
      <c r="C166" s="1">
        <f>COUNTIF('Summary - Whole Tornadoes'!I$12:I$87,B166)</f>
        <v>0</v>
      </c>
    </row>
    <row r="167" spans="2:3">
      <c r="B167" s="1">
        <f t="shared" si="8"/>
        <v>38</v>
      </c>
      <c r="C167" s="1">
        <f>COUNTIF('Summary - Whole Tornadoes'!I$12:I$87,B167)</f>
        <v>2</v>
      </c>
    </row>
    <row r="168" spans="2:3">
      <c r="B168" s="1">
        <f t="shared" si="8"/>
        <v>39</v>
      </c>
      <c r="C168" s="1">
        <f>COUNTIF('Summary - Whole Tornadoes'!I$12:I$87,B168)</f>
        <v>1</v>
      </c>
    </row>
    <row r="169" spans="2:3">
      <c r="B169" s="1">
        <f t="shared" si="8"/>
        <v>40</v>
      </c>
      <c r="C169" s="1">
        <f>COUNTIF('Summary - Whole Tornadoes'!I$12:I$87,B169)</f>
        <v>0</v>
      </c>
    </row>
    <row r="170" spans="2:3">
      <c r="B170" s="1">
        <f t="shared" si="8"/>
        <v>41</v>
      </c>
      <c r="C170" s="1">
        <f>COUNTIF('Summary - Whole Tornadoes'!I$12:I$87,B170)</f>
        <v>1</v>
      </c>
    </row>
    <row r="171" spans="2:3">
      <c r="B171" s="1">
        <f t="shared" si="8"/>
        <v>42</v>
      </c>
      <c r="C171" s="1">
        <f>COUNTIF('Summary - Whole Tornadoes'!I$12:I$87,B171)</f>
        <v>0</v>
      </c>
    </row>
    <row r="172" spans="2:3">
      <c r="B172" s="1">
        <f t="shared" si="8"/>
        <v>43</v>
      </c>
      <c r="C172" s="1">
        <f>COUNTIF('Summary - Whole Tornadoes'!I$12:I$87,B172)</f>
        <v>0</v>
      </c>
    </row>
    <row r="173" spans="2:3">
      <c r="B173" s="1">
        <f t="shared" si="8"/>
        <v>44</v>
      </c>
      <c r="C173" s="1">
        <f>COUNTIF('Summary - Whole Tornadoes'!I$12:I$87,B173)</f>
        <v>0</v>
      </c>
    </row>
    <row r="174" spans="2:3">
      <c r="B174" s="1">
        <f t="shared" si="8"/>
        <v>45</v>
      </c>
      <c r="C174" s="1">
        <f>COUNTIF('Summary - Whole Tornadoes'!I$12:I$87,B174)</f>
        <v>0</v>
      </c>
    </row>
    <row r="175" spans="2:3">
      <c r="B175" s="1">
        <f t="shared" si="8"/>
        <v>46</v>
      </c>
      <c r="C175" s="1">
        <f>COUNTIF('Summary - Whole Tornadoes'!I$12:I$87,B175)</f>
        <v>0</v>
      </c>
    </row>
    <row r="176" spans="2:3">
      <c r="B176" s="1">
        <f t="shared" si="8"/>
        <v>47</v>
      </c>
      <c r="C176" s="1">
        <f>COUNTIF('Summary - Whole Tornadoes'!I$12:I$87,B176)</f>
        <v>0</v>
      </c>
    </row>
    <row r="177" spans="2:3">
      <c r="B177" s="1">
        <f t="shared" si="8"/>
        <v>48</v>
      </c>
      <c r="C177" s="1">
        <f>COUNTIF('Summary - Whole Tornadoes'!I$12:I$87,B177)</f>
        <v>0</v>
      </c>
    </row>
    <row r="178" spans="2:3">
      <c r="B178" s="1">
        <f t="shared" si="8"/>
        <v>49</v>
      </c>
      <c r="C178" s="1">
        <f>COUNTIF('Summary - Whole Tornadoes'!I$12:I$87,B178)</f>
        <v>0</v>
      </c>
    </row>
    <row r="179" spans="2:3">
      <c r="B179" s="1">
        <f t="shared" si="8"/>
        <v>50</v>
      </c>
      <c r="C179" s="1">
        <f>COUNTIF('Summary - Whole Tornadoes'!I$12:I$87,B179)</f>
        <v>0</v>
      </c>
    </row>
    <row r="180" spans="2:3">
      <c r="B180" s="1">
        <f t="shared" si="8"/>
        <v>51</v>
      </c>
      <c r="C180" s="1">
        <f>COUNTIF('Summary - Whole Tornadoes'!I$12:I$87,B180)</f>
        <v>0</v>
      </c>
    </row>
    <row r="181" spans="2:3">
      <c r="B181" s="1">
        <f t="shared" si="8"/>
        <v>52</v>
      </c>
      <c r="C181" s="1">
        <f>COUNTIF('Summary - Whole Tornadoes'!I$12:I$87,B181)</f>
        <v>0</v>
      </c>
    </row>
    <row r="182" spans="2:3">
      <c r="B182" s="1">
        <f t="shared" si="8"/>
        <v>53</v>
      </c>
      <c r="C182" s="1">
        <f>COUNTIF('Summary - Whole Tornadoes'!I$12:I$87,B182)</f>
        <v>0</v>
      </c>
    </row>
    <row r="183" spans="2:3">
      <c r="B183" s="1">
        <f t="shared" si="8"/>
        <v>54</v>
      </c>
      <c r="C183" s="1">
        <f>COUNTIF('Summary - Whole Tornadoes'!I$12:I$87,B183)</f>
        <v>0</v>
      </c>
    </row>
    <row r="184" spans="2:3">
      <c r="B184" s="1">
        <f t="shared" si="8"/>
        <v>55</v>
      </c>
      <c r="C184" s="1">
        <f>COUNTIF('Summary - Whole Tornadoes'!I$12:I$87,B184)</f>
        <v>0</v>
      </c>
    </row>
    <row r="185" spans="2:3">
      <c r="B185" s="1">
        <f t="shared" si="8"/>
        <v>56</v>
      </c>
      <c r="C185" s="1">
        <f>COUNTIF('Summary - Whole Tornadoes'!I$12:I$87,B185)</f>
        <v>0</v>
      </c>
    </row>
    <row r="186" spans="2:3">
      <c r="B186" s="1">
        <f t="shared" si="8"/>
        <v>57</v>
      </c>
      <c r="C186" s="1">
        <f>COUNTIF('Summary - Whole Tornadoes'!I$12:I$87,B186)</f>
        <v>0</v>
      </c>
    </row>
    <row r="187" spans="2:3">
      <c r="B187" s="1">
        <f t="shared" si="8"/>
        <v>58</v>
      </c>
      <c r="C187" s="1">
        <f>COUNTIF('Summary - Whole Tornadoes'!I$12:I$87,B187)</f>
        <v>1</v>
      </c>
    </row>
    <row r="188" spans="2:3">
      <c r="B188" s="1">
        <f t="shared" si="8"/>
        <v>59</v>
      </c>
      <c r="C188" s="1">
        <f>COUNTIF('Summary - Whole Tornadoes'!I$12:I$87,B188)</f>
        <v>0</v>
      </c>
    </row>
    <row r="189" spans="2:3">
      <c r="B189" s="1">
        <f t="shared" si="8"/>
        <v>60</v>
      </c>
      <c r="C189" s="1">
        <f>COUNTIF('Summary - Whole Tornadoes'!I$12:I$87,B189)</f>
        <v>0</v>
      </c>
    </row>
    <row r="190" spans="2:3">
      <c r="B190" s="1">
        <f t="shared" si="8"/>
        <v>61</v>
      </c>
      <c r="C190" s="1">
        <f>COUNTIF('Summary - Whole Tornadoes'!I$12:I$87,B190)</f>
        <v>0</v>
      </c>
    </row>
    <row r="191" spans="2:3">
      <c r="B191" s="1">
        <f t="shared" si="8"/>
        <v>62</v>
      </c>
      <c r="C191" s="1">
        <f>COUNTIF('Summary - Whole Tornadoes'!I$12:I$87,B191)</f>
        <v>0</v>
      </c>
    </row>
    <row r="192" spans="2:3">
      <c r="B192" s="1">
        <f t="shared" si="8"/>
        <v>63</v>
      </c>
      <c r="C192" s="1">
        <f>COUNTIF('Summary - Whole Tornadoes'!I$12:I$87,B192)</f>
        <v>0</v>
      </c>
    </row>
    <row r="193" spans="2:5">
      <c r="B193" s="1">
        <f t="shared" si="8"/>
        <v>64</v>
      </c>
      <c r="C193" s="1">
        <f>COUNTIF('Summary - Whole Tornadoes'!I$12:I$87,B193)</f>
        <v>0</v>
      </c>
    </row>
    <row r="194" spans="2:5">
      <c r="B194" s="1">
        <f t="shared" si="8"/>
        <v>65</v>
      </c>
      <c r="C194" s="1">
        <f>COUNTIF('Summary - Whole Tornadoes'!I$12:I$87,B194)</f>
        <v>0</v>
      </c>
    </row>
    <row r="195" spans="2:5">
      <c r="B195" s="1">
        <f t="shared" si="8"/>
        <v>66</v>
      </c>
      <c r="C195" s="1">
        <f>COUNTIF('Summary - Whole Tornadoes'!I$12:I$87,B195)</f>
        <v>0</v>
      </c>
    </row>
    <row r="196" spans="2:5">
      <c r="B196" s="1">
        <f t="shared" si="8"/>
        <v>67</v>
      </c>
      <c r="C196" s="1">
        <f>COUNTIF('Summary - Whole Tornadoes'!I$12:I$87,B196)</f>
        <v>0</v>
      </c>
    </row>
    <row r="197" spans="2:5">
      <c r="B197" s="1">
        <f t="shared" si="8"/>
        <v>68</v>
      </c>
      <c r="C197" s="1">
        <f>COUNTIF('Summary - Whole Tornadoes'!I$12:I$87,B197)</f>
        <v>0</v>
      </c>
    </row>
    <row r="198" spans="2:5">
      <c r="B198" s="1">
        <f t="shared" si="8"/>
        <v>69</v>
      </c>
      <c r="C198" s="1">
        <f>COUNTIF('Summary - Whole Tornadoes'!I$12:I$87,B198)</f>
        <v>0</v>
      </c>
    </row>
    <row r="199" spans="2:5">
      <c r="B199" s="1">
        <f t="shared" si="8"/>
        <v>70</v>
      </c>
      <c r="C199" s="1">
        <f>COUNTIF('Summary - Whole Tornadoes'!I$12:I$87,B199)</f>
        <v>0</v>
      </c>
    </row>
    <row r="200" spans="2:5">
      <c r="C200" s="912">
        <f>SUM(C130:C199)</f>
        <v>66</v>
      </c>
      <c r="D200" s="913" t="s">
        <v>1164</v>
      </c>
      <c r="E200" s="914"/>
    </row>
    <row r="201" spans="2:5"/>
    <row r="202" spans="2:5"/>
    <row r="203" spans="2:5"/>
    <row r="204" spans="2:5"/>
    <row r="205" spans="2:5"/>
    <row r="206" spans="2:5"/>
    <row r="207" spans="2:5"/>
    <row r="208" spans="2:5"/>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row r="352"/>
    <row r="353"/>
    <row r="354"/>
    <row r="355"/>
    <row r="356"/>
    <row r="357"/>
    <row r="358"/>
  </sheetData>
  <customSheetViews>
    <customSheetView guid="{CFA9FB8A-52FF-44B9-AE70-27339693E196}" scale="90" topLeftCell="B1">
      <selection activeCell="K7" sqref="K7"/>
      <rowBreaks count="6" manualBreakCount="6">
        <brk id="19" max="16383" man="1"/>
        <brk id="37" max="16383" man="1"/>
        <brk id="56" max="16383" man="1"/>
        <brk id="74" max="16383" man="1"/>
        <brk id="132" max="10" man="1"/>
        <brk id="149" max="16383" man="1"/>
      </rowBreaks>
      <pageMargins left="0.75" right="0.75" top="1" bottom="1" header="0.5" footer="0.5"/>
      <pageSetup scale="62" orientation="portrait" r:id="rId1"/>
      <headerFooter alignWithMargins="0"/>
    </customSheetView>
  </customSheetViews>
  <mergeCells count="14">
    <mergeCell ref="B77:I77"/>
    <mergeCell ref="C78:H78"/>
    <mergeCell ref="B102:I102"/>
    <mergeCell ref="C103:H103"/>
    <mergeCell ref="B127:B129"/>
    <mergeCell ref="C127:C129"/>
    <mergeCell ref="B59:I59"/>
    <mergeCell ref="C60:H60"/>
    <mergeCell ref="B3:I3"/>
    <mergeCell ref="C4:H4"/>
    <mergeCell ref="B22:I22"/>
    <mergeCell ref="C23:H23"/>
    <mergeCell ref="B40:I40"/>
    <mergeCell ref="C41:H41"/>
  </mergeCells>
  <phoneticPr fontId="18" type="noConversion"/>
  <printOptions horizontalCentered="1"/>
  <pageMargins left="0.75" right="0.75" top="1.25" bottom="0.5" header="0.5" footer="0"/>
  <pageSetup scale="95" fitToHeight="11" orientation="landscape" r:id="rId2"/>
  <headerFooter scaleWithDoc="0">
    <oddFooter>Page &amp;P of &amp;N</oddFooter>
  </headerFooter>
  <rowBreaks count="8" manualBreakCount="8">
    <brk id="19" max="16383" man="1"/>
    <brk id="37" max="16383" man="1"/>
    <brk id="56" max="16383" man="1"/>
    <brk id="74" max="16383" man="1"/>
    <brk id="99" max="16383" man="1"/>
    <brk id="125" max="16383" man="1"/>
    <brk id="187" max="16383" man="1"/>
    <brk id="200"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zoomScaleNormal="100" workbookViewId="0">
      <selection activeCell="I21" sqref="I21"/>
    </sheetView>
    <sheetView topLeftCell="A34" workbookViewId="1">
      <selection activeCell="F11" sqref="F11"/>
    </sheetView>
  </sheetViews>
  <sheetFormatPr defaultColWidth="0" defaultRowHeight="15" zeroHeight="1"/>
  <cols>
    <col min="1" max="1" width="2.77734375" customWidth="1"/>
    <col min="2" max="2" width="8.88671875" customWidth="1"/>
    <col min="3" max="3" width="12.77734375" customWidth="1"/>
    <col min="4" max="6" width="11.77734375" customWidth="1"/>
    <col min="7" max="8" width="14.77734375" customWidth="1"/>
    <col min="9" max="9" width="13.77734375" customWidth="1"/>
    <col min="10" max="10" width="2.77734375" customWidth="1"/>
    <col min="11" max="13" width="8.88671875" hidden="1" customWidth="1"/>
  </cols>
  <sheetData>
    <row r="1" spans="1:9" ht="15.75" thickBot="1"/>
    <row r="2" spans="1:9" s="335" customFormat="1" ht="24.95" customHeight="1" thickTop="1" thickBot="1">
      <c r="B2" s="1168" t="s">
        <v>737</v>
      </c>
      <c r="C2" s="1169"/>
      <c r="D2" s="1169"/>
      <c r="E2" s="1169"/>
      <c r="F2" s="1169"/>
      <c r="G2" s="1169"/>
      <c r="H2" s="1169"/>
      <c r="I2" s="1170"/>
    </row>
    <row r="3" spans="1:9" ht="17.25" thickTop="1" thickBot="1">
      <c r="B3" s="126" t="s">
        <v>561</v>
      </c>
      <c r="C3" s="138" t="s">
        <v>574</v>
      </c>
      <c r="D3" s="1171" t="s">
        <v>562</v>
      </c>
      <c r="E3" s="1172"/>
      <c r="F3" s="1172"/>
      <c r="G3" s="1172"/>
      <c r="H3" s="1172"/>
      <c r="I3" s="1173"/>
    </row>
    <row r="4" spans="1:9" ht="16.5" thickBot="1">
      <c r="B4" s="128" t="s">
        <v>560</v>
      </c>
      <c r="C4" s="129" t="s">
        <v>569</v>
      </c>
      <c r="D4" s="127" t="s">
        <v>149</v>
      </c>
      <c r="E4" s="127" t="s">
        <v>150</v>
      </c>
      <c r="F4" s="127" t="s">
        <v>151</v>
      </c>
      <c r="G4" s="127" t="s">
        <v>152</v>
      </c>
      <c r="H4" s="127" t="s">
        <v>153</v>
      </c>
      <c r="I4" s="130" t="s">
        <v>217</v>
      </c>
    </row>
    <row r="5" spans="1:9">
      <c r="B5" s="112" t="s">
        <v>190</v>
      </c>
      <c r="C5" s="111" t="s">
        <v>563</v>
      </c>
      <c r="D5" s="83">
        <v>1</v>
      </c>
      <c r="E5" s="83">
        <v>0.77200000000000002</v>
      </c>
      <c r="F5" s="83">
        <v>0.61599999999999999</v>
      </c>
      <c r="G5" s="83">
        <v>0.52900000000000003</v>
      </c>
      <c r="H5" s="83">
        <v>0.54300000000000004</v>
      </c>
      <c r="I5" s="113">
        <v>0.53800000000000003</v>
      </c>
    </row>
    <row r="6" spans="1:9">
      <c r="B6" s="112" t="s">
        <v>191</v>
      </c>
      <c r="C6" s="111" t="s">
        <v>564</v>
      </c>
      <c r="D6" s="83"/>
      <c r="E6" s="83">
        <v>0.22800000000000001</v>
      </c>
      <c r="F6" s="83">
        <v>0.26800000000000002</v>
      </c>
      <c r="G6" s="83">
        <v>0.27100000000000002</v>
      </c>
      <c r="H6" s="83">
        <v>0.23799999999999999</v>
      </c>
      <c r="I6" s="113">
        <v>0.223</v>
      </c>
    </row>
    <row r="7" spans="1:9">
      <c r="B7" s="112" t="s">
        <v>189</v>
      </c>
      <c r="C7" s="111" t="s">
        <v>565</v>
      </c>
      <c r="D7" s="83"/>
      <c r="E7" s="83"/>
      <c r="F7" s="83">
        <v>0.11600000000000001</v>
      </c>
      <c r="G7" s="83">
        <v>0.13300000000000001</v>
      </c>
      <c r="H7" s="83">
        <v>0.13100000000000001</v>
      </c>
      <c r="I7" s="113">
        <v>0.11899999999999999</v>
      </c>
    </row>
    <row r="8" spans="1:9">
      <c r="B8" s="112" t="s">
        <v>192</v>
      </c>
      <c r="C8" s="111" t="s">
        <v>566</v>
      </c>
      <c r="D8" s="83"/>
      <c r="E8" s="83"/>
      <c r="F8" s="83"/>
      <c r="G8" s="83">
        <v>6.7000000000000004E-2</v>
      </c>
      <c r="H8" s="83">
        <v>5.6000000000000001E-2</v>
      </c>
      <c r="I8" s="113">
        <v>7.0000000000000007E-2</v>
      </c>
    </row>
    <row r="9" spans="1:9">
      <c r="B9" s="112" t="s">
        <v>218</v>
      </c>
      <c r="C9" s="111" t="s">
        <v>567</v>
      </c>
      <c r="D9" s="83"/>
      <c r="E9" s="83"/>
      <c r="F9" s="83"/>
      <c r="G9" s="83"/>
      <c r="H9" s="83">
        <v>3.2000000000000001E-2</v>
      </c>
      <c r="I9" s="113">
        <v>3.3000000000000002E-2</v>
      </c>
    </row>
    <row r="10" spans="1:9" ht="15.75" thickBot="1">
      <c r="B10" s="114" t="s">
        <v>219</v>
      </c>
      <c r="C10" s="115" t="s">
        <v>568</v>
      </c>
      <c r="D10" s="116"/>
      <c r="E10" s="116"/>
      <c r="F10" s="116"/>
      <c r="G10" s="116"/>
      <c r="H10" s="116"/>
      <c r="I10" s="117">
        <v>1.7000000000000001E-2</v>
      </c>
    </row>
    <row r="11" spans="1:9" ht="15.75" thickTop="1"/>
    <row r="12" spans="1:9" ht="15.75" thickBot="1">
      <c r="A12" s="76"/>
    </row>
    <row r="13" spans="1:9" s="335" customFormat="1" ht="24.95" customHeight="1" thickTop="1" thickBot="1">
      <c r="A13" s="664"/>
      <c r="B13" s="438"/>
      <c r="C13" s="1177" t="s">
        <v>908</v>
      </c>
      <c r="D13" s="1178"/>
      <c r="E13" s="1178"/>
      <c r="F13" s="1178"/>
      <c r="G13" s="1178"/>
      <c r="H13" s="1179"/>
    </row>
    <row r="14" spans="1:9" ht="16.5" thickTop="1">
      <c r="A14" s="439"/>
      <c r="B14" s="333"/>
      <c r="C14" s="131"/>
      <c r="D14" s="139"/>
      <c r="E14" s="131" t="s">
        <v>570</v>
      </c>
      <c r="F14" s="139"/>
      <c r="G14" s="132" t="s">
        <v>573</v>
      </c>
      <c r="H14" s="133" t="s">
        <v>577</v>
      </c>
    </row>
    <row r="15" spans="1:9" ht="15.75">
      <c r="A15" s="439"/>
      <c r="B15" s="333"/>
      <c r="C15" s="131"/>
      <c r="D15" s="131" t="s">
        <v>570</v>
      </c>
      <c r="E15" s="131" t="s">
        <v>601</v>
      </c>
      <c r="F15" s="131" t="s">
        <v>159</v>
      </c>
      <c r="G15" s="132" t="s">
        <v>574</v>
      </c>
      <c r="H15" s="133" t="s">
        <v>578</v>
      </c>
    </row>
    <row r="16" spans="1:9" ht="15.75">
      <c r="A16" s="439"/>
      <c r="B16" s="333"/>
      <c r="C16" s="131" t="s">
        <v>561</v>
      </c>
      <c r="D16" s="443" t="s">
        <v>745</v>
      </c>
      <c r="E16" s="131" t="s">
        <v>602</v>
      </c>
      <c r="F16" s="131" t="s">
        <v>571</v>
      </c>
      <c r="G16" s="132" t="s">
        <v>575</v>
      </c>
      <c r="H16" s="133" t="s">
        <v>579</v>
      </c>
    </row>
    <row r="17" spans="1:10" ht="19.5" thickBot="1">
      <c r="A17" s="439"/>
      <c r="B17" s="333"/>
      <c r="C17" s="134" t="s">
        <v>560</v>
      </c>
      <c r="D17" s="440" t="s">
        <v>739</v>
      </c>
      <c r="E17" s="440" t="s">
        <v>740</v>
      </c>
      <c r="F17" s="440" t="s">
        <v>739</v>
      </c>
      <c r="G17" s="135" t="s">
        <v>22</v>
      </c>
      <c r="H17" s="136" t="s">
        <v>505</v>
      </c>
    </row>
    <row r="18" spans="1:10">
      <c r="A18" s="439"/>
      <c r="C18" s="118" t="s">
        <v>149</v>
      </c>
      <c r="D18" s="119">
        <f>'F0 - EF0'!L2</f>
        <v>33.682556818181716</v>
      </c>
      <c r="E18" s="119">
        <f>+D18*D5+D19*E5+D20*F5+D21*G5+D22*H5+D23*I5</f>
        <v>347.01035878409078</v>
      </c>
      <c r="F18" s="119">
        <f>+F19+E18</f>
        <v>576.72616477272709</v>
      </c>
      <c r="G18" s="120">
        <f t="shared" ref="G18:G23" si="0">+F18/$F$18</f>
        <v>1</v>
      </c>
      <c r="H18" s="121" t="s">
        <v>563</v>
      </c>
    </row>
    <row r="19" spans="1:10">
      <c r="A19" s="439"/>
      <c r="C19" s="118" t="s">
        <v>150</v>
      </c>
      <c r="D19" s="119">
        <f>'F1 - EF1'!L2</f>
        <v>110.79480113636356</v>
      </c>
      <c r="E19" s="119">
        <f>+D19*E6+D20*F6+D21*G6+D22*H6+D23*I6</f>
        <v>128.76751421590907</v>
      </c>
      <c r="F19" s="119">
        <f>+F20+E19</f>
        <v>229.71580598863636</v>
      </c>
      <c r="G19" s="120">
        <f t="shared" si="0"/>
        <v>0.39831001265420557</v>
      </c>
      <c r="H19" s="121" t="s">
        <v>564</v>
      </c>
    </row>
    <row r="20" spans="1:10">
      <c r="A20" s="439"/>
      <c r="C20" s="118" t="s">
        <v>151</v>
      </c>
      <c r="D20" s="119">
        <f>'F2 - EF2'!L2</f>
        <v>112.34586363636363</v>
      </c>
      <c r="E20" s="119">
        <f>+D20*F7+D21*G7+D22*H7+D23+I7</f>
        <v>76.360279261363644</v>
      </c>
      <c r="F20" s="119">
        <f>+F21+E20</f>
        <v>100.94829177272729</v>
      </c>
      <c r="G20" s="120">
        <f t="shared" si="0"/>
        <v>0.17503678164577188</v>
      </c>
      <c r="H20" s="121" t="s">
        <v>565</v>
      </c>
    </row>
    <row r="21" spans="1:10">
      <c r="A21" s="439"/>
      <c r="C21" s="118" t="s">
        <v>152</v>
      </c>
      <c r="D21" s="119">
        <f>'F3 - EF3'!L2</f>
        <v>108.48526136363635</v>
      </c>
      <c r="E21" s="119">
        <f>+D21*G8+D22*H8+D23*I8</f>
        <v>18.111830693181819</v>
      </c>
      <c r="F21" s="119">
        <f>+F22+E21</f>
        <v>24.588012511363637</v>
      </c>
      <c r="G21" s="120">
        <f t="shared" si="0"/>
        <v>4.263377320682709E-2</v>
      </c>
      <c r="H21" s="121" t="s">
        <v>566</v>
      </c>
    </row>
    <row r="22" spans="1:10">
      <c r="A22" s="76"/>
      <c r="C22" s="118" t="s">
        <v>153</v>
      </c>
      <c r="D22" s="119">
        <f>'F4 - EF4'!L2</f>
        <v>158.63068181818184</v>
      </c>
      <c r="E22" s="119">
        <f>+D22*H9+D23*I9</f>
        <v>6.0001818181818196</v>
      </c>
      <c r="F22" s="119">
        <f>+F23+E22</f>
        <v>6.4761818181818196</v>
      </c>
      <c r="G22" s="120">
        <f t="shared" si="0"/>
        <v>1.1229214510726969E-2</v>
      </c>
      <c r="H22" s="121" t="s">
        <v>567</v>
      </c>
    </row>
    <row r="23" spans="1:10" ht="15.75" thickBot="1">
      <c r="C23" s="122" t="s">
        <v>217</v>
      </c>
      <c r="D23" s="123">
        <f>'EF5'!L2</f>
        <v>28</v>
      </c>
      <c r="E23" s="123">
        <f>+D23*I10</f>
        <v>0.47600000000000003</v>
      </c>
      <c r="F23" s="123">
        <f>+E23</f>
        <v>0.47600000000000003</v>
      </c>
      <c r="G23" s="124">
        <f t="shared" si="0"/>
        <v>8.2534836994534373E-4</v>
      </c>
      <c r="H23" s="125" t="s">
        <v>568</v>
      </c>
    </row>
    <row r="24" spans="1:10" ht="15.75" thickTop="1">
      <c r="D24" s="43"/>
    </row>
    <row r="25" spans="1:10">
      <c r="B25" s="533" t="s">
        <v>814</v>
      </c>
      <c r="F25" s="43"/>
    </row>
    <row r="26" spans="1:10">
      <c r="B26" s="137" t="s">
        <v>23</v>
      </c>
    </row>
    <row r="27" spans="1:10" ht="15.75" thickBot="1">
      <c r="B27" s="36"/>
      <c r="C27" s="36"/>
      <c r="D27" s="36"/>
      <c r="E27" s="36"/>
      <c r="F27" s="36"/>
      <c r="G27" s="36"/>
      <c r="H27" s="36"/>
      <c r="I27" s="36"/>
    </row>
    <row r="28" spans="1:10" s="335" customFormat="1" ht="24.95" customHeight="1" thickTop="1" thickBot="1">
      <c r="A28" s="439"/>
      <c r="B28" s="1174" t="s">
        <v>738</v>
      </c>
      <c r="C28" s="1175"/>
      <c r="D28" s="1175"/>
      <c r="E28" s="1175"/>
      <c r="F28" s="1175"/>
      <c r="G28" s="1175"/>
      <c r="H28" s="1175"/>
      <c r="I28" s="1176"/>
      <c r="J28" s="439"/>
    </row>
    <row r="29" spans="1:10" ht="17.25" thickTop="1" thickBot="1">
      <c r="A29" s="36"/>
      <c r="B29" s="146" t="s">
        <v>561</v>
      </c>
      <c r="C29" s="147" t="s">
        <v>574</v>
      </c>
      <c r="D29" s="1165" t="s">
        <v>562</v>
      </c>
      <c r="E29" s="1166"/>
      <c r="F29" s="1166"/>
      <c r="G29" s="1166"/>
      <c r="H29" s="1166"/>
      <c r="I29" s="1167"/>
      <c r="J29" s="36"/>
    </row>
    <row r="30" spans="1:10" ht="16.5" thickBot="1">
      <c r="A30" s="36"/>
      <c r="B30" s="149" t="s">
        <v>560</v>
      </c>
      <c r="C30" s="150" t="s">
        <v>569</v>
      </c>
      <c r="D30" s="148" t="s">
        <v>149</v>
      </c>
      <c r="E30" s="148" t="s">
        <v>150</v>
      </c>
      <c r="F30" s="148" t="s">
        <v>151</v>
      </c>
      <c r="G30" s="148" t="s">
        <v>152</v>
      </c>
      <c r="H30" s="148" t="s">
        <v>153</v>
      </c>
      <c r="I30" s="151" t="s">
        <v>217</v>
      </c>
      <c r="J30" s="36"/>
    </row>
    <row r="31" spans="1:10">
      <c r="A31" s="36"/>
      <c r="B31" s="140" t="s">
        <v>190</v>
      </c>
      <c r="C31" s="111" t="s">
        <v>563</v>
      </c>
      <c r="D31" s="83">
        <v>1</v>
      </c>
      <c r="E31" s="83">
        <v>0.57199999999999995</v>
      </c>
      <c r="F31" s="83">
        <v>0.28000000000000003</v>
      </c>
      <c r="G31" s="83">
        <v>0.11600000000000001</v>
      </c>
      <c r="H31" s="83">
        <v>0.14199999999999999</v>
      </c>
      <c r="I31" s="141">
        <v>0.13300000000000001</v>
      </c>
      <c r="J31" s="36"/>
    </row>
    <row r="32" spans="1:10">
      <c r="A32" s="36"/>
      <c r="B32" s="140" t="s">
        <v>191</v>
      </c>
      <c r="C32" s="111" t="s">
        <v>564</v>
      </c>
      <c r="D32" s="83"/>
      <c r="E32" s="83">
        <v>0.42799999999999999</v>
      </c>
      <c r="F32" s="83">
        <v>0.35199999999999998</v>
      </c>
      <c r="G32" s="83">
        <v>0.245</v>
      </c>
      <c r="H32" s="83">
        <v>0.158</v>
      </c>
      <c r="I32" s="141">
        <v>0.10199999999999999</v>
      </c>
      <c r="J32" s="36"/>
    </row>
    <row r="33" spans="1:10">
      <c r="A33" s="36"/>
      <c r="B33" s="140" t="s">
        <v>189</v>
      </c>
      <c r="C33" s="111" t="s">
        <v>565</v>
      </c>
      <c r="D33" s="83"/>
      <c r="E33" s="83"/>
      <c r="F33" s="83">
        <v>0.36799999999999999</v>
      </c>
      <c r="G33" s="83">
        <v>0.318</v>
      </c>
      <c r="H33" s="83">
        <v>0.27800000000000002</v>
      </c>
      <c r="I33" s="141">
        <v>0.189</v>
      </c>
      <c r="J33" s="36"/>
    </row>
    <row r="34" spans="1:10">
      <c r="A34" s="36"/>
      <c r="B34" s="140" t="s">
        <v>192</v>
      </c>
      <c r="C34" s="111" t="s">
        <v>566</v>
      </c>
      <c r="D34" s="83"/>
      <c r="E34" s="83"/>
      <c r="F34" s="83"/>
      <c r="G34" s="83">
        <v>0.32100000000000001</v>
      </c>
      <c r="H34" s="83">
        <v>0.21</v>
      </c>
      <c r="I34" s="141">
        <v>0.24199999999999999</v>
      </c>
      <c r="J34" s="36"/>
    </row>
    <row r="35" spans="1:10">
      <c r="A35" s="36"/>
      <c r="B35" s="140" t="s">
        <v>218</v>
      </c>
      <c r="C35" s="111" t="s">
        <v>567</v>
      </c>
      <c r="D35" s="83"/>
      <c r="E35" s="83"/>
      <c r="F35" s="83"/>
      <c r="G35" s="83"/>
      <c r="H35" s="83">
        <v>0.21199999999999999</v>
      </c>
      <c r="I35" s="141">
        <v>0.185</v>
      </c>
      <c r="J35" s="36"/>
    </row>
    <row r="36" spans="1:10" ht="15.75" thickBot="1">
      <c r="A36" s="36"/>
      <c r="B36" s="142" t="s">
        <v>219</v>
      </c>
      <c r="C36" s="143" t="s">
        <v>568</v>
      </c>
      <c r="D36" s="144"/>
      <c r="E36" s="144"/>
      <c r="F36" s="144"/>
      <c r="G36" s="144"/>
      <c r="H36" s="144"/>
      <c r="I36" s="145">
        <v>0.14899999999999999</v>
      </c>
      <c r="J36" s="36"/>
    </row>
    <row r="37" spans="1:10" ht="15.75" thickTop="1">
      <c r="B37" s="36"/>
      <c r="C37" s="36"/>
      <c r="D37" s="36"/>
      <c r="E37" s="36"/>
      <c r="F37" s="36"/>
      <c r="G37" s="36"/>
      <c r="H37" s="36"/>
      <c r="I37" s="36"/>
    </row>
    <row r="38" spans="1:10" ht="15.75" thickBot="1"/>
    <row r="39" spans="1:10" ht="20.25" thickTop="1" thickBot="1">
      <c r="C39" s="1162" t="s">
        <v>909</v>
      </c>
      <c r="D39" s="1163"/>
      <c r="E39" s="1163"/>
      <c r="F39" s="1163"/>
      <c r="G39" s="1163"/>
      <c r="H39" s="1164"/>
    </row>
    <row r="40" spans="1:10" ht="16.5" thickTop="1">
      <c r="C40" s="530"/>
      <c r="D40" s="139"/>
      <c r="E40" s="443" t="s">
        <v>802</v>
      </c>
      <c r="F40" s="139"/>
      <c r="G40" s="132" t="s">
        <v>573</v>
      </c>
      <c r="H40" s="133" t="s">
        <v>577</v>
      </c>
    </row>
    <row r="41" spans="1:10" ht="15.75">
      <c r="C41" s="530"/>
      <c r="D41" s="443" t="s">
        <v>802</v>
      </c>
      <c r="E41" s="131" t="s">
        <v>601</v>
      </c>
      <c r="F41" s="131" t="s">
        <v>159</v>
      </c>
      <c r="G41" s="132" t="s">
        <v>574</v>
      </c>
      <c r="H41" s="133" t="s">
        <v>578</v>
      </c>
    </row>
    <row r="42" spans="1:10" ht="15.75">
      <c r="C42" s="530" t="s">
        <v>561</v>
      </c>
      <c r="D42" s="443" t="s">
        <v>745</v>
      </c>
      <c r="E42" s="131" t="s">
        <v>602</v>
      </c>
      <c r="F42" s="443" t="s">
        <v>214</v>
      </c>
      <c r="G42" s="132" t="s">
        <v>575</v>
      </c>
      <c r="H42" s="133" t="s">
        <v>579</v>
      </c>
    </row>
    <row r="43" spans="1:10" ht="16.5" thickBot="1">
      <c r="C43" s="531" t="s">
        <v>560</v>
      </c>
      <c r="D43" s="440" t="s">
        <v>811</v>
      </c>
      <c r="E43" s="440" t="s">
        <v>812</v>
      </c>
      <c r="F43" s="440" t="s">
        <v>811</v>
      </c>
      <c r="G43" s="135" t="s">
        <v>22</v>
      </c>
      <c r="H43" s="136" t="s">
        <v>505</v>
      </c>
    </row>
    <row r="44" spans="1:10">
      <c r="C44" s="118" t="s">
        <v>149</v>
      </c>
      <c r="D44" s="119">
        <f>'F0 - EF0'!L1</f>
        <v>726.36000000000297</v>
      </c>
      <c r="E44" s="119">
        <f>+D44*D31+D45*E31+D46*F31+D47*G31+D48*H31+D49*I31</f>
        <v>1453.2475200000031</v>
      </c>
      <c r="F44" s="119">
        <f>+F45+E44</f>
        <v>2850.7540000000031</v>
      </c>
      <c r="G44" s="120">
        <f t="shared" ref="G44:G49" si="1">+F44/$F$44</f>
        <v>1</v>
      </c>
      <c r="H44" s="121" t="s">
        <v>563</v>
      </c>
    </row>
    <row r="45" spans="1:10">
      <c r="C45" s="118" t="s">
        <v>150</v>
      </c>
      <c r="D45" s="119">
        <f>'F1 - EF1'!L1</f>
        <v>833.1900000000004</v>
      </c>
      <c r="E45" s="119">
        <f>+D45*E32+D46*F32+D47*G32+D48*H32+D49*I32</f>
        <v>697.68705000000011</v>
      </c>
      <c r="F45" s="119">
        <f>+F46+E45</f>
        <v>1397.50648</v>
      </c>
      <c r="G45" s="120">
        <f t="shared" si="1"/>
        <v>0.49022345667146255</v>
      </c>
      <c r="H45" s="121" t="s">
        <v>564</v>
      </c>
    </row>
    <row r="46" spans="1:10">
      <c r="C46" s="118" t="s">
        <v>151</v>
      </c>
      <c r="D46" s="119">
        <f>'F2 - EF2'!L1</f>
        <v>582.8399999999998</v>
      </c>
      <c r="E46" s="119">
        <f>+D46*F33+D47*G33+D48*H33+D49+I33</f>
        <v>442.93734000000001</v>
      </c>
      <c r="F46" s="119">
        <f>+F47+E46</f>
        <v>699.81943000000001</v>
      </c>
      <c r="G46" s="120">
        <f t="shared" si="1"/>
        <v>0.24548573114340952</v>
      </c>
      <c r="H46" s="121" t="s">
        <v>565</v>
      </c>
    </row>
    <row r="47" spans="1:10">
      <c r="C47" s="118" t="s">
        <v>152</v>
      </c>
      <c r="D47" s="119">
        <f>'F3 - EF3'!L1</f>
        <v>350.29</v>
      </c>
      <c r="E47" s="119">
        <f>+D47*G34+D48*H34+D49*I34</f>
        <v>182.75809000000001</v>
      </c>
      <c r="F47" s="119">
        <f>+F48+E47</f>
        <v>256.88209000000001</v>
      </c>
      <c r="G47" s="120">
        <f t="shared" si="1"/>
        <v>9.0110226978546634E-2</v>
      </c>
      <c r="H47" s="121" t="s">
        <v>566</v>
      </c>
    </row>
    <row r="48" spans="1:10">
      <c r="C48" s="118" t="s">
        <v>153</v>
      </c>
      <c r="D48" s="119">
        <f>'F4 - EF4'!L1</f>
        <v>294.5</v>
      </c>
      <c r="E48" s="119">
        <f>+D48*H35+D49*I35</f>
        <v>68.908999999999992</v>
      </c>
      <c r="F48" s="119">
        <f>+F49+E48</f>
        <v>74.123999999999995</v>
      </c>
      <c r="G48" s="120">
        <f t="shared" si="1"/>
        <v>2.6001542048173891E-2</v>
      </c>
      <c r="H48" s="121" t="s">
        <v>567</v>
      </c>
    </row>
    <row r="49" spans="2:8" ht="15.75" thickBot="1">
      <c r="C49" s="122" t="s">
        <v>217</v>
      </c>
      <c r="D49" s="123">
        <f>'EF5'!L1</f>
        <v>35</v>
      </c>
      <c r="E49" s="123">
        <f>+D49*I36</f>
        <v>5.2149999999999999</v>
      </c>
      <c r="F49" s="123">
        <f>+E49</f>
        <v>5.2149999999999999</v>
      </c>
      <c r="G49" s="124">
        <f t="shared" si="1"/>
        <v>1.8293405884899203E-3</v>
      </c>
      <c r="H49" s="125" t="s">
        <v>568</v>
      </c>
    </row>
    <row r="50" spans="2:8" ht="15.75" thickTop="1"/>
    <row r="51" spans="2:8">
      <c r="B51" s="533" t="s">
        <v>814</v>
      </c>
    </row>
    <row r="52" spans="2:8">
      <c r="B52" s="137" t="s">
        <v>23</v>
      </c>
    </row>
    <row r="53" spans="2:8"/>
    <row r="54" spans="2:8"/>
    <row r="55" spans="2:8"/>
    <row r="56" spans="2:8"/>
    <row r="57" spans="2:8"/>
    <row r="58" spans="2:8"/>
    <row r="59" spans="2:8"/>
    <row r="60" spans="2:8"/>
  </sheetData>
  <customSheetViews>
    <customSheetView guid="{CFA9FB8A-52FF-44B9-AE70-27339693E196}">
      <selection activeCell="A24" sqref="A24"/>
      <pageMargins left="0.75" right="0.75" top="1" bottom="1" header="0.5" footer="0.5"/>
      <pageSetup scale="64" orientation="portrait" r:id="rId1"/>
      <headerFooter alignWithMargins="0"/>
    </customSheetView>
  </customSheetViews>
  <mergeCells count="6">
    <mergeCell ref="C39:H39"/>
    <mergeCell ref="D29:I29"/>
    <mergeCell ref="B2:I2"/>
    <mergeCell ref="D3:I3"/>
    <mergeCell ref="B28:I28"/>
    <mergeCell ref="C13:H13"/>
  </mergeCells>
  <phoneticPr fontId="18" type="noConversion"/>
  <printOptions horizontalCentered="1"/>
  <pageMargins left="0.5" right="0.5" top="1.25" bottom="0.5" header="0.5" footer="0"/>
  <pageSetup firstPageNumber="126" orientation="landscape" useFirstPageNumber="1" r:id="rId2"/>
  <headerFooter scaleWithDoc="0">
    <oddFooter>&amp;CPage &amp;P of 172</oddFooter>
  </headerFooter>
  <rowBreaks count="1" manualBreakCount="1">
    <brk id="26"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2"/>
  <sheetViews>
    <sheetView zoomScaleNormal="100" workbookViewId="0">
      <pane ySplit="2" topLeftCell="A75" activePane="bottomLeft" state="frozen"/>
      <selection pane="bottomLeft" activeCell="I108" sqref="I108"/>
    </sheetView>
    <sheetView workbookViewId="1"/>
  </sheetViews>
  <sheetFormatPr defaultColWidth="0" defaultRowHeight="15" zeroHeight="1"/>
  <cols>
    <col min="1" max="1" width="4.77734375" customWidth="1"/>
    <col min="2" max="2" width="2.77734375" customWidth="1"/>
    <col min="3" max="3" width="16.33203125" customWidth="1"/>
    <col min="4" max="4" width="10.77734375" customWidth="1"/>
    <col min="5" max="5" width="2.6640625" customWidth="1"/>
    <col min="6" max="6" width="7.33203125" customWidth="1"/>
    <col min="7" max="8" width="8.77734375" customWidth="1"/>
    <col min="9" max="9" width="9.33203125" customWidth="1"/>
    <col min="10" max="11" width="8.77734375" customWidth="1"/>
    <col min="12" max="12" width="4.77734375" customWidth="1"/>
    <col min="13" max="13" width="19.109375" hidden="1" customWidth="1"/>
    <col min="14" max="16" width="8.88671875" hidden="1" customWidth="1"/>
  </cols>
  <sheetData>
    <row r="1" spans="1:17" ht="15.75" thickBot="1">
      <c r="O1" s="36"/>
      <c r="P1" s="36"/>
    </row>
    <row r="2" spans="1:17" s="165" customFormat="1" ht="24.75" thickTop="1" thickBot="1">
      <c r="A2" s="164"/>
      <c r="B2" s="1186" t="s">
        <v>741</v>
      </c>
      <c r="C2" s="1187"/>
      <c r="D2" s="1187"/>
      <c r="E2" s="1187"/>
      <c r="F2" s="1187"/>
      <c r="G2" s="1187"/>
      <c r="H2" s="1187"/>
      <c r="I2" s="1187"/>
      <c r="J2" s="1187"/>
      <c r="K2" s="1188"/>
      <c r="L2" s="237"/>
      <c r="M2" s="238"/>
      <c r="N2" s="164"/>
      <c r="Q2" s="164"/>
    </row>
    <row r="3" spans="1:17" ht="16.5" thickTop="1">
      <c r="A3" s="36"/>
      <c r="B3" s="155"/>
      <c r="C3" s="444"/>
      <c r="D3" s="246" t="s">
        <v>621</v>
      </c>
      <c r="E3" s="52"/>
      <c r="F3" s="176" t="s">
        <v>571</v>
      </c>
      <c r="G3" s="52"/>
      <c r="H3" s="52"/>
      <c r="I3" s="52"/>
      <c r="J3" s="52"/>
      <c r="K3" s="236"/>
      <c r="L3" s="239"/>
      <c r="M3" s="52"/>
      <c r="N3" s="36"/>
      <c r="Q3" s="36"/>
    </row>
    <row r="4" spans="1:17" ht="16.5" thickBot="1">
      <c r="A4" s="36"/>
      <c r="B4" s="155"/>
      <c r="C4" s="445" t="s">
        <v>205</v>
      </c>
      <c r="D4" s="248" t="s">
        <v>622</v>
      </c>
      <c r="E4" s="248"/>
      <c r="F4" s="248" t="s">
        <v>572</v>
      </c>
      <c r="G4" s="55"/>
      <c r="H4" s="36"/>
      <c r="I4" s="52"/>
      <c r="J4" s="52"/>
      <c r="K4" s="236"/>
      <c r="L4" s="239"/>
      <c r="M4" s="52"/>
      <c r="N4" s="36"/>
      <c r="Q4" s="36"/>
    </row>
    <row r="5" spans="1:17">
      <c r="A5" s="36"/>
      <c r="B5" s="155"/>
      <c r="C5" s="446" t="s">
        <v>19</v>
      </c>
      <c r="D5" s="200">
        <v>16</v>
      </c>
      <c r="E5" s="200"/>
      <c r="F5" s="201">
        <f>SUM(Counties!C6:C25)-F6</f>
        <v>14712</v>
      </c>
      <c r="G5" s="200"/>
      <c r="H5" s="202"/>
      <c r="I5" s="200"/>
      <c r="J5" s="200"/>
      <c r="K5" s="236"/>
      <c r="L5" s="239"/>
      <c r="M5" s="52"/>
      <c r="N5" s="36"/>
      <c r="Q5" s="36"/>
    </row>
    <row r="6" spans="1:17">
      <c r="A6" s="36"/>
      <c r="B6" s="155"/>
      <c r="C6" s="446" t="s">
        <v>20</v>
      </c>
      <c r="D6" s="200">
        <v>4</v>
      </c>
      <c r="E6" s="200"/>
      <c r="F6" s="201">
        <f>+Counties!C9+Counties!C10+Counties!C14+Counties!C20</f>
        <v>5967</v>
      </c>
      <c r="G6" s="200"/>
      <c r="H6" s="202"/>
      <c r="I6" s="203"/>
      <c r="J6" s="203"/>
      <c r="K6" s="53"/>
      <c r="L6" s="77"/>
      <c r="M6" s="374"/>
      <c r="N6" s="36"/>
      <c r="Q6" s="36"/>
    </row>
    <row r="7" spans="1:17">
      <c r="A7" s="36"/>
      <c r="B7" s="155"/>
      <c r="C7" s="446" t="s">
        <v>21</v>
      </c>
      <c r="D7" s="200">
        <v>3</v>
      </c>
      <c r="E7" s="200"/>
      <c r="F7" s="201">
        <f>+Counties!C26+Counties!C27+Counties!C28</f>
        <v>5708</v>
      </c>
      <c r="G7" s="200"/>
      <c r="H7" s="202"/>
      <c r="I7" s="201"/>
      <c r="J7" s="201"/>
      <c r="K7" s="153"/>
      <c r="L7" s="77"/>
      <c r="M7" s="52"/>
      <c r="N7" s="36"/>
      <c r="Q7" s="36"/>
    </row>
    <row r="8" spans="1:17">
      <c r="A8" s="36"/>
      <c r="B8" s="155"/>
      <c r="C8" s="207"/>
      <c r="D8" s="200"/>
      <c r="E8" s="200"/>
      <c r="F8" s="473">
        <f>SUM(F5:F7)</f>
        <v>26387</v>
      </c>
      <c r="G8" s="200" t="s">
        <v>164</v>
      </c>
      <c r="I8" s="201"/>
      <c r="J8" s="201"/>
      <c r="K8" s="53"/>
      <c r="L8" s="77"/>
      <c r="M8" s="52"/>
      <c r="N8" s="36"/>
      <c r="Q8" s="36"/>
    </row>
    <row r="9" spans="1:17">
      <c r="A9" s="36"/>
      <c r="B9" s="155"/>
      <c r="C9" s="444"/>
      <c r="D9" s="156"/>
      <c r="E9" s="156"/>
      <c r="F9" s="156"/>
      <c r="G9" s="157"/>
      <c r="H9" s="156"/>
      <c r="I9" s="158"/>
      <c r="J9" s="158"/>
      <c r="K9" s="159"/>
      <c r="L9" s="240"/>
      <c r="M9" s="156"/>
      <c r="N9" s="36"/>
      <c r="Q9" s="36"/>
    </row>
    <row r="10" spans="1:17" ht="15.75" thickBot="1">
      <c r="A10" s="36"/>
      <c r="B10" s="461"/>
      <c r="C10" s="462"/>
      <c r="D10" s="463"/>
      <c r="E10" s="463"/>
      <c r="F10" s="463"/>
      <c r="G10" s="464"/>
      <c r="H10" s="463"/>
      <c r="I10" s="465"/>
      <c r="J10" s="465"/>
      <c r="K10" s="466"/>
      <c r="L10" s="240"/>
      <c r="M10" s="156"/>
      <c r="N10" s="36"/>
      <c r="Q10" s="36"/>
    </row>
    <row r="11" spans="1:17" s="167" customFormat="1" ht="18">
      <c r="A11" s="166"/>
      <c r="B11" s="447"/>
      <c r="C11" s="467" t="s">
        <v>32</v>
      </c>
      <c r="D11" s="245"/>
      <c r="E11" s="245"/>
      <c r="F11" s="245"/>
      <c r="G11" s="245"/>
      <c r="H11" s="245"/>
      <c r="I11" s="245"/>
      <c r="J11" s="245"/>
      <c r="K11" s="460"/>
      <c r="L11" s="244"/>
      <c r="M11" s="245"/>
      <c r="N11" s="166"/>
      <c r="Q11" s="166"/>
    </row>
    <row r="12" spans="1:17" ht="45" customHeight="1">
      <c r="A12" s="36"/>
      <c r="B12" s="155"/>
      <c r="C12" s="1201" t="s">
        <v>603</v>
      </c>
      <c r="D12" s="1202"/>
      <c r="E12" s="1202"/>
      <c r="F12" s="1202"/>
      <c r="G12" s="1202"/>
      <c r="H12" s="1202"/>
      <c r="I12" s="1202"/>
      <c r="J12" s="1202"/>
      <c r="K12" s="1203"/>
      <c r="L12" s="241"/>
      <c r="M12" s="233"/>
      <c r="N12" s="36"/>
      <c r="Q12" s="36"/>
    </row>
    <row r="13" spans="1:17">
      <c r="A13" s="36"/>
      <c r="B13" s="155"/>
      <c r="C13" s="207"/>
      <c r="D13" s="205"/>
      <c r="E13" s="205"/>
      <c r="F13" s="206"/>
      <c r="G13" s="206"/>
      <c r="H13" s="206"/>
      <c r="I13" s="205"/>
      <c r="J13" s="205"/>
      <c r="K13" s="208"/>
      <c r="L13" s="204"/>
      <c r="M13" s="207"/>
      <c r="N13" s="36"/>
      <c r="Q13" s="36"/>
    </row>
    <row r="14" spans="1:17" ht="19.5" customHeight="1">
      <c r="A14" s="36"/>
      <c r="B14" s="155"/>
      <c r="C14" s="451" t="s">
        <v>604</v>
      </c>
      <c r="D14" s="209"/>
      <c r="E14" s="209"/>
      <c r="F14" s="209"/>
      <c r="G14" s="209"/>
      <c r="H14" s="209"/>
      <c r="I14" s="200"/>
      <c r="J14" s="200"/>
      <c r="K14" s="210"/>
      <c r="L14" s="215"/>
      <c r="M14" s="200"/>
      <c r="N14" s="36"/>
      <c r="Q14" s="36"/>
    </row>
    <row r="15" spans="1:17">
      <c r="A15" s="36"/>
      <c r="B15" s="155"/>
      <c r="C15" s="209"/>
      <c r="D15" s="209"/>
      <c r="E15" s="209"/>
      <c r="F15" s="209"/>
      <c r="G15" s="209"/>
      <c r="H15" s="209"/>
      <c r="I15" s="212"/>
      <c r="J15" s="212"/>
      <c r="K15" s="214"/>
      <c r="L15" s="215"/>
      <c r="M15" s="200"/>
      <c r="N15" s="36"/>
      <c r="Q15" s="36"/>
    </row>
    <row r="16" spans="1:17">
      <c r="A16" s="36"/>
      <c r="B16" s="155"/>
      <c r="C16" s="468" t="s">
        <v>33</v>
      </c>
      <c r="D16" s="200"/>
      <c r="E16" s="209"/>
      <c r="F16" s="209"/>
      <c r="G16" s="212"/>
      <c r="H16" s="209"/>
      <c r="I16" s="209"/>
      <c r="J16" s="212"/>
      <c r="K16" s="210"/>
      <c r="L16" s="215"/>
      <c r="M16" s="200"/>
      <c r="N16" s="36"/>
      <c r="Q16" s="36"/>
    </row>
    <row r="17" spans="1:17">
      <c r="A17" s="36"/>
      <c r="B17" s="155"/>
      <c r="C17" s="209"/>
      <c r="D17" s="209"/>
      <c r="E17" s="209"/>
      <c r="F17" s="209"/>
      <c r="G17" s="200"/>
      <c r="H17" s="209"/>
      <c r="I17" s="209"/>
      <c r="J17" s="200"/>
      <c r="K17" s="210"/>
      <c r="L17" s="215"/>
      <c r="M17" s="200"/>
      <c r="N17" s="36"/>
      <c r="Q17" s="36"/>
    </row>
    <row r="18" spans="1:17" ht="16.5">
      <c r="A18" s="36"/>
      <c r="B18" s="155"/>
      <c r="C18" s="216" t="s">
        <v>605</v>
      </c>
      <c r="D18" s="209"/>
      <c r="E18" s="209"/>
      <c r="F18" s="209"/>
      <c r="G18" s="201"/>
      <c r="H18" s="209"/>
      <c r="I18" s="209"/>
      <c r="J18" s="201"/>
      <c r="K18" s="210"/>
      <c r="L18" s="215"/>
      <c r="M18" s="200"/>
      <c r="N18" s="36"/>
      <c r="Q18" s="36"/>
    </row>
    <row r="19" spans="1:17" ht="16.5">
      <c r="A19" s="36"/>
      <c r="B19" s="155"/>
      <c r="C19" s="449" t="s">
        <v>24</v>
      </c>
      <c r="D19" s="217" t="s">
        <v>606</v>
      </c>
      <c r="E19" s="202"/>
      <c r="F19" s="202"/>
      <c r="G19" s="202"/>
      <c r="H19" s="202"/>
      <c r="I19" s="209"/>
      <c r="J19" s="209"/>
      <c r="K19" s="214"/>
      <c r="L19" s="211"/>
      <c r="M19" s="209"/>
      <c r="N19" s="36"/>
      <c r="Q19" s="36"/>
    </row>
    <row r="20" spans="1:17">
      <c r="A20" s="36"/>
      <c r="B20" s="155"/>
      <c r="C20" s="200"/>
      <c r="D20" s="216" t="s">
        <v>25</v>
      </c>
      <c r="E20" s="202"/>
      <c r="F20" s="202"/>
      <c r="G20" s="202"/>
      <c r="H20" s="202"/>
      <c r="I20" s="209"/>
      <c r="J20" s="209"/>
      <c r="K20" s="214"/>
      <c r="L20" s="211"/>
      <c r="M20" s="209"/>
      <c r="N20" s="36"/>
      <c r="Q20" s="36"/>
    </row>
    <row r="21" spans="1:17" ht="16.5">
      <c r="A21" s="36"/>
      <c r="B21" s="155"/>
      <c r="C21" s="201"/>
      <c r="D21" s="213" t="s">
        <v>620</v>
      </c>
      <c r="E21" s="202"/>
      <c r="F21" s="202"/>
      <c r="G21" s="202"/>
      <c r="H21" s="202"/>
      <c r="I21" s="209"/>
      <c r="J21" s="209"/>
      <c r="K21" s="214"/>
      <c r="L21" s="211"/>
      <c r="M21" s="209"/>
      <c r="N21" s="36"/>
      <c r="Q21" s="36"/>
    </row>
    <row r="22" spans="1:17">
      <c r="A22" s="36"/>
      <c r="B22" s="155"/>
      <c r="C22" s="202"/>
      <c r="D22" s="36"/>
      <c r="E22" s="202"/>
      <c r="F22" s="202"/>
      <c r="G22" s="202"/>
      <c r="H22" s="202"/>
      <c r="I22" s="209"/>
      <c r="J22" s="209"/>
      <c r="K22" s="214"/>
      <c r="L22" s="211"/>
      <c r="M22" s="209"/>
      <c r="N22" s="36"/>
      <c r="Q22" s="36"/>
    </row>
    <row r="23" spans="1:17" ht="16.5">
      <c r="A23" s="36"/>
      <c r="B23" s="155"/>
      <c r="C23" s="450" t="s">
        <v>607</v>
      </c>
      <c r="D23" s="201">
        <f>+F8</f>
        <v>26387</v>
      </c>
      <c r="E23" s="471" t="s">
        <v>746</v>
      </c>
      <c r="F23" s="209"/>
      <c r="G23" s="209"/>
      <c r="H23" s="209"/>
      <c r="I23" s="36"/>
      <c r="J23" s="234"/>
      <c r="K23" s="235"/>
      <c r="L23" s="220"/>
      <c r="M23" s="234"/>
      <c r="Q23" s="36"/>
    </row>
    <row r="24" spans="1:17">
      <c r="A24" s="36"/>
      <c r="B24" s="155"/>
      <c r="C24" s="450" t="s">
        <v>28</v>
      </c>
      <c r="D24" s="450">
        <f>'Summary - Tornado Segments'!D5</f>
        <v>66</v>
      </c>
      <c r="E24" s="472" t="s">
        <v>113</v>
      </c>
      <c r="F24" s="36"/>
      <c r="G24" s="36"/>
      <c r="H24" s="36"/>
      <c r="I24" s="234"/>
      <c r="J24" s="234"/>
      <c r="K24" s="235"/>
      <c r="L24" s="220"/>
      <c r="M24" s="234"/>
      <c r="N24" s="36"/>
      <c r="Q24" s="36"/>
    </row>
    <row r="25" spans="1:17" ht="15" customHeight="1">
      <c r="A25" s="36"/>
      <c r="B25" s="155"/>
      <c r="C25" s="450" t="s">
        <v>608</v>
      </c>
      <c r="D25" s="203">
        <f>'Adjustments to Data'!F18</f>
        <v>576.72616477272709</v>
      </c>
      <c r="E25" s="471" t="s">
        <v>746</v>
      </c>
      <c r="F25" s="36"/>
      <c r="G25" s="219"/>
      <c r="H25" s="247"/>
      <c r="I25" s="436"/>
      <c r="J25" s="76"/>
      <c r="K25" s="152"/>
      <c r="L25" s="220"/>
      <c r="M25" s="234"/>
      <c r="N25" s="36"/>
      <c r="Q25" s="36"/>
    </row>
    <row r="26" spans="1:17">
      <c r="A26" s="36"/>
      <c r="B26" s="155"/>
      <c r="C26" s="36"/>
      <c r="D26" s="36"/>
      <c r="E26" s="36"/>
      <c r="F26" s="36"/>
      <c r="G26" s="36"/>
      <c r="H26" s="36"/>
      <c r="I26" s="76"/>
      <c r="J26" s="76"/>
      <c r="K26" s="152"/>
      <c r="L26" s="220"/>
      <c r="M26" s="234"/>
      <c r="N26" s="36"/>
      <c r="Q26" s="36"/>
    </row>
    <row r="27" spans="1:17" ht="16.5">
      <c r="A27" s="36"/>
      <c r="B27" s="155"/>
      <c r="C27" s="450" t="s">
        <v>609</v>
      </c>
      <c r="D27" s="212">
        <f>+D25/(D24*D23)</f>
        <v>3.3115834402657363E-4</v>
      </c>
      <c r="E27" s="209"/>
      <c r="F27" s="441" t="s">
        <v>742</v>
      </c>
      <c r="G27" s="202"/>
      <c r="H27" s="202"/>
      <c r="I27" s="76"/>
      <c r="J27" s="76"/>
      <c r="K27" s="152"/>
      <c r="L27" s="220"/>
      <c r="M27" s="234"/>
      <c r="N27" s="36"/>
      <c r="Q27" s="36"/>
    </row>
    <row r="28" spans="1:17">
      <c r="A28" s="36"/>
      <c r="B28" s="155"/>
      <c r="C28" s="202"/>
      <c r="D28" s="202"/>
      <c r="E28" s="202"/>
      <c r="F28" s="202"/>
      <c r="G28" s="202"/>
      <c r="H28" s="202"/>
      <c r="I28" s="76"/>
      <c r="J28" s="76"/>
      <c r="K28" s="152"/>
      <c r="L28" s="211"/>
      <c r="M28" s="209"/>
      <c r="N28" s="36"/>
      <c r="Q28" s="36"/>
    </row>
    <row r="29" spans="1:17">
      <c r="A29" s="36"/>
      <c r="B29" s="155"/>
      <c r="C29" s="202"/>
      <c r="D29" s="202"/>
      <c r="E29" s="202"/>
      <c r="F29" s="202"/>
      <c r="G29" s="202"/>
      <c r="H29" s="202"/>
      <c r="I29" s="76"/>
      <c r="J29" s="76"/>
      <c r="K29" s="152"/>
      <c r="L29" s="211"/>
      <c r="M29" s="209"/>
      <c r="N29" s="36"/>
      <c r="Q29" s="36"/>
    </row>
    <row r="30" spans="1:17">
      <c r="A30" s="36"/>
      <c r="B30" s="155"/>
      <c r="C30" s="469" t="s">
        <v>34</v>
      </c>
      <c r="D30" s="202"/>
      <c r="E30" s="202"/>
      <c r="F30" s="202"/>
      <c r="G30" s="202"/>
      <c r="H30" s="202"/>
      <c r="I30" s="76"/>
      <c r="J30" s="76"/>
      <c r="K30" s="152"/>
      <c r="L30" s="211"/>
      <c r="M30" s="209"/>
      <c r="N30" s="36"/>
      <c r="Q30" s="36"/>
    </row>
    <row r="31" spans="1:17">
      <c r="A31" s="36"/>
      <c r="B31" s="155"/>
      <c r="C31" s="202"/>
      <c r="D31" s="202"/>
      <c r="E31" s="202"/>
      <c r="F31" s="202"/>
      <c r="G31" s="202"/>
      <c r="H31" s="202"/>
      <c r="I31" s="209"/>
      <c r="J31" s="209"/>
      <c r="K31" s="214"/>
      <c r="L31" s="211"/>
      <c r="M31" s="209"/>
      <c r="N31" s="36"/>
      <c r="Q31" s="36"/>
    </row>
    <row r="32" spans="1:17" ht="16.5">
      <c r="A32" s="36"/>
      <c r="B32" s="155"/>
      <c r="C32" s="451" t="s">
        <v>743</v>
      </c>
      <c r="D32" s="202"/>
      <c r="E32" s="202"/>
      <c r="F32" s="202"/>
      <c r="G32" s="202"/>
      <c r="H32" s="202"/>
      <c r="I32" s="209"/>
      <c r="J32" s="209"/>
      <c r="K32" s="214"/>
      <c r="L32" s="211"/>
      <c r="M32" s="209"/>
      <c r="N32" s="36"/>
      <c r="Q32" s="36"/>
    </row>
    <row r="33" spans="1:17">
      <c r="A33" s="36"/>
      <c r="B33" s="155"/>
      <c r="C33" s="202"/>
      <c r="D33" s="202"/>
      <c r="E33" s="202"/>
      <c r="F33" s="202"/>
      <c r="G33" s="202"/>
      <c r="H33" s="202"/>
      <c r="I33" s="209"/>
      <c r="J33" s="209"/>
      <c r="K33" s="214"/>
      <c r="L33" s="211"/>
      <c r="M33" s="209"/>
      <c r="N33" s="36"/>
      <c r="Q33" s="36"/>
    </row>
    <row r="34" spans="1:17">
      <c r="A34" s="36"/>
      <c r="B34" s="155"/>
      <c r="C34" s="221" t="s">
        <v>573</v>
      </c>
      <c r="D34" s="221"/>
      <c r="E34" s="202"/>
      <c r="F34" s="202"/>
      <c r="G34" s="202"/>
      <c r="H34" s="202"/>
      <c r="I34" s="209"/>
      <c r="J34" s="209"/>
      <c r="K34" s="214"/>
      <c r="L34" s="211"/>
      <c r="M34" s="209"/>
      <c r="N34" s="36"/>
      <c r="Q34" s="36"/>
    </row>
    <row r="35" spans="1:17">
      <c r="A35" s="36"/>
      <c r="B35" s="155"/>
      <c r="C35" s="221" t="s">
        <v>574</v>
      </c>
      <c r="D35" s="221" t="s">
        <v>576</v>
      </c>
      <c r="E35" s="202"/>
      <c r="F35" s="202"/>
      <c r="G35" s="202"/>
      <c r="H35" s="202"/>
      <c r="I35" s="209"/>
      <c r="J35" s="209"/>
      <c r="K35" s="214"/>
      <c r="L35" s="211"/>
      <c r="M35" s="209"/>
      <c r="N35" s="36"/>
      <c r="Q35" s="36"/>
    </row>
    <row r="36" spans="1:17">
      <c r="A36" s="36"/>
      <c r="B36" s="155"/>
      <c r="C36" s="221" t="s">
        <v>575</v>
      </c>
      <c r="D36" s="221" t="s">
        <v>574</v>
      </c>
      <c r="E36" s="202"/>
      <c r="F36" s="202"/>
      <c r="G36" s="202"/>
      <c r="H36" s="202"/>
      <c r="I36" s="209"/>
      <c r="J36" s="209"/>
      <c r="K36" s="214"/>
      <c r="L36" s="211"/>
      <c r="M36" s="209"/>
      <c r="N36" s="36"/>
      <c r="Q36" s="36"/>
    </row>
    <row r="37" spans="1:17" ht="15.75" thickBot="1">
      <c r="A37" s="36"/>
      <c r="B37" s="155"/>
      <c r="C37" s="222" t="s">
        <v>576</v>
      </c>
      <c r="D37" s="222" t="s">
        <v>505</v>
      </c>
      <c r="E37" s="202"/>
      <c r="F37" s="202"/>
      <c r="G37" s="202"/>
      <c r="H37" s="202"/>
      <c r="I37" s="209"/>
      <c r="J37" s="209"/>
      <c r="K37" s="214"/>
      <c r="L37" s="211"/>
      <c r="M37" s="209"/>
      <c r="N37" s="36"/>
      <c r="Q37" s="36"/>
    </row>
    <row r="38" spans="1:17">
      <c r="A38" s="36"/>
      <c r="B38" s="155"/>
      <c r="C38" s="452">
        <f>'Adjustments to Data'!G18</f>
        <v>1</v>
      </c>
      <c r="D38" s="223">
        <v>65</v>
      </c>
      <c r="E38" s="202"/>
      <c r="F38" s="202"/>
      <c r="G38" s="202"/>
      <c r="H38" s="202"/>
      <c r="I38" s="209"/>
      <c r="J38" s="209"/>
      <c r="K38" s="214"/>
      <c r="L38" s="211"/>
      <c r="M38" s="209"/>
      <c r="N38" s="36"/>
      <c r="Q38" s="36"/>
    </row>
    <row r="39" spans="1:17">
      <c r="A39" s="36"/>
      <c r="B39" s="155"/>
      <c r="C39" s="453">
        <f>'Adjustments to Data'!G19</f>
        <v>0.39831001265420557</v>
      </c>
      <c r="D39" s="223">
        <v>86</v>
      </c>
      <c r="E39" s="202"/>
      <c r="F39" s="202"/>
      <c r="G39" s="202"/>
      <c r="H39" s="202"/>
      <c r="I39" s="209"/>
      <c r="J39" s="209"/>
      <c r="K39" s="214"/>
      <c r="L39" s="211"/>
      <c r="M39" s="209"/>
      <c r="N39" s="36"/>
      <c r="Q39" s="36"/>
    </row>
    <row r="40" spans="1:17">
      <c r="A40" s="36"/>
      <c r="B40" s="155"/>
      <c r="C40" s="453">
        <f>'Adjustments to Data'!G20</f>
        <v>0.17503678164577188</v>
      </c>
      <c r="D40" s="223">
        <v>111</v>
      </c>
      <c r="E40" s="202"/>
      <c r="F40" s="202"/>
      <c r="G40" s="202"/>
      <c r="H40" s="202"/>
      <c r="I40" s="209"/>
      <c r="J40" s="209"/>
      <c r="K40" s="214"/>
      <c r="L40" s="211"/>
      <c r="M40" s="209"/>
      <c r="N40" s="36"/>
      <c r="Q40" s="36"/>
    </row>
    <row r="41" spans="1:17">
      <c r="A41" s="36"/>
      <c r="B41" s="155"/>
      <c r="C41" s="453">
        <f>'Adjustments to Data'!G21</f>
        <v>4.263377320682709E-2</v>
      </c>
      <c r="D41" s="223">
        <v>136</v>
      </c>
      <c r="E41" s="202"/>
      <c r="F41" s="202"/>
      <c r="G41" s="202"/>
      <c r="H41" s="202"/>
      <c r="I41" s="209"/>
      <c r="J41" s="209"/>
      <c r="K41" s="214"/>
      <c r="L41" s="211"/>
      <c r="M41" s="209"/>
      <c r="N41" s="36"/>
      <c r="Q41" s="36"/>
    </row>
    <row r="42" spans="1:17">
      <c r="A42" s="36"/>
      <c r="B42" s="155"/>
      <c r="C42" s="453">
        <f>'Adjustments to Data'!G22</f>
        <v>1.1229214510726969E-2</v>
      </c>
      <c r="D42" s="223">
        <v>166</v>
      </c>
      <c r="E42" s="202"/>
      <c r="F42" s="202"/>
      <c r="G42" s="202"/>
      <c r="H42" s="202"/>
      <c r="I42" s="209"/>
      <c r="J42" s="209"/>
      <c r="K42" s="214"/>
      <c r="L42" s="211"/>
      <c r="M42" s="209"/>
      <c r="N42" s="36"/>
      <c r="Q42" s="36"/>
    </row>
    <row r="43" spans="1:17">
      <c r="A43" s="36"/>
      <c r="B43" s="155"/>
      <c r="C43" s="453">
        <f>'Adjustments to Data'!G23</f>
        <v>8.2534836994534373E-4</v>
      </c>
      <c r="D43" s="223" t="s">
        <v>568</v>
      </c>
      <c r="E43" s="202"/>
      <c r="F43" s="202"/>
      <c r="G43" s="202"/>
      <c r="H43" s="202"/>
      <c r="I43" s="209"/>
      <c r="J43" s="209"/>
      <c r="K43" s="214"/>
      <c r="L43" s="211"/>
      <c r="M43" s="209"/>
      <c r="N43" s="36"/>
      <c r="Q43" s="36"/>
    </row>
    <row r="44" spans="1:17">
      <c r="A44" s="36"/>
      <c r="B44" s="155"/>
      <c r="C44" s="202"/>
      <c r="D44" s="202"/>
      <c r="E44" s="202"/>
      <c r="F44" s="202"/>
      <c r="G44" s="202"/>
      <c r="H44" s="202"/>
      <c r="I44" s="209"/>
      <c r="J44" s="209"/>
      <c r="K44" s="214"/>
      <c r="L44" s="211"/>
      <c r="M44" s="209"/>
      <c r="N44" s="36"/>
      <c r="Q44" s="36"/>
    </row>
    <row r="45" spans="1:17" ht="15.75" thickBot="1">
      <c r="A45" s="36"/>
      <c r="B45" s="155"/>
      <c r="C45" s="202"/>
      <c r="D45" s="202"/>
      <c r="E45" s="202"/>
      <c r="F45" s="202"/>
      <c r="G45" s="202"/>
      <c r="H45" s="202"/>
      <c r="I45" s="209"/>
      <c r="J45" s="209"/>
      <c r="K45" s="214"/>
      <c r="L45" s="211"/>
      <c r="M45" s="209"/>
      <c r="N45" s="36"/>
      <c r="Q45" s="36"/>
    </row>
    <row r="46" spans="1:17" ht="15.75" thickTop="1">
      <c r="A46" s="36"/>
      <c r="B46" s="155"/>
      <c r="C46" s="1195" t="s">
        <v>27</v>
      </c>
      <c r="D46" s="1205"/>
      <c r="E46" s="219"/>
      <c r="F46" s="219"/>
      <c r="G46" s="202"/>
      <c r="H46" s="202"/>
      <c r="I46" s="209"/>
      <c r="J46" s="209"/>
      <c r="K46" s="214"/>
      <c r="L46" s="211"/>
      <c r="M46" s="209"/>
      <c r="N46" s="36"/>
      <c r="Q46" s="36"/>
    </row>
    <row r="47" spans="1:17">
      <c r="A47" s="36"/>
      <c r="B47" s="155"/>
      <c r="C47" s="442"/>
      <c r="D47" s="474" t="s">
        <v>574</v>
      </c>
      <c r="E47" s="202"/>
      <c r="F47" s="202"/>
      <c r="G47" s="202"/>
      <c r="H47" s="202"/>
      <c r="I47" s="209"/>
      <c r="J47" s="209"/>
      <c r="K47" s="214"/>
      <c r="L47" s="211"/>
      <c r="M47" s="209"/>
      <c r="N47" s="36"/>
      <c r="Q47" s="36"/>
    </row>
    <row r="48" spans="1:17" ht="15.75" thickBot="1">
      <c r="A48" s="36"/>
      <c r="B48" s="155"/>
      <c r="C48" s="475" t="s">
        <v>30</v>
      </c>
      <c r="D48" s="476" t="s">
        <v>505</v>
      </c>
      <c r="E48" s="202"/>
      <c r="F48" s="202"/>
      <c r="G48" s="202"/>
      <c r="H48" s="202"/>
      <c r="I48" s="209"/>
      <c r="J48" s="209"/>
      <c r="K48" s="214"/>
      <c r="L48" s="211"/>
      <c r="M48" s="209"/>
      <c r="N48" s="36"/>
      <c r="Q48" s="36"/>
    </row>
    <row r="49" spans="1:17">
      <c r="A49" s="36"/>
      <c r="B49" s="155"/>
      <c r="C49" s="477">
        <f t="shared" ref="C49:C54" si="0">+$D$27*C38</f>
        <v>3.3115834402657363E-4</v>
      </c>
      <c r="D49" s="478">
        <v>65</v>
      </c>
      <c r="E49" s="202"/>
      <c r="F49" s="202"/>
      <c r="G49" s="202"/>
      <c r="H49" s="202"/>
      <c r="I49" s="209"/>
      <c r="J49" s="209"/>
      <c r="K49" s="214"/>
      <c r="L49" s="211"/>
      <c r="M49" s="209"/>
      <c r="N49" s="36"/>
      <c r="Q49" s="36"/>
    </row>
    <row r="50" spans="1:17">
      <c r="A50" s="36"/>
      <c r="B50" s="155"/>
      <c r="C50" s="477">
        <f t="shared" si="0"/>
        <v>1.319036841997703E-4</v>
      </c>
      <c r="D50" s="478">
        <v>86</v>
      </c>
      <c r="E50" s="202"/>
      <c r="F50" s="202"/>
      <c r="G50" s="202"/>
      <c r="H50" s="202"/>
      <c r="I50" s="209"/>
      <c r="J50" s="209"/>
      <c r="K50" s="214"/>
      <c r="L50" s="211"/>
      <c r="M50" s="209"/>
      <c r="N50" s="36"/>
      <c r="Q50" s="36"/>
    </row>
    <row r="51" spans="1:17">
      <c r="A51" s="36"/>
      <c r="B51" s="155"/>
      <c r="C51" s="477">
        <f t="shared" si="0"/>
        <v>5.7964890753554775E-5</v>
      </c>
      <c r="D51" s="478">
        <v>111</v>
      </c>
      <c r="E51" s="202"/>
      <c r="F51" s="202"/>
      <c r="G51" s="202"/>
      <c r="H51" s="202"/>
      <c r="I51" s="209"/>
      <c r="J51" s="209"/>
      <c r="K51" s="214"/>
      <c r="L51" s="211"/>
      <c r="M51" s="209"/>
      <c r="N51" s="36"/>
      <c r="Q51" s="36"/>
    </row>
    <row r="52" spans="1:17">
      <c r="A52" s="36"/>
      <c r="B52" s="155"/>
      <c r="C52" s="477">
        <f t="shared" si="0"/>
        <v>1.4118529734777363E-5</v>
      </c>
      <c r="D52" s="478">
        <v>136</v>
      </c>
      <c r="E52" s="202"/>
      <c r="F52" s="202"/>
      <c r="G52" s="202"/>
      <c r="H52" s="202"/>
      <c r="I52" s="209"/>
      <c r="J52" s="209"/>
      <c r="K52" s="214"/>
      <c r="L52" s="211"/>
      <c r="M52" s="209"/>
      <c r="N52" s="36"/>
      <c r="Q52" s="36"/>
    </row>
    <row r="53" spans="1:17">
      <c r="A53" s="36"/>
      <c r="B53" s="155"/>
      <c r="C53" s="477">
        <f t="shared" si="0"/>
        <v>3.7186480820915143E-6</v>
      </c>
      <c r="D53" s="478">
        <v>166</v>
      </c>
      <c r="E53" s="202"/>
      <c r="F53" s="202"/>
      <c r="G53" s="202"/>
      <c r="H53" s="202"/>
      <c r="I53" s="209"/>
      <c r="J53" s="209"/>
      <c r="K53" s="214"/>
      <c r="L53" s="211"/>
      <c r="M53" s="209"/>
      <c r="N53" s="36"/>
      <c r="Q53" s="36"/>
    </row>
    <row r="54" spans="1:17" ht="15.75" thickBot="1">
      <c r="A54" s="36"/>
      <c r="B54" s="155"/>
      <c r="C54" s="479">
        <f t="shared" si="0"/>
        <v>2.733209994361319E-7</v>
      </c>
      <c r="D54" s="480">
        <v>200</v>
      </c>
      <c r="E54" s="202"/>
      <c r="F54" s="202"/>
      <c r="G54" s="202"/>
      <c r="H54" s="202"/>
      <c r="I54" s="209"/>
      <c r="J54" s="209"/>
      <c r="K54" s="214"/>
      <c r="L54" s="211"/>
      <c r="M54" s="209"/>
      <c r="N54" s="36"/>
      <c r="Q54" s="36"/>
    </row>
    <row r="55" spans="1:17" ht="16.5" thickTop="1" thickBot="1">
      <c r="A55" s="36"/>
      <c r="B55" s="461"/>
      <c r="C55" s="482"/>
      <c r="D55" s="482"/>
      <c r="E55" s="482"/>
      <c r="F55" s="482"/>
      <c r="G55" s="482"/>
      <c r="H55" s="482"/>
      <c r="I55" s="483"/>
      <c r="J55" s="483"/>
      <c r="K55" s="484"/>
      <c r="L55" s="154"/>
      <c r="M55" s="76"/>
      <c r="N55" s="36"/>
      <c r="Q55" s="36"/>
    </row>
    <row r="56" spans="1:17" s="167" customFormat="1" ht="18">
      <c r="A56" s="166"/>
      <c r="B56" s="447"/>
      <c r="C56" s="481" t="s">
        <v>35</v>
      </c>
      <c r="D56" s="245"/>
      <c r="E56" s="245"/>
      <c r="F56" s="245"/>
      <c r="G56" s="245"/>
      <c r="H56" s="245"/>
      <c r="I56" s="245"/>
      <c r="J56" s="245"/>
      <c r="K56" s="460"/>
      <c r="L56" s="244"/>
      <c r="M56" s="245"/>
      <c r="N56" s="166"/>
      <c r="Q56" s="166"/>
    </row>
    <row r="57" spans="1:17" ht="53.25" customHeight="1">
      <c r="A57" s="36"/>
      <c r="B57" s="155"/>
      <c r="C57" s="1204" t="s">
        <v>112</v>
      </c>
      <c r="D57" s="1199"/>
      <c r="E57" s="1199"/>
      <c r="F57" s="1199"/>
      <c r="G57" s="1199"/>
      <c r="H57" s="1199"/>
      <c r="I57" s="1199"/>
      <c r="J57" s="1199"/>
      <c r="K57" s="1200"/>
      <c r="L57" s="220"/>
      <c r="M57" s="234"/>
      <c r="N57" s="36"/>
      <c r="Q57" s="36"/>
    </row>
    <row r="58" spans="1:17">
      <c r="A58" s="36"/>
      <c r="B58" s="155"/>
      <c r="C58" s="202"/>
      <c r="D58" s="202"/>
      <c r="E58" s="202"/>
      <c r="F58" s="202"/>
      <c r="G58" s="202"/>
      <c r="H58" s="202"/>
      <c r="I58" s="209"/>
      <c r="J58" s="209"/>
      <c r="K58" s="214"/>
      <c r="L58" s="211"/>
      <c r="M58" s="209"/>
      <c r="N58" s="36"/>
      <c r="Q58" s="36"/>
    </row>
    <row r="59" spans="1:17" ht="16.5">
      <c r="A59" s="36"/>
      <c r="B59" s="155"/>
      <c r="C59" s="448" t="s">
        <v>610</v>
      </c>
      <c r="D59" s="202"/>
      <c r="E59" s="202"/>
      <c r="F59" s="202"/>
      <c r="G59" s="202"/>
      <c r="H59" s="202"/>
      <c r="I59" s="209"/>
      <c r="J59" s="209"/>
      <c r="K59" s="214"/>
      <c r="L59" s="211"/>
      <c r="M59" s="209"/>
      <c r="N59" s="36"/>
      <c r="Q59" s="36"/>
    </row>
    <row r="60" spans="1:17">
      <c r="A60" s="36"/>
      <c r="B60" s="155"/>
      <c r="C60" s="202"/>
      <c r="D60" s="202"/>
      <c r="E60" s="202"/>
      <c r="F60" s="202"/>
      <c r="G60" s="202"/>
      <c r="H60" s="202"/>
      <c r="I60" s="209"/>
      <c r="J60" s="209"/>
      <c r="K60" s="214"/>
      <c r="L60" s="211"/>
      <c r="M60" s="209"/>
      <c r="N60" s="36"/>
      <c r="Q60" s="36"/>
    </row>
    <row r="61" spans="1:17">
      <c r="A61" s="36"/>
      <c r="B61" s="155"/>
      <c r="C61" s="468" t="s">
        <v>33</v>
      </c>
      <c r="D61" s="202"/>
      <c r="E61" s="202"/>
      <c r="F61" s="202"/>
      <c r="G61" s="202"/>
      <c r="H61" s="202"/>
      <c r="I61" s="209"/>
      <c r="J61" s="209"/>
      <c r="K61" s="214"/>
      <c r="L61" s="211"/>
      <c r="M61" s="209"/>
      <c r="N61" s="36"/>
      <c r="Q61" s="36"/>
    </row>
    <row r="62" spans="1:17">
      <c r="A62" s="36"/>
      <c r="B62" s="155"/>
      <c r="C62" s="202"/>
      <c r="D62" s="202"/>
      <c r="E62" s="202"/>
      <c r="F62" s="202"/>
      <c r="G62" s="202"/>
      <c r="H62" s="202"/>
      <c r="I62" s="209"/>
      <c r="J62" s="209"/>
      <c r="K62" s="214"/>
      <c r="L62" s="211"/>
      <c r="M62" s="209"/>
      <c r="N62" s="36"/>
      <c r="Q62" s="36"/>
    </row>
    <row r="63" spans="1:17" s="169" customFormat="1" ht="16.5">
      <c r="A63" s="168"/>
      <c r="B63" s="455"/>
      <c r="C63" s="216" t="s">
        <v>611</v>
      </c>
      <c r="D63" s="209"/>
      <c r="E63" s="209"/>
      <c r="F63" s="209"/>
      <c r="G63" s="201"/>
      <c r="H63" s="209"/>
      <c r="I63" s="209"/>
      <c r="J63" s="201"/>
      <c r="K63" s="210"/>
      <c r="L63" s="215"/>
      <c r="M63" s="200"/>
      <c r="N63" s="168"/>
      <c r="Q63" s="168"/>
    </row>
    <row r="64" spans="1:17" ht="16.5">
      <c r="A64" s="36"/>
      <c r="B64" s="155"/>
      <c r="C64" s="449" t="s">
        <v>24</v>
      </c>
      <c r="D64" s="213" t="s">
        <v>612</v>
      </c>
      <c r="E64" s="202"/>
      <c r="F64" s="202"/>
      <c r="G64" s="202"/>
      <c r="H64" s="202"/>
      <c r="I64" s="209"/>
      <c r="J64" s="209"/>
      <c r="K64" s="214"/>
      <c r="L64" s="211"/>
      <c r="M64" s="209"/>
      <c r="N64" s="36"/>
      <c r="Q64" s="36"/>
    </row>
    <row r="65" spans="1:17" ht="16.5">
      <c r="A65" s="36"/>
      <c r="B65" s="155"/>
      <c r="C65" s="200"/>
      <c r="D65" s="216" t="s">
        <v>613</v>
      </c>
      <c r="E65" s="202"/>
      <c r="F65" s="202"/>
      <c r="G65" s="202"/>
      <c r="H65" s="202"/>
      <c r="I65" s="209"/>
      <c r="J65" s="209"/>
      <c r="K65" s="214"/>
      <c r="L65" s="211"/>
      <c r="M65" s="209"/>
      <c r="N65" s="36"/>
      <c r="Q65" s="36"/>
    </row>
    <row r="66" spans="1:17">
      <c r="A66" s="36"/>
      <c r="B66" s="155"/>
      <c r="C66" s="201"/>
      <c r="D66" s="217"/>
      <c r="E66" s="202"/>
      <c r="F66" s="202"/>
      <c r="G66" s="202"/>
      <c r="H66" s="202"/>
      <c r="I66" s="209"/>
      <c r="J66" s="209"/>
      <c r="K66" s="214"/>
      <c r="L66" s="211"/>
      <c r="M66" s="209"/>
      <c r="N66" s="36"/>
      <c r="Q66" s="36"/>
    </row>
    <row r="67" spans="1:17">
      <c r="A67" s="36"/>
      <c r="B67" s="155"/>
      <c r="C67" s="202"/>
      <c r="D67" s="202"/>
      <c r="E67" s="202"/>
      <c r="F67" s="202"/>
      <c r="G67" s="202"/>
      <c r="H67" s="202"/>
      <c r="I67" s="209"/>
      <c r="J67" s="209"/>
      <c r="K67" s="214"/>
      <c r="L67" s="211"/>
      <c r="M67" s="209"/>
      <c r="N67" s="36"/>
      <c r="Q67" s="36"/>
    </row>
    <row r="68" spans="1:17" ht="16.5">
      <c r="A68" s="36"/>
      <c r="B68" s="155"/>
      <c r="C68" s="450" t="s">
        <v>607</v>
      </c>
      <c r="D68" s="201">
        <f>+F8</f>
        <v>26387</v>
      </c>
      <c r="E68" s="471" t="s">
        <v>746</v>
      </c>
      <c r="F68" s="209"/>
      <c r="G68" s="209"/>
      <c r="H68" s="209"/>
      <c r="I68" s="228"/>
      <c r="J68" s="228"/>
      <c r="K68" s="229"/>
      <c r="L68" s="242"/>
      <c r="M68" s="228"/>
      <c r="N68" s="36"/>
      <c r="Q68" s="36"/>
    </row>
    <row r="69" spans="1:17">
      <c r="A69" s="36"/>
      <c r="B69" s="155"/>
      <c r="C69" s="450" t="s">
        <v>28</v>
      </c>
      <c r="D69" s="202">
        <f>+D24</f>
        <v>66</v>
      </c>
      <c r="E69" s="472" t="s">
        <v>113</v>
      </c>
      <c r="F69" s="206"/>
      <c r="G69" s="219"/>
      <c r="H69" s="209"/>
      <c r="I69" s="228"/>
      <c r="J69" s="228"/>
      <c r="K69" s="229"/>
      <c r="L69" s="242"/>
      <c r="M69" s="228"/>
      <c r="N69" s="36"/>
      <c r="Q69" s="36"/>
    </row>
    <row r="70" spans="1:17" ht="16.5">
      <c r="A70" s="36"/>
      <c r="B70" s="155"/>
      <c r="C70" s="450" t="s">
        <v>614</v>
      </c>
      <c r="D70" s="352">
        <v>200</v>
      </c>
      <c r="E70" s="492" t="s">
        <v>3</v>
      </c>
      <c r="F70" s="493" t="s">
        <v>747</v>
      </c>
      <c r="G70" s="470"/>
      <c r="H70" s="209"/>
      <c r="I70" s="228"/>
      <c r="J70" s="228"/>
      <c r="K70" s="229"/>
      <c r="L70" s="242"/>
      <c r="M70" s="228"/>
      <c r="N70" s="36"/>
      <c r="Q70" s="36"/>
    </row>
    <row r="71" spans="1:17" ht="16.5">
      <c r="A71" s="36"/>
      <c r="B71" s="155"/>
      <c r="C71" s="450" t="s">
        <v>614</v>
      </c>
      <c r="D71" s="490">
        <f>+D70/5280</f>
        <v>3.787878787878788E-2</v>
      </c>
      <c r="E71" s="471" t="s">
        <v>114</v>
      </c>
      <c r="F71" s="451" t="s">
        <v>747</v>
      </c>
      <c r="G71" s="470"/>
      <c r="H71" s="209"/>
      <c r="I71" s="228"/>
      <c r="J71" s="228"/>
      <c r="K71" s="229"/>
      <c r="L71" s="242"/>
      <c r="M71" s="228"/>
      <c r="N71" s="36"/>
      <c r="Q71" s="36"/>
    </row>
    <row r="72" spans="1:17" ht="16.5">
      <c r="A72" s="36"/>
      <c r="B72" s="155"/>
      <c r="C72" s="450" t="s">
        <v>615</v>
      </c>
      <c r="D72" s="202">
        <f>SUM('Database - Tornado Segments'!J8:J1302)</f>
        <v>2787.1799999999903</v>
      </c>
      <c r="E72" s="491" t="s">
        <v>114</v>
      </c>
      <c r="F72" s="202"/>
      <c r="G72" s="202"/>
      <c r="H72" s="202"/>
      <c r="I72" s="228"/>
      <c r="J72" s="228"/>
      <c r="K72" s="229"/>
      <c r="L72" s="242"/>
      <c r="M72" s="228"/>
      <c r="N72" s="36"/>
      <c r="Q72" s="36"/>
    </row>
    <row r="73" spans="1:17">
      <c r="A73" s="36"/>
      <c r="B73" s="155"/>
      <c r="C73" s="450"/>
      <c r="D73" s="212"/>
      <c r="E73" s="209"/>
      <c r="F73" s="202"/>
      <c r="G73" s="202"/>
      <c r="H73" s="202"/>
      <c r="I73" s="228"/>
      <c r="J73" s="228"/>
      <c r="K73" s="229"/>
      <c r="L73" s="242"/>
      <c r="M73" s="228"/>
      <c r="N73" s="36"/>
      <c r="Q73" s="36"/>
    </row>
    <row r="74" spans="1:17" ht="16.5">
      <c r="A74" s="36"/>
      <c r="B74" s="155"/>
      <c r="C74" s="450" t="s">
        <v>616</v>
      </c>
      <c r="D74" s="202">
        <f>+(D71*D72)/(D68*D69)</f>
        <v>6.0621564108129249E-5</v>
      </c>
      <c r="E74" s="202"/>
      <c r="F74" s="441" t="s">
        <v>742</v>
      </c>
      <c r="G74" s="202"/>
      <c r="H74" s="202"/>
      <c r="I74" s="209"/>
      <c r="J74" s="209"/>
      <c r="K74" s="214"/>
      <c r="L74" s="211"/>
      <c r="M74" s="209"/>
      <c r="N74" s="36"/>
      <c r="Q74" s="36"/>
    </row>
    <row r="75" spans="1:17">
      <c r="A75" s="36"/>
      <c r="B75" s="155"/>
      <c r="C75" s="202"/>
      <c r="D75" s="202"/>
      <c r="E75" s="202"/>
      <c r="F75" s="202"/>
      <c r="G75" s="202"/>
      <c r="H75" s="202"/>
      <c r="I75" s="209"/>
      <c r="J75" s="209"/>
      <c r="K75" s="214"/>
      <c r="L75" s="211"/>
      <c r="M75" s="209"/>
      <c r="N75" s="36"/>
      <c r="Q75" s="36"/>
    </row>
    <row r="76" spans="1:17">
      <c r="A76" s="36"/>
      <c r="B76" s="155"/>
      <c r="C76" s="202"/>
      <c r="D76" s="202"/>
      <c r="E76" s="202"/>
      <c r="F76" s="202"/>
      <c r="G76" s="202"/>
      <c r="H76" s="202"/>
      <c r="I76" s="209"/>
      <c r="J76" s="209"/>
      <c r="K76" s="214"/>
      <c r="L76" s="211"/>
      <c r="M76" s="209"/>
      <c r="N76" s="36"/>
      <c r="Q76" s="36"/>
    </row>
    <row r="77" spans="1:17">
      <c r="A77" s="36"/>
      <c r="B77" s="155"/>
      <c r="C77" s="469" t="s">
        <v>34</v>
      </c>
      <c r="D77" s="202"/>
      <c r="E77" s="202"/>
      <c r="F77" s="202"/>
      <c r="G77" s="202"/>
      <c r="H77" s="202"/>
      <c r="I77" s="209"/>
      <c r="J77" s="209"/>
      <c r="K77" s="214"/>
      <c r="L77" s="211"/>
      <c r="M77" s="209"/>
      <c r="N77" s="36"/>
      <c r="Q77" s="36"/>
    </row>
    <row r="78" spans="1:17">
      <c r="A78" s="36"/>
      <c r="B78" s="155"/>
      <c r="C78" s="202"/>
      <c r="D78" s="202"/>
      <c r="E78" s="202"/>
      <c r="F78" s="202"/>
      <c r="G78" s="202"/>
      <c r="H78" s="202"/>
      <c r="I78" s="209"/>
      <c r="J78" s="209"/>
      <c r="K78" s="214"/>
      <c r="L78" s="211"/>
      <c r="M78" s="209"/>
      <c r="N78" s="36"/>
      <c r="Q78" s="36"/>
    </row>
    <row r="79" spans="1:17" ht="16.5">
      <c r="A79" s="36"/>
      <c r="B79" s="155"/>
      <c r="C79" s="448" t="s">
        <v>617</v>
      </c>
      <c r="D79" s="202"/>
      <c r="E79" s="202"/>
      <c r="F79" s="202"/>
      <c r="G79" s="202"/>
      <c r="H79" s="202"/>
      <c r="I79" s="209"/>
      <c r="J79" s="209"/>
      <c r="K79" s="214"/>
      <c r="L79" s="211"/>
      <c r="M79" s="209"/>
      <c r="N79" s="36"/>
      <c r="Q79" s="36"/>
    </row>
    <row r="80" spans="1:17" ht="16.5">
      <c r="A80" s="36"/>
      <c r="B80" s="155"/>
      <c r="C80" s="449" t="s">
        <v>24</v>
      </c>
      <c r="D80" s="202" t="s">
        <v>618</v>
      </c>
      <c r="E80" s="202"/>
      <c r="F80" s="202"/>
      <c r="G80" s="202"/>
      <c r="H80" s="202"/>
      <c r="I80" s="209"/>
      <c r="J80" s="209"/>
      <c r="K80" s="214"/>
      <c r="L80" s="211"/>
      <c r="M80" s="209"/>
      <c r="N80" s="36"/>
      <c r="Q80" s="36"/>
    </row>
    <row r="81" spans="1:17">
      <c r="A81" s="36"/>
      <c r="B81" s="155"/>
      <c r="C81" s="449"/>
      <c r="D81" s="202"/>
      <c r="E81" s="202"/>
      <c r="F81" s="202"/>
      <c r="G81" s="202"/>
      <c r="H81" s="202"/>
      <c r="I81" s="209"/>
      <c r="J81" s="209"/>
      <c r="K81" s="214"/>
      <c r="L81" s="211"/>
      <c r="M81" s="209"/>
      <c r="N81" s="36"/>
      <c r="Q81" s="36"/>
    </row>
    <row r="82" spans="1:17">
      <c r="A82" s="36"/>
      <c r="B82" s="155"/>
      <c r="C82" s="202"/>
      <c r="D82" s="202"/>
      <c r="E82" s="202"/>
      <c r="F82" s="221" t="s">
        <v>573</v>
      </c>
      <c r="G82" s="202"/>
      <c r="H82" s="202"/>
      <c r="I82" s="209"/>
      <c r="J82" s="209"/>
      <c r="K82" s="214"/>
      <c r="L82" s="211"/>
      <c r="M82" s="209"/>
      <c r="N82" s="36"/>
      <c r="Q82" s="36"/>
    </row>
    <row r="83" spans="1:17">
      <c r="A83" s="36"/>
      <c r="B83" s="155"/>
      <c r="C83" s="219" t="s">
        <v>159</v>
      </c>
      <c r="D83" s="221" t="s">
        <v>576</v>
      </c>
      <c r="E83" s="202"/>
      <c r="F83" s="221" t="s">
        <v>116</v>
      </c>
      <c r="G83" s="202"/>
      <c r="H83" s="202"/>
      <c r="I83" s="209"/>
      <c r="J83" s="209"/>
      <c r="K83" s="214"/>
      <c r="L83" s="211"/>
      <c r="M83" s="209"/>
      <c r="N83" s="36"/>
      <c r="Q83" s="36"/>
    </row>
    <row r="84" spans="1:17">
      <c r="A84" s="36"/>
      <c r="B84" s="155"/>
      <c r="C84" s="456" t="s">
        <v>744</v>
      </c>
      <c r="D84" s="221" t="s">
        <v>574</v>
      </c>
      <c r="E84" s="202"/>
      <c r="F84" s="221" t="s">
        <v>575</v>
      </c>
      <c r="G84" s="202"/>
      <c r="H84" s="202"/>
      <c r="I84" s="209"/>
      <c r="J84" s="209"/>
      <c r="K84" s="214"/>
      <c r="L84" s="211"/>
      <c r="M84" s="209"/>
      <c r="N84" s="36"/>
      <c r="Q84" s="36"/>
    </row>
    <row r="85" spans="1:17" ht="15.75" thickBot="1">
      <c r="A85" s="36"/>
      <c r="B85" s="155"/>
      <c r="C85" s="454" t="s">
        <v>115</v>
      </c>
      <c r="D85" s="222" t="s">
        <v>505</v>
      </c>
      <c r="E85" s="230"/>
      <c r="F85" s="222" t="s">
        <v>576</v>
      </c>
      <c r="G85" s="202"/>
      <c r="H85" s="202"/>
      <c r="I85" s="209"/>
      <c r="J85" s="209"/>
      <c r="K85" s="214"/>
      <c r="L85" s="211"/>
      <c r="M85" s="209"/>
      <c r="N85" s="36"/>
      <c r="Q85" s="36"/>
    </row>
    <row r="86" spans="1:17">
      <c r="A86" s="36"/>
      <c r="B86" s="155"/>
      <c r="C86" s="457">
        <f>SUM('F0 - EF0'!G7:G800)+C87</f>
        <v>2822.180000000003</v>
      </c>
      <c r="D86" s="223">
        <v>65</v>
      </c>
      <c r="E86" s="202"/>
      <c r="F86" s="231">
        <f t="shared" ref="F86:F91" si="1">+C86/$C$86</f>
        <v>1</v>
      </c>
      <c r="G86" s="202"/>
      <c r="H86" s="202"/>
      <c r="I86" s="209"/>
      <c r="J86" s="209"/>
      <c r="K86" s="214"/>
      <c r="L86" s="211"/>
      <c r="M86" s="209"/>
      <c r="N86" s="36"/>
      <c r="Q86" s="36"/>
    </row>
    <row r="87" spans="1:17">
      <c r="A87" s="36"/>
      <c r="B87" s="155"/>
      <c r="C87" s="202">
        <f>SUM('F1 - EF1'!G7:G300)+C88</f>
        <v>2095.8200000000002</v>
      </c>
      <c r="D87" s="223">
        <v>86</v>
      </c>
      <c r="E87" s="202"/>
      <c r="F87" s="231">
        <f t="shared" si="1"/>
        <v>0.7426244959570254</v>
      </c>
      <c r="G87" s="202"/>
      <c r="H87" s="202"/>
      <c r="I87" s="209"/>
      <c r="J87" s="209"/>
      <c r="K87" s="214"/>
      <c r="L87" s="211"/>
      <c r="M87" s="209"/>
      <c r="N87" s="36"/>
      <c r="Q87" s="36"/>
    </row>
    <row r="88" spans="1:17">
      <c r="A88" s="36"/>
      <c r="B88" s="155"/>
      <c r="C88" s="202">
        <f>SUM('F2 - EF2'!G7:G200)+C89</f>
        <v>1262.6299999999997</v>
      </c>
      <c r="D88" s="223">
        <v>111</v>
      </c>
      <c r="E88" s="202"/>
      <c r="F88" s="231">
        <f t="shared" si="1"/>
        <v>0.44739527599231738</v>
      </c>
      <c r="G88" s="202"/>
      <c r="H88" s="202"/>
      <c r="I88" s="209"/>
      <c r="J88" s="209"/>
      <c r="K88" s="214"/>
      <c r="L88" s="211"/>
      <c r="M88" s="209"/>
      <c r="N88" s="36"/>
      <c r="Q88" s="36"/>
    </row>
    <row r="89" spans="1:17">
      <c r="A89" s="36"/>
      <c r="B89" s="155"/>
      <c r="C89" s="202">
        <f>SUM('F3 - EF3'!G7:G101)+C90</f>
        <v>679.79</v>
      </c>
      <c r="D89" s="223">
        <v>136</v>
      </c>
      <c r="E89" s="202"/>
      <c r="F89" s="231">
        <f t="shared" si="1"/>
        <v>0.2408740760688543</v>
      </c>
      <c r="G89" s="202"/>
      <c r="H89" s="202"/>
      <c r="I89" s="209"/>
      <c r="J89" s="209"/>
      <c r="K89" s="214"/>
      <c r="L89" s="211"/>
      <c r="M89" s="209"/>
      <c r="N89" s="36"/>
      <c r="Q89" s="36"/>
    </row>
    <row r="90" spans="1:17">
      <c r="A90" s="36"/>
      <c r="B90" s="155"/>
      <c r="C90" s="202">
        <f>SUM('F4 - EF4'!G7:G49)+C91</f>
        <v>329.5</v>
      </c>
      <c r="D90" s="223">
        <v>166</v>
      </c>
      <c r="E90" s="202"/>
      <c r="F90" s="231">
        <f t="shared" si="1"/>
        <v>0.11675371521306212</v>
      </c>
      <c r="G90" s="202"/>
      <c r="H90" s="202"/>
      <c r="I90" s="209"/>
      <c r="J90" s="209"/>
      <c r="K90" s="214"/>
      <c r="L90" s="211"/>
      <c r="M90" s="209"/>
      <c r="N90" s="36"/>
      <c r="Q90" s="36"/>
    </row>
    <row r="91" spans="1:17">
      <c r="A91" s="36"/>
      <c r="B91" s="155"/>
      <c r="C91" s="202">
        <f>SUM('EF5'!G7:G20)</f>
        <v>35</v>
      </c>
      <c r="D91" s="223" t="s">
        <v>568</v>
      </c>
      <c r="E91" s="202"/>
      <c r="F91" s="231">
        <f t="shared" si="1"/>
        <v>1.2401760341296432E-2</v>
      </c>
      <c r="G91" s="202"/>
      <c r="H91" s="202"/>
      <c r="I91" s="209"/>
      <c r="J91" s="209"/>
      <c r="K91" s="214"/>
      <c r="L91" s="211"/>
      <c r="M91" s="209"/>
      <c r="N91" s="36"/>
      <c r="Q91" s="36"/>
    </row>
    <row r="92" spans="1:17">
      <c r="A92" s="36"/>
      <c r="B92" s="155"/>
      <c r="C92" s="202"/>
      <c r="D92" s="223"/>
      <c r="E92" s="202"/>
      <c r="F92" s="231"/>
      <c r="G92" s="202"/>
      <c r="H92" s="202"/>
      <c r="I92" s="209"/>
      <c r="J92" s="209"/>
      <c r="K92" s="214"/>
      <c r="L92" s="211"/>
      <c r="M92" s="209"/>
      <c r="N92" s="36"/>
      <c r="Q92" s="36"/>
    </row>
    <row r="93" spans="1:17">
      <c r="A93" s="36"/>
      <c r="B93" s="155"/>
      <c r="C93" s="441" t="s">
        <v>813</v>
      </c>
      <c r="D93" s="202"/>
      <c r="E93" s="202"/>
      <c r="F93" s="202"/>
      <c r="G93" s="202"/>
      <c r="H93" s="202"/>
      <c r="I93" s="209"/>
      <c r="J93" s="209"/>
      <c r="K93" s="214"/>
      <c r="L93" s="211"/>
      <c r="M93" s="209"/>
      <c r="N93" s="36"/>
      <c r="Q93" s="36"/>
    </row>
    <row r="94" spans="1:17" ht="15.75" thickBot="1">
      <c r="A94" s="36"/>
      <c r="B94" s="155"/>
      <c r="C94" s="202"/>
      <c r="D94" s="202"/>
      <c r="E94" s="202"/>
      <c r="F94" s="202"/>
      <c r="G94" s="202"/>
      <c r="H94" s="202"/>
      <c r="I94" s="209"/>
      <c r="J94" s="209"/>
      <c r="K94" s="214"/>
      <c r="L94" s="211"/>
      <c r="M94" s="209"/>
      <c r="N94" s="36"/>
      <c r="Q94" s="36"/>
    </row>
    <row r="95" spans="1:17" ht="15.75" thickTop="1">
      <c r="A95" s="36"/>
      <c r="B95" s="155"/>
      <c r="C95" s="1195" t="s">
        <v>31</v>
      </c>
      <c r="D95" s="1196"/>
      <c r="E95" s="1197"/>
      <c r="F95" s="219"/>
      <c r="G95" s="202"/>
      <c r="H95" s="202"/>
      <c r="I95" s="209"/>
      <c r="J95" s="209"/>
      <c r="K95" s="214"/>
      <c r="L95" s="211"/>
      <c r="M95" s="209"/>
      <c r="N95" s="36"/>
      <c r="Q95" s="36"/>
    </row>
    <row r="96" spans="1:17">
      <c r="A96" s="36"/>
      <c r="B96" s="155"/>
      <c r="C96" s="442"/>
      <c r="D96" s="221" t="s">
        <v>574</v>
      </c>
      <c r="E96" s="224"/>
      <c r="F96" s="202"/>
      <c r="G96" s="202"/>
      <c r="H96" s="202"/>
      <c r="I96" s="209"/>
      <c r="J96" s="209"/>
      <c r="K96" s="214"/>
      <c r="L96" s="211"/>
      <c r="M96" s="209"/>
      <c r="N96" s="36"/>
      <c r="Q96" s="36"/>
    </row>
    <row r="97" spans="1:17" ht="15.75" thickBot="1">
      <c r="A97" s="36"/>
      <c r="B97" s="155"/>
      <c r="C97" s="475" t="s">
        <v>30</v>
      </c>
      <c r="D97" s="222" t="s">
        <v>505</v>
      </c>
      <c r="E97" s="225"/>
      <c r="F97" s="202"/>
      <c r="G97" s="202"/>
      <c r="H97" s="202"/>
      <c r="I97" s="209"/>
      <c r="J97" s="209"/>
      <c r="K97" s="214"/>
      <c r="L97" s="211"/>
      <c r="M97" s="209"/>
      <c r="N97" s="36"/>
      <c r="Q97" s="36"/>
    </row>
    <row r="98" spans="1:17">
      <c r="A98" s="36"/>
      <c r="B98" s="155"/>
      <c r="C98" s="477">
        <f t="shared" ref="C98:C103" si="2">+$D$74*F86</f>
        <v>6.0621564108129249E-5</v>
      </c>
      <c r="D98" s="223">
        <v>65</v>
      </c>
      <c r="E98" s="224"/>
      <c r="F98" s="202"/>
      <c r="G98" s="202"/>
      <c r="H98" s="202"/>
      <c r="I98" s="209"/>
      <c r="J98" s="209"/>
      <c r="K98" s="214"/>
      <c r="L98" s="211"/>
      <c r="M98" s="209"/>
      <c r="N98" s="36"/>
      <c r="Q98" s="36"/>
    </row>
    <row r="99" spans="1:17">
      <c r="A99" s="36"/>
      <c r="B99" s="155"/>
      <c r="C99" s="477">
        <f t="shared" si="2"/>
        <v>4.5019058489925987E-5</v>
      </c>
      <c r="D99" s="223">
        <v>86</v>
      </c>
      <c r="E99" s="224"/>
      <c r="F99" s="202"/>
      <c r="G99" s="202"/>
      <c r="H99" s="202"/>
      <c r="I99" s="209"/>
      <c r="J99" s="209"/>
      <c r="K99" s="214"/>
      <c r="L99" s="211"/>
      <c r="M99" s="209"/>
      <c r="N99" s="36"/>
      <c r="Q99" s="36"/>
    </row>
    <row r="100" spans="1:17">
      <c r="A100" s="36"/>
      <c r="B100" s="155"/>
      <c r="C100" s="477">
        <f t="shared" si="2"/>
        <v>2.7121801405242447E-5</v>
      </c>
      <c r="D100" s="223">
        <v>111</v>
      </c>
      <c r="E100" s="224"/>
      <c r="F100" s="202"/>
      <c r="G100" s="202"/>
      <c r="H100" s="202"/>
      <c r="I100" s="209"/>
      <c r="J100" s="209"/>
      <c r="K100" s="214"/>
      <c r="L100" s="211"/>
      <c r="M100" s="209"/>
      <c r="N100" s="36"/>
      <c r="Q100" s="36"/>
    </row>
    <row r="101" spans="1:17">
      <c r="A101" s="36"/>
      <c r="B101" s="155"/>
      <c r="C101" s="477">
        <f t="shared" si="2"/>
        <v>1.4602163244394453E-5</v>
      </c>
      <c r="D101" s="223">
        <v>136</v>
      </c>
      <c r="E101" s="224"/>
      <c r="F101" s="202"/>
      <c r="G101" s="202"/>
      <c r="H101" s="202"/>
      <c r="I101" s="209"/>
      <c r="J101" s="209"/>
      <c r="K101" s="214"/>
      <c r="L101" s="211"/>
      <c r="M101" s="209"/>
      <c r="N101" s="36"/>
      <c r="Q101" s="36"/>
    </row>
    <row r="102" spans="1:17">
      <c r="A102" s="36"/>
      <c r="B102" s="155"/>
      <c r="C102" s="477">
        <f t="shared" si="2"/>
        <v>7.0777928316509103E-6</v>
      </c>
      <c r="D102" s="223">
        <v>166</v>
      </c>
      <c r="E102" s="224"/>
      <c r="F102" s="202"/>
      <c r="G102" s="202"/>
      <c r="H102" s="202"/>
      <c r="I102" s="209"/>
      <c r="J102" s="209"/>
      <c r="K102" s="214"/>
      <c r="L102" s="211"/>
      <c r="M102" s="209"/>
      <c r="N102" s="36"/>
      <c r="Q102" s="36"/>
    </row>
    <row r="103" spans="1:17" ht="15.75" thickBot="1">
      <c r="A103" s="36"/>
      <c r="B103" s="155"/>
      <c r="C103" s="479">
        <f t="shared" si="2"/>
        <v>7.5181410958355645E-7</v>
      </c>
      <c r="D103" s="226">
        <v>200</v>
      </c>
      <c r="E103" s="227"/>
      <c r="F103" s="202"/>
      <c r="G103" s="202"/>
      <c r="H103" s="202"/>
      <c r="I103" s="209"/>
      <c r="J103" s="209"/>
      <c r="K103" s="214"/>
      <c r="L103" s="211"/>
      <c r="M103" s="209"/>
      <c r="N103" s="36"/>
      <c r="Q103" s="36"/>
    </row>
    <row r="104" spans="1:17" ht="16.5" thickTop="1" thickBot="1">
      <c r="A104" s="36"/>
      <c r="B104" s="461"/>
      <c r="C104" s="485"/>
      <c r="D104" s="485"/>
      <c r="E104" s="485"/>
      <c r="F104" s="485"/>
      <c r="G104" s="485"/>
      <c r="H104" s="485"/>
      <c r="I104" s="486"/>
      <c r="J104" s="486"/>
      <c r="K104" s="487"/>
      <c r="L104" s="211"/>
      <c r="M104" s="209"/>
      <c r="N104" s="36"/>
      <c r="Q104" s="36"/>
    </row>
    <row r="105" spans="1:17" ht="20.25">
      <c r="A105" s="36"/>
      <c r="B105" s="155"/>
      <c r="C105" s="458" t="s">
        <v>36</v>
      </c>
      <c r="D105" s="160"/>
      <c r="E105" s="160"/>
      <c r="F105" s="160"/>
      <c r="G105" s="161"/>
      <c r="H105" s="160"/>
      <c r="I105" s="162"/>
      <c r="J105" s="162"/>
      <c r="K105" s="163"/>
      <c r="L105" s="243"/>
      <c r="M105" s="160"/>
      <c r="N105" s="36"/>
      <c r="Q105" s="36"/>
    </row>
    <row r="106" spans="1:17" ht="30" customHeight="1">
      <c r="A106" s="36"/>
      <c r="B106" s="155"/>
      <c r="C106" s="1198" t="s">
        <v>26</v>
      </c>
      <c r="D106" s="1199"/>
      <c r="E106" s="1199"/>
      <c r="F106" s="1199"/>
      <c r="G106" s="1199"/>
      <c r="H106" s="1199"/>
      <c r="I106" s="1199"/>
      <c r="J106" s="1199"/>
      <c r="K106" s="1200"/>
      <c r="L106" s="220"/>
      <c r="M106" s="234"/>
      <c r="N106" s="36"/>
      <c r="Q106" s="36"/>
    </row>
    <row r="107" spans="1:17">
      <c r="A107" s="36"/>
      <c r="B107" s="155"/>
      <c r="C107" s="207"/>
      <c r="D107" s="207"/>
      <c r="E107" s="207"/>
      <c r="F107" s="207"/>
      <c r="G107" s="206"/>
      <c r="H107" s="207"/>
      <c r="I107" s="232"/>
      <c r="J107" s="232"/>
      <c r="K107" s="208"/>
      <c r="L107" s="204"/>
      <c r="M107" s="207"/>
      <c r="N107" s="36"/>
      <c r="Q107" s="36"/>
    </row>
    <row r="108" spans="1:17" ht="16.5">
      <c r="A108" s="36"/>
      <c r="B108" s="155"/>
      <c r="C108" s="448" t="s">
        <v>619</v>
      </c>
      <c r="D108" s="207"/>
      <c r="E108" s="207"/>
      <c r="F108" s="207"/>
      <c r="G108" s="206"/>
      <c r="H108" s="202"/>
      <c r="I108" s="209"/>
      <c r="J108" s="232"/>
      <c r="K108" s="208"/>
      <c r="L108" s="204"/>
      <c r="M108" s="207"/>
      <c r="N108" s="36"/>
      <c r="Q108" s="36"/>
    </row>
    <row r="109" spans="1:17" ht="15.75" thickBot="1">
      <c r="A109" s="36"/>
      <c r="B109" s="155"/>
      <c r="C109" s="202"/>
      <c r="D109" s="202"/>
      <c r="E109" s="202"/>
      <c r="F109" s="202"/>
      <c r="G109" s="202"/>
      <c r="H109" s="441"/>
      <c r="I109" s="470"/>
      <c r="J109" s="209"/>
      <c r="K109" s="214"/>
      <c r="L109" s="211"/>
      <c r="M109" s="209"/>
      <c r="N109" s="36"/>
      <c r="Q109" s="36"/>
    </row>
    <row r="110" spans="1:17" ht="16.5" thickTop="1" thickBot="1">
      <c r="A110" s="36"/>
      <c r="B110" s="155"/>
      <c r="C110" s="738" t="s">
        <v>574</v>
      </c>
      <c r="D110" s="739" t="s">
        <v>220</v>
      </c>
      <c r="E110" s="202"/>
      <c r="G110" s="202"/>
      <c r="H110" s="202"/>
      <c r="I110" s="209"/>
      <c r="J110" s="209"/>
      <c r="K110" s="214"/>
      <c r="L110" s="211"/>
      <c r="M110" s="209"/>
      <c r="N110" s="36"/>
      <c r="Q110" s="36"/>
    </row>
    <row r="111" spans="1:17" ht="16.5" customHeight="1" thickTop="1" thickBot="1">
      <c r="A111" s="36"/>
      <c r="B111" s="155"/>
      <c r="C111" s="740" t="s">
        <v>505</v>
      </c>
      <c r="D111" s="741" t="s">
        <v>30</v>
      </c>
      <c r="E111" s="202"/>
      <c r="G111" s="754" t="s">
        <v>959</v>
      </c>
      <c r="H111" s="755" t="s">
        <v>30</v>
      </c>
      <c r="I111" s="756" t="s">
        <v>960</v>
      </c>
      <c r="J111" s="1189" t="s">
        <v>962</v>
      </c>
      <c r="K111" s="1190"/>
      <c r="L111" s="209"/>
      <c r="M111" s="209"/>
      <c r="N111" s="36"/>
      <c r="Q111" s="36"/>
    </row>
    <row r="112" spans="1:17">
      <c r="A112" s="36"/>
      <c r="B112" s="155"/>
      <c r="C112" s="742">
        <v>65</v>
      </c>
      <c r="D112" s="743">
        <f t="shared" ref="D112:D117" si="3">+C49+C98</f>
        <v>3.9177990813470289E-4</v>
      </c>
      <c r="E112" s="202"/>
      <c r="F112" s="223"/>
      <c r="G112" s="871">
        <f>LN(H112/0.0072)/-0.041</f>
        <v>143.56351296219893</v>
      </c>
      <c r="H112" s="737">
        <v>2.0000000000000002E-5</v>
      </c>
      <c r="I112" s="749" t="s">
        <v>5</v>
      </c>
      <c r="J112" s="1191"/>
      <c r="K112" s="1192"/>
      <c r="L112" s="209"/>
      <c r="M112" s="209"/>
      <c r="N112" s="36"/>
      <c r="Q112" s="36"/>
    </row>
    <row r="113" spans="1:17">
      <c r="A113" s="36"/>
      <c r="B113" s="155"/>
      <c r="C113" s="742">
        <v>86</v>
      </c>
      <c r="D113" s="744">
        <f t="shared" si="3"/>
        <v>1.7692274268969629E-4</v>
      </c>
      <c r="E113" s="202"/>
      <c r="F113" s="223"/>
      <c r="G113" s="747"/>
      <c r="H113" s="494"/>
      <c r="I113" s="750"/>
      <c r="J113" s="1191"/>
      <c r="K113" s="1192"/>
      <c r="L113" s="209"/>
      <c r="M113" s="209"/>
      <c r="N113" s="36"/>
      <c r="Q113" s="36"/>
    </row>
    <row r="114" spans="1:17" ht="15.75" thickBot="1">
      <c r="A114" s="36"/>
      <c r="B114" s="155"/>
      <c r="C114" s="742">
        <v>111</v>
      </c>
      <c r="D114" s="744">
        <f t="shared" si="3"/>
        <v>8.5086692158797215E-5</v>
      </c>
      <c r="E114" s="202"/>
      <c r="F114" s="223"/>
      <c r="G114" s="870">
        <f>LN(H114/0.0072)/-0.041</f>
        <v>199.72412498644391</v>
      </c>
      <c r="H114" s="748">
        <v>1.9999999999999999E-6</v>
      </c>
      <c r="I114" s="751" t="s">
        <v>6</v>
      </c>
      <c r="J114" s="1193"/>
      <c r="K114" s="1194"/>
      <c r="L114" s="209"/>
      <c r="M114" s="209"/>
      <c r="N114" s="36"/>
      <c r="Q114" s="36"/>
    </row>
    <row r="115" spans="1:17" ht="15.75" customHeight="1" thickTop="1">
      <c r="A115" s="36"/>
      <c r="B115" s="155"/>
      <c r="C115" s="742">
        <v>136</v>
      </c>
      <c r="D115" s="744">
        <f t="shared" si="3"/>
        <v>2.8720692979171817E-5</v>
      </c>
      <c r="E115" s="202"/>
      <c r="F115" s="223"/>
      <c r="G115" s="1180" t="s">
        <v>1274</v>
      </c>
      <c r="H115" s="1180"/>
      <c r="I115" s="1180"/>
      <c r="J115" s="1180"/>
      <c r="K115" s="1181"/>
      <c r="L115" s="211"/>
      <c r="M115" s="209"/>
      <c r="N115" s="36"/>
      <c r="Q115" s="36"/>
    </row>
    <row r="116" spans="1:17">
      <c r="A116" s="36"/>
      <c r="B116" s="155"/>
      <c r="C116" s="742">
        <v>166</v>
      </c>
      <c r="D116" s="744">
        <f t="shared" si="3"/>
        <v>1.0796440913742425E-5</v>
      </c>
      <c r="E116" s="209"/>
      <c r="F116" s="223"/>
      <c r="G116" s="1182"/>
      <c r="H116" s="1182"/>
      <c r="I116" s="1182"/>
      <c r="J116" s="1182"/>
      <c r="K116" s="1183"/>
      <c r="L116" s="218"/>
      <c r="M116" s="202"/>
      <c r="N116" s="36"/>
      <c r="Q116" s="36"/>
    </row>
    <row r="117" spans="1:17" ht="15.75" thickBot="1">
      <c r="A117" s="36"/>
      <c r="B117" s="155"/>
      <c r="C117" s="745">
        <v>200</v>
      </c>
      <c r="D117" s="746">
        <f t="shared" si="3"/>
        <v>1.0251351090196884E-6</v>
      </c>
      <c r="E117" s="201"/>
      <c r="F117" s="223"/>
      <c r="G117" s="1182"/>
      <c r="H117" s="1182"/>
      <c r="I117" s="1182"/>
      <c r="J117" s="1182"/>
      <c r="K117" s="1183"/>
      <c r="L117" s="215"/>
      <c r="M117" s="200"/>
      <c r="N117" s="36"/>
      <c r="O117" s="36"/>
      <c r="P117" s="36"/>
    </row>
    <row r="118" spans="1:17" ht="16.5" thickTop="1" thickBot="1">
      <c r="B118" s="459"/>
      <c r="C118" s="488"/>
      <c r="D118" s="489"/>
      <c r="E118" s="489"/>
      <c r="F118" s="489"/>
      <c r="G118" s="1184"/>
      <c r="H118" s="1184"/>
      <c r="I118" s="1184"/>
      <c r="J118" s="1184"/>
      <c r="K118" s="1185"/>
      <c r="L118" s="1"/>
      <c r="M118" s="1"/>
    </row>
    <row r="119" spans="1:17" ht="15.75" thickTop="1">
      <c r="C119" s="6"/>
      <c r="D119" s="1"/>
      <c r="E119" s="1"/>
      <c r="F119" s="1"/>
      <c r="G119" s="1"/>
      <c r="H119" s="1"/>
      <c r="I119" s="1"/>
      <c r="J119" s="1"/>
      <c r="K119" s="1"/>
      <c r="L119" s="1"/>
      <c r="M119" s="1"/>
    </row>
    <row r="120" spans="1:17"/>
    <row r="121" spans="1:17"/>
    <row r="122" spans="1:17"/>
    <row r="123" spans="1:17"/>
    <row r="124" spans="1:17"/>
    <row r="125" spans="1:17"/>
    <row r="126" spans="1:17"/>
    <row r="127" spans="1:17"/>
    <row r="128" spans="1:17"/>
    <row r="129"/>
    <row r="130"/>
    <row r="131"/>
    <row r="132"/>
    <row r="133"/>
    <row r="134"/>
    <row r="135"/>
    <row r="136"/>
    <row r="137"/>
    <row r="138"/>
    <row r="139"/>
    <row r="140"/>
    <row r="141"/>
    <row r="142"/>
    <row r="143"/>
    <row r="144"/>
    <row r="145" spans="3:11" ht="15.75">
      <c r="D145" s="315" t="s">
        <v>961</v>
      </c>
    </row>
    <row r="146" spans="3:11"/>
    <row r="147" spans="3:11">
      <c r="C147" s="361" t="s">
        <v>971</v>
      </c>
      <c r="D147" s="348"/>
      <c r="E147" s="348"/>
      <c r="F147" s="348"/>
      <c r="G147" s="348"/>
      <c r="H147" s="348"/>
      <c r="I147" s="348"/>
      <c r="J147" s="348"/>
      <c r="K147" s="349"/>
    </row>
    <row r="148" spans="3:11">
      <c r="C148" s="341" t="s">
        <v>973</v>
      </c>
      <c r="D148" s="769"/>
      <c r="E148" s="342"/>
      <c r="F148" s="770"/>
      <c r="G148" s="342"/>
      <c r="H148" s="342"/>
      <c r="I148" s="342"/>
      <c r="J148" s="342"/>
      <c r="K148" s="344"/>
    </row>
    <row r="149" spans="3:11">
      <c r="C149" s="772" t="s">
        <v>972</v>
      </c>
      <c r="D149" s="346"/>
      <c r="E149" s="346"/>
      <c r="F149" s="346"/>
      <c r="G149" s="346"/>
      <c r="H149" s="771"/>
      <c r="I149" s="346"/>
      <c r="J149" s="346"/>
      <c r="K149" s="347"/>
    </row>
    <row r="150" spans="3:11"/>
    <row r="151" spans="3:11"/>
    <row r="152" spans="3:11"/>
  </sheetData>
  <customSheetViews>
    <customSheetView guid="{CFA9FB8A-52FF-44B9-AE70-27339693E196}">
      <selection activeCell="G15" sqref="G15"/>
      <rowBreaks count="2" manualBreakCount="2">
        <brk id="46" max="16383" man="1"/>
        <brk id="93" max="16383" man="1"/>
      </rowBreaks>
      <pageMargins left="0.75" right="0.75" top="1" bottom="1" header="0.5" footer="0.5"/>
      <pageSetup scale="82" orientation="portrait" r:id="rId1"/>
      <headerFooter alignWithMargins="0"/>
    </customSheetView>
  </customSheetViews>
  <mergeCells count="8">
    <mergeCell ref="G115:K118"/>
    <mergeCell ref="B2:K2"/>
    <mergeCell ref="J111:K114"/>
    <mergeCell ref="C95:E95"/>
    <mergeCell ref="C106:K106"/>
    <mergeCell ref="C12:K12"/>
    <mergeCell ref="C57:K57"/>
    <mergeCell ref="C46:D46"/>
  </mergeCells>
  <phoneticPr fontId="18" type="noConversion"/>
  <printOptions horizontalCentered="1"/>
  <pageMargins left="0.75" right="0.75" top="1.25" bottom="0.5" header="0.5" footer="0"/>
  <pageSetup orientation="landscape" r:id="rId2"/>
  <headerFooter scaleWithDoc="0">
    <oddFooter>Page &amp;P of &amp;N</oddFooter>
  </headerFooter>
  <rowBreaks count="3" manualBreakCount="3">
    <brk id="55" min="1" max="10" man="1"/>
    <brk id="75" min="1" max="10" man="1"/>
    <brk id="119" min="1" max="10" man="1"/>
  </rowBreaks>
  <cellWatches>
    <cellWatch r="J88"/>
  </cellWatch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2"/>
  <sheetViews>
    <sheetView topLeftCell="A10" zoomScaleNormal="100" workbookViewId="0">
      <selection activeCell="D15" sqref="D15"/>
    </sheetView>
    <sheetView topLeftCell="A10" workbookViewId="1">
      <selection activeCell="D12" sqref="D12"/>
    </sheetView>
  </sheetViews>
  <sheetFormatPr defaultColWidth="0" defaultRowHeight="15" zeroHeight="1"/>
  <cols>
    <col min="1" max="2" width="8.88671875" customWidth="1"/>
    <col min="3" max="3" width="11.109375" customWidth="1"/>
    <col min="4" max="4" width="71" customWidth="1"/>
    <col min="5" max="5" width="8.88671875" style="337" customWidth="1"/>
  </cols>
  <sheetData>
    <row r="1" spans="1:5" s="362" customFormat="1" ht="15" customHeight="1" thickBot="1">
      <c r="A1" s="361"/>
      <c r="E1" s="348"/>
    </row>
    <row r="2" spans="1:5" ht="21" thickTop="1">
      <c r="A2" s="337"/>
      <c r="B2" s="1049" t="s">
        <v>651</v>
      </c>
      <c r="C2" s="1050"/>
      <c r="D2" s="1051"/>
    </row>
    <row r="3" spans="1:5" s="40" customFormat="1" ht="16.5" thickBot="1">
      <c r="A3" s="358"/>
      <c r="B3" s="773" t="s">
        <v>650</v>
      </c>
      <c r="C3" s="774" t="s">
        <v>165</v>
      </c>
      <c r="D3" s="775" t="s">
        <v>649</v>
      </c>
      <c r="E3" s="358"/>
    </row>
    <row r="4" spans="1:5" ht="15.75" thickTop="1">
      <c r="A4" s="337"/>
      <c r="B4" s="925" t="s">
        <v>653</v>
      </c>
      <c r="C4" s="926">
        <v>40233</v>
      </c>
      <c r="D4" s="837" t="s">
        <v>652</v>
      </c>
    </row>
    <row r="5" spans="1:5" ht="105">
      <c r="A5" s="337"/>
      <c r="B5" s="923" t="s">
        <v>676</v>
      </c>
      <c r="C5" s="924">
        <v>40277</v>
      </c>
      <c r="D5" s="836" t="s">
        <v>1156</v>
      </c>
    </row>
    <row r="6" spans="1:5" ht="75">
      <c r="A6" s="337"/>
      <c r="B6" s="923" t="s">
        <v>963</v>
      </c>
      <c r="C6" s="924">
        <v>40473</v>
      </c>
      <c r="D6" s="836" t="s">
        <v>970</v>
      </c>
    </row>
    <row r="7" spans="1:5" ht="45">
      <c r="A7" s="337"/>
      <c r="B7" s="923" t="s">
        <v>995</v>
      </c>
      <c r="C7" s="924">
        <v>40710</v>
      </c>
      <c r="D7" s="836" t="s">
        <v>996</v>
      </c>
    </row>
    <row r="8" spans="1:5" ht="105" customHeight="1">
      <c r="A8" s="337"/>
      <c r="B8" s="923" t="s">
        <v>1001</v>
      </c>
      <c r="C8" s="924">
        <v>40980</v>
      </c>
      <c r="D8" s="836" t="s">
        <v>1034</v>
      </c>
    </row>
    <row r="9" spans="1:5" ht="105">
      <c r="A9" s="337"/>
      <c r="B9" s="923" t="s">
        <v>1041</v>
      </c>
      <c r="C9" s="924">
        <v>41308</v>
      </c>
      <c r="D9" s="836" t="s">
        <v>1159</v>
      </c>
    </row>
    <row r="10" spans="1:5" ht="75">
      <c r="A10" s="337"/>
      <c r="B10" s="923" t="s">
        <v>1158</v>
      </c>
      <c r="C10" s="924">
        <v>41665</v>
      </c>
      <c r="D10" s="836" t="s">
        <v>1197</v>
      </c>
    </row>
    <row r="11" spans="1:5" ht="30">
      <c r="A11" s="337"/>
      <c r="B11" s="923" t="s">
        <v>1266</v>
      </c>
      <c r="C11" s="924">
        <v>42045</v>
      </c>
      <c r="D11" s="836" t="s">
        <v>1280</v>
      </c>
    </row>
    <row r="12" spans="1:5" s="918" customFormat="1" ht="30">
      <c r="A12" s="337"/>
      <c r="B12" s="776" t="s">
        <v>1282</v>
      </c>
      <c r="C12" s="777">
        <v>42501</v>
      </c>
      <c r="D12" s="836" t="s">
        <v>1357</v>
      </c>
      <c r="E12" s="337"/>
    </row>
    <row r="13" spans="1:5" s="918" customFormat="1">
      <c r="A13" s="337"/>
      <c r="B13" s="776"/>
      <c r="C13" s="777"/>
      <c r="D13" s="836"/>
      <c r="E13" s="337"/>
    </row>
    <row r="14" spans="1:5" s="918" customFormat="1">
      <c r="A14" s="337"/>
      <c r="B14" s="776"/>
      <c r="C14" s="777"/>
      <c r="D14" s="836"/>
      <c r="E14" s="337"/>
    </row>
    <row r="15" spans="1:5" s="918" customFormat="1">
      <c r="A15" s="337"/>
      <c r="B15" s="776"/>
      <c r="C15" s="777"/>
      <c r="D15" s="836"/>
      <c r="E15" s="337"/>
    </row>
    <row r="16" spans="1:5" s="918" customFormat="1">
      <c r="A16" s="337"/>
      <c r="B16" s="776"/>
      <c r="C16" s="777"/>
      <c r="D16" s="836"/>
      <c r="E16" s="337"/>
    </row>
    <row r="17" spans="1:5" s="918" customFormat="1">
      <c r="A17" s="337"/>
      <c r="B17" s="776"/>
      <c r="C17" s="777"/>
      <c r="D17" s="836"/>
      <c r="E17" s="337"/>
    </row>
    <row r="18" spans="1:5" s="918" customFormat="1">
      <c r="A18" s="337"/>
      <c r="B18" s="776"/>
      <c r="C18" s="777"/>
      <c r="D18" s="836"/>
      <c r="E18" s="337"/>
    </row>
    <row r="19" spans="1:5" s="918" customFormat="1">
      <c r="A19" s="337"/>
      <c r="B19" s="776"/>
      <c r="C19" s="777"/>
      <c r="D19" s="836"/>
      <c r="E19" s="337"/>
    </row>
    <row r="20" spans="1:5">
      <c r="A20" s="337"/>
      <c r="B20" s="776"/>
      <c r="C20" s="778"/>
      <c r="D20" s="836"/>
    </row>
    <row r="21" spans="1:5" ht="15.75" thickBot="1">
      <c r="A21" s="337"/>
      <c r="B21" s="779"/>
      <c r="C21" s="780"/>
      <c r="D21" s="781"/>
    </row>
    <row r="22" spans="1:5" s="348" customFormat="1" ht="15.75" thickTop="1">
      <c r="A22" s="341"/>
      <c r="B22" s="359"/>
      <c r="C22" s="359"/>
      <c r="D22" s="359"/>
      <c r="E22" s="342"/>
    </row>
    <row r="23" spans="1:5" s="346" customFormat="1" hidden="1">
      <c r="A23" s="345"/>
      <c r="B23" s="360"/>
      <c r="C23" s="360"/>
      <c r="D23" s="360"/>
      <c r="E23" s="342"/>
    </row>
    <row r="24" spans="1:5" hidden="1">
      <c r="B24" s="352"/>
      <c r="C24" s="352"/>
      <c r="D24" s="352"/>
    </row>
    <row r="25" spans="1:5" hidden="1">
      <c r="B25" s="352"/>
      <c r="C25" s="352"/>
      <c r="D25" s="352"/>
    </row>
    <row r="26" spans="1:5" hidden="1">
      <c r="B26" s="352"/>
      <c r="C26" s="352"/>
      <c r="D26" s="352"/>
    </row>
    <row r="27" spans="1:5" hidden="1">
      <c r="B27" s="352"/>
      <c r="C27" s="352"/>
      <c r="D27" s="352"/>
    </row>
    <row r="28" spans="1:5" hidden="1">
      <c r="B28" s="352"/>
      <c r="C28" s="352"/>
      <c r="D28" s="352"/>
    </row>
    <row r="29" spans="1:5" hidden="1">
      <c r="B29" s="352"/>
      <c r="C29" s="352"/>
      <c r="D29" s="352"/>
    </row>
    <row r="30" spans="1:5" hidden="1">
      <c r="B30" s="352"/>
      <c r="C30" s="352"/>
      <c r="D30" s="352"/>
    </row>
    <row r="31" spans="1:5" hidden="1">
      <c r="B31" s="352"/>
      <c r="C31" s="352"/>
      <c r="D31" s="352"/>
    </row>
    <row r="32" spans="1:5" hidden="1">
      <c r="B32" s="352"/>
      <c r="C32" s="352"/>
      <c r="D32" s="352"/>
    </row>
    <row r="33" spans="2:4" hidden="1">
      <c r="B33" s="352"/>
      <c r="C33" s="352"/>
      <c r="D33" s="352"/>
    </row>
    <row r="34" spans="2:4" hidden="1">
      <c r="B34" s="352"/>
      <c r="C34" s="352"/>
      <c r="D34" s="352"/>
    </row>
    <row r="35" spans="2:4" hidden="1">
      <c r="B35" s="352"/>
      <c r="C35" s="352"/>
      <c r="D35" s="352"/>
    </row>
    <row r="36" spans="2:4" hidden="1">
      <c r="B36" s="352"/>
      <c r="C36" s="352"/>
      <c r="D36" s="352"/>
    </row>
    <row r="37" spans="2:4" hidden="1">
      <c r="B37" s="352"/>
      <c r="C37" s="352"/>
      <c r="D37" s="352"/>
    </row>
    <row r="38" spans="2:4" hidden="1">
      <c r="B38" s="352"/>
      <c r="C38" s="352"/>
      <c r="D38" s="352"/>
    </row>
    <row r="39" spans="2:4" hidden="1">
      <c r="B39" s="352"/>
      <c r="C39" s="352"/>
      <c r="D39" s="352"/>
    </row>
    <row r="40" spans="2:4" hidden="1">
      <c r="B40" s="352"/>
      <c r="C40" s="352"/>
      <c r="D40" s="352"/>
    </row>
    <row r="41" spans="2:4" hidden="1">
      <c r="B41" s="352"/>
      <c r="C41" s="352"/>
      <c r="D41" s="352"/>
    </row>
    <row r="42" spans="2:4" hidden="1">
      <c r="B42" s="352"/>
      <c r="C42" s="352"/>
      <c r="D42" s="352"/>
    </row>
    <row r="43" spans="2:4" hidden="1">
      <c r="B43" s="352"/>
      <c r="C43" s="352"/>
      <c r="D43" s="352"/>
    </row>
    <row r="44" spans="2:4" hidden="1">
      <c r="B44" s="352"/>
      <c r="C44" s="352"/>
      <c r="D44" s="352"/>
    </row>
    <row r="45" spans="2:4" hidden="1">
      <c r="B45" s="352"/>
      <c r="C45" s="352"/>
      <c r="D45" s="352"/>
    </row>
    <row r="46" spans="2:4" hidden="1">
      <c r="B46" s="352"/>
      <c r="C46" s="352"/>
      <c r="D46" s="352"/>
    </row>
    <row r="47" spans="2:4" hidden="1">
      <c r="B47" s="352"/>
      <c r="C47" s="352"/>
      <c r="D47" s="352"/>
    </row>
    <row r="48" spans="2:4" hidden="1">
      <c r="B48" s="352"/>
      <c r="C48" s="352"/>
      <c r="D48" s="352"/>
    </row>
    <row r="49" spans="2:4" hidden="1">
      <c r="B49" s="352"/>
      <c r="C49" s="352"/>
      <c r="D49" s="352"/>
    </row>
    <row r="50" spans="2:4" hidden="1">
      <c r="B50" s="352"/>
      <c r="C50" s="352"/>
      <c r="D50" s="352"/>
    </row>
    <row r="51" spans="2:4" hidden="1">
      <c r="B51" s="352"/>
      <c r="C51" s="352"/>
      <c r="D51" s="352"/>
    </row>
    <row r="52" spans="2:4" hidden="1">
      <c r="B52" s="352"/>
      <c r="C52" s="352"/>
      <c r="D52" s="352"/>
    </row>
    <row r="53" spans="2:4" hidden="1">
      <c r="B53" s="352"/>
      <c r="C53" s="352"/>
      <c r="D53" s="352"/>
    </row>
    <row r="54" spans="2:4" hidden="1">
      <c r="B54" s="352"/>
      <c r="C54" s="352"/>
      <c r="D54" s="352"/>
    </row>
    <row r="55" spans="2:4" hidden="1">
      <c r="B55" s="352"/>
      <c r="C55" s="352"/>
      <c r="D55" s="352"/>
    </row>
    <row r="56" spans="2:4" hidden="1">
      <c r="B56" s="352"/>
      <c r="C56" s="352"/>
      <c r="D56" s="352"/>
    </row>
    <row r="57" spans="2:4" hidden="1">
      <c r="B57" s="352"/>
      <c r="C57" s="352"/>
      <c r="D57" s="352"/>
    </row>
    <row r="58" spans="2:4" hidden="1">
      <c r="B58" s="352"/>
      <c r="C58" s="352"/>
      <c r="D58" s="352"/>
    </row>
    <row r="59" spans="2:4" hidden="1">
      <c r="B59" s="352"/>
      <c r="C59" s="352"/>
      <c r="D59" s="352"/>
    </row>
    <row r="60" spans="2:4" hidden="1">
      <c r="B60" s="352"/>
      <c r="C60" s="352"/>
      <c r="D60" s="352"/>
    </row>
    <row r="61" spans="2:4" hidden="1">
      <c r="B61" s="352"/>
      <c r="C61" s="352"/>
      <c r="D61" s="352"/>
    </row>
    <row r="62" spans="2:4" hidden="1">
      <c r="B62" s="352"/>
      <c r="C62" s="352"/>
      <c r="D62" s="352"/>
    </row>
    <row r="63" spans="2:4" hidden="1">
      <c r="B63" s="352"/>
      <c r="C63" s="352"/>
      <c r="D63" s="352"/>
    </row>
    <row r="64" spans="2:4" hidden="1">
      <c r="B64" s="352"/>
      <c r="C64" s="352"/>
      <c r="D64" s="352"/>
    </row>
    <row r="65" spans="2:4" hidden="1">
      <c r="B65" s="352"/>
      <c r="C65" s="352"/>
      <c r="D65" s="352"/>
    </row>
    <row r="66" spans="2:4" hidden="1">
      <c r="B66" s="352"/>
      <c r="C66" s="352"/>
      <c r="D66" s="352"/>
    </row>
    <row r="67" spans="2:4" hidden="1">
      <c r="B67" s="352"/>
      <c r="C67" s="352"/>
      <c r="D67" s="352"/>
    </row>
    <row r="68" spans="2:4" hidden="1">
      <c r="B68" s="352"/>
      <c r="C68" s="352"/>
      <c r="D68" s="352"/>
    </row>
    <row r="69" spans="2:4" hidden="1">
      <c r="B69" s="352"/>
      <c r="C69" s="352"/>
      <c r="D69" s="352"/>
    </row>
    <row r="70" spans="2:4" hidden="1">
      <c r="B70" s="352"/>
      <c r="C70" s="352"/>
      <c r="D70" s="352"/>
    </row>
    <row r="71" spans="2:4" hidden="1">
      <c r="B71" s="352"/>
      <c r="C71" s="352"/>
      <c r="D71" s="352"/>
    </row>
    <row r="72" spans="2:4" hidden="1">
      <c r="B72" s="352"/>
      <c r="C72" s="352"/>
      <c r="D72" s="352"/>
    </row>
    <row r="73" spans="2:4" hidden="1">
      <c r="B73" s="352"/>
      <c r="C73" s="352"/>
      <c r="D73" s="352"/>
    </row>
    <row r="74" spans="2:4" hidden="1">
      <c r="B74" s="352"/>
      <c r="C74" s="352"/>
      <c r="D74" s="352"/>
    </row>
    <row r="75" spans="2:4" hidden="1">
      <c r="B75" s="352"/>
      <c r="C75" s="352"/>
      <c r="D75" s="352"/>
    </row>
    <row r="76" spans="2:4" hidden="1">
      <c r="B76" s="352"/>
      <c r="C76" s="352"/>
      <c r="D76" s="352"/>
    </row>
    <row r="77" spans="2:4" hidden="1">
      <c r="B77" s="352"/>
      <c r="C77" s="352"/>
      <c r="D77" s="352"/>
    </row>
    <row r="78" spans="2:4" hidden="1">
      <c r="B78" s="352"/>
      <c r="C78" s="352"/>
      <c r="D78" s="352"/>
    </row>
    <row r="79" spans="2:4" hidden="1">
      <c r="B79" s="352"/>
      <c r="C79" s="352"/>
      <c r="D79" s="352"/>
    </row>
    <row r="80" spans="2:4" hidden="1">
      <c r="B80" s="352"/>
      <c r="C80" s="352"/>
      <c r="D80" s="352"/>
    </row>
    <row r="81" spans="2:4" hidden="1">
      <c r="B81" s="352"/>
      <c r="C81" s="352"/>
      <c r="D81" s="352"/>
    </row>
    <row r="82" spans="2:4" hidden="1">
      <c r="B82" s="352"/>
      <c r="C82" s="352"/>
      <c r="D82" s="352"/>
    </row>
    <row r="83" spans="2:4" hidden="1">
      <c r="B83" s="352"/>
      <c r="C83" s="352"/>
      <c r="D83" s="352"/>
    </row>
    <row r="84" spans="2:4" hidden="1">
      <c r="B84" s="352"/>
      <c r="C84" s="352"/>
      <c r="D84" s="352"/>
    </row>
    <row r="85" spans="2:4" hidden="1">
      <c r="B85" s="352"/>
      <c r="C85" s="352"/>
      <c r="D85" s="352"/>
    </row>
    <row r="86" spans="2:4" hidden="1">
      <c r="B86" s="352"/>
      <c r="C86" s="352"/>
      <c r="D86" s="352"/>
    </row>
    <row r="87" spans="2:4" hidden="1">
      <c r="B87" s="352"/>
      <c r="C87" s="352"/>
      <c r="D87" s="352"/>
    </row>
    <row r="88" spans="2:4" hidden="1">
      <c r="B88" s="352"/>
      <c r="C88" s="352"/>
      <c r="D88" s="352"/>
    </row>
    <row r="89" spans="2:4" hidden="1">
      <c r="B89" s="352"/>
      <c r="C89" s="352"/>
      <c r="D89" s="352"/>
    </row>
    <row r="90" spans="2:4" hidden="1">
      <c r="B90" s="352"/>
      <c r="C90" s="352"/>
      <c r="D90" s="352"/>
    </row>
    <row r="91" spans="2:4" hidden="1">
      <c r="B91" s="352"/>
      <c r="C91" s="352"/>
      <c r="D91" s="352"/>
    </row>
    <row r="92" spans="2:4" hidden="1">
      <c r="B92" s="352"/>
      <c r="C92" s="352"/>
      <c r="D92" s="352"/>
    </row>
    <row r="93" spans="2:4" hidden="1">
      <c r="B93" s="352"/>
      <c r="C93" s="352"/>
      <c r="D93" s="352"/>
    </row>
    <row r="94" spans="2:4" hidden="1">
      <c r="B94" s="352"/>
      <c r="C94" s="352"/>
      <c r="D94" s="352"/>
    </row>
    <row r="95" spans="2:4" hidden="1">
      <c r="B95" s="352"/>
      <c r="C95" s="352"/>
      <c r="D95" s="352"/>
    </row>
    <row r="96" spans="2:4" hidden="1">
      <c r="B96" s="352"/>
      <c r="C96" s="352"/>
      <c r="D96" s="352"/>
    </row>
    <row r="97" spans="2:4" hidden="1">
      <c r="B97" s="352"/>
      <c r="C97" s="352"/>
      <c r="D97" s="352"/>
    </row>
    <row r="98" spans="2:4" hidden="1">
      <c r="B98" s="352"/>
      <c r="C98" s="352"/>
      <c r="D98" s="352"/>
    </row>
    <row r="99" spans="2:4" hidden="1">
      <c r="B99" s="352"/>
      <c r="C99" s="352"/>
      <c r="D99" s="352"/>
    </row>
    <row r="100" spans="2:4" hidden="1">
      <c r="B100" s="352"/>
      <c r="C100" s="352"/>
      <c r="D100" s="352"/>
    </row>
    <row r="101" spans="2:4" hidden="1">
      <c r="B101" s="352"/>
      <c r="C101" s="352"/>
      <c r="D101" s="352"/>
    </row>
    <row r="102" spans="2:4" hidden="1">
      <c r="B102" s="352"/>
      <c r="C102" s="352"/>
      <c r="D102" s="352"/>
    </row>
    <row r="103" spans="2:4" hidden="1">
      <c r="B103" s="352"/>
      <c r="C103" s="352"/>
      <c r="D103" s="352"/>
    </row>
    <row r="104" spans="2:4" hidden="1">
      <c r="B104" s="352"/>
      <c r="C104" s="352"/>
      <c r="D104" s="352"/>
    </row>
    <row r="105" spans="2:4" hidden="1">
      <c r="B105" s="352"/>
      <c r="C105" s="352"/>
      <c r="D105" s="352"/>
    </row>
    <row r="106" spans="2:4" hidden="1">
      <c r="B106" s="352"/>
      <c r="C106" s="352"/>
      <c r="D106" s="352"/>
    </row>
    <row r="107" spans="2:4" hidden="1">
      <c r="B107" s="352"/>
      <c r="C107" s="352"/>
      <c r="D107" s="352"/>
    </row>
    <row r="108" spans="2:4" hidden="1">
      <c r="B108" s="352"/>
      <c r="C108" s="352"/>
      <c r="D108" s="352"/>
    </row>
    <row r="109" spans="2:4" hidden="1">
      <c r="B109" s="352"/>
      <c r="C109" s="352"/>
      <c r="D109" s="352"/>
    </row>
    <row r="110" spans="2:4" hidden="1">
      <c r="B110" s="352"/>
      <c r="C110" s="352"/>
      <c r="D110" s="352"/>
    </row>
    <row r="111" spans="2:4" hidden="1">
      <c r="B111" s="352"/>
      <c r="C111" s="352"/>
      <c r="D111" s="352"/>
    </row>
    <row r="112" spans="2:4" hidden="1">
      <c r="B112" s="352"/>
      <c r="C112" s="352"/>
      <c r="D112" s="352"/>
    </row>
    <row r="113" spans="2:4" hidden="1">
      <c r="B113" s="352"/>
      <c r="C113" s="352"/>
      <c r="D113" s="352"/>
    </row>
    <row r="114" spans="2:4" hidden="1">
      <c r="B114" s="352"/>
      <c r="C114" s="352"/>
      <c r="D114" s="352"/>
    </row>
    <row r="115" spans="2:4" hidden="1">
      <c r="B115" s="352"/>
      <c r="C115" s="352"/>
      <c r="D115" s="352"/>
    </row>
    <row r="116" spans="2:4" hidden="1">
      <c r="B116" s="352"/>
      <c r="C116" s="352"/>
      <c r="D116" s="352"/>
    </row>
    <row r="117" spans="2:4" hidden="1">
      <c r="B117" s="352"/>
      <c r="C117" s="352"/>
      <c r="D117" s="352"/>
    </row>
    <row r="118" spans="2:4" hidden="1">
      <c r="B118" s="352"/>
      <c r="C118" s="352"/>
      <c r="D118" s="352"/>
    </row>
    <row r="119" spans="2:4" hidden="1">
      <c r="B119" s="352"/>
      <c r="C119" s="352"/>
      <c r="D119" s="352"/>
    </row>
    <row r="120" spans="2:4" hidden="1">
      <c r="B120" s="352"/>
      <c r="C120" s="352"/>
      <c r="D120" s="352"/>
    </row>
    <row r="121" spans="2:4" hidden="1">
      <c r="B121" s="352"/>
      <c r="C121" s="352"/>
      <c r="D121" s="352"/>
    </row>
    <row r="122" spans="2:4" hidden="1">
      <c r="B122" s="352"/>
      <c r="C122" s="352"/>
      <c r="D122" s="352"/>
    </row>
    <row r="123" spans="2:4" hidden="1">
      <c r="B123" s="352"/>
      <c r="C123" s="352"/>
      <c r="D123" s="352"/>
    </row>
    <row r="124" spans="2:4" hidden="1">
      <c r="B124" s="352"/>
      <c r="C124" s="352"/>
      <c r="D124" s="352"/>
    </row>
    <row r="125" spans="2:4" hidden="1">
      <c r="B125" s="352"/>
      <c r="C125" s="352"/>
      <c r="D125" s="352"/>
    </row>
    <row r="126" spans="2:4" hidden="1">
      <c r="B126" s="352"/>
      <c r="C126" s="352"/>
      <c r="D126" s="352"/>
    </row>
    <row r="127" spans="2:4" hidden="1">
      <c r="B127" s="352"/>
      <c r="C127" s="352"/>
      <c r="D127" s="352"/>
    </row>
    <row r="128" spans="2:4" hidden="1">
      <c r="B128" s="352"/>
      <c r="C128" s="352"/>
      <c r="D128" s="352"/>
    </row>
    <row r="129" spans="2:4" hidden="1">
      <c r="B129" s="352"/>
      <c r="C129" s="352"/>
      <c r="D129" s="352"/>
    </row>
    <row r="130" spans="2:4" hidden="1">
      <c r="B130" s="352"/>
      <c r="C130" s="352"/>
      <c r="D130" s="352"/>
    </row>
    <row r="131" spans="2:4" hidden="1">
      <c r="B131" s="352"/>
      <c r="C131" s="352"/>
      <c r="D131" s="352"/>
    </row>
    <row r="132" spans="2:4" hidden="1">
      <c r="B132" s="352"/>
      <c r="C132" s="352"/>
      <c r="D132" s="352"/>
    </row>
    <row r="133" spans="2:4" hidden="1">
      <c r="B133" s="352"/>
      <c r="C133" s="352"/>
      <c r="D133" s="352"/>
    </row>
    <row r="134" spans="2:4" hidden="1">
      <c r="B134" s="352"/>
      <c r="C134" s="352"/>
      <c r="D134" s="352"/>
    </row>
    <row r="135" spans="2:4" hidden="1">
      <c r="B135" s="352"/>
      <c r="C135" s="352"/>
      <c r="D135" s="352"/>
    </row>
    <row r="136" spans="2:4" hidden="1">
      <c r="B136" s="352"/>
      <c r="C136" s="352"/>
      <c r="D136" s="352"/>
    </row>
    <row r="137" spans="2:4" hidden="1">
      <c r="B137" s="352"/>
      <c r="C137" s="352"/>
      <c r="D137" s="352"/>
    </row>
    <row r="138" spans="2:4" hidden="1">
      <c r="B138" s="352"/>
      <c r="C138" s="352"/>
      <c r="D138" s="352"/>
    </row>
    <row r="139" spans="2:4" hidden="1">
      <c r="B139" s="352"/>
      <c r="C139" s="352"/>
      <c r="D139" s="352"/>
    </row>
    <row r="140" spans="2:4" hidden="1">
      <c r="B140" s="352"/>
      <c r="C140" s="352"/>
      <c r="D140" s="352"/>
    </row>
    <row r="141" spans="2:4" hidden="1">
      <c r="B141" s="352"/>
      <c r="C141" s="352"/>
      <c r="D141" s="352"/>
    </row>
    <row r="142" spans="2:4" hidden="1">
      <c r="B142" s="352"/>
      <c r="C142" s="352"/>
      <c r="D142" s="352"/>
    </row>
    <row r="143" spans="2:4" hidden="1">
      <c r="B143" s="352"/>
      <c r="C143" s="352"/>
      <c r="D143" s="352"/>
    </row>
    <row r="144" spans="2:4" hidden="1">
      <c r="B144" s="352"/>
      <c r="C144" s="352"/>
      <c r="D144" s="352"/>
    </row>
    <row r="145" spans="2:4" hidden="1">
      <c r="B145" s="352"/>
      <c r="C145" s="352"/>
      <c r="D145" s="352"/>
    </row>
    <row r="146" spans="2:4" hidden="1">
      <c r="B146" s="352"/>
      <c r="C146" s="352"/>
      <c r="D146" s="352"/>
    </row>
    <row r="147" spans="2:4" hidden="1">
      <c r="B147" s="352"/>
      <c r="C147" s="352"/>
      <c r="D147" s="352"/>
    </row>
    <row r="148" spans="2:4" hidden="1">
      <c r="B148" s="352"/>
      <c r="C148" s="352"/>
      <c r="D148" s="352"/>
    </row>
    <row r="149" spans="2:4" hidden="1">
      <c r="B149" s="352"/>
      <c r="C149" s="352"/>
      <c r="D149" s="352"/>
    </row>
    <row r="150" spans="2:4" hidden="1">
      <c r="B150" s="352"/>
      <c r="C150" s="352"/>
      <c r="D150" s="352"/>
    </row>
    <row r="151" spans="2:4" hidden="1">
      <c r="B151" s="352"/>
      <c r="C151" s="352"/>
      <c r="D151" s="352"/>
    </row>
    <row r="152" spans="2:4" hidden="1">
      <c r="B152" s="352"/>
      <c r="C152" s="352"/>
      <c r="D152" s="352"/>
    </row>
    <row r="153" spans="2:4" hidden="1">
      <c r="B153" s="352"/>
      <c r="C153" s="352"/>
      <c r="D153" s="352"/>
    </row>
    <row r="154" spans="2:4" hidden="1">
      <c r="B154" s="352"/>
      <c r="C154" s="352"/>
      <c r="D154" s="352"/>
    </row>
    <row r="155" spans="2:4" hidden="1">
      <c r="B155" s="352"/>
      <c r="C155" s="352"/>
      <c r="D155" s="352"/>
    </row>
    <row r="156" spans="2:4" hidden="1">
      <c r="B156" s="352"/>
      <c r="C156" s="352"/>
      <c r="D156" s="352"/>
    </row>
    <row r="157" spans="2:4" hidden="1">
      <c r="B157" s="352"/>
      <c r="C157" s="352"/>
      <c r="D157" s="352"/>
    </row>
    <row r="158" spans="2:4" hidden="1">
      <c r="B158" s="352"/>
      <c r="C158" s="352"/>
      <c r="D158" s="352"/>
    </row>
    <row r="159" spans="2:4" hidden="1">
      <c r="B159" s="352"/>
      <c r="C159" s="352"/>
      <c r="D159" s="352"/>
    </row>
    <row r="160" spans="2:4" hidden="1">
      <c r="B160" s="352"/>
      <c r="C160" s="352"/>
      <c r="D160" s="352"/>
    </row>
    <row r="161" spans="2:4" hidden="1">
      <c r="B161" s="352"/>
      <c r="C161" s="352"/>
      <c r="D161" s="352"/>
    </row>
    <row r="162" spans="2:4" hidden="1">
      <c r="B162" s="352"/>
      <c r="C162" s="352"/>
      <c r="D162" s="352"/>
    </row>
    <row r="163" spans="2:4" hidden="1">
      <c r="B163" s="352"/>
      <c r="C163" s="352"/>
      <c r="D163" s="352"/>
    </row>
    <row r="164" spans="2:4" hidden="1">
      <c r="B164" s="352"/>
      <c r="C164" s="352"/>
      <c r="D164" s="352"/>
    </row>
    <row r="165" spans="2:4" hidden="1">
      <c r="B165" s="352"/>
      <c r="C165" s="352"/>
      <c r="D165" s="352"/>
    </row>
    <row r="166" spans="2:4" hidden="1">
      <c r="B166" s="352"/>
      <c r="C166" s="352"/>
      <c r="D166" s="352"/>
    </row>
    <row r="167" spans="2:4" hidden="1">
      <c r="B167" s="352"/>
      <c r="C167" s="352"/>
      <c r="D167" s="352"/>
    </row>
    <row r="168" spans="2:4" hidden="1">
      <c r="B168" s="352"/>
      <c r="C168" s="352"/>
      <c r="D168" s="352"/>
    </row>
    <row r="169" spans="2:4" hidden="1">
      <c r="B169" s="352"/>
      <c r="C169" s="352"/>
      <c r="D169" s="352"/>
    </row>
    <row r="170" spans="2:4" hidden="1">
      <c r="B170" s="352"/>
      <c r="C170" s="352"/>
      <c r="D170" s="352"/>
    </row>
    <row r="171" spans="2:4" hidden="1">
      <c r="B171" s="352"/>
      <c r="C171" s="352"/>
      <c r="D171" s="352"/>
    </row>
    <row r="172" spans="2:4" hidden="1">
      <c r="B172" s="352"/>
      <c r="C172" s="352"/>
      <c r="D172" s="352"/>
    </row>
    <row r="173" spans="2:4" hidden="1">
      <c r="B173" s="352"/>
      <c r="C173" s="352"/>
      <c r="D173" s="352"/>
    </row>
    <row r="174" spans="2:4" hidden="1">
      <c r="B174" s="352"/>
      <c r="C174" s="352"/>
      <c r="D174" s="352"/>
    </row>
    <row r="175" spans="2:4" hidden="1">
      <c r="B175" s="352"/>
      <c r="C175" s="352"/>
      <c r="D175" s="352"/>
    </row>
    <row r="176" spans="2:4" hidden="1">
      <c r="B176" s="352"/>
      <c r="C176" s="352"/>
      <c r="D176" s="352"/>
    </row>
    <row r="177" spans="2:4" hidden="1">
      <c r="B177" s="352"/>
      <c r="C177" s="352"/>
      <c r="D177" s="352"/>
    </row>
    <row r="178" spans="2:4" hidden="1">
      <c r="B178" s="352"/>
      <c r="C178" s="352"/>
      <c r="D178" s="352"/>
    </row>
    <row r="179" spans="2:4" hidden="1">
      <c r="B179" s="352"/>
      <c r="C179" s="352"/>
      <c r="D179" s="352"/>
    </row>
    <row r="180" spans="2:4" hidden="1">
      <c r="B180" s="352"/>
      <c r="C180" s="352"/>
      <c r="D180" s="352"/>
    </row>
    <row r="181" spans="2:4" hidden="1">
      <c r="B181" s="352"/>
      <c r="C181" s="352"/>
      <c r="D181" s="352"/>
    </row>
    <row r="182" spans="2:4" hidden="1">
      <c r="B182" s="352"/>
      <c r="C182" s="352"/>
      <c r="D182" s="352"/>
    </row>
    <row r="183" spans="2:4" hidden="1">
      <c r="B183" s="352"/>
      <c r="C183" s="352"/>
      <c r="D183" s="352"/>
    </row>
    <row r="184" spans="2:4" hidden="1">
      <c r="B184" s="352"/>
      <c r="C184" s="352"/>
      <c r="D184" s="352"/>
    </row>
    <row r="185" spans="2:4" hidden="1">
      <c r="B185" s="352"/>
      <c r="C185" s="352"/>
      <c r="D185" s="352"/>
    </row>
    <row r="186" spans="2:4" hidden="1">
      <c r="B186" s="352"/>
      <c r="C186" s="352"/>
      <c r="D186" s="352"/>
    </row>
    <row r="187" spans="2:4" hidden="1">
      <c r="B187" s="352"/>
      <c r="C187" s="352"/>
      <c r="D187" s="352"/>
    </row>
    <row r="188" spans="2:4" hidden="1">
      <c r="B188" s="352"/>
      <c r="C188" s="352"/>
      <c r="D188" s="352"/>
    </row>
    <row r="189" spans="2:4" hidden="1">
      <c r="B189" s="352"/>
      <c r="C189" s="352"/>
      <c r="D189" s="352"/>
    </row>
    <row r="190" spans="2:4" hidden="1">
      <c r="B190" s="352"/>
      <c r="C190" s="352"/>
      <c r="D190" s="352"/>
    </row>
    <row r="191" spans="2:4" hidden="1">
      <c r="B191" s="352"/>
      <c r="C191" s="352"/>
      <c r="D191" s="352"/>
    </row>
    <row r="192" spans="2:4" hidden="1">
      <c r="B192" s="352"/>
      <c r="C192" s="352"/>
      <c r="D192" s="352"/>
    </row>
    <row r="193" spans="2:4" hidden="1">
      <c r="B193" s="352"/>
      <c r="C193" s="352"/>
      <c r="D193" s="352"/>
    </row>
    <row r="194" spans="2:4" hidden="1">
      <c r="B194" s="352"/>
      <c r="C194" s="352"/>
      <c r="D194" s="352"/>
    </row>
    <row r="195" spans="2:4" hidden="1">
      <c r="B195" s="352"/>
      <c r="C195" s="352"/>
      <c r="D195" s="352"/>
    </row>
    <row r="196" spans="2:4" hidden="1">
      <c r="B196" s="352"/>
      <c r="C196" s="352"/>
      <c r="D196" s="352"/>
    </row>
    <row r="197" spans="2:4" hidden="1">
      <c r="B197" s="352"/>
      <c r="C197" s="352"/>
      <c r="D197" s="352"/>
    </row>
    <row r="198" spans="2:4" hidden="1">
      <c r="B198" s="352"/>
      <c r="C198" s="352"/>
      <c r="D198" s="352"/>
    </row>
    <row r="199" spans="2:4" hidden="1">
      <c r="B199" s="352"/>
      <c r="C199" s="352"/>
      <c r="D199" s="352"/>
    </row>
    <row r="200" spans="2:4" hidden="1">
      <c r="B200" s="352"/>
      <c r="C200" s="352"/>
      <c r="D200" s="352"/>
    </row>
    <row r="201" spans="2:4" hidden="1">
      <c r="B201" s="352"/>
      <c r="C201" s="352"/>
      <c r="D201" s="352"/>
    </row>
    <row r="202" spans="2:4" hidden="1">
      <c r="B202" s="352"/>
      <c r="C202" s="352"/>
      <c r="D202" s="352"/>
    </row>
    <row r="203" spans="2:4" hidden="1">
      <c r="B203" s="352"/>
      <c r="C203" s="352"/>
      <c r="D203" s="352"/>
    </row>
    <row r="204" spans="2:4" hidden="1">
      <c r="B204" s="352"/>
      <c r="C204" s="352"/>
      <c r="D204" s="352"/>
    </row>
    <row r="205" spans="2:4" hidden="1">
      <c r="B205" s="352"/>
      <c r="C205" s="352"/>
      <c r="D205" s="352"/>
    </row>
    <row r="206" spans="2:4" hidden="1">
      <c r="B206" s="352"/>
      <c r="C206" s="352"/>
      <c r="D206" s="352"/>
    </row>
    <row r="207" spans="2:4" hidden="1">
      <c r="B207" s="352"/>
      <c r="C207" s="352"/>
      <c r="D207" s="352"/>
    </row>
    <row r="208" spans="2:4" hidden="1">
      <c r="B208" s="352"/>
      <c r="C208" s="352"/>
      <c r="D208" s="352"/>
    </row>
    <row r="209" spans="2:4" hidden="1">
      <c r="B209" s="352"/>
      <c r="C209" s="352"/>
      <c r="D209" s="352"/>
    </row>
    <row r="210" spans="2:4" hidden="1">
      <c r="B210" s="352"/>
      <c r="C210" s="352"/>
      <c r="D210" s="352"/>
    </row>
    <row r="211" spans="2:4" hidden="1">
      <c r="B211" s="352"/>
      <c r="C211" s="352"/>
      <c r="D211" s="352"/>
    </row>
    <row r="212" spans="2:4" hidden="1">
      <c r="B212" s="352"/>
      <c r="C212" s="352"/>
      <c r="D212" s="352"/>
    </row>
    <row r="213" spans="2:4" hidden="1">
      <c r="B213" s="352"/>
      <c r="C213" s="352"/>
      <c r="D213" s="352"/>
    </row>
    <row r="214" spans="2:4" hidden="1">
      <c r="B214" s="352"/>
      <c r="C214" s="352"/>
      <c r="D214" s="352"/>
    </row>
    <row r="215" spans="2:4" hidden="1">
      <c r="B215" s="352"/>
      <c r="C215" s="352"/>
      <c r="D215" s="352"/>
    </row>
    <row r="216" spans="2:4" hidden="1">
      <c r="B216" s="352"/>
      <c r="C216" s="352"/>
      <c r="D216" s="352"/>
    </row>
    <row r="217" spans="2:4" hidden="1">
      <c r="B217" s="352"/>
      <c r="C217" s="352"/>
      <c r="D217" s="352"/>
    </row>
    <row r="218" spans="2:4" hidden="1">
      <c r="B218" s="352"/>
      <c r="C218" s="352"/>
      <c r="D218" s="352"/>
    </row>
    <row r="219" spans="2:4" hidden="1">
      <c r="B219" s="352"/>
      <c r="C219" s="352"/>
      <c r="D219" s="352"/>
    </row>
    <row r="220" spans="2:4" hidden="1">
      <c r="B220" s="352"/>
      <c r="C220" s="352"/>
      <c r="D220" s="352"/>
    </row>
    <row r="221" spans="2:4" hidden="1">
      <c r="B221" s="352"/>
      <c r="C221" s="352"/>
      <c r="D221" s="352"/>
    </row>
    <row r="222" spans="2:4" hidden="1">
      <c r="B222" s="352"/>
      <c r="C222" s="352"/>
      <c r="D222" s="352"/>
    </row>
    <row r="223" spans="2:4" hidden="1">
      <c r="B223" s="352"/>
      <c r="C223" s="352"/>
      <c r="D223" s="352"/>
    </row>
    <row r="224" spans="2:4" hidden="1">
      <c r="B224" s="352"/>
      <c r="C224" s="352"/>
      <c r="D224" s="352"/>
    </row>
    <row r="225" spans="2:4" hidden="1">
      <c r="B225" s="352"/>
      <c r="C225" s="352"/>
      <c r="D225" s="352"/>
    </row>
    <row r="226" spans="2:4" hidden="1">
      <c r="B226" s="352"/>
      <c r="C226" s="352"/>
      <c r="D226" s="352"/>
    </row>
    <row r="227" spans="2:4" hidden="1">
      <c r="B227" s="352"/>
      <c r="C227" s="352"/>
      <c r="D227" s="352"/>
    </row>
    <row r="228" spans="2:4" hidden="1">
      <c r="B228" s="352"/>
      <c r="C228" s="352"/>
      <c r="D228" s="352"/>
    </row>
    <row r="229" spans="2:4" hidden="1">
      <c r="B229" s="352"/>
      <c r="C229" s="352"/>
      <c r="D229" s="352"/>
    </row>
    <row r="230" spans="2:4" hidden="1">
      <c r="B230" s="352"/>
      <c r="C230" s="352"/>
      <c r="D230" s="352"/>
    </row>
    <row r="231" spans="2:4" hidden="1">
      <c r="B231" s="352"/>
      <c r="C231" s="352"/>
      <c r="D231" s="352"/>
    </row>
    <row r="232" spans="2:4" hidden="1">
      <c r="B232" s="352"/>
      <c r="C232" s="352"/>
      <c r="D232" s="352"/>
    </row>
    <row r="233" spans="2:4" hidden="1">
      <c r="B233" s="352"/>
      <c r="C233" s="352"/>
      <c r="D233" s="352"/>
    </row>
    <row r="234" spans="2:4" hidden="1">
      <c r="B234" s="352"/>
      <c r="C234" s="352"/>
      <c r="D234" s="352"/>
    </row>
    <row r="235" spans="2:4" hidden="1">
      <c r="B235" s="352"/>
      <c r="C235" s="352"/>
      <c r="D235" s="352"/>
    </row>
    <row r="236" spans="2:4" hidden="1">
      <c r="B236" s="352"/>
      <c r="C236" s="352"/>
      <c r="D236" s="352"/>
    </row>
    <row r="237" spans="2:4" hidden="1">
      <c r="B237" s="352"/>
      <c r="C237" s="352"/>
      <c r="D237" s="352"/>
    </row>
    <row r="238" spans="2:4" hidden="1">
      <c r="B238" s="352"/>
      <c r="C238" s="352"/>
      <c r="D238" s="352"/>
    </row>
    <row r="239" spans="2:4" hidden="1">
      <c r="B239" s="352"/>
      <c r="C239" s="352"/>
      <c r="D239" s="352"/>
    </row>
    <row r="240" spans="2:4" hidden="1">
      <c r="B240" s="352"/>
      <c r="C240" s="352"/>
      <c r="D240" s="352"/>
    </row>
    <row r="241" spans="2:4" hidden="1">
      <c r="B241" s="352"/>
      <c r="C241" s="352"/>
      <c r="D241" s="352"/>
    </row>
    <row r="242" spans="2:4" hidden="1">
      <c r="B242" s="352"/>
      <c r="C242" s="352"/>
      <c r="D242" s="352"/>
    </row>
    <row r="243" spans="2:4" hidden="1">
      <c r="B243" s="352"/>
      <c r="C243" s="352"/>
      <c r="D243" s="352"/>
    </row>
    <row r="244" spans="2:4" hidden="1">
      <c r="B244" s="352"/>
      <c r="C244" s="352"/>
      <c r="D244" s="352"/>
    </row>
    <row r="245" spans="2:4" hidden="1">
      <c r="B245" s="352"/>
      <c r="C245" s="352"/>
      <c r="D245" s="352"/>
    </row>
    <row r="246" spans="2:4" hidden="1">
      <c r="B246" s="352"/>
      <c r="C246" s="352"/>
      <c r="D246" s="352"/>
    </row>
    <row r="247" spans="2:4" hidden="1">
      <c r="B247" s="352"/>
      <c r="C247" s="352"/>
      <c r="D247" s="352"/>
    </row>
    <row r="248" spans="2:4" hidden="1">
      <c r="B248" s="352"/>
      <c r="C248" s="352"/>
      <c r="D248" s="352"/>
    </row>
    <row r="249" spans="2:4" hidden="1">
      <c r="B249" s="352"/>
      <c r="C249" s="352"/>
      <c r="D249" s="352"/>
    </row>
    <row r="250" spans="2:4" hidden="1">
      <c r="B250" s="352"/>
      <c r="C250" s="352"/>
      <c r="D250" s="352"/>
    </row>
    <row r="251" spans="2:4" hidden="1">
      <c r="B251" s="352"/>
      <c r="C251" s="352"/>
      <c r="D251" s="352"/>
    </row>
    <row r="252" spans="2:4" hidden="1">
      <c r="B252" s="352"/>
      <c r="C252" s="352"/>
      <c r="D252" s="352"/>
    </row>
    <row r="253" spans="2:4" hidden="1">
      <c r="B253" s="352"/>
      <c r="C253" s="352"/>
      <c r="D253" s="352"/>
    </row>
    <row r="254" spans="2:4" hidden="1">
      <c r="B254" s="352"/>
      <c r="C254" s="352"/>
      <c r="D254" s="352"/>
    </row>
    <row r="255" spans="2:4" hidden="1">
      <c r="B255" s="352"/>
      <c r="C255" s="352"/>
      <c r="D255" s="352"/>
    </row>
    <row r="256" spans="2:4" hidden="1">
      <c r="B256" s="352"/>
      <c r="C256" s="352"/>
      <c r="D256" s="352"/>
    </row>
    <row r="257" spans="2:4" hidden="1">
      <c r="B257" s="352"/>
      <c r="C257" s="352"/>
      <c r="D257" s="352"/>
    </row>
    <row r="258" spans="2:4" hidden="1">
      <c r="B258" s="352"/>
      <c r="C258" s="352"/>
      <c r="D258" s="352"/>
    </row>
    <row r="259" spans="2:4" hidden="1">
      <c r="B259" s="352"/>
      <c r="C259" s="352"/>
      <c r="D259" s="352"/>
    </row>
    <row r="260" spans="2:4" hidden="1">
      <c r="B260" s="352"/>
      <c r="C260" s="352"/>
      <c r="D260" s="352"/>
    </row>
    <row r="261" spans="2:4" hidden="1">
      <c r="B261" s="352"/>
      <c r="C261" s="352"/>
      <c r="D261" s="352"/>
    </row>
    <row r="262" spans="2:4" hidden="1">
      <c r="B262" s="352"/>
      <c r="C262" s="352"/>
      <c r="D262" s="352"/>
    </row>
    <row r="263" spans="2:4" hidden="1">
      <c r="B263" s="352"/>
      <c r="C263" s="352"/>
      <c r="D263" s="352"/>
    </row>
    <row r="264" spans="2:4" hidden="1">
      <c r="B264" s="352"/>
      <c r="C264" s="352"/>
      <c r="D264" s="352"/>
    </row>
    <row r="265" spans="2:4" hidden="1">
      <c r="B265" s="352"/>
      <c r="C265" s="352"/>
      <c r="D265" s="352"/>
    </row>
    <row r="266" spans="2:4" hidden="1">
      <c r="B266" s="352"/>
      <c r="C266" s="352"/>
      <c r="D266" s="352"/>
    </row>
    <row r="267" spans="2:4" hidden="1">
      <c r="B267" s="352"/>
      <c r="C267" s="352"/>
      <c r="D267" s="352"/>
    </row>
    <row r="268" spans="2:4" hidden="1">
      <c r="B268" s="352"/>
      <c r="C268" s="352"/>
      <c r="D268" s="352"/>
    </row>
    <row r="269" spans="2:4" hidden="1">
      <c r="B269" s="352"/>
      <c r="C269" s="352"/>
      <c r="D269" s="352"/>
    </row>
    <row r="270" spans="2:4" hidden="1">
      <c r="B270" s="352"/>
      <c r="C270" s="352"/>
      <c r="D270" s="352"/>
    </row>
    <row r="271" spans="2:4" hidden="1">
      <c r="B271" s="352"/>
      <c r="C271" s="352"/>
      <c r="D271" s="352"/>
    </row>
    <row r="272" spans="2:4" hidden="1">
      <c r="B272" s="352"/>
      <c r="C272" s="352"/>
      <c r="D272" s="352"/>
    </row>
    <row r="273" spans="2:4" hidden="1">
      <c r="B273" s="352"/>
      <c r="C273" s="352"/>
      <c r="D273" s="352"/>
    </row>
    <row r="274" spans="2:4" hidden="1">
      <c r="B274" s="352"/>
      <c r="C274" s="352"/>
      <c r="D274" s="352"/>
    </row>
    <row r="275" spans="2:4" hidden="1">
      <c r="B275" s="352"/>
      <c r="C275" s="352"/>
      <c r="D275" s="352"/>
    </row>
    <row r="276" spans="2:4" hidden="1">
      <c r="B276" s="352"/>
      <c r="C276" s="352"/>
      <c r="D276" s="352"/>
    </row>
    <row r="277" spans="2:4" hidden="1">
      <c r="B277" s="352"/>
      <c r="C277" s="352"/>
      <c r="D277" s="352"/>
    </row>
    <row r="278" spans="2:4" hidden="1">
      <c r="B278" s="352"/>
      <c r="C278" s="352"/>
      <c r="D278" s="352"/>
    </row>
    <row r="279" spans="2:4" hidden="1">
      <c r="B279" s="352"/>
      <c r="C279" s="352"/>
      <c r="D279" s="352"/>
    </row>
    <row r="280" spans="2:4" hidden="1">
      <c r="B280" s="352"/>
      <c r="C280" s="352"/>
      <c r="D280" s="352"/>
    </row>
    <row r="281" spans="2:4" hidden="1">
      <c r="B281" s="352"/>
      <c r="C281" s="352"/>
      <c r="D281" s="352"/>
    </row>
    <row r="282" spans="2:4" hidden="1">
      <c r="B282" s="352"/>
      <c r="C282" s="352"/>
      <c r="D282" s="352"/>
    </row>
    <row r="283" spans="2:4" hidden="1">
      <c r="B283" s="352"/>
      <c r="C283" s="352"/>
      <c r="D283" s="352"/>
    </row>
    <row r="284" spans="2:4" hidden="1">
      <c r="B284" s="352"/>
      <c r="C284" s="352"/>
      <c r="D284" s="352"/>
    </row>
    <row r="285" spans="2:4" hidden="1">
      <c r="B285" s="352"/>
      <c r="C285" s="352"/>
      <c r="D285" s="352"/>
    </row>
    <row r="286" spans="2:4" hidden="1">
      <c r="B286" s="352"/>
      <c r="C286" s="352"/>
      <c r="D286" s="352"/>
    </row>
    <row r="287" spans="2:4" hidden="1">
      <c r="B287" s="352"/>
      <c r="C287" s="352"/>
      <c r="D287" s="352"/>
    </row>
    <row r="288" spans="2:4" hidden="1">
      <c r="B288" s="352"/>
      <c r="C288" s="352"/>
      <c r="D288" s="352"/>
    </row>
    <row r="289" spans="2:4" hidden="1">
      <c r="B289" s="352"/>
      <c r="C289" s="352"/>
      <c r="D289" s="352"/>
    </row>
    <row r="290" spans="2:4" hidden="1">
      <c r="B290" s="352"/>
      <c r="C290" s="352"/>
      <c r="D290" s="352"/>
    </row>
    <row r="291" spans="2:4" hidden="1">
      <c r="B291" s="352"/>
      <c r="C291" s="352"/>
      <c r="D291" s="352"/>
    </row>
    <row r="292" spans="2:4" hidden="1">
      <c r="B292" s="352"/>
      <c r="C292" s="352"/>
      <c r="D292" s="352"/>
    </row>
    <row r="293" spans="2:4" hidden="1">
      <c r="B293" s="352"/>
      <c r="C293" s="352"/>
      <c r="D293" s="352"/>
    </row>
    <row r="294" spans="2:4" hidden="1">
      <c r="B294" s="352"/>
      <c r="C294" s="352"/>
      <c r="D294" s="352"/>
    </row>
    <row r="295" spans="2:4" hidden="1">
      <c r="B295" s="352"/>
      <c r="C295" s="352"/>
      <c r="D295" s="352"/>
    </row>
    <row r="296" spans="2:4" hidden="1">
      <c r="B296" s="352"/>
      <c r="C296" s="352"/>
      <c r="D296" s="352"/>
    </row>
    <row r="297" spans="2:4" hidden="1">
      <c r="B297" s="352"/>
      <c r="C297" s="352"/>
      <c r="D297" s="352"/>
    </row>
    <row r="298" spans="2:4" hidden="1">
      <c r="B298" s="352"/>
      <c r="C298" s="352"/>
      <c r="D298" s="352"/>
    </row>
    <row r="299" spans="2:4" hidden="1">
      <c r="B299" s="352"/>
      <c r="C299" s="352"/>
      <c r="D299" s="352"/>
    </row>
    <row r="300" spans="2:4" hidden="1">
      <c r="B300" s="352"/>
      <c r="C300" s="352"/>
      <c r="D300" s="352"/>
    </row>
    <row r="301" spans="2:4" hidden="1">
      <c r="B301" s="352"/>
      <c r="C301" s="352"/>
      <c r="D301" s="352"/>
    </row>
    <row r="302" spans="2:4" hidden="1">
      <c r="B302" s="352"/>
      <c r="C302" s="352"/>
      <c r="D302" s="352"/>
    </row>
    <row r="303" spans="2:4" hidden="1">
      <c r="B303" s="352"/>
      <c r="C303" s="352"/>
      <c r="D303" s="352"/>
    </row>
    <row r="304" spans="2:4" hidden="1">
      <c r="B304" s="352"/>
      <c r="C304" s="352"/>
      <c r="D304" s="352"/>
    </row>
    <row r="305" spans="2:4" hidden="1">
      <c r="B305" s="352"/>
      <c r="C305" s="352"/>
      <c r="D305" s="352"/>
    </row>
    <row r="306" spans="2:4" hidden="1">
      <c r="B306" s="352"/>
      <c r="C306" s="352"/>
      <c r="D306" s="352"/>
    </row>
    <row r="307" spans="2:4" hidden="1">
      <c r="B307" s="352"/>
      <c r="C307" s="352"/>
      <c r="D307" s="352"/>
    </row>
    <row r="308" spans="2:4" hidden="1">
      <c r="B308" s="352"/>
      <c r="C308" s="352"/>
      <c r="D308" s="352"/>
    </row>
    <row r="309" spans="2:4" hidden="1">
      <c r="B309" s="352"/>
      <c r="C309" s="352"/>
      <c r="D309" s="352"/>
    </row>
    <row r="310" spans="2:4" hidden="1">
      <c r="B310" s="352"/>
      <c r="C310" s="352"/>
      <c r="D310" s="352"/>
    </row>
    <row r="311" spans="2:4" hidden="1">
      <c r="B311" s="352"/>
      <c r="C311" s="352"/>
      <c r="D311" s="352"/>
    </row>
    <row r="312" spans="2:4" hidden="1">
      <c r="B312" s="352"/>
      <c r="C312" s="352"/>
      <c r="D312" s="352"/>
    </row>
    <row r="313" spans="2:4" hidden="1">
      <c r="B313" s="352"/>
      <c r="C313" s="352"/>
      <c r="D313" s="352"/>
    </row>
    <row r="314" spans="2:4" hidden="1">
      <c r="B314" s="352"/>
      <c r="C314" s="352"/>
      <c r="D314" s="352"/>
    </row>
    <row r="315" spans="2:4" hidden="1">
      <c r="B315" s="352"/>
      <c r="C315" s="352"/>
      <c r="D315" s="352"/>
    </row>
    <row r="316" spans="2:4" hidden="1">
      <c r="B316" s="352"/>
      <c r="C316" s="352"/>
      <c r="D316" s="352"/>
    </row>
    <row r="317" spans="2:4" hidden="1">
      <c r="B317" s="352"/>
      <c r="C317" s="352"/>
      <c r="D317" s="352"/>
    </row>
    <row r="318" spans="2:4" hidden="1">
      <c r="B318" s="352"/>
      <c r="C318" s="352"/>
      <c r="D318" s="352"/>
    </row>
    <row r="319" spans="2:4" hidden="1">
      <c r="B319" s="352"/>
      <c r="C319" s="352"/>
      <c r="D319" s="352"/>
    </row>
    <row r="320" spans="2:4" hidden="1">
      <c r="B320" s="352"/>
      <c r="C320" s="352"/>
      <c r="D320" s="352"/>
    </row>
    <row r="321" spans="2:4" hidden="1">
      <c r="B321" s="352"/>
      <c r="C321" s="352"/>
      <c r="D321" s="352"/>
    </row>
    <row r="322" spans="2:4" hidden="1">
      <c r="B322" s="352"/>
      <c r="C322" s="352"/>
      <c r="D322" s="352"/>
    </row>
    <row r="323" spans="2:4" hidden="1">
      <c r="B323" s="352"/>
      <c r="C323" s="352"/>
      <c r="D323" s="352"/>
    </row>
    <row r="324" spans="2:4" hidden="1">
      <c r="B324" s="352"/>
      <c r="C324" s="352"/>
      <c r="D324" s="352"/>
    </row>
    <row r="325" spans="2:4" hidden="1">
      <c r="B325" s="352"/>
      <c r="C325" s="352"/>
      <c r="D325" s="352"/>
    </row>
    <row r="326" spans="2:4" hidden="1">
      <c r="B326" s="352"/>
      <c r="C326" s="352"/>
      <c r="D326" s="352"/>
    </row>
    <row r="327" spans="2:4" hidden="1">
      <c r="B327" s="352"/>
      <c r="C327" s="352"/>
      <c r="D327" s="352"/>
    </row>
    <row r="328" spans="2:4" hidden="1">
      <c r="B328" s="352"/>
      <c r="C328" s="352"/>
      <c r="D328" s="352"/>
    </row>
    <row r="329" spans="2:4" hidden="1">
      <c r="B329" s="352"/>
      <c r="C329" s="352"/>
      <c r="D329" s="352"/>
    </row>
    <row r="330" spans="2:4" hidden="1">
      <c r="B330" s="352"/>
      <c r="C330" s="352"/>
      <c r="D330" s="352"/>
    </row>
    <row r="331" spans="2:4" hidden="1">
      <c r="B331" s="352"/>
      <c r="C331" s="352"/>
      <c r="D331" s="352"/>
    </row>
    <row r="332" spans="2:4" hidden="1">
      <c r="B332" s="352"/>
      <c r="C332" s="352"/>
      <c r="D332" s="352"/>
    </row>
    <row r="333" spans="2:4" hidden="1">
      <c r="B333" s="352"/>
      <c r="C333" s="352"/>
      <c r="D333" s="352"/>
    </row>
    <row r="334" spans="2:4" hidden="1">
      <c r="B334" s="352"/>
      <c r="C334" s="352"/>
      <c r="D334" s="352"/>
    </row>
    <row r="335" spans="2:4" hidden="1">
      <c r="B335" s="352"/>
      <c r="C335" s="352"/>
      <c r="D335" s="352"/>
    </row>
    <row r="336" spans="2:4" hidden="1">
      <c r="B336" s="352"/>
      <c r="C336" s="352"/>
      <c r="D336" s="352"/>
    </row>
    <row r="337" spans="2:4" hidden="1">
      <c r="B337" s="352"/>
      <c r="C337" s="352"/>
      <c r="D337" s="352"/>
    </row>
    <row r="338" spans="2:4" hidden="1">
      <c r="B338" s="352"/>
      <c r="C338" s="352"/>
      <c r="D338" s="352"/>
    </row>
    <row r="339" spans="2:4" hidden="1">
      <c r="B339" s="352"/>
      <c r="C339" s="352"/>
      <c r="D339" s="352"/>
    </row>
    <row r="340" spans="2:4" hidden="1">
      <c r="B340" s="352"/>
      <c r="C340" s="352"/>
      <c r="D340" s="352"/>
    </row>
    <row r="341" spans="2:4" hidden="1">
      <c r="B341" s="352"/>
      <c r="C341" s="352"/>
      <c r="D341" s="352"/>
    </row>
    <row r="342" spans="2:4" hidden="1">
      <c r="B342" s="352"/>
      <c r="C342" s="352"/>
      <c r="D342" s="352"/>
    </row>
    <row r="343" spans="2:4" hidden="1">
      <c r="B343" s="352"/>
      <c r="C343" s="352"/>
      <c r="D343" s="352"/>
    </row>
    <row r="344" spans="2:4" hidden="1">
      <c r="B344" s="352"/>
      <c r="C344" s="352"/>
      <c r="D344" s="352"/>
    </row>
    <row r="345" spans="2:4" hidden="1">
      <c r="B345" s="352"/>
      <c r="C345" s="352"/>
      <c r="D345" s="352"/>
    </row>
    <row r="346" spans="2:4" hidden="1">
      <c r="B346" s="352"/>
      <c r="C346" s="352"/>
      <c r="D346" s="352"/>
    </row>
    <row r="347" spans="2:4" hidden="1">
      <c r="B347" s="352"/>
      <c r="C347" s="352"/>
      <c r="D347" s="352"/>
    </row>
    <row r="348" spans="2:4" hidden="1">
      <c r="B348" s="352"/>
      <c r="C348" s="352"/>
      <c r="D348" s="352"/>
    </row>
    <row r="349" spans="2:4" hidden="1">
      <c r="B349" s="352"/>
      <c r="C349" s="352"/>
      <c r="D349" s="352"/>
    </row>
    <row r="350" spans="2:4" hidden="1">
      <c r="B350" s="352"/>
      <c r="C350" s="352"/>
      <c r="D350" s="352"/>
    </row>
    <row r="351" spans="2:4" hidden="1">
      <c r="B351" s="352"/>
      <c r="C351" s="352"/>
      <c r="D351" s="352"/>
    </row>
    <row r="352" spans="2:4" hidden="1">
      <c r="B352" s="352"/>
      <c r="C352" s="352"/>
      <c r="D352" s="352"/>
    </row>
    <row r="353" spans="2:4" hidden="1">
      <c r="B353" s="352"/>
      <c r="C353" s="352"/>
      <c r="D353" s="352"/>
    </row>
    <row r="354" spans="2:4" hidden="1">
      <c r="B354" s="352"/>
      <c r="C354" s="352"/>
      <c r="D354" s="352"/>
    </row>
    <row r="355" spans="2:4" hidden="1">
      <c r="B355" s="352"/>
      <c r="C355" s="352"/>
      <c r="D355" s="352"/>
    </row>
    <row r="356" spans="2:4" hidden="1">
      <c r="B356" s="352"/>
      <c r="C356" s="352"/>
      <c r="D356" s="352"/>
    </row>
    <row r="357" spans="2:4" hidden="1">
      <c r="B357" s="352"/>
      <c r="C357" s="352"/>
      <c r="D357" s="352"/>
    </row>
    <row r="358" spans="2:4" hidden="1">
      <c r="B358" s="352"/>
      <c r="C358" s="352"/>
      <c r="D358" s="352"/>
    </row>
    <row r="359" spans="2:4" hidden="1">
      <c r="B359" s="352"/>
      <c r="C359" s="352"/>
      <c r="D359" s="352"/>
    </row>
    <row r="360" spans="2:4" hidden="1">
      <c r="B360" s="352"/>
      <c r="C360" s="352"/>
      <c r="D360" s="352"/>
    </row>
    <row r="361" spans="2:4" hidden="1">
      <c r="B361" s="352"/>
      <c r="C361" s="352"/>
      <c r="D361" s="352"/>
    </row>
    <row r="362" spans="2:4" hidden="1">
      <c r="B362" s="352"/>
      <c r="C362" s="352"/>
      <c r="D362" s="352"/>
    </row>
    <row r="363" spans="2:4" hidden="1">
      <c r="B363" s="352"/>
      <c r="C363" s="352"/>
      <c r="D363" s="352"/>
    </row>
    <row r="364" spans="2:4" hidden="1">
      <c r="B364" s="352"/>
      <c r="C364" s="352"/>
      <c r="D364" s="352"/>
    </row>
    <row r="365" spans="2:4" hidden="1">
      <c r="B365" s="352"/>
      <c r="C365" s="352"/>
      <c r="D365" s="352"/>
    </row>
    <row r="366" spans="2:4" hidden="1">
      <c r="B366" s="352"/>
      <c r="C366" s="352"/>
      <c r="D366" s="352"/>
    </row>
    <row r="367" spans="2:4" hidden="1">
      <c r="B367" s="352"/>
      <c r="C367" s="352"/>
      <c r="D367" s="352"/>
    </row>
    <row r="368" spans="2:4" hidden="1">
      <c r="B368" s="352"/>
      <c r="C368" s="352"/>
      <c r="D368" s="352"/>
    </row>
    <row r="369" spans="2:4" hidden="1">
      <c r="B369" s="352"/>
      <c r="C369" s="352"/>
      <c r="D369" s="352"/>
    </row>
    <row r="370" spans="2:4" hidden="1">
      <c r="B370" s="352"/>
      <c r="C370" s="352"/>
      <c r="D370" s="352"/>
    </row>
    <row r="371" spans="2:4" hidden="1">
      <c r="B371" s="352"/>
      <c r="C371" s="352"/>
      <c r="D371" s="352"/>
    </row>
    <row r="372" spans="2:4" hidden="1">
      <c r="B372" s="352"/>
      <c r="C372" s="352"/>
      <c r="D372" s="352"/>
    </row>
    <row r="373" spans="2:4" hidden="1">
      <c r="B373" s="352"/>
      <c r="C373" s="352"/>
      <c r="D373" s="352"/>
    </row>
    <row r="374" spans="2:4" hidden="1">
      <c r="B374" s="352"/>
      <c r="C374" s="352"/>
      <c r="D374" s="352"/>
    </row>
    <row r="375" spans="2:4" hidden="1">
      <c r="B375" s="352"/>
      <c r="C375" s="352"/>
      <c r="D375" s="352"/>
    </row>
    <row r="376" spans="2:4" hidden="1">
      <c r="B376" s="352"/>
      <c r="C376" s="352"/>
      <c r="D376" s="352"/>
    </row>
    <row r="377" spans="2:4" hidden="1">
      <c r="B377" s="352"/>
      <c r="C377" s="352"/>
      <c r="D377" s="352"/>
    </row>
    <row r="378" spans="2:4" hidden="1">
      <c r="B378" s="352"/>
      <c r="C378" s="352"/>
      <c r="D378" s="352"/>
    </row>
    <row r="379" spans="2:4" hidden="1">
      <c r="B379" s="352"/>
      <c r="C379" s="352"/>
      <c r="D379" s="352"/>
    </row>
    <row r="380" spans="2:4" hidden="1">
      <c r="B380" s="352"/>
      <c r="C380" s="352"/>
      <c r="D380" s="352"/>
    </row>
    <row r="381" spans="2:4" hidden="1">
      <c r="B381" s="352"/>
      <c r="C381" s="352"/>
      <c r="D381" s="352"/>
    </row>
    <row r="382" spans="2:4" hidden="1">
      <c r="B382" s="352"/>
      <c r="C382" s="352"/>
      <c r="D382" s="352"/>
    </row>
    <row r="383" spans="2:4" hidden="1">
      <c r="B383" s="352"/>
      <c r="C383" s="352"/>
      <c r="D383" s="352"/>
    </row>
    <row r="384" spans="2:4" hidden="1">
      <c r="B384" s="352"/>
      <c r="C384" s="352"/>
      <c r="D384" s="352"/>
    </row>
    <row r="385" spans="2:4" hidden="1">
      <c r="B385" s="352"/>
      <c r="C385" s="352"/>
      <c r="D385" s="352"/>
    </row>
    <row r="386" spans="2:4" hidden="1">
      <c r="B386" s="352"/>
      <c r="C386" s="352"/>
      <c r="D386" s="352"/>
    </row>
    <row r="387" spans="2:4" hidden="1">
      <c r="B387" s="352"/>
      <c r="C387" s="352"/>
      <c r="D387" s="352"/>
    </row>
    <row r="388" spans="2:4" hidden="1">
      <c r="B388" s="352"/>
      <c r="C388" s="352"/>
      <c r="D388" s="352"/>
    </row>
    <row r="389" spans="2:4" hidden="1">
      <c r="B389" s="352"/>
      <c r="C389" s="352"/>
      <c r="D389" s="352"/>
    </row>
    <row r="390" spans="2:4" hidden="1">
      <c r="B390" s="352"/>
      <c r="C390" s="352"/>
      <c r="D390" s="352"/>
    </row>
    <row r="391" spans="2:4" hidden="1">
      <c r="B391" s="352"/>
      <c r="C391" s="352"/>
      <c r="D391" s="352"/>
    </row>
    <row r="392" spans="2:4" hidden="1">
      <c r="B392" s="352"/>
      <c r="C392" s="352"/>
      <c r="D392" s="352"/>
    </row>
    <row r="393" spans="2:4" hidden="1">
      <c r="B393" s="352"/>
      <c r="C393" s="352"/>
      <c r="D393" s="352"/>
    </row>
    <row r="394" spans="2:4" hidden="1">
      <c r="B394" s="352"/>
      <c r="C394" s="352"/>
      <c r="D394" s="352"/>
    </row>
    <row r="395" spans="2:4" hidden="1">
      <c r="B395" s="352"/>
      <c r="C395" s="352"/>
      <c r="D395" s="352"/>
    </row>
    <row r="396" spans="2:4" hidden="1">
      <c r="B396" s="352"/>
      <c r="C396" s="352"/>
      <c r="D396" s="352"/>
    </row>
    <row r="397" spans="2:4" hidden="1">
      <c r="B397" s="352"/>
      <c r="C397" s="352"/>
      <c r="D397" s="352"/>
    </row>
    <row r="398" spans="2:4" hidden="1">
      <c r="B398" s="352"/>
      <c r="C398" s="352"/>
      <c r="D398" s="352"/>
    </row>
    <row r="399" spans="2:4" hidden="1">
      <c r="B399" s="352"/>
      <c r="C399" s="352"/>
      <c r="D399" s="352"/>
    </row>
    <row r="400" spans="2:4" hidden="1">
      <c r="B400" s="352"/>
      <c r="C400" s="352"/>
      <c r="D400" s="352"/>
    </row>
    <row r="401" spans="2:4" hidden="1">
      <c r="B401" s="352"/>
      <c r="C401" s="352"/>
      <c r="D401" s="352"/>
    </row>
    <row r="402" spans="2:4" hidden="1">
      <c r="B402" s="352"/>
      <c r="C402" s="352"/>
      <c r="D402" s="352"/>
    </row>
    <row r="403" spans="2:4" hidden="1">
      <c r="B403" s="352"/>
      <c r="C403" s="352"/>
      <c r="D403" s="352"/>
    </row>
    <row r="404" spans="2:4" hidden="1">
      <c r="B404" s="352"/>
      <c r="C404" s="352"/>
      <c r="D404" s="352"/>
    </row>
    <row r="405" spans="2:4" hidden="1">
      <c r="B405" s="352"/>
      <c r="C405" s="352"/>
      <c r="D405" s="352"/>
    </row>
    <row r="406" spans="2:4" hidden="1">
      <c r="B406" s="352"/>
      <c r="C406" s="352"/>
      <c r="D406" s="352"/>
    </row>
    <row r="407" spans="2:4" hidden="1">
      <c r="B407" s="352"/>
      <c r="C407" s="352"/>
      <c r="D407" s="352"/>
    </row>
    <row r="408" spans="2:4" hidden="1">
      <c r="B408" s="352"/>
      <c r="C408" s="352"/>
      <c r="D408" s="352"/>
    </row>
    <row r="409" spans="2:4" hidden="1">
      <c r="B409" s="352"/>
      <c r="C409" s="352"/>
      <c r="D409" s="352"/>
    </row>
    <row r="410" spans="2:4" hidden="1">
      <c r="B410" s="352"/>
      <c r="C410" s="352"/>
      <c r="D410" s="352"/>
    </row>
    <row r="411" spans="2:4" hidden="1">
      <c r="B411" s="352"/>
      <c r="C411" s="352"/>
      <c r="D411" s="352"/>
    </row>
    <row r="412" spans="2:4" hidden="1">
      <c r="B412" s="352"/>
      <c r="C412" s="352"/>
      <c r="D412" s="352"/>
    </row>
    <row r="413" spans="2:4" hidden="1">
      <c r="B413" s="352"/>
      <c r="C413" s="352"/>
      <c r="D413" s="352"/>
    </row>
    <row r="414" spans="2:4" hidden="1">
      <c r="B414" s="352"/>
      <c r="C414" s="352"/>
      <c r="D414" s="352"/>
    </row>
    <row r="415" spans="2:4" hidden="1">
      <c r="B415" s="352"/>
      <c r="C415" s="352"/>
      <c r="D415" s="352"/>
    </row>
    <row r="416" spans="2:4" hidden="1">
      <c r="B416" s="352"/>
      <c r="C416" s="352"/>
      <c r="D416" s="352"/>
    </row>
    <row r="417" spans="2:4" hidden="1">
      <c r="B417" s="352"/>
      <c r="C417" s="352"/>
      <c r="D417" s="352"/>
    </row>
    <row r="418" spans="2:4" hidden="1">
      <c r="B418" s="352"/>
      <c r="C418" s="352"/>
      <c r="D418" s="352"/>
    </row>
    <row r="419" spans="2:4" hidden="1">
      <c r="B419" s="352"/>
      <c r="C419" s="352"/>
      <c r="D419" s="352"/>
    </row>
    <row r="420" spans="2:4" hidden="1">
      <c r="B420" s="352"/>
      <c r="C420" s="352"/>
      <c r="D420" s="352"/>
    </row>
    <row r="421" spans="2:4" hidden="1">
      <c r="B421" s="352"/>
      <c r="C421" s="352"/>
      <c r="D421" s="352"/>
    </row>
    <row r="422" spans="2:4" hidden="1">
      <c r="B422" s="352"/>
      <c r="C422" s="352"/>
      <c r="D422" s="352"/>
    </row>
    <row r="423" spans="2:4" hidden="1">
      <c r="B423" s="352"/>
      <c r="C423" s="352"/>
      <c r="D423" s="352"/>
    </row>
    <row r="424" spans="2:4" hidden="1">
      <c r="B424" s="352"/>
      <c r="C424" s="352"/>
      <c r="D424" s="352"/>
    </row>
    <row r="425" spans="2:4" hidden="1">
      <c r="B425" s="352"/>
      <c r="C425" s="352"/>
      <c r="D425" s="352"/>
    </row>
    <row r="426" spans="2:4" hidden="1">
      <c r="B426" s="352"/>
      <c r="C426" s="352"/>
      <c r="D426" s="352"/>
    </row>
    <row r="427" spans="2:4" hidden="1">
      <c r="B427" s="352"/>
      <c r="C427" s="352"/>
      <c r="D427" s="352"/>
    </row>
    <row r="428" spans="2:4" hidden="1">
      <c r="B428" s="352"/>
      <c r="C428" s="352"/>
      <c r="D428" s="352"/>
    </row>
    <row r="429" spans="2:4" hidden="1">
      <c r="B429" s="352"/>
      <c r="C429" s="352"/>
      <c r="D429" s="352"/>
    </row>
    <row r="430" spans="2:4" hidden="1">
      <c r="B430" s="352"/>
      <c r="C430" s="352"/>
      <c r="D430" s="352"/>
    </row>
    <row r="431" spans="2:4" hidden="1">
      <c r="B431" s="352"/>
      <c r="C431" s="352"/>
      <c r="D431" s="352"/>
    </row>
    <row r="432" spans="2:4" hidden="1">
      <c r="B432" s="352"/>
      <c r="C432" s="352"/>
      <c r="D432" s="352"/>
    </row>
    <row r="433" spans="2:4" hidden="1">
      <c r="B433" s="352"/>
      <c r="C433" s="352"/>
      <c r="D433" s="352"/>
    </row>
    <row r="434" spans="2:4" hidden="1">
      <c r="B434" s="352"/>
      <c r="C434" s="352"/>
      <c r="D434" s="352"/>
    </row>
    <row r="435" spans="2:4" hidden="1">
      <c r="B435" s="352"/>
      <c r="C435" s="352"/>
      <c r="D435" s="352"/>
    </row>
    <row r="436" spans="2:4" hidden="1">
      <c r="B436" s="352"/>
      <c r="C436" s="352"/>
      <c r="D436" s="352"/>
    </row>
    <row r="437" spans="2:4" hidden="1">
      <c r="B437" s="352"/>
      <c r="C437" s="352"/>
      <c r="D437" s="352"/>
    </row>
    <row r="438" spans="2:4" hidden="1">
      <c r="B438" s="352"/>
      <c r="C438" s="352"/>
      <c r="D438" s="352"/>
    </row>
    <row r="439" spans="2:4" hidden="1">
      <c r="B439" s="352"/>
      <c r="C439" s="352"/>
      <c r="D439" s="352"/>
    </row>
    <row r="440" spans="2:4" hidden="1">
      <c r="B440" s="352"/>
      <c r="C440" s="352"/>
      <c r="D440" s="352"/>
    </row>
    <row r="441" spans="2:4" hidden="1">
      <c r="B441" s="352"/>
      <c r="C441" s="352"/>
      <c r="D441" s="352"/>
    </row>
    <row r="442" spans="2:4" hidden="1">
      <c r="B442" s="352"/>
      <c r="C442" s="352"/>
      <c r="D442" s="352"/>
    </row>
    <row r="443" spans="2:4" hidden="1">
      <c r="B443" s="352"/>
      <c r="C443" s="352"/>
      <c r="D443" s="352"/>
    </row>
    <row r="444" spans="2:4" hidden="1">
      <c r="B444" s="352"/>
      <c r="C444" s="352"/>
      <c r="D444" s="352"/>
    </row>
    <row r="445" spans="2:4" hidden="1">
      <c r="B445" s="352"/>
      <c r="C445" s="352"/>
      <c r="D445" s="352"/>
    </row>
    <row r="446" spans="2:4" hidden="1">
      <c r="B446" s="352"/>
      <c r="C446" s="352"/>
      <c r="D446" s="352"/>
    </row>
    <row r="447" spans="2:4" hidden="1">
      <c r="B447" s="352"/>
      <c r="C447" s="352"/>
      <c r="D447" s="352"/>
    </row>
    <row r="448" spans="2:4" hidden="1">
      <c r="B448" s="352"/>
      <c r="C448" s="352"/>
      <c r="D448" s="352"/>
    </row>
    <row r="449" spans="2:4" hidden="1">
      <c r="B449" s="352"/>
      <c r="C449" s="352"/>
      <c r="D449" s="352"/>
    </row>
    <row r="450" spans="2:4" hidden="1">
      <c r="B450" s="352"/>
      <c r="C450" s="352"/>
      <c r="D450" s="352"/>
    </row>
    <row r="451" spans="2:4" hidden="1">
      <c r="B451" s="352"/>
      <c r="C451" s="352"/>
      <c r="D451" s="352"/>
    </row>
    <row r="452" spans="2:4" hidden="1">
      <c r="B452" s="352"/>
      <c r="C452" s="352"/>
      <c r="D452" s="352"/>
    </row>
    <row r="453" spans="2:4" hidden="1">
      <c r="B453" s="352"/>
      <c r="C453" s="352"/>
      <c r="D453" s="352"/>
    </row>
    <row r="454" spans="2:4" hidden="1">
      <c r="B454" s="352"/>
      <c r="C454" s="352"/>
      <c r="D454" s="352"/>
    </row>
    <row r="455" spans="2:4" hidden="1">
      <c r="B455" s="352"/>
      <c r="C455" s="352"/>
      <c r="D455" s="352"/>
    </row>
    <row r="456" spans="2:4" hidden="1">
      <c r="B456" s="352"/>
      <c r="C456" s="352"/>
      <c r="D456" s="352"/>
    </row>
    <row r="457" spans="2:4" hidden="1">
      <c r="B457" s="352"/>
      <c r="C457" s="352"/>
      <c r="D457" s="352"/>
    </row>
    <row r="458" spans="2:4" hidden="1">
      <c r="B458" s="352"/>
      <c r="C458" s="352"/>
      <c r="D458" s="352"/>
    </row>
    <row r="459" spans="2:4" hidden="1">
      <c r="B459" s="352"/>
      <c r="C459" s="352"/>
      <c r="D459" s="352"/>
    </row>
    <row r="460" spans="2:4" hidden="1">
      <c r="B460" s="352"/>
      <c r="C460" s="352"/>
      <c r="D460" s="352"/>
    </row>
    <row r="461" spans="2:4" hidden="1">
      <c r="B461" s="352"/>
      <c r="C461" s="352"/>
      <c r="D461" s="352"/>
    </row>
    <row r="462" spans="2:4" hidden="1">
      <c r="B462" s="352"/>
      <c r="C462" s="352"/>
      <c r="D462" s="352"/>
    </row>
    <row r="463" spans="2:4" hidden="1">
      <c r="B463" s="352"/>
      <c r="C463" s="352"/>
      <c r="D463" s="352"/>
    </row>
    <row r="464" spans="2:4" hidden="1">
      <c r="B464" s="352"/>
      <c r="C464" s="352"/>
      <c r="D464" s="352"/>
    </row>
    <row r="465" spans="2:4" hidden="1">
      <c r="B465" s="352"/>
      <c r="C465" s="352"/>
      <c r="D465" s="352"/>
    </row>
    <row r="466" spans="2:4" hidden="1">
      <c r="B466" s="352"/>
      <c r="C466" s="352"/>
      <c r="D466" s="352"/>
    </row>
    <row r="467" spans="2:4" hidden="1">
      <c r="B467" s="352"/>
      <c r="C467" s="352"/>
      <c r="D467" s="352"/>
    </row>
    <row r="468" spans="2:4" hidden="1">
      <c r="B468" s="352"/>
      <c r="C468" s="352"/>
      <c r="D468" s="352"/>
    </row>
    <row r="469" spans="2:4" hidden="1">
      <c r="B469" s="352"/>
      <c r="C469" s="352"/>
      <c r="D469" s="352"/>
    </row>
    <row r="470" spans="2:4" hidden="1">
      <c r="B470" s="352"/>
      <c r="C470" s="352"/>
      <c r="D470" s="352"/>
    </row>
    <row r="471" spans="2:4" hidden="1">
      <c r="B471" s="352"/>
      <c r="C471" s="352"/>
      <c r="D471" s="352"/>
    </row>
    <row r="472" spans="2:4" hidden="1">
      <c r="B472" s="352"/>
      <c r="C472" s="352"/>
      <c r="D472" s="352"/>
    </row>
    <row r="473" spans="2:4" hidden="1">
      <c r="B473" s="352"/>
      <c r="C473" s="352"/>
      <c r="D473" s="352"/>
    </row>
    <row r="474" spans="2:4" hidden="1">
      <c r="B474" s="352"/>
      <c r="C474" s="352"/>
      <c r="D474" s="352"/>
    </row>
    <row r="475" spans="2:4" hidden="1">
      <c r="B475" s="352"/>
      <c r="C475" s="352"/>
      <c r="D475" s="352"/>
    </row>
    <row r="476" spans="2:4" hidden="1">
      <c r="B476" s="352"/>
      <c r="C476" s="352"/>
      <c r="D476" s="352"/>
    </row>
    <row r="477" spans="2:4" hidden="1">
      <c r="B477" s="352"/>
      <c r="C477" s="352"/>
      <c r="D477" s="352"/>
    </row>
    <row r="478" spans="2:4" hidden="1">
      <c r="B478" s="352"/>
      <c r="C478" s="352"/>
      <c r="D478" s="352"/>
    </row>
    <row r="479" spans="2:4" hidden="1">
      <c r="B479" s="352"/>
      <c r="C479" s="352"/>
      <c r="D479" s="352"/>
    </row>
    <row r="480" spans="2:4" hidden="1">
      <c r="B480" s="352"/>
      <c r="C480" s="352"/>
      <c r="D480" s="352"/>
    </row>
    <row r="481" spans="2:4" hidden="1">
      <c r="B481" s="352"/>
      <c r="C481" s="352"/>
      <c r="D481" s="352"/>
    </row>
    <row r="482" spans="2:4" hidden="1">
      <c r="B482" s="352"/>
      <c r="C482" s="352"/>
      <c r="D482" s="352"/>
    </row>
    <row r="483" spans="2:4" hidden="1">
      <c r="B483" s="352"/>
      <c r="C483" s="352"/>
      <c r="D483" s="352"/>
    </row>
    <row r="484" spans="2:4" hidden="1">
      <c r="B484" s="352"/>
      <c r="C484" s="352"/>
      <c r="D484" s="352"/>
    </row>
    <row r="485" spans="2:4" hidden="1">
      <c r="B485" s="352"/>
      <c r="C485" s="352"/>
      <c r="D485" s="352"/>
    </row>
    <row r="486" spans="2:4" hidden="1">
      <c r="B486" s="352"/>
      <c r="C486" s="352"/>
      <c r="D486" s="352"/>
    </row>
    <row r="487" spans="2:4" hidden="1">
      <c r="B487" s="352"/>
      <c r="C487" s="352"/>
      <c r="D487" s="352"/>
    </row>
    <row r="488" spans="2:4" hidden="1">
      <c r="B488" s="352"/>
      <c r="C488" s="352"/>
      <c r="D488" s="352"/>
    </row>
    <row r="489" spans="2:4" hidden="1">
      <c r="B489" s="352"/>
      <c r="C489" s="352"/>
      <c r="D489" s="352"/>
    </row>
    <row r="490" spans="2:4" hidden="1">
      <c r="B490" s="352"/>
      <c r="C490" s="352"/>
      <c r="D490" s="352"/>
    </row>
    <row r="491" spans="2:4" hidden="1">
      <c r="B491" s="352"/>
      <c r="C491" s="352"/>
      <c r="D491" s="352"/>
    </row>
    <row r="492" spans="2:4" hidden="1">
      <c r="B492" s="352"/>
      <c r="C492" s="352"/>
      <c r="D492" s="352"/>
    </row>
    <row r="493" spans="2:4" hidden="1">
      <c r="B493" s="352"/>
      <c r="C493" s="352"/>
      <c r="D493" s="352"/>
    </row>
    <row r="494" spans="2:4" hidden="1">
      <c r="B494" s="352"/>
      <c r="C494" s="352"/>
      <c r="D494" s="352"/>
    </row>
    <row r="495" spans="2:4" hidden="1">
      <c r="B495" s="352"/>
      <c r="C495" s="352"/>
      <c r="D495" s="352"/>
    </row>
    <row r="496" spans="2:4" hidden="1">
      <c r="B496" s="352"/>
      <c r="C496" s="352"/>
      <c r="D496" s="352"/>
    </row>
    <row r="497" spans="2:4" hidden="1">
      <c r="B497" s="352"/>
      <c r="C497" s="352"/>
      <c r="D497" s="352"/>
    </row>
    <row r="498" spans="2:4" hidden="1">
      <c r="B498" s="352"/>
      <c r="C498" s="352"/>
      <c r="D498" s="352"/>
    </row>
    <row r="499" spans="2:4" hidden="1">
      <c r="B499" s="352"/>
      <c r="C499" s="352"/>
      <c r="D499" s="352"/>
    </row>
    <row r="500" spans="2:4" hidden="1">
      <c r="B500" s="352"/>
      <c r="C500" s="352"/>
      <c r="D500" s="352"/>
    </row>
    <row r="501" spans="2:4" hidden="1">
      <c r="B501" s="352"/>
      <c r="C501" s="352"/>
      <c r="D501" s="352"/>
    </row>
    <row r="502" spans="2:4" hidden="1">
      <c r="B502" s="352"/>
      <c r="C502" s="352"/>
      <c r="D502" s="352"/>
    </row>
    <row r="503" spans="2:4" hidden="1">
      <c r="B503" s="352"/>
      <c r="C503" s="352"/>
      <c r="D503" s="352"/>
    </row>
    <row r="504" spans="2:4" hidden="1">
      <c r="B504" s="352"/>
      <c r="C504" s="352"/>
      <c r="D504" s="352"/>
    </row>
    <row r="505" spans="2:4" hidden="1">
      <c r="B505" s="352"/>
      <c r="C505" s="352"/>
      <c r="D505" s="352"/>
    </row>
    <row r="506" spans="2:4" hidden="1">
      <c r="B506" s="352"/>
      <c r="C506" s="352"/>
      <c r="D506" s="352"/>
    </row>
    <row r="507" spans="2:4" hidden="1">
      <c r="B507" s="352"/>
      <c r="C507" s="352"/>
      <c r="D507" s="352"/>
    </row>
    <row r="508" spans="2:4" hidden="1">
      <c r="B508" s="352"/>
      <c r="C508" s="352"/>
      <c r="D508" s="352"/>
    </row>
    <row r="509" spans="2:4" hidden="1">
      <c r="B509" s="352"/>
      <c r="C509" s="352"/>
      <c r="D509" s="352"/>
    </row>
    <row r="510" spans="2:4" hidden="1">
      <c r="B510" s="352"/>
      <c r="C510" s="352"/>
      <c r="D510" s="352"/>
    </row>
    <row r="511" spans="2:4" hidden="1">
      <c r="B511" s="352"/>
      <c r="C511" s="352"/>
      <c r="D511" s="352"/>
    </row>
    <row r="512" spans="2:4" hidden="1">
      <c r="B512" s="352"/>
      <c r="C512" s="352"/>
      <c r="D512" s="352"/>
    </row>
    <row r="513" spans="2:4" hidden="1">
      <c r="B513" s="352"/>
      <c r="C513" s="352"/>
      <c r="D513" s="352"/>
    </row>
    <row r="514" spans="2:4" hidden="1">
      <c r="B514" s="352"/>
      <c r="C514" s="352"/>
      <c r="D514" s="352"/>
    </row>
    <row r="515" spans="2:4" hidden="1">
      <c r="B515" s="352"/>
      <c r="C515" s="352"/>
      <c r="D515" s="352"/>
    </row>
    <row r="516" spans="2:4" hidden="1">
      <c r="B516" s="352"/>
      <c r="C516" s="352"/>
      <c r="D516" s="352"/>
    </row>
    <row r="517" spans="2:4" hidden="1">
      <c r="B517" s="352"/>
      <c r="C517" s="352"/>
      <c r="D517" s="352"/>
    </row>
    <row r="518" spans="2:4" hidden="1">
      <c r="B518" s="352"/>
      <c r="C518" s="352"/>
      <c r="D518" s="352"/>
    </row>
    <row r="519" spans="2:4" hidden="1">
      <c r="B519" s="352"/>
      <c r="C519" s="352"/>
      <c r="D519" s="352"/>
    </row>
    <row r="520" spans="2:4" hidden="1">
      <c r="B520" s="352"/>
      <c r="C520" s="352"/>
      <c r="D520" s="352"/>
    </row>
    <row r="521" spans="2:4" hidden="1">
      <c r="B521" s="352"/>
      <c r="C521" s="352"/>
      <c r="D521" s="352"/>
    </row>
    <row r="522" spans="2:4" hidden="1">
      <c r="B522" s="352"/>
      <c r="C522" s="352"/>
      <c r="D522" s="352"/>
    </row>
    <row r="523" spans="2:4" hidden="1">
      <c r="B523" s="352"/>
      <c r="C523" s="352"/>
      <c r="D523" s="352"/>
    </row>
    <row r="524" spans="2:4" hidden="1">
      <c r="B524" s="352"/>
      <c r="C524" s="352"/>
      <c r="D524" s="352"/>
    </row>
    <row r="525" spans="2:4" hidden="1">
      <c r="B525" s="352"/>
      <c r="C525" s="352"/>
      <c r="D525" s="352"/>
    </row>
    <row r="526" spans="2:4" hidden="1">
      <c r="B526" s="352"/>
      <c r="C526" s="352"/>
      <c r="D526" s="352"/>
    </row>
    <row r="527" spans="2:4" hidden="1">
      <c r="B527" s="352"/>
      <c r="C527" s="352"/>
      <c r="D527" s="352"/>
    </row>
    <row r="528" spans="2:4" hidden="1">
      <c r="B528" s="352"/>
      <c r="C528" s="352"/>
      <c r="D528" s="352"/>
    </row>
    <row r="529" spans="2:4" hidden="1">
      <c r="B529" s="352"/>
      <c r="C529" s="352"/>
      <c r="D529" s="352"/>
    </row>
    <row r="530" spans="2:4" hidden="1">
      <c r="B530" s="352"/>
      <c r="C530" s="352"/>
      <c r="D530" s="352"/>
    </row>
    <row r="531" spans="2:4" hidden="1">
      <c r="B531" s="352"/>
      <c r="C531" s="352"/>
      <c r="D531" s="352"/>
    </row>
    <row r="532" spans="2:4" hidden="1">
      <c r="B532" s="352"/>
      <c r="C532" s="352"/>
      <c r="D532" s="352"/>
    </row>
    <row r="533" spans="2:4" hidden="1">
      <c r="B533" s="352"/>
      <c r="C533" s="352"/>
      <c r="D533" s="352"/>
    </row>
    <row r="534" spans="2:4" hidden="1">
      <c r="B534" s="352"/>
      <c r="C534" s="352"/>
      <c r="D534" s="352"/>
    </row>
    <row r="535" spans="2:4" hidden="1">
      <c r="B535" s="352"/>
      <c r="C535" s="352"/>
      <c r="D535" s="352"/>
    </row>
    <row r="536" spans="2:4" hidden="1">
      <c r="B536" s="352"/>
      <c r="C536" s="352"/>
      <c r="D536" s="352"/>
    </row>
    <row r="537" spans="2:4" hidden="1">
      <c r="B537" s="352"/>
      <c r="C537" s="352"/>
      <c r="D537" s="352"/>
    </row>
    <row r="538" spans="2:4" hidden="1">
      <c r="B538" s="352"/>
      <c r="C538" s="352"/>
      <c r="D538" s="352"/>
    </row>
    <row r="539" spans="2:4" hidden="1">
      <c r="B539" s="352"/>
      <c r="C539" s="352"/>
      <c r="D539" s="352"/>
    </row>
    <row r="540" spans="2:4" hidden="1">
      <c r="B540" s="352"/>
      <c r="C540" s="352"/>
      <c r="D540" s="352"/>
    </row>
    <row r="541" spans="2:4" hidden="1">
      <c r="B541" s="352"/>
      <c r="C541" s="352"/>
      <c r="D541" s="352"/>
    </row>
    <row r="542" spans="2:4" hidden="1">
      <c r="B542" s="352"/>
      <c r="C542" s="352"/>
      <c r="D542" s="352"/>
    </row>
    <row r="543" spans="2:4" hidden="1">
      <c r="B543" s="352"/>
      <c r="C543" s="352"/>
      <c r="D543" s="352"/>
    </row>
    <row r="544" spans="2:4" hidden="1">
      <c r="B544" s="352"/>
      <c r="C544" s="352"/>
      <c r="D544" s="352"/>
    </row>
    <row r="545" spans="2:4" hidden="1">
      <c r="B545" s="352"/>
      <c r="C545" s="352"/>
      <c r="D545" s="352"/>
    </row>
    <row r="546" spans="2:4" hidden="1">
      <c r="B546" s="352"/>
      <c r="C546" s="352"/>
      <c r="D546" s="352"/>
    </row>
    <row r="547" spans="2:4" hidden="1">
      <c r="B547" s="352"/>
      <c r="C547" s="352"/>
      <c r="D547" s="352"/>
    </row>
    <row r="548" spans="2:4" hidden="1">
      <c r="B548" s="352"/>
      <c r="C548" s="352"/>
      <c r="D548" s="352"/>
    </row>
    <row r="549" spans="2:4" hidden="1">
      <c r="B549" s="352"/>
      <c r="C549" s="352"/>
      <c r="D549" s="352"/>
    </row>
    <row r="550" spans="2:4" hidden="1">
      <c r="B550" s="352"/>
      <c r="C550" s="352"/>
      <c r="D550" s="352"/>
    </row>
    <row r="551" spans="2:4" hidden="1">
      <c r="B551" s="352"/>
      <c r="C551" s="352"/>
      <c r="D551" s="352"/>
    </row>
    <row r="552" spans="2:4" hidden="1">
      <c r="B552" s="352"/>
      <c r="C552" s="352"/>
      <c r="D552" s="352"/>
    </row>
    <row r="553" spans="2:4" hidden="1">
      <c r="B553" s="352"/>
      <c r="C553" s="352"/>
      <c r="D553" s="352"/>
    </row>
    <row r="554" spans="2:4" hidden="1">
      <c r="B554" s="352"/>
      <c r="C554" s="352"/>
      <c r="D554" s="352"/>
    </row>
    <row r="555" spans="2:4" hidden="1">
      <c r="B555" s="352"/>
      <c r="C555" s="352"/>
      <c r="D555" s="352"/>
    </row>
    <row r="556" spans="2:4" hidden="1">
      <c r="B556" s="352"/>
      <c r="C556" s="352"/>
      <c r="D556" s="352"/>
    </row>
    <row r="557" spans="2:4" hidden="1">
      <c r="B557" s="352"/>
      <c r="C557" s="352"/>
      <c r="D557" s="352"/>
    </row>
    <row r="558" spans="2:4" hidden="1">
      <c r="B558" s="352"/>
      <c r="C558" s="352"/>
      <c r="D558" s="352"/>
    </row>
    <row r="559" spans="2:4" hidden="1">
      <c r="B559" s="352"/>
      <c r="C559" s="352"/>
      <c r="D559" s="352"/>
    </row>
    <row r="560" spans="2:4" hidden="1">
      <c r="B560" s="352"/>
      <c r="C560" s="352"/>
      <c r="D560" s="352"/>
    </row>
    <row r="561" spans="2:4" hidden="1">
      <c r="B561" s="352"/>
      <c r="C561" s="352"/>
      <c r="D561" s="352"/>
    </row>
    <row r="562" spans="2:4" hidden="1">
      <c r="B562" s="352"/>
      <c r="C562" s="352"/>
      <c r="D562" s="352"/>
    </row>
    <row r="563" spans="2:4" hidden="1">
      <c r="B563" s="352"/>
      <c r="C563" s="352"/>
      <c r="D563" s="352"/>
    </row>
    <row r="564" spans="2:4" hidden="1">
      <c r="B564" s="352"/>
      <c r="C564" s="352"/>
      <c r="D564" s="352"/>
    </row>
    <row r="565" spans="2:4" hidden="1">
      <c r="B565" s="352"/>
      <c r="C565" s="352"/>
      <c r="D565" s="352"/>
    </row>
    <row r="566" spans="2:4" hidden="1">
      <c r="B566" s="352"/>
      <c r="C566" s="352"/>
      <c r="D566" s="352"/>
    </row>
    <row r="567" spans="2:4" hidden="1">
      <c r="B567" s="352"/>
      <c r="C567" s="352"/>
      <c r="D567" s="352"/>
    </row>
    <row r="568" spans="2:4" hidden="1">
      <c r="B568" s="352"/>
      <c r="C568" s="352"/>
      <c r="D568" s="352"/>
    </row>
    <row r="569" spans="2:4" hidden="1">
      <c r="B569" s="352"/>
      <c r="C569" s="352"/>
      <c r="D569" s="352"/>
    </row>
    <row r="570" spans="2:4" hidden="1">
      <c r="B570" s="352"/>
      <c r="C570" s="352"/>
      <c r="D570" s="352"/>
    </row>
    <row r="571" spans="2:4" hidden="1">
      <c r="B571" s="352"/>
      <c r="C571" s="352"/>
      <c r="D571" s="352"/>
    </row>
    <row r="572" spans="2:4" hidden="1">
      <c r="B572" s="352"/>
      <c r="C572" s="352"/>
      <c r="D572" s="352"/>
    </row>
    <row r="573" spans="2:4" hidden="1">
      <c r="B573" s="352"/>
      <c r="C573" s="352"/>
      <c r="D573" s="352"/>
    </row>
    <row r="574" spans="2:4" hidden="1">
      <c r="B574" s="352"/>
      <c r="C574" s="352"/>
      <c r="D574" s="352"/>
    </row>
    <row r="575" spans="2:4" hidden="1">
      <c r="B575" s="352"/>
      <c r="C575" s="352"/>
      <c r="D575" s="352"/>
    </row>
    <row r="576" spans="2:4" hidden="1">
      <c r="B576" s="352"/>
      <c r="C576" s="352"/>
      <c r="D576" s="352"/>
    </row>
    <row r="577" spans="2:4" hidden="1">
      <c r="B577" s="352"/>
      <c r="C577" s="352"/>
      <c r="D577" s="352"/>
    </row>
    <row r="578" spans="2:4" hidden="1">
      <c r="B578" s="352"/>
      <c r="C578" s="352"/>
      <c r="D578" s="352"/>
    </row>
    <row r="579" spans="2:4" hidden="1">
      <c r="B579" s="352"/>
      <c r="C579" s="352"/>
      <c r="D579" s="352"/>
    </row>
    <row r="580" spans="2:4" hidden="1">
      <c r="B580" s="352"/>
      <c r="C580" s="352"/>
      <c r="D580" s="352"/>
    </row>
    <row r="581" spans="2:4" hidden="1">
      <c r="B581" s="352"/>
      <c r="C581" s="352"/>
      <c r="D581" s="352"/>
    </row>
    <row r="582" spans="2:4" hidden="1">
      <c r="B582" s="352"/>
      <c r="C582" s="352"/>
      <c r="D582" s="352"/>
    </row>
    <row r="583" spans="2:4" hidden="1">
      <c r="B583" s="352"/>
      <c r="C583" s="352"/>
      <c r="D583" s="352"/>
    </row>
    <row r="584" spans="2:4" hidden="1">
      <c r="B584" s="352"/>
      <c r="C584" s="352"/>
      <c r="D584" s="352"/>
    </row>
    <row r="585" spans="2:4" hidden="1">
      <c r="B585" s="352"/>
      <c r="C585" s="352"/>
      <c r="D585" s="352"/>
    </row>
    <row r="586" spans="2:4" hidden="1">
      <c r="B586" s="352"/>
      <c r="C586" s="352"/>
      <c r="D586" s="352"/>
    </row>
    <row r="587" spans="2:4" hidden="1">
      <c r="B587" s="352"/>
      <c r="C587" s="352"/>
      <c r="D587" s="352"/>
    </row>
    <row r="588" spans="2:4" hidden="1">
      <c r="B588" s="352"/>
      <c r="C588" s="352"/>
      <c r="D588" s="352"/>
    </row>
    <row r="589" spans="2:4" hidden="1">
      <c r="B589" s="352"/>
      <c r="C589" s="352"/>
      <c r="D589" s="352"/>
    </row>
    <row r="590" spans="2:4" hidden="1">
      <c r="B590" s="352"/>
      <c r="C590" s="352"/>
      <c r="D590" s="352"/>
    </row>
    <row r="591" spans="2:4" hidden="1">
      <c r="B591" s="352"/>
      <c r="C591" s="352"/>
      <c r="D591" s="352"/>
    </row>
    <row r="592" spans="2:4" hidden="1">
      <c r="B592" s="352"/>
      <c r="C592" s="352"/>
      <c r="D592" s="352"/>
    </row>
    <row r="593" spans="2:4" hidden="1">
      <c r="B593" s="352"/>
      <c r="C593" s="352"/>
      <c r="D593" s="352"/>
    </row>
    <row r="594" spans="2:4" hidden="1">
      <c r="B594" s="352"/>
      <c r="C594" s="352"/>
      <c r="D594" s="352"/>
    </row>
    <row r="595" spans="2:4" hidden="1">
      <c r="B595" s="352"/>
      <c r="C595" s="352"/>
      <c r="D595" s="352"/>
    </row>
    <row r="596" spans="2:4" hidden="1">
      <c r="B596" s="352"/>
      <c r="C596" s="352"/>
      <c r="D596" s="352"/>
    </row>
    <row r="597" spans="2:4" hidden="1">
      <c r="B597" s="352"/>
      <c r="C597" s="352"/>
      <c r="D597" s="352"/>
    </row>
    <row r="598" spans="2:4" hidden="1">
      <c r="B598" s="352"/>
      <c r="C598" s="352"/>
      <c r="D598" s="352"/>
    </row>
    <row r="599" spans="2:4" hidden="1">
      <c r="B599" s="352"/>
      <c r="C599" s="352"/>
      <c r="D599" s="352"/>
    </row>
    <row r="600" spans="2:4" hidden="1">
      <c r="B600" s="352"/>
      <c r="C600" s="352"/>
      <c r="D600" s="352"/>
    </row>
    <row r="601" spans="2:4" hidden="1">
      <c r="B601" s="352"/>
      <c r="C601" s="352"/>
      <c r="D601" s="352"/>
    </row>
    <row r="602" spans="2:4" hidden="1">
      <c r="B602" s="352"/>
      <c r="C602" s="352"/>
      <c r="D602" s="352"/>
    </row>
    <row r="603" spans="2:4" hidden="1">
      <c r="B603" s="352"/>
      <c r="C603" s="352"/>
      <c r="D603" s="352"/>
    </row>
    <row r="604" spans="2:4" hidden="1">
      <c r="B604" s="352"/>
      <c r="C604" s="352"/>
      <c r="D604" s="352"/>
    </row>
    <row r="605" spans="2:4" hidden="1">
      <c r="B605" s="352"/>
      <c r="C605" s="352"/>
      <c r="D605" s="352"/>
    </row>
    <row r="606" spans="2:4" hidden="1">
      <c r="B606" s="352"/>
      <c r="C606" s="352"/>
      <c r="D606" s="352"/>
    </row>
    <row r="607" spans="2:4" hidden="1">
      <c r="B607" s="352"/>
      <c r="C607" s="352"/>
      <c r="D607" s="352"/>
    </row>
    <row r="608" spans="2:4" hidden="1">
      <c r="B608" s="352"/>
      <c r="C608" s="352"/>
      <c r="D608" s="352"/>
    </row>
    <row r="609" spans="2:4" hidden="1">
      <c r="B609" s="352"/>
      <c r="C609" s="352"/>
      <c r="D609" s="352"/>
    </row>
    <row r="610" spans="2:4" hidden="1">
      <c r="B610" s="352"/>
      <c r="C610" s="352"/>
      <c r="D610" s="352"/>
    </row>
    <row r="611" spans="2:4" hidden="1">
      <c r="B611" s="352"/>
      <c r="C611" s="352"/>
      <c r="D611" s="352"/>
    </row>
    <row r="612" spans="2:4" hidden="1">
      <c r="B612" s="352"/>
      <c r="C612" s="352"/>
      <c r="D612" s="352"/>
    </row>
    <row r="613" spans="2:4" hidden="1">
      <c r="B613" s="352"/>
      <c r="C613" s="352"/>
      <c r="D613" s="352"/>
    </row>
    <row r="614" spans="2:4" hidden="1">
      <c r="B614" s="352"/>
      <c r="C614" s="352"/>
      <c r="D614" s="352"/>
    </row>
    <row r="615" spans="2:4" hidden="1">
      <c r="B615" s="352"/>
      <c r="C615" s="352"/>
      <c r="D615" s="352"/>
    </row>
    <row r="616" spans="2:4" hidden="1">
      <c r="B616" s="352"/>
      <c r="C616" s="352"/>
      <c r="D616" s="352"/>
    </row>
    <row r="617" spans="2:4" hidden="1">
      <c r="B617" s="352"/>
      <c r="C617" s="352"/>
      <c r="D617" s="352"/>
    </row>
    <row r="618" spans="2:4" hidden="1">
      <c r="B618" s="352"/>
      <c r="C618" s="352"/>
      <c r="D618" s="352"/>
    </row>
    <row r="619" spans="2:4" hidden="1">
      <c r="B619" s="352"/>
      <c r="C619" s="352"/>
      <c r="D619" s="352"/>
    </row>
    <row r="620" spans="2:4" hidden="1">
      <c r="B620" s="352"/>
      <c r="C620" s="352"/>
      <c r="D620" s="352"/>
    </row>
    <row r="621" spans="2:4" hidden="1">
      <c r="B621" s="352"/>
      <c r="C621" s="352"/>
      <c r="D621" s="352"/>
    </row>
    <row r="622" spans="2:4" hidden="1">
      <c r="B622" s="352"/>
      <c r="C622" s="352"/>
      <c r="D622" s="352"/>
    </row>
    <row r="623" spans="2:4" hidden="1">
      <c r="B623" s="352"/>
      <c r="C623" s="352"/>
      <c r="D623" s="352"/>
    </row>
    <row r="624" spans="2:4" hidden="1">
      <c r="B624" s="352"/>
      <c r="C624" s="352"/>
      <c r="D624" s="352"/>
    </row>
    <row r="625" spans="2:4" hidden="1">
      <c r="B625" s="352"/>
      <c r="C625" s="352"/>
      <c r="D625" s="352"/>
    </row>
    <row r="626" spans="2:4" hidden="1">
      <c r="B626" s="352"/>
      <c r="C626" s="352"/>
      <c r="D626" s="352"/>
    </row>
    <row r="627" spans="2:4" hidden="1">
      <c r="B627" s="352"/>
      <c r="C627" s="352"/>
      <c r="D627" s="352"/>
    </row>
    <row r="628" spans="2:4" hidden="1">
      <c r="B628" s="352"/>
      <c r="C628" s="352"/>
      <c r="D628" s="352"/>
    </row>
    <row r="629" spans="2:4" hidden="1">
      <c r="B629" s="352"/>
      <c r="C629" s="352"/>
      <c r="D629" s="352"/>
    </row>
    <row r="630" spans="2:4" hidden="1">
      <c r="B630" s="352"/>
      <c r="C630" s="352"/>
      <c r="D630" s="352"/>
    </row>
    <row r="631" spans="2:4" hidden="1">
      <c r="B631" s="352"/>
      <c r="C631" s="352"/>
      <c r="D631" s="352"/>
    </row>
    <row r="632" spans="2:4" hidden="1">
      <c r="B632" s="352"/>
      <c r="C632" s="352"/>
      <c r="D632" s="352"/>
    </row>
    <row r="633" spans="2:4" hidden="1">
      <c r="B633" s="352"/>
      <c r="C633" s="352"/>
      <c r="D633" s="352"/>
    </row>
    <row r="634" spans="2:4" hidden="1">
      <c r="B634" s="352"/>
      <c r="C634" s="352"/>
      <c r="D634" s="352"/>
    </row>
    <row r="635" spans="2:4" hidden="1">
      <c r="B635" s="352"/>
      <c r="C635" s="352"/>
      <c r="D635" s="352"/>
    </row>
    <row r="636" spans="2:4" hidden="1">
      <c r="B636" s="352"/>
      <c r="C636" s="352"/>
      <c r="D636" s="352"/>
    </row>
    <row r="637" spans="2:4" hidden="1">
      <c r="B637" s="352"/>
      <c r="C637" s="352"/>
      <c r="D637" s="352"/>
    </row>
    <row r="638" spans="2:4" hidden="1">
      <c r="B638" s="352"/>
      <c r="C638" s="352"/>
      <c r="D638" s="352"/>
    </row>
    <row r="639" spans="2:4" hidden="1">
      <c r="B639" s="352"/>
      <c r="C639" s="352"/>
      <c r="D639" s="352"/>
    </row>
    <row r="640" spans="2:4" hidden="1">
      <c r="B640" s="352"/>
      <c r="C640" s="352"/>
      <c r="D640" s="352"/>
    </row>
    <row r="641" spans="2:4" hidden="1">
      <c r="B641" s="352"/>
      <c r="C641" s="352"/>
      <c r="D641" s="352"/>
    </row>
    <row r="642" spans="2:4" hidden="1">
      <c r="B642" s="352"/>
      <c r="C642" s="352"/>
      <c r="D642" s="352"/>
    </row>
    <row r="643" spans="2:4" hidden="1">
      <c r="B643" s="352"/>
      <c r="C643" s="352"/>
      <c r="D643" s="352"/>
    </row>
    <row r="644" spans="2:4" hidden="1">
      <c r="B644" s="352"/>
      <c r="C644" s="352"/>
      <c r="D644" s="352"/>
    </row>
    <row r="645" spans="2:4" hidden="1">
      <c r="B645" s="352"/>
      <c r="C645" s="352"/>
      <c r="D645" s="352"/>
    </row>
    <row r="646" spans="2:4" hidden="1">
      <c r="B646" s="352"/>
      <c r="C646" s="352"/>
      <c r="D646" s="352"/>
    </row>
    <row r="647" spans="2:4" hidden="1">
      <c r="B647" s="352"/>
      <c r="C647" s="352"/>
      <c r="D647" s="352"/>
    </row>
    <row r="648" spans="2:4" hidden="1">
      <c r="B648" s="352"/>
      <c r="C648" s="352"/>
      <c r="D648" s="352"/>
    </row>
    <row r="649" spans="2:4" hidden="1">
      <c r="B649" s="352"/>
      <c r="C649" s="352"/>
      <c r="D649" s="352"/>
    </row>
    <row r="650" spans="2:4" hidden="1">
      <c r="B650" s="352"/>
      <c r="C650" s="352"/>
      <c r="D650" s="352"/>
    </row>
    <row r="651" spans="2:4" hidden="1">
      <c r="B651" s="352"/>
      <c r="C651" s="352"/>
      <c r="D651" s="352"/>
    </row>
    <row r="652" spans="2:4" hidden="1">
      <c r="B652" s="352"/>
      <c r="C652" s="352"/>
      <c r="D652" s="352"/>
    </row>
    <row r="653" spans="2:4" hidden="1">
      <c r="B653" s="352"/>
      <c r="C653" s="352"/>
      <c r="D653" s="352"/>
    </row>
    <row r="654" spans="2:4" hidden="1">
      <c r="B654" s="352"/>
      <c r="C654" s="352"/>
      <c r="D654" s="352"/>
    </row>
    <row r="655" spans="2:4" hidden="1">
      <c r="B655" s="352"/>
      <c r="C655" s="352"/>
      <c r="D655" s="352"/>
    </row>
    <row r="656" spans="2:4" hidden="1">
      <c r="B656" s="352"/>
      <c r="C656" s="352"/>
      <c r="D656" s="352"/>
    </row>
    <row r="657" spans="2:4" hidden="1">
      <c r="B657" s="352"/>
      <c r="C657" s="352"/>
      <c r="D657" s="352"/>
    </row>
    <row r="658" spans="2:4" hidden="1">
      <c r="B658" s="352"/>
      <c r="C658" s="352"/>
      <c r="D658" s="352"/>
    </row>
    <row r="659" spans="2:4" hidden="1">
      <c r="B659" s="352"/>
      <c r="C659" s="352"/>
      <c r="D659" s="352"/>
    </row>
    <row r="660" spans="2:4" hidden="1">
      <c r="B660" s="352"/>
      <c r="C660" s="352"/>
      <c r="D660" s="352"/>
    </row>
    <row r="661" spans="2:4" hidden="1">
      <c r="B661" s="352"/>
      <c r="C661" s="352"/>
      <c r="D661" s="352"/>
    </row>
    <row r="662" spans="2:4" hidden="1">
      <c r="B662" s="352"/>
      <c r="C662" s="352"/>
      <c r="D662" s="352"/>
    </row>
    <row r="663" spans="2:4" hidden="1">
      <c r="B663" s="352"/>
      <c r="C663" s="352"/>
      <c r="D663" s="352"/>
    </row>
    <row r="664" spans="2:4" hidden="1">
      <c r="B664" s="352"/>
      <c r="C664" s="352"/>
      <c r="D664" s="352"/>
    </row>
    <row r="665" spans="2:4" hidden="1">
      <c r="B665" s="352"/>
      <c r="C665" s="352"/>
      <c r="D665" s="352"/>
    </row>
    <row r="666" spans="2:4" hidden="1">
      <c r="B666" s="352"/>
      <c r="C666" s="352"/>
      <c r="D666" s="352"/>
    </row>
    <row r="667" spans="2:4" hidden="1">
      <c r="B667" s="352"/>
      <c r="C667" s="352"/>
      <c r="D667" s="352"/>
    </row>
    <row r="668" spans="2:4" hidden="1">
      <c r="B668" s="352"/>
      <c r="C668" s="352"/>
      <c r="D668" s="352"/>
    </row>
    <row r="669" spans="2:4" hidden="1">
      <c r="B669" s="352"/>
      <c r="C669" s="352"/>
      <c r="D669" s="352"/>
    </row>
    <row r="670" spans="2:4" hidden="1">
      <c r="B670" s="352"/>
      <c r="C670" s="352"/>
      <c r="D670" s="352"/>
    </row>
    <row r="671" spans="2:4" hidden="1">
      <c r="B671" s="352"/>
      <c r="C671" s="352"/>
      <c r="D671" s="352"/>
    </row>
    <row r="672" spans="2:4" hidden="1">
      <c r="B672" s="352"/>
      <c r="C672" s="352"/>
      <c r="D672" s="352"/>
    </row>
    <row r="673" spans="2:4" hidden="1">
      <c r="B673" s="352"/>
      <c r="C673" s="352"/>
      <c r="D673" s="352"/>
    </row>
    <row r="674" spans="2:4" hidden="1">
      <c r="B674" s="352"/>
      <c r="C674" s="352"/>
      <c r="D674" s="352"/>
    </row>
    <row r="675" spans="2:4" hidden="1">
      <c r="B675" s="352"/>
      <c r="C675" s="352"/>
      <c r="D675" s="352"/>
    </row>
    <row r="676" spans="2:4" hidden="1">
      <c r="B676" s="352"/>
      <c r="C676" s="352"/>
      <c r="D676" s="352"/>
    </row>
    <row r="677" spans="2:4" hidden="1">
      <c r="B677" s="352"/>
      <c r="C677" s="352"/>
      <c r="D677" s="352"/>
    </row>
    <row r="678" spans="2:4" hidden="1">
      <c r="B678" s="352"/>
      <c r="C678" s="352"/>
      <c r="D678" s="352"/>
    </row>
    <row r="679" spans="2:4" hidden="1">
      <c r="B679" s="352"/>
      <c r="C679" s="352"/>
      <c r="D679" s="352"/>
    </row>
    <row r="680" spans="2:4" hidden="1">
      <c r="B680" s="352"/>
      <c r="C680" s="352"/>
      <c r="D680" s="352"/>
    </row>
    <row r="681" spans="2:4" hidden="1">
      <c r="B681" s="352"/>
      <c r="C681" s="352"/>
      <c r="D681" s="352"/>
    </row>
    <row r="682" spans="2:4" hidden="1">
      <c r="B682" s="352"/>
      <c r="C682" s="352"/>
      <c r="D682" s="352"/>
    </row>
    <row r="683" spans="2:4" hidden="1">
      <c r="B683" s="352"/>
      <c r="C683" s="352"/>
      <c r="D683" s="352"/>
    </row>
    <row r="684" spans="2:4" hidden="1">
      <c r="B684" s="352"/>
      <c r="C684" s="352"/>
      <c r="D684" s="352"/>
    </row>
    <row r="685" spans="2:4" hidden="1">
      <c r="B685" s="352"/>
      <c r="C685" s="352"/>
      <c r="D685" s="352"/>
    </row>
    <row r="686" spans="2:4" hidden="1">
      <c r="B686" s="352"/>
      <c r="C686" s="352"/>
      <c r="D686" s="352"/>
    </row>
    <row r="687" spans="2:4" hidden="1">
      <c r="B687" s="352"/>
      <c r="C687" s="352"/>
      <c r="D687" s="352"/>
    </row>
    <row r="688" spans="2:4" hidden="1">
      <c r="B688" s="352"/>
      <c r="C688" s="352"/>
      <c r="D688" s="352"/>
    </row>
    <row r="689" spans="2:4" hidden="1">
      <c r="B689" s="352"/>
      <c r="C689" s="352"/>
      <c r="D689" s="352"/>
    </row>
    <row r="690" spans="2:4" hidden="1">
      <c r="B690" s="352"/>
      <c r="C690" s="352"/>
      <c r="D690" s="352"/>
    </row>
    <row r="691" spans="2:4" hidden="1">
      <c r="B691" s="352"/>
      <c r="C691" s="352"/>
      <c r="D691" s="352"/>
    </row>
    <row r="692" spans="2:4" hidden="1">
      <c r="B692" s="352"/>
      <c r="C692" s="352"/>
      <c r="D692" s="352"/>
    </row>
    <row r="693" spans="2:4" hidden="1">
      <c r="B693" s="352"/>
      <c r="C693" s="352"/>
      <c r="D693" s="352"/>
    </row>
    <row r="694" spans="2:4" hidden="1">
      <c r="B694" s="352"/>
      <c r="C694" s="352"/>
      <c r="D694" s="352"/>
    </row>
    <row r="695" spans="2:4" hidden="1">
      <c r="B695" s="352"/>
      <c r="C695" s="352"/>
      <c r="D695" s="352"/>
    </row>
    <row r="696" spans="2:4" hidden="1">
      <c r="B696" s="352"/>
      <c r="C696" s="352"/>
      <c r="D696" s="352"/>
    </row>
    <row r="697" spans="2:4" hidden="1">
      <c r="B697" s="352"/>
      <c r="C697" s="352"/>
      <c r="D697" s="352"/>
    </row>
    <row r="698" spans="2:4" hidden="1">
      <c r="B698" s="352"/>
      <c r="C698" s="352"/>
      <c r="D698" s="352"/>
    </row>
    <row r="699" spans="2:4" hidden="1">
      <c r="B699" s="352"/>
      <c r="C699" s="352"/>
      <c r="D699" s="352"/>
    </row>
    <row r="700" spans="2:4" hidden="1">
      <c r="B700" s="352"/>
      <c r="C700" s="352"/>
      <c r="D700" s="352"/>
    </row>
    <row r="701" spans="2:4" hidden="1">
      <c r="B701" s="352"/>
      <c r="C701" s="352"/>
      <c r="D701" s="352"/>
    </row>
    <row r="702" spans="2:4" hidden="1">
      <c r="B702" s="352"/>
      <c r="C702" s="352"/>
      <c r="D702" s="352"/>
    </row>
    <row r="703" spans="2:4" hidden="1">
      <c r="B703" s="352"/>
      <c r="C703" s="352"/>
      <c r="D703" s="352"/>
    </row>
    <row r="704" spans="2:4" hidden="1">
      <c r="B704" s="352"/>
      <c r="C704" s="352"/>
      <c r="D704" s="352"/>
    </row>
    <row r="705" spans="2:4" hidden="1">
      <c r="B705" s="352"/>
      <c r="C705" s="352"/>
      <c r="D705" s="352"/>
    </row>
    <row r="706" spans="2:4" hidden="1">
      <c r="B706" s="352"/>
      <c r="C706" s="352"/>
      <c r="D706" s="352"/>
    </row>
    <row r="707" spans="2:4" hidden="1">
      <c r="B707" s="352"/>
      <c r="C707" s="352"/>
      <c r="D707" s="352"/>
    </row>
    <row r="708" spans="2:4" hidden="1">
      <c r="B708" s="352"/>
      <c r="C708" s="352"/>
      <c r="D708" s="352"/>
    </row>
    <row r="709" spans="2:4" hidden="1">
      <c r="B709" s="352"/>
      <c r="C709" s="352"/>
      <c r="D709" s="352"/>
    </row>
    <row r="710" spans="2:4" hidden="1">
      <c r="B710" s="352"/>
      <c r="C710" s="352"/>
      <c r="D710" s="352"/>
    </row>
    <row r="711" spans="2:4" hidden="1">
      <c r="B711" s="352"/>
      <c r="C711" s="352"/>
      <c r="D711" s="352"/>
    </row>
    <row r="712" spans="2:4" hidden="1">
      <c r="B712" s="352"/>
      <c r="C712" s="352"/>
      <c r="D712" s="352"/>
    </row>
    <row r="713" spans="2:4" hidden="1">
      <c r="B713" s="352"/>
      <c r="C713" s="352"/>
      <c r="D713" s="352"/>
    </row>
    <row r="714" spans="2:4" hidden="1">
      <c r="B714" s="352"/>
      <c r="C714" s="352"/>
      <c r="D714" s="352"/>
    </row>
    <row r="715" spans="2:4" hidden="1">
      <c r="B715" s="352"/>
      <c r="C715" s="352"/>
      <c r="D715" s="352"/>
    </row>
    <row r="716" spans="2:4" hidden="1">
      <c r="B716" s="352"/>
      <c r="C716" s="352"/>
      <c r="D716" s="352"/>
    </row>
    <row r="717" spans="2:4" hidden="1">
      <c r="B717" s="352"/>
      <c r="C717" s="352"/>
      <c r="D717" s="352"/>
    </row>
    <row r="718" spans="2:4" hidden="1">
      <c r="B718" s="352"/>
      <c r="C718" s="352"/>
      <c r="D718" s="352"/>
    </row>
    <row r="719" spans="2:4" hidden="1">
      <c r="B719" s="352"/>
      <c r="C719" s="352"/>
      <c r="D719" s="352"/>
    </row>
    <row r="720" spans="2:4" hidden="1">
      <c r="B720" s="352"/>
      <c r="C720" s="352"/>
      <c r="D720" s="352"/>
    </row>
    <row r="721" spans="2:4" hidden="1">
      <c r="B721" s="352"/>
      <c r="C721" s="352"/>
      <c r="D721" s="352"/>
    </row>
    <row r="722" spans="2:4" hidden="1">
      <c r="B722" s="352"/>
      <c r="C722" s="352"/>
      <c r="D722" s="352"/>
    </row>
  </sheetData>
  <customSheetViews>
    <customSheetView guid="{CFA9FB8A-52FF-44B9-AE70-27339693E196}" scale="60" showPageBreaks="1" view="pageBreakPreview">
      <pane ySplit="2" topLeftCell="A3" activePane="bottomLeft" state="frozen"/>
      <selection pane="bottomLeft" sqref="A1:C27"/>
      <pageMargins left="0.7" right="0.7" top="0.75" bottom="0.75" header="0.3" footer="0.3"/>
      <pageSetup scale="85" orientation="portrait" r:id="rId1"/>
    </customSheetView>
  </customSheetViews>
  <mergeCells count="1">
    <mergeCell ref="B2:D2"/>
  </mergeCells>
  <printOptions horizontalCentered="1"/>
  <pageMargins left="0.7" right="0.7" top="1.25" bottom="0.5" header="0.3" footer="0"/>
  <pageSetup orientation="landscape" r:id="rId2"/>
  <headerFooter scaleWithDoc="0">
    <oddFoote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00"/>
  <sheetViews>
    <sheetView zoomScaleNormal="100" workbookViewId="0">
      <pane ySplit="6" topLeftCell="A667" activePane="bottomLeft" state="frozen"/>
      <selection activeCell="C1" sqref="C1"/>
      <selection pane="bottomLeft" activeCell="J680" sqref="J680"/>
    </sheetView>
    <sheetView workbookViewId="1">
      <pane ySplit="6" topLeftCell="A653" activePane="bottomLeft" state="frozen"/>
      <selection pane="bottomLeft" activeCell="L621" sqref="L621"/>
    </sheetView>
  </sheetViews>
  <sheetFormatPr defaultRowHeight="15"/>
  <cols>
    <col min="1" max="1" width="6.77734375" customWidth="1"/>
    <col min="2" max="2" width="18.77734375" customWidth="1"/>
    <col min="3" max="3" width="10.77734375" customWidth="1"/>
    <col min="4" max="4" width="14.77734375" customWidth="1"/>
    <col min="5" max="5" width="10.77734375" style="40" customWidth="1"/>
    <col min="6"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206" t="s">
        <v>903</v>
      </c>
      <c r="B1" s="1207"/>
      <c r="C1" s="1207"/>
      <c r="D1" s="1207"/>
      <c r="E1" s="1207"/>
      <c r="F1" s="1207"/>
      <c r="G1" s="1207"/>
      <c r="H1" s="1208"/>
      <c r="I1" s="323"/>
      <c r="J1" s="524"/>
      <c r="K1" s="525" t="s">
        <v>803</v>
      </c>
      <c r="L1" s="322">
        <f>SUM(G7:G800)</f>
        <v>726.36000000000297</v>
      </c>
      <c r="M1" s="323" t="s">
        <v>114</v>
      </c>
    </row>
    <row r="2" spans="1:26" ht="18">
      <c r="A2" s="1209"/>
      <c r="B2" s="1210"/>
      <c r="C2" s="1210"/>
      <c r="D2" s="1210"/>
      <c r="E2" s="1210"/>
      <c r="F2" s="1210"/>
      <c r="G2" s="1210"/>
      <c r="H2" s="1211"/>
      <c r="J2" s="390"/>
      <c r="K2" s="526" t="s">
        <v>694</v>
      </c>
      <c r="L2" s="322">
        <f>SUM(H7:H800)</f>
        <v>33.682556818181716</v>
      </c>
      <c r="M2" s="323" t="s">
        <v>644</v>
      </c>
    </row>
    <row r="3" spans="1:26" ht="16.5" thickBot="1">
      <c r="A3" s="1209"/>
      <c r="B3" s="1210"/>
      <c r="C3" s="1210"/>
      <c r="D3" s="1210"/>
      <c r="E3" s="1210"/>
      <c r="F3" s="1210"/>
      <c r="G3" s="1210"/>
      <c r="H3" s="1211"/>
      <c r="I3" s="109"/>
      <c r="L3" s="315"/>
      <c r="M3" s="315"/>
      <c r="N3" s="316"/>
      <c r="O3" s="315"/>
      <c r="P3" s="315"/>
      <c r="Q3" s="315"/>
      <c r="R3" s="315"/>
      <c r="S3" s="315"/>
      <c r="T3" s="315"/>
      <c r="U3" s="315"/>
      <c r="V3" s="315"/>
      <c r="W3" s="315"/>
      <c r="X3" s="315"/>
      <c r="Y3" s="315"/>
      <c r="Z3" s="315"/>
    </row>
    <row r="4" spans="1:26" ht="15.75" customHeight="1">
      <c r="A4" s="60"/>
      <c r="B4" s="62"/>
      <c r="C4" s="61" t="s">
        <v>234</v>
      </c>
      <c r="D4" s="62"/>
      <c r="E4" s="65"/>
      <c r="F4" s="61"/>
      <c r="G4" s="256"/>
      <c r="H4" s="260"/>
      <c r="I4" s="318" t="s">
        <v>641</v>
      </c>
      <c r="J4" s="318" t="s">
        <v>641</v>
      </c>
      <c r="K4" s="318" t="s">
        <v>641</v>
      </c>
      <c r="L4" s="110"/>
      <c r="N4" s="36"/>
      <c r="O4" s="108"/>
    </row>
    <row r="5" spans="1:26" ht="15.75">
      <c r="A5" s="66" t="s">
        <v>210</v>
      </c>
      <c r="B5" s="67"/>
      <c r="C5" s="67" t="s">
        <v>166</v>
      </c>
      <c r="D5" s="67"/>
      <c r="E5" s="67"/>
      <c r="F5" s="67" t="s">
        <v>213</v>
      </c>
      <c r="G5" s="257" t="s">
        <v>214</v>
      </c>
      <c r="H5" s="261" t="s">
        <v>571</v>
      </c>
      <c r="I5" s="317" t="s">
        <v>642</v>
      </c>
      <c r="J5" s="317" t="s">
        <v>642</v>
      </c>
      <c r="K5" s="317" t="s">
        <v>642</v>
      </c>
      <c r="L5" s="110"/>
      <c r="M5" s="320"/>
      <c r="N5" s="36"/>
      <c r="O5" s="108"/>
      <c r="Q5" s="320"/>
      <c r="U5" s="108"/>
      <c r="Y5" s="108"/>
    </row>
    <row r="6" spans="1:26" ht="16.5" thickBot="1">
      <c r="A6" s="69" t="s">
        <v>211</v>
      </c>
      <c r="B6" s="70" t="s">
        <v>165</v>
      </c>
      <c r="C6" s="71" t="s">
        <v>167</v>
      </c>
      <c r="D6" s="70" t="s">
        <v>168</v>
      </c>
      <c r="E6" s="70" t="s">
        <v>169</v>
      </c>
      <c r="F6" s="71" t="s">
        <v>170</v>
      </c>
      <c r="G6" s="258" t="s">
        <v>171</v>
      </c>
      <c r="H6" s="262" t="s">
        <v>624</v>
      </c>
      <c r="I6" s="318" t="s">
        <v>639</v>
      </c>
      <c r="J6" s="319" t="s">
        <v>640</v>
      </c>
      <c r="K6" s="319" t="s">
        <v>691</v>
      </c>
      <c r="L6" s="110"/>
      <c r="N6" s="36"/>
      <c r="O6" s="108"/>
      <c r="P6" s="169"/>
      <c r="Q6" s="320"/>
      <c r="R6" s="169"/>
      <c r="X6" s="169"/>
      <c r="Y6" s="43"/>
      <c r="Z6" s="169"/>
    </row>
    <row r="7" spans="1:26" ht="15.75" thickTop="1">
      <c r="A7" s="600">
        <v>1</v>
      </c>
      <c r="B7" s="783">
        <v>18433</v>
      </c>
      <c r="C7" s="784">
        <v>0.86111111111111116</v>
      </c>
      <c r="D7" s="601" t="s">
        <v>134</v>
      </c>
      <c r="E7" s="785" t="s">
        <v>149</v>
      </c>
      <c r="F7" s="786">
        <v>167</v>
      </c>
      <c r="G7" s="787">
        <v>15.8</v>
      </c>
      <c r="H7" s="788">
        <f>+(F7/1760)*G7</f>
        <v>1.4992045454545455</v>
      </c>
      <c r="I7" s="169">
        <f>LN(F7)</f>
        <v>5.1179938124167554</v>
      </c>
      <c r="J7" s="169">
        <f>LN(G7)</f>
        <v>2.760009940032921</v>
      </c>
      <c r="K7" s="169">
        <f>LN(H7)</f>
        <v>0.40493466441747877</v>
      </c>
      <c r="P7" s="169"/>
    </row>
    <row r="8" spans="1:26">
      <c r="A8" s="616">
        <f>+A7+1</f>
        <v>2</v>
      </c>
      <c r="B8" s="618">
        <v>18785</v>
      </c>
      <c r="C8" s="604">
        <v>0.86111111111111116</v>
      </c>
      <c r="D8" s="617" t="s">
        <v>142</v>
      </c>
      <c r="E8" s="620" t="s">
        <v>149</v>
      </c>
      <c r="F8" s="621">
        <v>10</v>
      </c>
      <c r="G8" s="789">
        <v>0.1</v>
      </c>
      <c r="H8" s="790">
        <f>+(F8/1760)*G8</f>
        <v>5.6818181818181826E-4</v>
      </c>
      <c r="I8" s="169">
        <f t="shared" ref="I8:I71" si="0">LN(F8)</f>
        <v>2.3025850929940459</v>
      </c>
      <c r="J8" s="169">
        <f t="shared" ref="J8:J71" si="1">LN(G8)</f>
        <v>-2.3025850929940455</v>
      </c>
      <c r="K8" s="169">
        <f t="shared" ref="K8:K71" si="2">LN(H8)</f>
        <v>-7.4730690880321973</v>
      </c>
    </row>
    <row r="9" spans="1:26">
      <c r="A9" s="616">
        <f t="shared" ref="A9:A72" si="3">+A8+1</f>
        <v>3</v>
      </c>
      <c r="B9" s="618">
        <v>19515</v>
      </c>
      <c r="C9" s="604">
        <v>0.5625</v>
      </c>
      <c r="D9" s="617" t="s">
        <v>148</v>
      </c>
      <c r="E9" s="620" t="s">
        <v>149</v>
      </c>
      <c r="F9" s="621">
        <v>10</v>
      </c>
      <c r="G9" s="789">
        <v>0.1</v>
      </c>
      <c r="H9" s="790">
        <f t="shared" ref="H9:H72" si="4">+(F9/1760)*G9</f>
        <v>5.6818181818181826E-4</v>
      </c>
      <c r="I9" s="169">
        <f t="shared" si="0"/>
        <v>2.3025850929940459</v>
      </c>
      <c r="J9" s="169">
        <f t="shared" si="1"/>
        <v>-2.3025850929940455</v>
      </c>
      <c r="K9" s="169">
        <f t="shared" si="2"/>
        <v>-7.4730690880321973</v>
      </c>
    </row>
    <row r="10" spans="1:26">
      <c r="A10" s="616">
        <f t="shared" si="3"/>
        <v>4</v>
      </c>
      <c r="B10" s="618">
        <v>19888</v>
      </c>
      <c r="C10" s="604">
        <v>0.71875</v>
      </c>
      <c r="D10" s="617" t="s">
        <v>136</v>
      </c>
      <c r="E10" s="620" t="s">
        <v>149</v>
      </c>
      <c r="F10" s="621">
        <v>10</v>
      </c>
      <c r="G10" s="789">
        <v>0.1</v>
      </c>
      <c r="H10" s="790">
        <f t="shared" si="4"/>
        <v>5.6818181818181826E-4</v>
      </c>
      <c r="I10" s="169">
        <f t="shared" si="0"/>
        <v>2.3025850929940459</v>
      </c>
      <c r="J10" s="169">
        <f t="shared" si="1"/>
        <v>-2.3025850929940455</v>
      </c>
      <c r="K10" s="169">
        <f t="shared" si="2"/>
        <v>-7.4730690880321973</v>
      </c>
    </row>
    <row r="11" spans="1:26">
      <c r="A11" s="616">
        <f t="shared" si="3"/>
        <v>5</v>
      </c>
      <c r="B11" s="618">
        <v>20231</v>
      </c>
      <c r="C11" s="604">
        <v>0.84722222222222221</v>
      </c>
      <c r="D11" s="617" t="s">
        <v>136</v>
      </c>
      <c r="E11" s="620" t="s">
        <v>149</v>
      </c>
      <c r="F11" s="621">
        <v>33</v>
      </c>
      <c r="G11" s="789">
        <v>1.5</v>
      </c>
      <c r="H11" s="790">
        <f t="shared" si="4"/>
        <v>2.8124999999999997E-2</v>
      </c>
      <c r="I11" s="169">
        <f t="shared" si="0"/>
        <v>3.4965075614664802</v>
      </c>
      <c r="J11" s="169">
        <f t="shared" si="1"/>
        <v>0.40546510810816438</v>
      </c>
      <c r="K11" s="169">
        <f t="shared" si="2"/>
        <v>-3.5710964184575529</v>
      </c>
    </row>
    <row r="12" spans="1:26">
      <c r="A12" s="616">
        <f t="shared" si="3"/>
        <v>6</v>
      </c>
      <c r="B12" s="618">
        <v>20231</v>
      </c>
      <c r="C12" s="604">
        <v>0.875</v>
      </c>
      <c r="D12" s="617" t="s">
        <v>128</v>
      </c>
      <c r="E12" s="620" t="s">
        <v>149</v>
      </c>
      <c r="F12" s="621">
        <v>10</v>
      </c>
      <c r="G12" s="789">
        <v>0.1</v>
      </c>
      <c r="H12" s="790">
        <f t="shared" si="4"/>
        <v>5.6818181818181826E-4</v>
      </c>
      <c r="I12" s="169">
        <f t="shared" si="0"/>
        <v>2.3025850929940459</v>
      </c>
      <c r="J12" s="169">
        <f t="shared" si="1"/>
        <v>-2.3025850929940455</v>
      </c>
      <c r="K12" s="169">
        <f t="shared" si="2"/>
        <v>-7.4730690880321973</v>
      </c>
    </row>
    <row r="13" spans="1:26">
      <c r="A13" s="616">
        <f t="shared" si="3"/>
        <v>7</v>
      </c>
      <c r="B13" s="624">
        <v>20243</v>
      </c>
      <c r="C13" s="630">
        <v>0.72222222222222221</v>
      </c>
      <c r="D13" s="623" t="s">
        <v>138</v>
      </c>
      <c r="E13" s="627" t="s">
        <v>149</v>
      </c>
      <c r="F13" s="628">
        <v>33</v>
      </c>
      <c r="G13" s="791">
        <v>5.7</v>
      </c>
      <c r="H13" s="790">
        <f t="shared" si="4"/>
        <v>0.106875</v>
      </c>
      <c r="I13" s="169">
        <f t="shared" si="0"/>
        <v>3.4965075614664802</v>
      </c>
      <c r="J13" s="169">
        <f t="shared" si="1"/>
        <v>1.7404661748405046</v>
      </c>
      <c r="K13" s="169">
        <f t="shared" si="2"/>
        <v>-2.2360953517252127</v>
      </c>
    </row>
    <row r="14" spans="1:26">
      <c r="A14" s="616">
        <f t="shared" si="3"/>
        <v>8</v>
      </c>
      <c r="B14" s="618">
        <v>20256</v>
      </c>
      <c r="C14" s="604">
        <v>0.64583333333333337</v>
      </c>
      <c r="D14" s="617" t="s">
        <v>146</v>
      </c>
      <c r="E14" s="620" t="s">
        <v>149</v>
      </c>
      <c r="F14" s="621">
        <v>17</v>
      </c>
      <c r="G14" s="789">
        <v>2</v>
      </c>
      <c r="H14" s="790">
        <f t="shared" si="4"/>
        <v>1.9318181818181818E-2</v>
      </c>
      <c r="I14" s="169">
        <f t="shared" si="0"/>
        <v>2.8332133440562162</v>
      </c>
      <c r="J14" s="169">
        <f t="shared" si="1"/>
        <v>0.69314718055994529</v>
      </c>
      <c r="K14" s="169">
        <f t="shared" si="2"/>
        <v>-3.9467085634160362</v>
      </c>
    </row>
    <row r="15" spans="1:26">
      <c r="A15" s="616">
        <f t="shared" si="3"/>
        <v>9</v>
      </c>
      <c r="B15" s="618">
        <v>20256</v>
      </c>
      <c r="C15" s="604">
        <v>0.64583333333333337</v>
      </c>
      <c r="D15" s="617" t="s">
        <v>146</v>
      </c>
      <c r="E15" s="620" t="s">
        <v>149</v>
      </c>
      <c r="F15" s="621">
        <v>17</v>
      </c>
      <c r="G15" s="789">
        <v>2</v>
      </c>
      <c r="H15" s="790">
        <f t="shared" si="4"/>
        <v>1.9318181818181818E-2</v>
      </c>
      <c r="I15" s="169">
        <f t="shared" si="0"/>
        <v>2.8332133440562162</v>
      </c>
      <c r="J15" s="169">
        <f t="shared" si="1"/>
        <v>0.69314718055994529</v>
      </c>
      <c r="K15" s="169">
        <f t="shared" si="2"/>
        <v>-3.9467085634160362</v>
      </c>
    </row>
    <row r="16" spans="1:26">
      <c r="A16" s="616">
        <f t="shared" si="3"/>
        <v>10</v>
      </c>
      <c r="B16" s="618">
        <v>20256</v>
      </c>
      <c r="C16" s="604">
        <v>0.64583333333333337</v>
      </c>
      <c r="D16" s="617" t="s">
        <v>140</v>
      </c>
      <c r="E16" s="620" t="s">
        <v>149</v>
      </c>
      <c r="F16" s="621">
        <v>67</v>
      </c>
      <c r="G16" s="789">
        <v>0.3</v>
      </c>
      <c r="H16" s="790">
        <f t="shared" si="4"/>
        <v>1.1420454545454546E-2</v>
      </c>
      <c r="I16" s="169">
        <f t="shared" si="0"/>
        <v>4.2046926193909657</v>
      </c>
      <c r="J16" s="169">
        <f t="shared" si="1"/>
        <v>-1.2039728043259361</v>
      </c>
      <c r="K16" s="169">
        <f t="shared" si="2"/>
        <v>-4.4723492729671674</v>
      </c>
    </row>
    <row r="17" spans="1:11">
      <c r="A17" s="616">
        <f t="shared" si="3"/>
        <v>11</v>
      </c>
      <c r="B17" s="618">
        <v>20256</v>
      </c>
      <c r="C17" s="604">
        <v>0.67152777777777783</v>
      </c>
      <c r="D17" s="617" t="s">
        <v>141</v>
      </c>
      <c r="E17" s="620" t="s">
        <v>149</v>
      </c>
      <c r="F17" s="621">
        <v>33</v>
      </c>
      <c r="G17" s="789">
        <v>0.3</v>
      </c>
      <c r="H17" s="790">
        <f t="shared" si="4"/>
        <v>5.6249999999999998E-3</v>
      </c>
      <c r="I17" s="169">
        <f t="shared" si="0"/>
        <v>3.4965075614664802</v>
      </c>
      <c r="J17" s="169">
        <f t="shared" si="1"/>
        <v>-1.2039728043259361</v>
      </c>
      <c r="K17" s="169">
        <f t="shared" si="2"/>
        <v>-5.1805343308916534</v>
      </c>
    </row>
    <row r="18" spans="1:11">
      <c r="A18" s="616">
        <f t="shared" si="3"/>
        <v>12</v>
      </c>
      <c r="B18" s="618">
        <v>20256</v>
      </c>
      <c r="C18" s="604">
        <v>0.77083333333333337</v>
      </c>
      <c r="D18" s="617" t="s">
        <v>147</v>
      </c>
      <c r="E18" s="620" t="s">
        <v>149</v>
      </c>
      <c r="F18" s="621">
        <v>3</v>
      </c>
      <c r="G18" s="789">
        <v>0.1</v>
      </c>
      <c r="H18" s="790">
        <f t="shared" si="4"/>
        <v>1.7045454545454547E-4</v>
      </c>
      <c r="I18" s="169">
        <f t="shared" si="0"/>
        <v>1.0986122886681098</v>
      </c>
      <c r="J18" s="169">
        <f t="shared" si="1"/>
        <v>-2.3025850929940455</v>
      </c>
      <c r="K18" s="169">
        <f t="shared" si="2"/>
        <v>-8.6770418923581332</v>
      </c>
    </row>
    <row r="19" spans="1:11">
      <c r="A19" s="616">
        <f t="shared" si="3"/>
        <v>13</v>
      </c>
      <c r="B19" s="618">
        <v>20258</v>
      </c>
      <c r="C19" s="604">
        <v>0.83333333333333337</v>
      </c>
      <c r="D19" s="617" t="s">
        <v>130</v>
      </c>
      <c r="E19" s="620" t="s">
        <v>149</v>
      </c>
      <c r="F19" s="621">
        <v>10</v>
      </c>
      <c r="G19" s="789">
        <v>0.1</v>
      </c>
      <c r="H19" s="790">
        <f t="shared" si="4"/>
        <v>5.6818181818181826E-4</v>
      </c>
      <c r="I19" s="169">
        <f t="shared" si="0"/>
        <v>2.3025850929940459</v>
      </c>
      <c r="J19" s="169">
        <f t="shared" si="1"/>
        <v>-2.3025850929940455</v>
      </c>
      <c r="K19" s="169">
        <f t="shared" si="2"/>
        <v>-7.4730690880321973</v>
      </c>
    </row>
    <row r="20" spans="1:11">
      <c r="A20" s="616">
        <f t="shared" si="3"/>
        <v>14</v>
      </c>
      <c r="B20" s="618">
        <v>20258</v>
      </c>
      <c r="C20" s="604">
        <v>0.83333333333333337</v>
      </c>
      <c r="D20" s="617" t="s">
        <v>130</v>
      </c>
      <c r="E20" s="620" t="s">
        <v>149</v>
      </c>
      <c r="F20" s="621">
        <v>10</v>
      </c>
      <c r="G20" s="789">
        <v>0.1</v>
      </c>
      <c r="H20" s="790">
        <f t="shared" si="4"/>
        <v>5.6818181818181826E-4</v>
      </c>
      <c r="I20" s="169">
        <f t="shared" si="0"/>
        <v>2.3025850929940459</v>
      </c>
      <c r="J20" s="169">
        <f t="shared" si="1"/>
        <v>-2.3025850929940455</v>
      </c>
      <c r="K20" s="169">
        <f t="shared" si="2"/>
        <v>-7.4730690880321973</v>
      </c>
    </row>
    <row r="21" spans="1:11">
      <c r="A21" s="616">
        <f t="shared" si="3"/>
        <v>15</v>
      </c>
      <c r="B21" s="618">
        <v>20258</v>
      </c>
      <c r="C21" s="604">
        <v>0.83333333333333337</v>
      </c>
      <c r="D21" s="617" t="s">
        <v>130</v>
      </c>
      <c r="E21" s="620" t="s">
        <v>149</v>
      </c>
      <c r="F21" s="621">
        <v>10</v>
      </c>
      <c r="G21" s="789">
        <v>0.1</v>
      </c>
      <c r="H21" s="790">
        <f t="shared" si="4"/>
        <v>5.6818181818181826E-4</v>
      </c>
      <c r="I21" s="169">
        <f t="shared" si="0"/>
        <v>2.3025850929940459</v>
      </c>
      <c r="J21" s="169">
        <f t="shared" si="1"/>
        <v>-2.3025850929940455</v>
      </c>
      <c r="K21" s="169">
        <f t="shared" si="2"/>
        <v>-7.4730690880321973</v>
      </c>
    </row>
    <row r="22" spans="1:11">
      <c r="A22" s="616">
        <f t="shared" si="3"/>
        <v>16</v>
      </c>
      <c r="B22" s="618">
        <v>20259</v>
      </c>
      <c r="C22" s="604">
        <v>0.73263888888888884</v>
      </c>
      <c r="D22" s="617" t="s">
        <v>130</v>
      </c>
      <c r="E22" s="620" t="s">
        <v>149</v>
      </c>
      <c r="F22" s="621">
        <v>10</v>
      </c>
      <c r="G22" s="789">
        <v>0.1</v>
      </c>
      <c r="H22" s="790">
        <f t="shared" si="4"/>
        <v>5.6818181818181826E-4</v>
      </c>
      <c r="I22" s="169">
        <f t="shared" si="0"/>
        <v>2.3025850929940459</v>
      </c>
      <c r="J22" s="169">
        <f t="shared" si="1"/>
        <v>-2.3025850929940455</v>
      </c>
      <c r="K22" s="169">
        <f t="shared" si="2"/>
        <v>-7.4730690880321973</v>
      </c>
    </row>
    <row r="23" spans="1:11">
      <c r="A23" s="616">
        <f t="shared" si="3"/>
        <v>17</v>
      </c>
      <c r="B23" s="618">
        <v>20640</v>
      </c>
      <c r="C23" s="604">
        <v>0.70833333333333337</v>
      </c>
      <c r="D23" s="617" t="s">
        <v>145</v>
      </c>
      <c r="E23" s="620" t="s">
        <v>149</v>
      </c>
      <c r="F23" s="621">
        <v>33</v>
      </c>
      <c r="G23" s="789">
        <v>0.4</v>
      </c>
      <c r="H23" s="790">
        <f t="shared" si="4"/>
        <v>7.4999999999999997E-3</v>
      </c>
      <c r="I23" s="169">
        <f t="shared" si="0"/>
        <v>3.4965075614664802</v>
      </c>
      <c r="J23" s="169">
        <f t="shared" si="1"/>
        <v>-0.916290731874155</v>
      </c>
      <c r="K23" s="169">
        <f t="shared" si="2"/>
        <v>-4.8928522584398726</v>
      </c>
    </row>
    <row r="24" spans="1:11">
      <c r="A24" s="616">
        <f t="shared" si="3"/>
        <v>18</v>
      </c>
      <c r="B24" s="618">
        <v>20964</v>
      </c>
      <c r="C24" s="604">
        <v>0.47916666666666669</v>
      </c>
      <c r="D24" s="617" t="s">
        <v>144</v>
      </c>
      <c r="E24" s="620" t="s">
        <v>149</v>
      </c>
      <c r="F24" s="621">
        <v>10</v>
      </c>
      <c r="G24" s="789">
        <v>1</v>
      </c>
      <c r="H24" s="790">
        <f t="shared" si="4"/>
        <v>5.681818181818182E-3</v>
      </c>
      <c r="I24" s="169">
        <f t="shared" si="0"/>
        <v>2.3025850929940459</v>
      </c>
      <c r="J24" s="169">
        <f t="shared" si="1"/>
        <v>0</v>
      </c>
      <c r="K24" s="169">
        <f t="shared" si="2"/>
        <v>-5.1704839950381514</v>
      </c>
    </row>
    <row r="25" spans="1:11">
      <c r="A25" s="616">
        <f t="shared" si="3"/>
        <v>19</v>
      </c>
      <c r="B25" s="618">
        <v>20964</v>
      </c>
      <c r="C25" s="604">
        <v>0.57638888888888895</v>
      </c>
      <c r="D25" s="617" t="s">
        <v>140</v>
      </c>
      <c r="E25" s="620" t="s">
        <v>149</v>
      </c>
      <c r="F25" s="621">
        <v>50</v>
      </c>
      <c r="G25" s="789">
        <v>0.3</v>
      </c>
      <c r="H25" s="790">
        <f t="shared" si="4"/>
        <v>8.5227272727272721E-3</v>
      </c>
      <c r="I25" s="169">
        <f t="shared" si="0"/>
        <v>3.912023005428146</v>
      </c>
      <c r="J25" s="169">
        <f t="shared" si="1"/>
        <v>-1.2039728043259361</v>
      </c>
      <c r="K25" s="169">
        <f t="shared" si="2"/>
        <v>-4.7650188869299877</v>
      </c>
    </row>
    <row r="26" spans="1:11">
      <c r="A26" s="616">
        <f t="shared" si="3"/>
        <v>20</v>
      </c>
      <c r="B26" s="618">
        <v>21106</v>
      </c>
      <c r="C26" s="604">
        <v>0.72222222222222221</v>
      </c>
      <c r="D26" s="617" t="s">
        <v>128</v>
      </c>
      <c r="E26" s="620" t="s">
        <v>149</v>
      </c>
      <c r="F26" s="621">
        <v>10</v>
      </c>
      <c r="G26" s="789">
        <v>0.1</v>
      </c>
      <c r="H26" s="790">
        <f t="shared" si="4"/>
        <v>5.6818181818181826E-4</v>
      </c>
      <c r="I26" s="169">
        <f t="shared" si="0"/>
        <v>2.3025850929940459</v>
      </c>
      <c r="J26" s="169">
        <f t="shared" si="1"/>
        <v>-2.3025850929940455</v>
      </c>
      <c r="K26" s="169">
        <f t="shared" si="2"/>
        <v>-7.4730690880321973</v>
      </c>
    </row>
    <row r="27" spans="1:11">
      <c r="A27" s="616">
        <f t="shared" si="3"/>
        <v>21</v>
      </c>
      <c r="B27" s="618">
        <v>21322</v>
      </c>
      <c r="C27" s="604">
        <v>4.8611111111111112E-2</v>
      </c>
      <c r="D27" s="617" t="s">
        <v>145</v>
      </c>
      <c r="E27" s="620" t="s">
        <v>149</v>
      </c>
      <c r="F27" s="621">
        <v>17</v>
      </c>
      <c r="G27" s="789">
        <v>0.3</v>
      </c>
      <c r="H27" s="790">
        <f t="shared" si="4"/>
        <v>2.8977272727272727E-3</v>
      </c>
      <c r="I27" s="169">
        <f t="shared" si="0"/>
        <v>2.8332133440562162</v>
      </c>
      <c r="J27" s="169">
        <f t="shared" si="1"/>
        <v>-1.2039728043259361</v>
      </c>
      <c r="K27" s="169">
        <f t="shared" si="2"/>
        <v>-5.843828548301917</v>
      </c>
    </row>
    <row r="28" spans="1:11">
      <c r="A28" s="616">
        <f t="shared" si="3"/>
        <v>22</v>
      </c>
      <c r="B28" s="618">
        <v>21356</v>
      </c>
      <c r="C28" s="604">
        <v>0.11388888888888889</v>
      </c>
      <c r="D28" s="617" t="s">
        <v>142</v>
      </c>
      <c r="E28" s="620" t="s">
        <v>149</v>
      </c>
      <c r="F28" s="621">
        <v>33</v>
      </c>
      <c r="G28" s="789">
        <v>2</v>
      </c>
      <c r="H28" s="790">
        <f t="shared" si="4"/>
        <v>3.7499999999999999E-2</v>
      </c>
      <c r="I28" s="169">
        <f t="shared" si="0"/>
        <v>3.4965075614664802</v>
      </c>
      <c r="J28" s="169">
        <f t="shared" si="1"/>
        <v>0.69314718055994529</v>
      </c>
      <c r="K28" s="169">
        <f t="shared" si="2"/>
        <v>-3.2834143460057721</v>
      </c>
    </row>
    <row r="29" spans="1:11">
      <c r="A29" s="616">
        <f t="shared" si="3"/>
        <v>23</v>
      </c>
      <c r="B29" s="618">
        <v>21381</v>
      </c>
      <c r="C29" s="604">
        <v>0.97222222222222221</v>
      </c>
      <c r="D29" s="617" t="s">
        <v>139</v>
      </c>
      <c r="E29" s="620" t="s">
        <v>149</v>
      </c>
      <c r="F29" s="621">
        <v>50</v>
      </c>
      <c r="G29" s="789">
        <v>4.3</v>
      </c>
      <c r="H29" s="790">
        <f t="shared" si="4"/>
        <v>0.1221590909090909</v>
      </c>
      <c r="I29" s="169">
        <f t="shared" si="0"/>
        <v>3.912023005428146</v>
      </c>
      <c r="J29" s="169">
        <f t="shared" si="1"/>
        <v>1.4586150226995167</v>
      </c>
      <c r="K29" s="169">
        <f t="shared" si="2"/>
        <v>-2.1024310599045348</v>
      </c>
    </row>
    <row r="30" spans="1:11">
      <c r="A30" s="616">
        <f t="shared" si="3"/>
        <v>24</v>
      </c>
      <c r="B30" s="618">
        <v>21393</v>
      </c>
      <c r="C30" s="604">
        <v>0.69444444444444453</v>
      </c>
      <c r="D30" s="617" t="s">
        <v>136</v>
      </c>
      <c r="E30" s="620" t="s">
        <v>149</v>
      </c>
      <c r="F30" s="621">
        <v>33</v>
      </c>
      <c r="G30" s="789">
        <v>2</v>
      </c>
      <c r="H30" s="790">
        <f t="shared" si="4"/>
        <v>3.7499999999999999E-2</v>
      </c>
      <c r="I30" s="169">
        <f t="shared" si="0"/>
        <v>3.4965075614664802</v>
      </c>
      <c r="J30" s="169">
        <f t="shared" si="1"/>
        <v>0.69314718055994529</v>
      </c>
      <c r="K30" s="169">
        <f t="shared" si="2"/>
        <v>-3.2834143460057721</v>
      </c>
    </row>
    <row r="31" spans="1:11">
      <c r="A31" s="616">
        <f t="shared" si="3"/>
        <v>25</v>
      </c>
      <c r="B31" s="618">
        <v>21695</v>
      </c>
      <c r="C31" s="604">
        <v>0.9375</v>
      </c>
      <c r="D31" s="617" t="s">
        <v>146</v>
      </c>
      <c r="E31" s="620" t="s">
        <v>149</v>
      </c>
      <c r="F31" s="621">
        <v>17</v>
      </c>
      <c r="G31" s="789">
        <v>0.4</v>
      </c>
      <c r="H31" s="790">
        <f t="shared" si="4"/>
        <v>3.8636363636363638E-3</v>
      </c>
      <c r="I31" s="169">
        <f t="shared" si="0"/>
        <v>2.8332133440562162</v>
      </c>
      <c r="J31" s="169">
        <f t="shared" si="1"/>
        <v>-0.916290731874155</v>
      </c>
      <c r="K31" s="169">
        <f t="shared" si="2"/>
        <v>-5.5561464758501362</v>
      </c>
    </row>
    <row r="32" spans="1:11">
      <c r="A32" s="616">
        <f t="shared" si="3"/>
        <v>26</v>
      </c>
      <c r="B32" s="618">
        <v>21817</v>
      </c>
      <c r="C32" s="604">
        <v>0.6020833333333333</v>
      </c>
      <c r="D32" s="617" t="s">
        <v>135</v>
      </c>
      <c r="E32" s="620" t="s">
        <v>149</v>
      </c>
      <c r="F32" s="621">
        <v>117</v>
      </c>
      <c r="G32" s="789">
        <v>0.1</v>
      </c>
      <c r="H32" s="790">
        <f t="shared" si="4"/>
        <v>6.6477272727272739E-3</v>
      </c>
      <c r="I32" s="169">
        <f t="shared" si="0"/>
        <v>4.7621739347977563</v>
      </c>
      <c r="J32" s="169">
        <f t="shared" si="1"/>
        <v>-2.3025850929940455</v>
      </c>
      <c r="K32" s="169">
        <f t="shared" si="2"/>
        <v>-5.0134802462284869</v>
      </c>
    </row>
    <row r="33" spans="1:11">
      <c r="A33" s="616">
        <f t="shared" si="3"/>
        <v>27</v>
      </c>
      <c r="B33" s="618">
        <v>22064</v>
      </c>
      <c r="C33" s="604">
        <v>0.67222222222222217</v>
      </c>
      <c r="D33" s="617" t="s">
        <v>145</v>
      </c>
      <c r="E33" s="620" t="s">
        <v>149</v>
      </c>
      <c r="F33" s="621">
        <v>7</v>
      </c>
      <c r="G33" s="789">
        <v>0.1</v>
      </c>
      <c r="H33" s="790">
        <f t="shared" si="4"/>
        <v>3.9772727272727269E-4</v>
      </c>
      <c r="I33" s="169">
        <f t="shared" si="0"/>
        <v>1.9459101490553132</v>
      </c>
      <c r="J33" s="169">
        <f t="shared" si="1"/>
        <v>-2.3025850929940455</v>
      </c>
      <c r="K33" s="169">
        <f t="shared" si="2"/>
        <v>-7.8297440319709297</v>
      </c>
    </row>
    <row r="34" spans="1:11">
      <c r="A34" s="616">
        <f t="shared" si="3"/>
        <v>28</v>
      </c>
      <c r="B34" s="618">
        <v>22064</v>
      </c>
      <c r="C34" s="604">
        <v>0.70833333333333337</v>
      </c>
      <c r="D34" s="617" t="s">
        <v>145</v>
      </c>
      <c r="E34" s="620" t="s">
        <v>149</v>
      </c>
      <c r="F34" s="621">
        <v>3</v>
      </c>
      <c r="G34" s="789">
        <v>0.1</v>
      </c>
      <c r="H34" s="790">
        <f t="shared" si="4"/>
        <v>1.7045454545454547E-4</v>
      </c>
      <c r="I34" s="169">
        <f t="shared" si="0"/>
        <v>1.0986122886681098</v>
      </c>
      <c r="J34" s="169">
        <f t="shared" si="1"/>
        <v>-2.3025850929940455</v>
      </c>
      <c r="K34" s="169">
        <f t="shared" si="2"/>
        <v>-8.6770418923581332</v>
      </c>
    </row>
    <row r="35" spans="1:11">
      <c r="A35" s="616">
        <f t="shared" si="3"/>
        <v>29</v>
      </c>
      <c r="B35" s="618">
        <v>22075</v>
      </c>
      <c r="C35" s="604">
        <v>4.1666666666666664E-2</v>
      </c>
      <c r="D35" s="617" t="s">
        <v>141</v>
      </c>
      <c r="E35" s="620" t="s">
        <v>149</v>
      </c>
      <c r="F35" s="621">
        <v>33</v>
      </c>
      <c r="G35" s="789">
        <v>0.5</v>
      </c>
      <c r="H35" s="790">
        <f t="shared" si="4"/>
        <v>9.3749999999999997E-3</v>
      </c>
      <c r="I35" s="169">
        <f t="shared" si="0"/>
        <v>3.4965075614664802</v>
      </c>
      <c r="J35" s="169">
        <f t="shared" si="1"/>
        <v>-0.69314718055994529</v>
      </c>
      <c r="K35" s="169">
        <f t="shared" si="2"/>
        <v>-4.6697087071256629</v>
      </c>
    </row>
    <row r="36" spans="1:11">
      <c r="A36" s="616">
        <f t="shared" si="3"/>
        <v>30</v>
      </c>
      <c r="B36" s="618">
        <v>22076</v>
      </c>
      <c r="C36" s="604">
        <v>1.0416666666666666E-2</v>
      </c>
      <c r="D36" s="617" t="s">
        <v>135</v>
      </c>
      <c r="E36" s="620" t="s">
        <v>149</v>
      </c>
      <c r="F36" s="621">
        <v>23</v>
      </c>
      <c r="G36" s="789">
        <v>0.1</v>
      </c>
      <c r="H36" s="790">
        <f t="shared" si="4"/>
        <v>1.3068181818181818E-3</v>
      </c>
      <c r="I36" s="169">
        <f t="shared" si="0"/>
        <v>3.1354942159291497</v>
      </c>
      <c r="J36" s="169">
        <f t="shared" si="1"/>
        <v>-2.3025850929940455</v>
      </c>
      <c r="K36" s="169">
        <f t="shared" si="2"/>
        <v>-6.6401599650970935</v>
      </c>
    </row>
    <row r="37" spans="1:11">
      <c r="A37" s="616">
        <f t="shared" si="3"/>
        <v>31</v>
      </c>
      <c r="B37" s="618">
        <v>22077</v>
      </c>
      <c r="C37" s="604">
        <v>0.72916666666666663</v>
      </c>
      <c r="D37" s="617" t="s">
        <v>144</v>
      </c>
      <c r="E37" s="620" t="s">
        <v>149</v>
      </c>
      <c r="F37" s="621">
        <v>10</v>
      </c>
      <c r="G37" s="789">
        <v>0.1</v>
      </c>
      <c r="H37" s="790">
        <f t="shared" si="4"/>
        <v>5.6818181818181826E-4</v>
      </c>
      <c r="I37" s="169">
        <f t="shared" si="0"/>
        <v>2.3025850929940459</v>
      </c>
      <c r="J37" s="169">
        <f t="shared" si="1"/>
        <v>-2.3025850929940455</v>
      </c>
      <c r="K37" s="169">
        <f t="shared" si="2"/>
        <v>-7.4730690880321973</v>
      </c>
    </row>
    <row r="38" spans="1:11">
      <c r="A38" s="616">
        <f t="shared" si="3"/>
        <v>32</v>
      </c>
      <c r="B38" s="618">
        <v>22077</v>
      </c>
      <c r="C38" s="604">
        <v>0.82361111111111107</v>
      </c>
      <c r="D38" s="617" t="s">
        <v>140</v>
      </c>
      <c r="E38" s="620" t="s">
        <v>149</v>
      </c>
      <c r="F38" s="621">
        <v>10</v>
      </c>
      <c r="G38" s="789">
        <v>0.1</v>
      </c>
      <c r="H38" s="790">
        <f t="shared" si="4"/>
        <v>5.6818181818181826E-4</v>
      </c>
      <c r="I38" s="169">
        <f t="shared" si="0"/>
        <v>2.3025850929940459</v>
      </c>
      <c r="J38" s="169">
        <f t="shared" si="1"/>
        <v>-2.3025850929940455</v>
      </c>
      <c r="K38" s="169">
        <f t="shared" si="2"/>
        <v>-7.4730690880321973</v>
      </c>
    </row>
    <row r="39" spans="1:11">
      <c r="A39" s="616">
        <f t="shared" si="3"/>
        <v>33</v>
      </c>
      <c r="B39" s="618">
        <v>22405</v>
      </c>
      <c r="C39" s="604">
        <v>0.58333333333333337</v>
      </c>
      <c r="D39" s="617" t="s">
        <v>138</v>
      </c>
      <c r="E39" s="620" t="s">
        <v>149</v>
      </c>
      <c r="F39" s="621">
        <v>33</v>
      </c>
      <c r="G39" s="789">
        <v>8.4</v>
      </c>
      <c r="H39" s="790">
        <f t="shared" si="4"/>
        <v>0.1575</v>
      </c>
      <c r="I39" s="169">
        <f t="shared" si="0"/>
        <v>3.4965075614664802</v>
      </c>
      <c r="J39" s="169">
        <f t="shared" si="1"/>
        <v>2.1282317058492679</v>
      </c>
      <c r="K39" s="169">
        <f t="shared" si="2"/>
        <v>-1.8483298207164494</v>
      </c>
    </row>
    <row r="40" spans="1:11">
      <c r="A40" s="616">
        <f t="shared" si="3"/>
        <v>34</v>
      </c>
      <c r="B40" s="618">
        <v>22417</v>
      </c>
      <c r="C40" s="604">
        <v>0.73611111111111116</v>
      </c>
      <c r="D40" s="617" t="s">
        <v>142</v>
      </c>
      <c r="E40" s="620" t="s">
        <v>149</v>
      </c>
      <c r="F40" s="621">
        <v>33</v>
      </c>
      <c r="G40" s="789">
        <v>0.2</v>
      </c>
      <c r="H40" s="790">
        <f t="shared" si="4"/>
        <v>3.7499999999999999E-3</v>
      </c>
      <c r="I40" s="169">
        <f t="shared" si="0"/>
        <v>3.4965075614664802</v>
      </c>
      <c r="J40" s="169">
        <f t="shared" si="1"/>
        <v>-1.6094379124341003</v>
      </c>
      <c r="K40" s="169">
        <f t="shared" si="2"/>
        <v>-5.585999438999818</v>
      </c>
    </row>
    <row r="41" spans="1:11">
      <c r="A41" s="616">
        <f t="shared" si="3"/>
        <v>35</v>
      </c>
      <c r="B41" s="618">
        <v>22435</v>
      </c>
      <c r="C41" s="604">
        <v>0.83333333333333337</v>
      </c>
      <c r="D41" s="617" t="s">
        <v>139</v>
      </c>
      <c r="E41" s="620" t="s">
        <v>149</v>
      </c>
      <c r="F41" s="621">
        <v>50</v>
      </c>
      <c r="G41" s="789">
        <v>27.3</v>
      </c>
      <c r="H41" s="790">
        <f t="shared" si="4"/>
        <v>0.77556818181818177</v>
      </c>
      <c r="I41" s="169">
        <f t="shared" si="0"/>
        <v>3.912023005428146</v>
      </c>
      <c r="J41" s="169">
        <f t="shared" si="1"/>
        <v>3.3068867021909143</v>
      </c>
      <c r="K41" s="169">
        <f t="shared" si="2"/>
        <v>-0.2541593804131374</v>
      </c>
    </row>
    <row r="42" spans="1:11">
      <c r="A42" s="616">
        <f t="shared" si="3"/>
        <v>36</v>
      </c>
      <c r="B42" s="618">
        <v>22439</v>
      </c>
      <c r="C42" s="604">
        <v>2.0833333333333332E-2</v>
      </c>
      <c r="D42" s="617" t="s">
        <v>137</v>
      </c>
      <c r="E42" s="620" t="s">
        <v>149</v>
      </c>
      <c r="F42" s="621">
        <v>33</v>
      </c>
      <c r="G42" s="789">
        <v>20</v>
      </c>
      <c r="H42" s="790">
        <f t="shared" si="4"/>
        <v>0.375</v>
      </c>
      <c r="I42" s="169">
        <f t="shared" si="0"/>
        <v>3.4965075614664802</v>
      </c>
      <c r="J42" s="169">
        <f t="shared" si="1"/>
        <v>2.9957322735539909</v>
      </c>
      <c r="K42" s="169">
        <f t="shared" si="2"/>
        <v>-0.98082925301172619</v>
      </c>
    </row>
    <row r="43" spans="1:11">
      <c r="A43" s="616">
        <f t="shared" si="3"/>
        <v>37</v>
      </c>
      <c r="B43" s="618">
        <v>22439</v>
      </c>
      <c r="C43" s="604">
        <v>0.83333333333333337</v>
      </c>
      <c r="D43" s="617" t="s">
        <v>127</v>
      </c>
      <c r="E43" s="620" t="s">
        <v>149</v>
      </c>
      <c r="F43" s="621">
        <v>10</v>
      </c>
      <c r="G43" s="789">
        <v>0.1</v>
      </c>
      <c r="H43" s="790">
        <f t="shared" si="4"/>
        <v>5.6818181818181826E-4</v>
      </c>
      <c r="I43" s="169">
        <f t="shared" si="0"/>
        <v>2.3025850929940459</v>
      </c>
      <c r="J43" s="169">
        <f t="shared" si="1"/>
        <v>-2.3025850929940455</v>
      </c>
      <c r="K43" s="169">
        <f t="shared" si="2"/>
        <v>-7.4730690880321973</v>
      </c>
    </row>
    <row r="44" spans="1:11">
      <c r="A44" s="616">
        <f t="shared" si="3"/>
        <v>38</v>
      </c>
      <c r="B44" s="618">
        <v>22783</v>
      </c>
      <c r="C44" s="604">
        <v>0.59861111111111109</v>
      </c>
      <c r="D44" s="617" t="s">
        <v>126</v>
      </c>
      <c r="E44" s="620" t="s">
        <v>149</v>
      </c>
      <c r="F44" s="621">
        <v>10</v>
      </c>
      <c r="G44" s="789">
        <v>0.1</v>
      </c>
      <c r="H44" s="790">
        <f t="shared" si="4"/>
        <v>5.6818181818181826E-4</v>
      </c>
      <c r="I44" s="169">
        <f t="shared" si="0"/>
        <v>2.3025850929940459</v>
      </c>
      <c r="J44" s="169">
        <f t="shared" si="1"/>
        <v>-2.3025850929940455</v>
      </c>
      <c r="K44" s="169">
        <f t="shared" si="2"/>
        <v>-7.4730690880321973</v>
      </c>
    </row>
    <row r="45" spans="1:11">
      <c r="A45" s="616">
        <f t="shared" si="3"/>
        <v>39</v>
      </c>
      <c r="B45" s="618">
        <v>22793</v>
      </c>
      <c r="C45" s="604">
        <v>0.72916666666666663</v>
      </c>
      <c r="D45" s="617" t="s">
        <v>128</v>
      </c>
      <c r="E45" s="620" t="s">
        <v>149</v>
      </c>
      <c r="F45" s="621">
        <v>10</v>
      </c>
      <c r="G45" s="789">
        <v>0.1</v>
      </c>
      <c r="H45" s="790">
        <f t="shared" si="4"/>
        <v>5.6818181818181826E-4</v>
      </c>
      <c r="I45" s="169">
        <f t="shared" si="0"/>
        <v>2.3025850929940459</v>
      </c>
      <c r="J45" s="169">
        <f t="shared" si="1"/>
        <v>-2.3025850929940455</v>
      </c>
      <c r="K45" s="169">
        <f t="shared" si="2"/>
        <v>-7.4730690880321973</v>
      </c>
    </row>
    <row r="46" spans="1:11">
      <c r="A46" s="616">
        <f t="shared" si="3"/>
        <v>40</v>
      </c>
      <c r="B46" s="618">
        <v>22803</v>
      </c>
      <c r="C46" s="604">
        <v>0.70833333333333337</v>
      </c>
      <c r="D46" s="617" t="s">
        <v>131</v>
      </c>
      <c r="E46" s="620" t="s">
        <v>149</v>
      </c>
      <c r="F46" s="621">
        <v>27</v>
      </c>
      <c r="G46" s="789">
        <v>1</v>
      </c>
      <c r="H46" s="790">
        <f t="shared" si="4"/>
        <v>1.5340909090909091E-2</v>
      </c>
      <c r="I46" s="169">
        <f t="shared" si="0"/>
        <v>3.2958368660043291</v>
      </c>
      <c r="J46" s="169">
        <f t="shared" si="1"/>
        <v>0</v>
      </c>
      <c r="K46" s="169">
        <f t="shared" si="2"/>
        <v>-4.1772322220278681</v>
      </c>
    </row>
    <row r="47" spans="1:11">
      <c r="A47" s="616">
        <f t="shared" si="3"/>
        <v>41</v>
      </c>
      <c r="B47" s="618">
        <v>22803</v>
      </c>
      <c r="C47" s="604">
        <v>0.75</v>
      </c>
      <c r="D47" s="617" t="s">
        <v>127</v>
      </c>
      <c r="E47" s="620" t="s">
        <v>149</v>
      </c>
      <c r="F47" s="621">
        <v>10</v>
      </c>
      <c r="G47" s="789">
        <v>0.1</v>
      </c>
      <c r="H47" s="790">
        <f t="shared" si="4"/>
        <v>5.6818181818181826E-4</v>
      </c>
      <c r="I47" s="169">
        <f t="shared" si="0"/>
        <v>2.3025850929940459</v>
      </c>
      <c r="J47" s="169">
        <f t="shared" si="1"/>
        <v>-2.3025850929940455</v>
      </c>
      <c r="K47" s="169">
        <f t="shared" si="2"/>
        <v>-7.4730690880321973</v>
      </c>
    </row>
    <row r="48" spans="1:11">
      <c r="A48" s="616">
        <f t="shared" si="3"/>
        <v>42</v>
      </c>
      <c r="B48" s="618">
        <v>22803</v>
      </c>
      <c r="C48" s="604">
        <v>0.96527777777777779</v>
      </c>
      <c r="D48" s="617" t="s">
        <v>138</v>
      </c>
      <c r="E48" s="620" t="s">
        <v>149</v>
      </c>
      <c r="F48" s="621">
        <v>100</v>
      </c>
      <c r="G48" s="789">
        <v>2</v>
      </c>
      <c r="H48" s="790">
        <f t="shared" si="4"/>
        <v>0.11363636363636363</v>
      </c>
      <c r="I48" s="169">
        <f t="shared" si="0"/>
        <v>4.6051701859880918</v>
      </c>
      <c r="J48" s="169">
        <f t="shared" si="1"/>
        <v>0.69314718055994529</v>
      </c>
      <c r="K48" s="169">
        <f t="shared" si="2"/>
        <v>-2.174751721484161</v>
      </c>
    </row>
    <row r="49" spans="1:11">
      <c r="A49" s="616">
        <f t="shared" si="3"/>
        <v>43</v>
      </c>
      <c r="B49" s="618">
        <v>22805</v>
      </c>
      <c r="C49" s="604">
        <v>0.84375</v>
      </c>
      <c r="D49" s="617" t="s">
        <v>128</v>
      </c>
      <c r="E49" s="620" t="s">
        <v>149</v>
      </c>
      <c r="F49" s="621">
        <v>10</v>
      </c>
      <c r="G49" s="789">
        <v>0.1</v>
      </c>
      <c r="H49" s="790">
        <f t="shared" si="4"/>
        <v>5.6818181818181826E-4</v>
      </c>
      <c r="I49" s="169">
        <f t="shared" si="0"/>
        <v>2.3025850929940459</v>
      </c>
      <c r="J49" s="169">
        <f t="shared" si="1"/>
        <v>-2.3025850929940455</v>
      </c>
      <c r="K49" s="169">
        <f t="shared" si="2"/>
        <v>-7.4730690880321973</v>
      </c>
    </row>
    <row r="50" spans="1:11">
      <c r="A50" s="616">
        <f t="shared" si="3"/>
        <v>44</v>
      </c>
      <c r="B50" s="618">
        <v>22805</v>
      </c>
      <c r="C50" s="604">
        <v>0.84375</v>
      </c>
      <c r="D50" s="617" t="s">
        <v>128</v>
      </c>
      <c r="E50" s="620" t="s">
        <v>149</v>
      </c>
      <c r="F50" s="621">
        <v>10</v>
      </c>
      <c r="G50" s="789">
        <v>0.1</v>
      </c>
      <c r="H50" s="790">
        <f t="shared" si="4"/>
        <v>5.6818181818181826E-4</v>
      </c>
      <c r="I50" s="169">
        <f t="shared" si="0"/>
        <v>2.3025850929940459</v>
      </c>
      <c r="J50" s="169">
        <f t="shared" si="1"/>
        <v>-2.3025850929940455</v>
      </c>
      <c r="K50" s="169">
        <f t="shared" si="2"/>
        <v>-7.4730690880321973</v>
      </c>
    </row>
    <row r="51" spans="1:11">
      <c r="A51" s="616">
        <f t="shared" si="3"/>
        <v>45</v>
      </c>
      <c r="B51" s="618">
        <v>22811</v>
      </c>
      <c r="C51" s="604">
        <v>0.84097222222222223</v>
      </c>
      <c r="D51" s="617" t="s">
        <v>145</v>
      </c>
      <c r="E51" s="620" t="s">
        <v>149</v>
      </c>
      <c r="F51" s="621">
        <v>33</v>
      </c>
      <c r="G51" s="789">
        <v>2</v>
      </c>
      <c r="H51" s="790">
        <f t="shared" si="4"/>
        <v>3.7499999999999999E-2</v>
      </c>
      <c r="I51" s="169">
        <f t="shared" si="0"/>
        <v>3.4965075614664802</v>
      </c>
      <c r="J51" s="169">
        <f t="shared" si="1"/>
        <v>0.69314718055994529</v>
      </c>
      <c r="K51" s="169">
        <f t="shared" si="2"/>
        <v>-3.2834143460057721</v>
      </c>
    </row>
    <row r="52" spans="1:11">
      <c r="A52" s="616">
        <f t="shared" si="3"/>
        <v>46</v>
      </c>
      <c r="B52" s="618">
        <v>22819</v>
      </c>
      <c r="C52" s="604">
        <v>0.95347222222222217</v>
      </c>
      <c r="D52" s="617" t="s">
        <v>128</v>
      </c>
      <c r="E52" s="620" t="s">
        <v>149</v>
      </c>
      <c r="F52" s="621">
        <v>10</v>
      </c>
      <c r="G52" s="789">
        <v>0.1</v>
      </c>
      <c r="H52" s="790">
        <f t="shared" si="4"/>
        <v>5.6818181818181826E-4</v>
      </c>
      <c r="I52" s="169">
        <f t="shared" si="0"/>
        <v>2.3025850929940459</v>
      </c>
      <c r="J52" s="169">
        <f t="shared" si="1"/>
        <v>-2.3025850929940455</v>
      </c>
      <c r="K52" s="169">
        <f t="shared" si="2"/>
        <v>-7.4730690880321973</v>
      </c>
    </row>
    <row r="53" spans="1:11">
      <c r="A53" s="616">
        <f t="shared" si="3"/>
        <v>47</v>
      </c>
      <c r="B53" s="618">
        <v>23135</v>
      </c>
      <c r="C53" s="604">
        <v>0.625</v>
      </c>
      <c r="D53" s="617" t="s">
        <v>136</v>
      </c>
      <c r="E53" s="620" t="s">
        <v>149</v>
      </c>
      <c r="F53" s="621">
        <v>33</v>
      </c>
      <c r="G53" s="789">
        <v>1</v>
      </c>
      <c r="H53" s="790">
        <f t="shared" si="4"/>
        <v>1.8749999999999999E-2</v>
      </c>
      <c r="I53" s="169">
        <f t="shared" si="0"/>
        <v>3.4965075614664802</v>
      </c>
      <c r="J53" s="169">
        <f t="shared" si="1"/>
        <v>0</v>
      </c>
      <c r="K53" s="169">
        <f t="shared" si="2"/>
        <v>-3.9765615265657175</v>
      </c>
    </row>
    <row r="54" spans="1:11">
      <c r="A54" s="616">
        <f t="shared" si="3"/>
        <v>48</v>
      </c>
      <c r="B54" s="618">
        <v>23203</v>
      </c>
      <c r="C54" s="604">
        <v>0.875</v>
      </c>
      <c r="D54" s="617" t="s">
        <v>134</v>
      </c>
      <c r="E54" s="620" t="s">
        <v>149</v>
      </c>
      <c r="F54" s="621">
        <v>33</v>
      </c>
      <c r="G54" s="789">
        <v>0.8</v>
      </c>
      <c r="H54" s="790">
        <f t="shared" si="4"/>
        <v>1.4999999999999999E-2</v>
      </c>
      <c r="I54" s="169">
        <f t="shared" si="0"/>
        <v>3.4965075614664802</v>
      </c>
      <c r="J54" s="169">
        <f t="shared" si="1"/>
        <v>-0.22314355131420971</v>
      </c>
      <c r="K54" s="169">
        <f t="shared" si="2"/>
        <v>-4.1997050778799272</v>
      </c>
    </row>
    <row r="55" spans="1:11">
      <c r="A55" s="616">
        <f t="shared" si="3"/>
        <v>49</v>
      </c>
      <c r="B55" s="618">
        <v>23507</v>
      </c>
      <c r="C55" s="604">
        <v>0.625</v>
      </c>
      <c r="D55" s="617" t="s">
        <v>126</v>
      </c>
      <c r="E55" s="620" t="s">
        <v>149</v>
      </c>
      <c r="F55" s="621">
        <v>10</v>
      </c>
      <c r="G55" s="789">
        <v>0.1</v>
      </c>
      <c r="H55" s="790">
        <f t="shared" si="4"/>
        <v>5.6818181818181826E-4</v>
      </c>
      <c r="I55" s="169">
        <f t="shared" si="0"/>
        <v>2.3025850929940459</v>
      </c>
      <c r="J55" s="169">
        <f t="shared" si="1"/>
        <v>-2.3025850929940455</v>
      </c>
      <c r="K55" s="169">
        <f t="shared" si="2"/>
        <v>-7.4730690880321973</v>
      </c>
    </row>
    <row r="56" spans="1:11">
      <c r="A56" s="616">
        <f t="shared" si="3"/>
        <v>50</v>
      </c>
      <c r="B56" s="618">
        <v>23540</v>
      </c>
      <c r="C56" s="604">
        <v>0.625</v>
      </c>
      <c r="D56" s="617" t="s">
        <v>144</v>
      </c>
      <c r="E56" s="620" t="s">
        <v>149</v>
      </c>
      <c r="F56" s="621">
        <v>13</v>
      </c>
      <c r="G56" s="789">
        <v>0.5</v>
      </c>
      <c r="H56" s="790">
        <f t="shared" si="4"/>
        <v>3.6931818181818181E-3</v>
      </c>
      <c r="I56" s="169">
        <f t="shared" si="0"/>
        <v>2.5649493574615367</v>
      </c>
      <c r="J56" s="169">
        <f t="shared" si="1"/>
        <v>-0.69314718055994529</v>
      </c>
      <c r="K56" s="169">
        <f t="shared" si="2"/>
        <v>-5.6012669111306064</v>
      </c>
    </row>
    <row r="57" spans="1:11">
      <c r="A57" s="616">
        <f t="shared" si="3"/>
        <v>51</v>
      </c>
      <c r="B57" s="618">
        <v>23550</v>
      </c>
      <c r="C57" s="604">
        <v>0.72916666666666663</v>
      </c>
      <c r="D57" s="617" t="s">
        <v>138</v>
      </c>
      <c r="E57" s="620" t="s">
        <v>149</v>
      </c>
      <c r="F57" s="621">
        <v>17</v>
      </c>
      <c r="G57" s="789">
        <v>1</v>
      </c>
      <c r="H57" s="790">
        <f t="shared" si="4"/>
        <v>9.6590909090909088E-3</v>
      </c>
      <c r="I57" s="169">
        <f t="shared" si="0"/>
        <v>2.8332133440562162</v>
      </c>
      <c r="J57" s="169">
        <f t="shared" si="1"/>
        <v>0</v>
      </c>
      <c r="K57" s="169">
        <f t="shared" si="2"/>
        <v>-4.6398557439759811</v>
      </c>
    </row>
    <row r="58" spans="1:11">
      <c r="A58" s="616">
        <f t="shared" si="3"/>
        <v>52</v>
      </c>
      <c r="B58" s="618">
        <v>23866</v>
      </c>
      <c r="C58" s="604">
        <v>0.83333333333333337</v>
      </c>
      <c r="D58" s="617" t="s">
        <v>134</v>
      </c>
      <c r="E58" s="620" t="s">
        <v>149</v>
      </c>
      <c r="F58" s="621">
        <v>33</v>
      </c>
      <c r="G58" s="789">
        <v>4.5999999999999996</v>
      </c>
      <c r="H58" s="790">
        <f t="shared" si="4"/>
        <v>8.6249999999999993E-2</v>
      </c>
      <c r="I58" s="169">
        <f t="shared" si="0"/>
        <v>3.4965075614664802</v>
      </c>
      <c r="J58" s="169">
        <f t="shared" si="1"/>
        <v>1.5260563034950492</v>
      </c>
      <c r="K58" s="169">
        <f t="shared" si="2"/>
        <v>-2.4505052230706679</v>
      </c>
    </row>
    <row r="59" spans="1:11">
      <c r="A59" s="616">
        <f t="shared" si="3"/>
        <v>53</v>
      </c>
      <c r="B59" s="618">
        <v>23869</v>
      </c>
      <c r="C59" s="604">
        <v>0.78472222222222221</v>
      </c>
      <c r="D59" s="617" t="s">
        <v>143</v>
      </c>
      <c r="E59" s="620" t="s">
        <v>149</v>
      </c>
      <c r="F59" s="621">
        <v>17</v>
      </c>
      <c r="G59" s="789">
        <v>0.8</v>
      </c>
      <c r="H59" s="790">
        <f t="shared" si="4"/>
        <v>7.7272727272727276E-3</v>
      </c>
      <c r="I59" s="169">
        <f t="shared" si="0"/>
        <v>2.8332133440562162</v>
      </c>
      <c r="J59" s="169">
        <f t="shared" si="1"/>
        <v>-0.22314355131420971</v>
      </c>
      <c r="K59" s="169">
        <f t="shared" si="2"/>
        <v>-4.8629992952901908</v>
      </c>
    </row>
    <row r="60" spans="1:11">
      <c r="A60" s="616">
        <f t="shared" si="3"/>
        <v>54</v>
      </c>
      <c r="B60" s="618">
        <v>23887</v>
      </c>
      <c r="C60" s="604">
        <v>0.81944444444444453</v>
      </c>
      <c r="D60" s="617" t="s">
        <v>138</v>
      </c>
      <c r="E60" s="620" t="s">
        <v>149</v>
      </c>
      <c r="F60" s="621">
        <v>10</v>
      </c>
      <c r="G60" s="789">
        <v>0.1</v>
      </c>
      <c r="H60" s="790">
        <f t="shared" si="4"/>
        <v>5.6818181818181826E-4</v>
      </c>
      <c r="I60" s="169">
        <f t="shared" si="0"/>
        <v>2.3025850929940459</v>
      </c>
      <c r="J60" s="169">
        <f t="shared" si="1"/>
        <v>-2.3025850929940455</v>
      </c>
      <c r="K60" s="169">
        <f t="shared" si="2"/>
        <v>-7.4730690880321973</v>
      </c>
    </row>
    <row r="61" spans="1:11">
      <c r="A61" s="616">
        <f t="shared" si="3"/>
        <v>55</v>
      </c>
      <c r="B61" s="618">
        <v>23896</v>
      </c>
      <c r="C61" s="604">
        <v>0.875</v>
      </c>
      <c r="D61" s="617" t="s">
        <v>136</v>
      </c>
      <c r="E61" s="620" t="s">
        <v>149</v>
      </c>
      <c r="F61" s="621">
        <v>17</v>
      </c>
      <c r="G61" s="789">
        <v>0.2</v>
      </c>
      <c r="H61" s="790">
        <f t="shared" si="4"/>
        <v>1.9318181818181819E-3</v>
      </c>
      <c r="I61" s="169">
        <f t="shared" si="0"/>
        <v>2.8332133440562162</v>
      </c>
      <c r="J61" s="169">
        <f t="shared" si="1"/>
        <v>-1.6094379124341003</v>
      </c>
      <c r="K61" s="169">
        <f t="shared" si="2"/>
        <v>-6.2492936564100816</v>
      </c>
    </row>
    <row r="62" spans="1:11">
      <c r="A62" s="616">
        <f t="shared" si="3"/>
        <v>56</v>
      </c>
      <c r="B62" s="618">
        <v>23902</v>
      </c>
      <c r="C62" s="604">
        <v>0.625</v>
      </c>
      <c r="D62" s="617" t="s">
        <v>132</v>
      </c>
      <c r="E62" s="620" t="s">
        <v>149</v>
      </c>
      <c r="F62" s="621">
        <v>17</v>
      </c>
      <c r="G62" s="789">
        <v>0.5</v>
      </c>
      <c r="H62" s="790">
        <f t="shared" si="4"/>
        <v>4.8295454545454544E-3</v>
      </c>
      <c r="I62" s="169">
        <f t="shared" si="0"/>
        <v>2.8332133440562162</v>
      </c>
      <c r="J62" s="169">
        <f t="shared" si="1"/>
        <v>-0.69314718055994529</v>
      </c>
      <c r="K62" s="169">
        <f t="shared" si="2"/>
        <v>-5.3330029245359265</v>
      </c>
    </row>
    <row r="63" spans="1:11">
      <c r="A63" s="616">
        <f t="shared" si="3"/>
        <v>57</v>
      </c>
      <c r="B63" s="618">
        <v>23918</v>
      </c>
      <c r="C63" s="604">
        <v>0.79166666666666663</v>
      </c>
      <c r="D63" s="617" t="s">
        <v>136</v>
      </c>
      <c r="E63" s="620" t="s">
        <v>149</v>
      </c>
      <c r="F63" s="621">
        <v>17</v>
      </c>
      <c r="G63" s="789">
        <v>0.1</v>
      </c>
      <c r="H63" s="790">
        <f t="shared" si="4"/>
        <v>9.6590909090909095E-4</v>
      </c>
      <c r="I63" s="169">
        <f t="shared" si="0"/>
        <v>2.8332133440562162</v>
      </c>
      <c r="J63" s="169">
        <f t="shared" si="1"/>
        <v>-2.3025850929940455</v>
      </c>
      <c r="K63" s="169">
        <f t="shared" si="2"/>
        <v>-6.942440836970027</v>
      </c>
    </row>
    <row r="64" spans="1:11">
      <c r="A64" s="616">
        <f t="shared" si="3"/>
        <v>58</v>
      </c>
      <c r="B64" s="618">
        <v>24275</v>
      </c>
      <c r="C64" s="604">
        <v>0.67361111111111116</v>
      </c>
      <c r="D64" s="617" t="s">
        <v>136</v>
      </c>
      <c r="E64" s="620" t="s">
        <v>149</v>
      </c>
      <c r="F64" s="621">
        <v>23</v>
      </c>
      <c r="G64" s="789">
        <v>1</v>
      </c>
      <c r="H64" s="790">
        <f t="shared" si="4"/>
        <v>1.3068181818181817E-2</v>
      </c>
      <c r="I64" s="169">
        <f t="shared" si="0"/>
        <v>3.1354942159291497</v>
      </c>
      <c r="J64" s="169">
        <f t="shared" si="1"/>
        <v>0</v>
      </c>
      <c r="K64" s="169">
        <f t="shared" si="2"/>
        <v>-4.3375748721030476</v>
      </c>
    </row>
    <row r="65" spans="1:11">
      <c r="A65" s="616">
        <f t="shared" si="3"/>
        <v>59</v>
      </c>
      <c r="B65" s="618">
        <v>24278</v>
      </c>
      <c r="C65" s="604">
        <v>0.93958333333333333</v>
      </c>
      <c r="D65" s="617" t="s">
        <v>129</v>
      </c>
      <c r="E65" s="620" t="s">
        <v>149</v>
      </c>
      <c r="F65" s="621">
        <v>20</v>
      </c>
      <c r="G65" s="789">
        <v>1</v>
      </c>
      <c r="H65" s="790">
        <f t="shared" si="4"/>
        <v>1.1363636363636364E-2</v>
      </c>
      <c r="I65" s="169">
        <f t="shared" si="0"/>
        <v>2.9957322735539909</v>
      </c>
      <c r="J65" s="169">
        <f t="shared" si="1"/>
        <v>0</v>
      </c>
      <c r="K65" s="169">
        <f t="shared" si="2"/>
        <v>-4.4773368144782069</v>
      </c>
    </row>
    <row r="66" spans="1:11">
      <c r="A66" s="616">
        <f t="shared" si="3"/>
        <v>60</v>
      </c>
      <c r="B66" s="618">
        <v>24283</v>
      </c>
      <c r="C66" s="604">
        <v>0.73055555555555562</v>
      </c>
      <c r="D66" s="617" t="s">
        <v>129</v>
      </c>
      <c r="E66" s="620" t="s">
        <v>149</v>
      </c>
      <c r="F66" s="621">
        <v>33</v>
      </c>
      <c r="G66" s="789">
        <v>2</v>
      </c>
      <c r="H66" s="790">
        <f t="shared" si="4"/>
        <v>3.7499999999999999E-2</v>
      </c>
      <c r="I66" s="169">
        <f t="shared" si="0"/>
        <v>3.4965075614664802</v>
      </c>
      <c r="J66" s="169">
        <f t="shared" si="1"/>
        <v>0.69314718055994529</v>
      </c>
      <c r="K66" s="169">
        <f t="shared" si="2"/>
        <v>-3.2834143460057721</v>
      </c>
    </row>
    <row r="67" spans="1:11">
      <c r="A67" s="616">
        <f t="shared" si="3"/>
        <v>61</v>
      </c>
      <c r="B67" s="618">
        <v>24307</v>
      </c>
      <c r="C67" s="604">
        <v>0.5805555555555556</v>
      </c>
      <c r="D67" s="617" t="s">
        <v>133</v>
      </c>
      <c r="E67" s="620" t="s">
        <v>149</v>
      </c>
      <c r="F67" s="621">
        <v>10</v>
      </c>
      <c r="G67" s="789">
        <v>1</v>
      </c>
      <c r="H67" s="790">
        <f t="shared" si="4"/>
        <v>5.681818181818182E-3</v>
      </c>
      <c r="I67" s="169">
        <f t="shared" si="0"/>
        <v>2.3025850929940459</v>
      </c>
      <c r="J67" s="169">
        <f t="shared" si="1"/>
        <v>0</v>
      </c>
      <c r="K67" s="169">
        <f t="shared" si="2"/>
        <v>-5.1704839950381514</v>
      </c>
    </row>
    <row r="68" spans="1:11">
      <c r="A68" s="616">
        <f t="shared" si="3"/>
        <v>62</v>
      </c>
      <c r="B68" s="618">
        <v>24307</v>
      </c>
      <c r="C68" s="604">
        <v>0.5805555555555556</v>
      </c>
      <c r="D68" s="617" t="s">
        <v>133</v>
      </c>
      <c r="E68" s="620" t="s">
        <v>149</v>
      </c>
      <c r="F68" s="621">
        <v>17</v>
      </c>
      <c r="G68" s="789">
        <v>1.5</v>
      </c>
      <c r="H68" s="790">
        <f t="shared" si="4"/>
        <v>1.4488636363636363E-2</v>
      </c>
      <c r="I68" s="169">
        <f t="shared" si="0"/>
        <v>2.8332133440562162</v>
      </c>
      <c r="J68" s="169">
        <f t="shared" si="1"/>
        <v>0.40546510810816438</v>
      </c>
      <c r="K68" s="169">
        <f t="shared" si="2"/>
        <v>-4.2343906358678174</v>
      </c>
    </row>
    <row r="69" spans="1:11">
      <c r="A69" s="616">
        <f t="shared" si="3"/>
        <v>63</v>
      </c>
      <c r="B69" s="618">
        <v>24328</v>
      </c>
      <c r="C69" s="604">
        <v>0.82291666666666663</v>
      </c>
      <c r="D69" s="617" t="s">
        <v>136</v>
      </c>
      <c r="E69" s="620" t="s">
        <v>149</v>
      </c>
      <c r="F69" s="621">
        <v>27</v>
      </c>
      <c r="G69" s="789">
        <v>2.7</v>
      </c>
      <c r="H69" s="790">
        <f t="shared" si="4"/>
        <v>4.1420454545454545E-2</v>
      </c>
      <c r="I69" s="169">
        <f t="shared" si="0"/>
        <v>3.2958368660043291</v>
      </c>
      <c r="J69" s="169">
        <f t="shared" si="1"/>
        <v>0.99325177301028345</v>
      </c>
      <c r="K69" s="169">
        <f t="shared" si="2"/>
        <v>-3.1839804490175849</v>
      </c>
    </row>
    <row r="70" spans="1:11">
      <c r="A70" s="616">
        <f t="shared" si="3"/>
        <v>64</v>
      </c>
      <c r="B70" s="618">
        <v>24328</v>
      </c>
      <c r="C70" s="604">
        <v>0.89583333333333337</v>
      </c>
      <c r="D70" s="617" t="s">
        <v>134</v>
      </c>
      <c r="E70" s="620" t="s">
        <v>149</v>
      </c>
      <c r="F70" s="621">
        <v>33</v>
      </c>
      <c r="G70" s="789">
        <v>1</v>
      </c>
      <c r="H70" s="790">
        <f t="shared" si="4"/>
        <v>1.8749999999999999E-2</v>
      </c>
      <c r="I70" s="169">
        <f t="shared" si="0"/>
        <v>3.4965075614664802</v>
      </c>
      <c r="J70" s="169">
        <f t="shared" si="1"/>
        <v>0</v>
      </c>
      <c r="K70" s="169">
        <f t="shared" si="2"/>
        <v>-3.9765615265657175</v>
      </c>
    </row>
    <row r="71" spans="1:11">
      <c r="A71" s="616">
        <f t="shared" si="3"/>
        <v>65</v>
      </c>
      <c r="B71" s="618">
        <v>24337</v>
      </c>
      <c r="C71" s="604">
        <v>0.66666666666666663</v>
      </c>
      <c r="D71" s="617" t="s">
        <v>148</v>
      </c>
      <c r="E71" s="620" t="s">
        <v>149</v>
      </c>
      <c r="F71" s="621">
        <v>23</v>
      </c>
      <c r="G71" s="789">
        <v>1</v>
      </c>
      <c r="H71" s="790">
        <f t="shared" si="4"/>
        <v>1.3068181818181817E-2</v>
      </c>
      <c r="I71" s="169">
        <f t="shared" si="0"/>
        <v>3.1354942159291497</v>
      </c>
      <c r="J71" s="169">
        <f t="shared" si="1"/>
        <v>0</v>
      </c>
      <c r="K71" s="169">
        <f t="shared" si="2"/>
        <v>-4.3375748721030476</v>
      </c>
    </row>
    <row r="72" spans="1:11">
      <c r="A72" s="616">
        <f t="shared" si="3"/>
        <v>66</v>
      </c>
      <c r="B72" s="618">
        <v>24550</v>
      </c>
      <c r="C72" s="604">
        <v>0.75</v>
      </c>
      <c r="D72" s="617" t="s">
        <v>144</v>
      </c>
      <c r="E72" s="620" t="s">
        <v>149</v>
      </c>
      <c r="F72" s="621">
        <v>10</v>
      </c>
      <c r="G72" s="789">
        <v>0.5</v>
      </c>
      <c r="H72" s="790">
        <f t="shared" si="4"/>
        <v>2.840909090909091E-3</v>
      </c>
      <c r="I72" s="169">
        <f t="shared" ref="I72:I135" si="5">LN(F72)</f>
        <v>2.3025850929940459</v>
      </c>
      <c r="J72" s="169">
        <f t="shared" ref="J72:J135" si="6">LN(G72)</f>
        <v>-0.69314718055994529</v>
      </c>
      <c r="K72" s="169">
        <f t="shared" ref="K72:K135" si="7">LN(H72)</f>
        <v>-5.8636311755980968</v>
      </c>
    </row>
    <row r="73" spans="1:11">
      <c r="A73" s="616">
        <f t="shared" ref="A73:A136" si="8">+A72+1</f>
        <v>67</v>
      </c>
      <c r="B73" s="618">
        <v>24550</v>
      </c>
      <c r="C73" s="604">
        <v>0.75</v>
      </c>
      <c r="D73" s="617" t="s">
        <v>144</v>
      </c>
      <c r="E73" s="620" t="s">
        <v>149</v>
      </c>
      <c r="F73" s="621">
        <v>10</v>
      </c>
      <c r="G73" s="789">
        <v>0.5</v>
      </c>
      <c r="H73" s="790">
        <f t="shared" ref="H73:H136" si="9">+(F73/1760)*G73</f>
        <v>2.840909090909091E-3</v>
      </c>
      <c r="I73" s="169">
        <f t="shared" si="5"/>
        <v>2.3025850929940459</v>
      </c>
      <c r="J73" s="169">
        <f t="shared" si="6"/>
        <v>-0.69314718055994529</v>
      </c>
      <c r="K73" s="169">
        <f t="shared" si="7"/>
        <v>-5.8636311755980968</v>
      </c>
    </row>
    <row r="74" spans="1:11">
      <c r="A74" s="616">
        <f t="shared" si="8"/>
        <v>68</v>
      </c>
      <c r="B74" s="618">
        <v>24597</v>
      </c>
      <c r="C74" s="604">
        <v>0.57638888888888895</v>
      </c>
      <c r="D74" s="617" t="s">
        <v>145</v>
      </c>
      <c r="E74" s="620" t="s">
        <v>149</v>
      </c>
      <c r="F74" s="621">
        <v>33</v>
      </c>
      <c r="G74" s="789">
        <v>0.1</v>
      </c>
      <c r="H74" s="790">
        <f t="shared" si="9"/>
        <v>1.8749999999999999E-3</v>
      </c>
      <c r="I74" s="169">
        <f t="shared" si="5"/>
        <v>3.4965075614664802</v>
      </c>
      <c r="J74" s="169">
        <f t="shared" si="6"/>
        <v>-2.3025850929940455</v>
      </c>
      <c r="K74" s="169">
        <f t="shared" si="7"/>
        <v>-6.2791466195597634</v>
      </c>
    </row>
    <row r="75" spans="1:11">
      <c r="A75" s="616">
        <f t="shared" si="8"/>
        <v>69</v>
      </c>
      <c r="B75" s="618">
        <v>24597</v>
      </c>
      <c r="C75" s="604">
        <v>0.65625</v>
      </c>
      <c r="D75" s="617" t="s">
        <v>141</v>
      </c>
      <c r="E75" s="620" t="s">
        <v>149</v>
      </c>
      <c r="F75" s="621">
        <v>17</v>
      </c>
      <c r="G75" s="789">
        <v>0.5</v>
      </c>
      <c r="H75" s="790">
        <f t="shared" si="9"/>
        <v>4.8295454545454544E-3</v>
      </c>
      <c r="I75" s="169">
        <f t="shared" si="5"/>
        <v>2.8332133440562162</v>
      </c>
      <c r="J75" s="169">
        <f t="shared" si="6"/>
        <v>-0.69314718055994529</v>
      </c>
      <c r="K75" s="169">
        <f t="shared" si="7"/>
        <v>-5.3330029245359265</v>
      </c>
    </row>
    <row r="76" spans="1:11">
      <c r="A76" s="616">
        <f t="shared" si="8"/>
        <v>70</v>
      </c>
      <c r="B76" s="618">
        <v>24597</v>
      </c>
      <c r="C76" s="604">
        <v>0.69097222222222221</v>
      </c>
      <c r="D76" s="617" t="s">
        <v>141</v>
      </c>
      <c r="E76" s="620" t="s">
        <v>149</v>
      </c>
      <c r="F76" s="621">
        <v>3</v>
      </c>
      <c r="G76" s="789">
        <v>0.1</v>
      </c>
      <c r="H76" s="790">
        <f t="shared" si="9"/>
        <v>1.7045454545454547E-4</v>
      </c>
      <c r="I76" s="169">
        <f t="shared" si="5"/>
        <v>1.0986122886681098</v>
      </c>
      <c r="J76" s="169">
        <f t="shared" si="6"/>
        <v>-2.3025850929940455</v>
      </c>
      <c r="K76" s="169">
        <f t="shared" si="7"/>
        <v>-8.6770418923581332</v>
      </c>
    </row>
    <row r="77" spans="1:11">
      <c r="A77" s="616">
        <f t="shared" si="8"/>
        <v>71</v>
      </c>
      <c r="B77" s="618">
        <v>24622</v>
      </c>
      <c r="C77" s="604">
        <v>0.79166666666666663</v>
      </c>
      <c r="D77" s="617" t="s">
        <v>139</v>
      </c>
      <c r="E77" s="620" t="s">
        <v>149</v>
      </c>
      <c r="F77" s="621">
        <v>17</v>
      </c>
      <c r="G77" s="789">
        <v>1</v>
      </c>
      <c r="H77" s="790">
        <f t="shared" si="9"/>
        <v>9.6590909090909088E-3</v>
      </c>
      <c r="I77" s="169">
        <f t="shared" si="5"/>
        <v>2.8332133440562162</v>
      </c>
      <c r="J77" s="169">
        <f t="shared" si="6"/>
        <v>0</v>
      </c>
      <c r="K77" s="169">
        <f t="shared" si="7"/>
        <v>-4.6398557439759811</v>
      </c>
    </row>
    <row r="78" spans="1:11">
      <c r="A78" s="616">
        <f t="shared" si="8"/>
        <v>72</v>
      </c>
      <c r="B78" s="618">
        <v>24637</v>
      </c>
      <c r="C78" s="604">
        <v>0.89166666666666661</v>
      </c>
      <c r="D78" s="617" t="s">
        <v>127</v>
      </c>
      <c r="E78" s="620" t="s">
        <v>149</v>
      </c>
      <c r="F78" s="621">
        <v>10</v>
      </c>
      <c r="G78" s="789">
        <v>0.1</v>
      </c>
      <c r="H78" s="790">
        <f t="shared" si="9"/>
        <v>5.6818181818181826E-4</v>
      </c>
      <c r="I78" s="169">
        <f t="shared" si="5"/>
        <v>2.3025850929940459</v>
      </c>
      <c r="J78" s="169">
        <f t="shared" si="6"/>
        <v>-2.3025850929940455</v>
      </c>
      <c r="K78" s="169">
        <f t="shared" si="7"/>
        <v>-7.4730690880321973</v>
      </c>
    </row>
    <row r="79" spans="1:11">
      <c r="A79" s="616">
        <f t="shared" si="8"/>
        <v>73</v>
      </c>
      <c r="B79" s="618">
        <v>24637</v>
      </c>
      <c r="C79" s="604">
        <v>0.90625</v>
      </c>
      <c r="D79" s="617" t="s">
        <v>127</v>
      </c>
      <c r="E79" s="620" t="s">
        <v>149</v>
      </c>
      <c r="F79" s="621">
        <v>150</v>
      </c>
      <c r="G79" s="789">
        <v>0.3</v>
      </c>
      <c r="H79" s="790">
        <f t="shared" si="9"/>
        <v>2.5568181818181816E-2</v>
      </c>
      <c r="I79" s="169">
        <f t="shared" si="5"/>
        <v>5.0106352940962555</v>
      </c>
      <c r="J79" s="169">
        <f t="shared" si="6"/>
        <v>-1.2039728043259361</v>
      </c>
      <c r="K79" s="169">
        <f t="shared" si="7"/>
        <v>-3.6664065982618776</v>
      </c>
    </row>
    <row r="80" spans="1:11">
      <c r="A80" s="616">
        <f t="shared" si="8"/>
        <v>74</v>
      </c>
      <c r="B80" s="618">
        <v>24646</v>
      </c>
      <c r="C80" s="604">
        <v>0.70833333333333337</v>
      </c>
      <c r="D80" s="617" t="s">
        <v>135</v>
      </c>
      <c r="E80" s="620" t="s">
        <v>149</v>
      </c>
      <c r="F80" s="621">
        <v>33</v>
      </c>
      <c r="G80" s="789">
        <v>0.1</v>
      </c>
      <c r="H80" s="790">
        <f t="shared" si="9"/>
        <v>1.8749999999999999E-3</v>
      </c>
      <c r="I80" s="169">
        <f t="shared" si="5"/>
        <v>3.4965075614664802</v>
      </c>
      <c r="J80" s="169">
        <f t="shared" si="6"/>
        <v>-2.3025850929940455</v>
      </c>
      <c r="K80" s="169">
        <f t="shared" si="7"/>
        <v>-6.2791466195597634</v>
      </c>
    </row>
    <row r="81" spans="1:11">
      <c r="A81" s="616">
        <f t="shared" si="8"/>
        <v>75</v>
      </c>
      <c r="B81" s="618">
        <v>24651</v>
      </c>
      <c r="C81" s="604">
        <v>0.78125</v>
      </c>
      <c r="D81" s="617" t="s">
        <v>139</v>
      </c>
      <c r="E81" s="620" t="s">
        <v>149</v>
      </c>
      <c r="F81" s="621">
        <v>10</v>
      </c>
      <c r="G81" s="789">
        <v>0.1</v>
      </c>
      <c r="H81" s="790">
        <f t="shared" si="9"/>
        <v>5.6818181818181826E-4</v>
      </c>
      <c r="I81" s="169">
        <f t="shared" si="5"/>
        <v>2.3025850929940459</v>
      </c>
      <c r="J81" s="169">
        <f t="shared" si="6"/>
        <v>-2.3025850929940455</v>
      </c>
      <c r="K81" s="169">
        <f t="shared" si="7"/>
        <v>-7.4730690880321973</v>
      </c>
    </row>
    <row r="82" spans="1:11">
      <c r="A82" s="616">
        <f t="shared" si="8"/>
        <v>76</v>
      </c>
      <c r="B82" s="618">
        <v>24653</v>
      </c>
      <c r="C82" s="604">
        <v>0.72916666666666663</v>
      </c>
      <c r="D82" s="617" t="s">
        <v>145</v>
      </c>
      <c r="E82" s="620" t="s">
        <v>149</v>
      </c>
      <c r="F82" s="621">
        <v>33</v>
      </c>
      <c r="G82" s="789">
        <v>0.1</v>
      </c>
      <c r="H82" s="790">
        <f t="shared" si="9"/>
        <v>1.8749999999999999E-3</v>
      </c>
      <c r="I82" s="169">
        <f t="shared" si="5"/>
        <v>3.4965075614664802</v>
      </c>
      <c r="J82" s="169">
        <f t="shared" si="6"/>
        <v>-2.3025850929940455</v>
      </c>
      <c r="K82" s="169">
        <f t="shared" si="7"/>
        <v>-6.2791466195597634</v>
      </c>
    </row>
    <row r="83" spans="1:11">
      <c r="A83" s="616">
        <f t="shared" si="8"/>
        <v>77</v>
      </c>
      <c r="B83" s="618">
        <v>24656</v>
      </c>
      <c r="C83" s="604">
        <v>0.625</v>
      </c>
      <c r="D83" s="617" t="s">
        <v>126</v>
      </c>
      <c r="E83" s="620" t="s">
        <v>149</v>
      </c>
      <c r="F83" s="621">
        <v>33</v>
      </c>
      <c r="G83" s="789">
        <v>6.8</v>
      </c>
      <c r="H83" s="790">
        <f t="shared" si="9"/>
        <v>0.1275</v>
      </c>
      <c r="I83" s="169">
        <f t="shared" si="5"/>
        <v>3.4965075614664802</v>
      </c>
      <c r="J83" s="169">
        <f t="shared" si="6"/>
        <v>1.9169226121820611</v>
      </c>
      <c r="K83" s="169">
        <f t="shared" si="7"/>
        <v>-2.059638914383656</v>
      </c>
    </row>
    <row r="84" spans="1:11">
      <c r="A84" s="616">
        <f t="shared" si="8"/>
        <v>78</v>
      </c>
      <c r="B84" s="618">
        <v>24656</v>
      </c>
      <c r="C84" s="604">
        <v>0.625</v>
      </c>
      <c r="D84" s="617" t="s">
        <v>126</v>
      </c>
      <c r="E84" s="620" t="s">
        <v>149</v>
      </c>
      <c r="F84" s="621">
        <v>33</v>
      </c>
      <c r="G84" s="789">
        <v>0.1</v>
      </c>
      <c r="H84" s="790">
        <f t="shared" si="9"/>
        <v>1.8749999999999999E-3</v>
      </c>
      <c r="I84" s="169">
        <f t="shared" si="5"/>
        <v>3.4965075614664802</v>
      </c>
      <c r="J84" s="169">
        <f t="shared" si="6"/>
        <v>-2.3025850929940455</v>
      </c>
      <c r="K84" s="169">
        <f t="shared" si="7"/>
        <v>-6.2791466195597634</v>
      </c>
    </row>
    <row r="85" spans="1:11">
      <c r="A85" s="616">
        <f t="shared" si="8"/>
        <v>79</v>
      </c>
      <c r="B85" s="618">
        <v>24656</v>
      </c>
      <c r="C85" s="604">
        <v>0.625</v>
      </c>
      <c r="D85" s="617" t="s">
        <v>126</v>
      </c>
      <c r="E85" s="620" t="s">
        <v>149</v>
      </c>
      <c r="F85" s="621">
        <v>33</v>
      </c>
      <c r="G85" s="789">
        <v>0.1</v>
      </c>
      <c r="H85" s="790">
        <f t="shared" si="9"/>
        <v>1.8749999999999999E-3</v>
      </c>
      <c r="I85" s="169">
        <f t="shared" si="5"/>
        <v>3.4965075614664802</v>
      </c>
      <c r="J85" s="169">
        <f t="shared" si="6"/>
        <v>-2.3025850929940455</v>
      </c>
      <c r="K85" s="169">
        <f t="shared" si="7"/>
        <v>-6.2791466195597634</v>
      </c>
    </row>
    <row r="86" spans="1:11">
      <c r="A86" s="616">
        <f t="shared" si="8"/>
        <v>80</v>
      </c>
      <c r="B86" s="618">
        <v>24961</v>
      </c>
      <c r="C86" s="604">
        <v>0.13194444444444445</v>
      </c>
      <c r="D86" s="617" t="s">
        <v>128</v>
      </c>
      <c r="E86" s="620" t="s">
        <v>149</v>
      </c>
      <c r="F86" s="621">
        <v>10</v>
      </c>
      <c r="G86" s="789">
        <v>0.1</v>
      </c>
      <c r="H86" s="790">
        <f t="shared" si="9"/>
        <v>5.6818181818181826E-4</v>
      </c>
      <c r="I86" s="169">
        <f t="shared" si="5"/>
        <v>2.3025850929940459</v>
      </c>
      <c r="J86" s="169">
        <f t="shared" si="6"/>
        <v>-2.3025850929940455</v>
      </c>
      <c r="K86" s="169">
        <f t="shared" si="7"/>
        <v>-7.4730690880321973</v>
      </c>
    </row>
    <row r="87" spans="1:11">
      <c r="A87" s="616">
        <f t="shared" si="8"/>
        <v>81</v>
      </c>
      <c r="B87" s="618">
        <v>24964</v>
      </c>
      <c r="C87" s="604">
        <v>0.54861111111111105</v>
      </c>
      <c r="D87" s="617" t="s">
        <v>137</v>
      </c>
      <c r="E87" s="620" t="s">
        <v>149</v>
      </c>
      <c r="F87" s="621">
        <v>100</v>
      </c>
      <c r="G87" s="789">
        <v>12.3</v>
      </c>
      <c r="H87" s="790">
        <f t="shared" si="9"/>
        <v>0.69886363636363635</v>
      </c>
      <c r="I87" s="169">
        <f t="shared" si="5"/>
        <v>4.6051701859880918</v>
      </c>
      <c r="J87" s="169">
        <f t="shared" si="6"/>
        <v>2.5095992623783721</v>
      </c>
      <c r="K87" s="169">
        <f t="shared" si="7"/>
        <v>-0.3582996396657343</v>
      </c>
    </row>
    <row r="88" spans="1:11">
      <c r="A88" s="616">
        <f t="shared" si="8"/>
        <v>82</v>
      </c>
      <c r="B88" s="618">
        <v>24964</v>
      </c>
      <c r="C88" s="604">
        <v>0.54861111111111105</v>
      </c>
      <c r="D88" s="617" t="s">
        <v>137</v>
      </c>
      <c r="E88" s="620" t="s">
        <v>149</v>
      </c>
      <c r="F88" s="621">
        <v>100</v>
      </c>
      <c r="G88" s="789">
        <v>12.3</v>
      </c>
      <c r="H88" s="790">
        <f t="shared" si="9"/>
        <v>0.69886363636363635</v>
      </c>
      <c r="I88" s="169">
        <f t="shared" si="5"/>
        <v>4.6051701859880918</v>
      </c>
      <c r="J88" s="169">
        <f t="shared" si="6"/>
        <v>2.5095992623783721</v>
      </c>
      <c r="K88" s="169">
        <f t="shared" si="7"/>
        <v>-0.3582996396657343</v>
      </c>
    </row>
    <row r="89" spans="1:11">
      <c r="A89" s="616">
        <f t="shared" si="8"/>
        <v>83</v>
      </c>
      <c r="B89" s="618">
        <v>24968</v>
      </c>
      <c r="C89" s="604">
        <v>0.75</v>
      </c>
      <c r="D89" s="617" t="s">
        <v>134</v>
      </c>
      <c r="E89" s="620" t="s">
        <v>149</v>
      </c>
      <c r="F89" s="621">
        <v>100</v>
      </c>
      <c r="G89" s="789">
        <v>0.5</v>
      </c>
      <c r="H89" s="790">
        <f t="shared" si="9"/>
        <v>2.8409090909090908E-2</v>
      </c>
      <c r="I89" s="169">
        <f t="shared" si="5"/>
        <v>4.6051701859880918</v>
      </c>
      <c r="J89" s="169">
        <f t="shared" si="6"/>
        <v>-0.69314718055994529</v>
      </c>
      <c r="K89" s="169">
        <f t="shared" si="7"/>
        <v>-3.5610460826040513</v>
      </c>
    </row>
    <row r="90" spans="1:11">
      <c r="A90" s="616">
        <f t="shared" si="8"/>
        <v>84</v>
      </c>
      <c r="B90" s="618">
        <v>24988</v>
      </c>
      <c r="C90" s="604">
        <v>0.71527777777777779</v>
      </c>
      <c r="D90" s="617" t="s">
        <v>134</v>
      </c>
      <c r="E90" s="620" t="s">
        <v>149</v>
      </c>
      <c r="F90" s="621">
        <v>67</v>
      </c>
      <c r="G90" s="789">
        <v>1</v>
      </c>
      <c r="H90" s="790">
        <f t="shared" si="9"/>
        <v>3.806818181818182E-2</v>
      </c>
      <c r="I90" s="169">
        <f t="shared" si="5"/>
        <v>4.2046926193909657</v>
      </c>
      <c r="J90" s="169">
        <f t="shared" si="6"/>
        <v>0</v>
      </c>
      <c r="K90" s="169">
        <f t="shared" si="7"/>
        <v>-3.2683764686412315</v>
      </c>
    </row>
    <row r="91" spans="1:11">
      <c r="A91" s="616">
        <f t="shared" si="8"/>
        <v>85</v>
      </c>
      <c r="B91" s="618">
        <v>24989</v>
      </c>
      <c r="C91" s="604">
        <v>0.6875</v>
      </c>
      <c r="D91" s="617" t="s">
        <v>144</v>
      </c>
      <c r="E91" s="620" t="s">
        <v>149</v>
      </c>
      <c r="F91" s="621">
        <v>17</v>
      </c>
      <c r="G91" s="789">
        <v>0.2</v>
      </c>
      <c r="H91" s="790">
        <f t="shared" si="9"/>
        <v>1.9318181818181819E-3</v>
      </c>
      <c r="I91" s="169">
        <f t="shared" si="5"/>
        <v>2.8332133440562162</v>
      </c>
      <c r="J91" s="169">
        <f t="shared" si="6"/>
        <v>-1.6094379124341003</v>
      </c>
      <c r="K91" s="169">
        <f t="shared" si="7"/>
        <v>-6.2492936564100816</v>
      </c>
    </row>
    <row r="92" spans="1:11">
      <c r="A92" s="616">
        <f t="shared" si="8"/>
        <v>86</v>
      </c>
      <c r="B92" s="618">
        <v>24995</v>
      </c>
      <c r="C92" s="604">
        <v>0.67708333333333337</v>
      </c>
      <c r="D92" s="617" t="s">
        <v>132</v>
      </c>
      <c r="E92" s="620" t="s">
        <v>149</v>
      </c>
      <c r="F92" s="621">
        <v>10</v>
      </c>
      <c r="G92" s="789">
        <v>0.1</v>
      </c>
      <c r="H92" s="790">
        <f t="shared" si="9"/>
        <v>5.6818181818181826E-4</v>
      </c>
      <c r="I92" s="169">
        <f t="shared" si="5"/>
        <v>2.3025850929940459</v>
      </c>
      <c r="J92" s="169">
        <f t="shared" si="6"/>
        <v>-2.3025850929940455</v>
      </c>
      <c r="K92" s="169">
        <f t="shared" si="7"/>
        <v>-7.4730690880321973</v>
      </c>
    </row>
    <row r="93" spans="1:11">
      <c r="A93" s="616">
        <f t="shared" si="8"/>
        <v>87</v>
      </c>
      <c r="B93" s="618">
        <v>24996</v>
      </c>
      <c r="C93" s="604">
        <v>0.89236111111111116</v>
      </c>
      <c r="D93" s="617" t="s">
        <v>130</v>
      </c>
      <c r="E93" s="620" t="s">
        <v>149</v>
      </c>
      <c r="F93" s="621">
        <v>33</v>
      </c>
      <c r="G93" s="789">
        <v>0.5</v>
      </c>
      <c r="H93" s="790">
        <f t="shared" si="9"/>
        <v>9.3749999999999997E-3</v>
      </c>
      <c r="I93" s="169">
        <f t="shared" si="5"/>
        <v>3.4965075614664802</v>
      </c>
      <c r="J93" s="169">
        <f t="shared" si="6"/>
        <v>-0.69314718055994529</v>
      </c>
      <c r="K93" s="169">
        <f t="shared" si="7"/>
        <v>-4.6697087071256629</v>
      </c>
    </row>
    <row r="94" spans="1:11">
      <c r="A94" s="616">
        <f t="shared" si="8"/>
        <v>88</v>
      </c>
      <c r="B94" s="618">
        <v>24998</v>
      </c>
      <c r="C94" s="604">
        <v>0.35416666666666669</v>
      </c>
      <c r="D94" s="617" t="s">
        <v>146</v>
      </c>
      <c r="E94" s="620" t="s">
        <v>149</v>
      </c>
      <c r="F94" s="621">
        <v>17</v>
      </c>
      <c r="G94" s="789">
        <v>1</v>
      </c>
      <c r="H94" s="790">
        <f t="shared" si="9"/>
        <v>9.6590909090909088E-3</v>
      </c>
      <c r="I94" s="169">
        <f t="shared" si="5"/>
        <v>2.8332133440562162</v>
      </c>
      <c r="J94" s="169">
        <f t="shared" si="6"/>
        <v>0</v>
      </c>
      <c r="K94" s="169">
        <f t="shared" si="7"/>
        <v>-4.6398557439759811</v>
      </c>
    </row>
    <row r="95" spans="1:11">
      <c r="A95" s="616">
        <f t="shared" si="8"/>
        <v>89</v>
      </c>
      <c r="B95" s="618">
        <v>25028</v>
      </c>
      <c r="C95" s="604">
        <v>0.76041666666666663</v>
      </c>
      <c r="D95" s="617" t="s">
        <v>127</v>
      </c>
      <c r="E95" s="620" t="s">
        <v>149</v>
      </c>
      <c r="F95" s="621">
        <v>10</v>
      </c>
      <c r="G95" s="789">
        <v>0.1</v>
      </c>
      <c r="H95" s="790">
        <f t="shared" si="9"/>
        <v>5.6818181818181826E-4</v>
      </c>
      <c r="I95" s="169">
        <f t="shared" si="5"/>
        <v>2.3025850929940459</v>
      </c>
      <c r="J95" s="169">
        <f t="shared" si="6"/>
        <v>-2.3025850929940455</v>
      </c>
      <c r="K95" s="169">
        <f t="shared" si="7"/>
        <v>-7.4730690880321973</v>
      </c>
    </row>
    <row r="96" spans="1:11">
      <c r="A96" s="616">
        <f t="shared" si="8"/>
        <v>90</v>
      </c>
      <c r="B96" s="618">
        <v>25036</v>
      </c>
      <c r="C96" s="604">
        <v>0.72916666666666663</v>
      </c>
      <c r="D96" s="617" t="s">
        <v>141</v>
      </c>
      <c r="E96" s="620" t="s">
        <v>149</v>
      </c>
      <c r="F96" s="621">
        <v>100</v>
      </c>
      <c r="G96" s="789">
        <v>0.5</v>
      </c>
      <c r="H96" s="790">
        <f t="shared" si="9"/>
        <v>2.8409090909090908E-2</v>
      </c>
      <c r="I96" s="169">
        <f t="shared" si="5"/>
        <v>4.6051701859880918</v>
      </c>
      <c r="J96" s="169">
        <f t="shared" si="6"/>
        <v>-0.69314718055994529</v>
      </c>
      <c r="K96" s="169">
        <f t="shared" si="7"/>
        <v>-3.5610460826040513</v>
      </c>
    </row>
    <row r="97" spans="1:11">
      <c r="A97" s="616">
        <f t="shared" si="8"/>
        <v>91</v>
      </c>
      <c r="B97" s="618">
        <v>25036</v>
      </c>
      <c r="C97" s="604">
        <v>0.83472222222222225</v>
      </c>
      <c r="D97" s="617" t="s">
        <v>141</v>
      </c>
      <c r="E97" s="620" t="s">
        <v>149</v>
      </c>
      <c r="F97" s="621">
        <v>33</v>
      </c>
      <c r="G97" s="789">
        <v>4.5</v>
      </c>
      <c r="H97" s="790">
        <f t="shared" si="9"/>
        <v>8.4374999999999992E-2</v>
      </c>
      <c r="I97" s="169">
        <f t="shared" si="5"/>
        <v>3.4965075614664802</v>
      </c>
      <c r="J97" s="169">
        <f t="shared" si="6"/>
        <v>1.5040773967762742</v>
      </c>
      <c r="K97" s="169">
        <f t="shared" si="7"/>
        <v>-2.4724841297894433</v>
      </c>
    </row>
    <row r="98" spans="1:11">
      <c r="A98" s="616">
        <f t="shared" si="8"/>
        <v>92</v>
      </c>
      <c r="B98" s="618">
        <v>25036</v>
      </c>
      <c r="C98" s="604">
        <v>0.83472222222222225</v>
      </c>
      <c r="D98" s="617" t="s">
        <v>141</v>
      </c>
      <c r="E98" s="620" t="s">
        <v>149</v>
      </c>
      <c r="F98" s="621">
        <v>33</v>
      </c>
      <c r="G98" s="789">
        <v>3.6</v>
      </c>
      <c r="H98" s="790">
        <f t="shared" si="9"/>
        <v>6.7500000000000004E-2</v>
      </c>
      <c r="I98" s="169">
        <f t="shared" si="5"/>
        <v>3.4965075614664802</v>
      </c>
      <c r="J98" s="169">
        <f t="shared" si="6"/>
        <v>1.2809338454620642</v>
      </c>
      <c r="K98" s="169">
        <f t="shared" si="7"/>
        <v>-2.695627681103653</v>
      </c>
    </row>
    <row r="99" spans="1:11">
      <c r="A99" s="616">
        <f t="shared" si="8"/>
        <v>93</v>
      </c>
      <c r="B99" s="618">
        <v>25036</v>
      </c>
      <c r="C99" s="604">
        <v>0.85763888888888884</v>
      </c>
      <c r="D99" s="617" t="s">
        <v>143</v>
      </c>
      <c r="E99" s="620" t="s">
        <v>149</v>
      </c>
      <c r="F99" s="621">
        <v>10</v>
      </c>
      <c r="G99" s="789">
        <v>0.1</v>
      </c>
      <c r="H99" s="790">
        <f t="shared" si="9"/>
        <v>5.6818181818181826E-4</v>
      </c>
      <c r="I99" s="169">
        <f t="shared" si="5"/>
        <v>2.3025850929940459</v>
      </c>
      <c r="J99" s="169">
        <f t="shared" si="6"/>
        <v>-2.3025850929940455</v>
      </c>
      <c r="K99" s="169">
        <f t="shared" si="7"/>
        <v>-7.4730690880321973</v>
      </c>
    </row>
    <row r="100" spans="1:11">
      <c r="A100" s="616">
        <f t="shared" si="8"/>
        <v>94</v>
      </c>
      <c r="B100" s="618">
        <v>25064</v>
      </c>
      <c r="C100" s="604">
        <v>0.69444444444444453</v>
      </c>
      <c r="D100" s="617" t="s">
        <v>140</v>
      </c>
      <c r="E100" s="620" t="s">
        <v>149</v>
      </c>
      <c r="F100" s="621">
        <v>17</v>
      </c>
      <c r="G100" s="789">
        <v>0.2</v>
      </c>
      <c r="H100" s="790">
        <f t="shared" si="9"/>
        <v>1.9318181818181819E-3</v>
      </c>
      <c r="I100" s="169">
        <f t="shared" si="5"/>
        <v>2.8332133440562162</v>
      </c>
      <c r="J100" s="169">
        <f t="shared" si="6"/>
        <v>-1.6094379124341003</v>
      </c>
      <c r="K100" s="169">
        <f t="shared" si="7"/>
        <v>-6.2492936564100816</v>
      </c>
    </row>
    <row r="101" spans="1:11">
      <c r="A101" s="616">
        <f t="shared" si="8"/>
        <v>95</v>
      </c>
      <c r="B101" s="618">
        <v>25119</v>
      </c>
      <c r="C101" s="604">
        <v>0.63888888888888895</v>
      </c>
      <c r="D101" s="617" t="s">
        <v>137</v>
      </c>
      <c r="E101" s="620" t="s">
        <v>149</v>
      </c>
      <c r="F101" s="621">
        <v>13</v>
      </c>
      <c r="G101" s="789">
        <v>0.1</v>
      </c>
      <c r="H101" s="790">
        <f t="shared" si="9"/>
        <v>7.3863636363636362E-4</v>
      </c>
      <c r="I101" s="169">
        <f t="shared" si="5"/>
        <v>2.5649493574615367</v>
      </c>
      <c r="J101" s="169">
        <f t="shared" si="6"/>
        <v>-2.3025850929940455</v>
      </c>
      <c r="K101" s="169">
        <f t="shared" si="7"/>
        <v>-7.210704823564706</v>
      </c>
    </row>
    <row r="102" spans="1:11">
      <c r="A102" s="616">
        <f t="shared" si="8"/>
        <v>96</v>
      </c>
      <c r="B102" s="618">
        <v>25120</v>
      </c>
      <c r="C102" s="604">
        <v>0.83333333333333337</v>
      </c>
      <c r="D102" s="617" t="s">
        <v>132</v>
      </c>
      <c r="E102" s="620" t="s">
        <v>149</v>
      </c>
      <c r="F102" s="621">
        <v>17</v>
      </c>
      <c r="G102" s="789">
        <v>0.1</v>
      </c>
      <c r="H102" s="790">
        <f t="shared" si="9"/>
        <v>9.6590909090909095E-4</v>
      </c>
      <c r="I102" s="169">
        <f t="shared" si="5"/>
        <v>2.8332133440562162</v>
      </c>
      <c r="J102" s="169">
        <f t="shared" si="6"/>
        <v>-2.3025850929940455</v>
      </c>
      <c r="K102" s="169">
        <f t="shared" si="7"/>
        <v>-6.942440836970027</v>
      </c>
    </row>
    <row r="103" spans="1:11">
      <c r="A103" s="616">
        <f t="shared" si="8"/>
        <v>97</v>
      </c>
      <c r="B103" s="618">
        <v>25325</v>
      </c>
      <c r="C103" s="604">
        <v>0.6694444444444444</v>
      </c>
      <c r="D103" s="617" t="s">
        <v>145</v>
      </c>
      <c r="E103" s="620" t="s">
        <v>149</v>
      </c>
      <c r="F103" s="621">
        <v>33</v>
      </c>
      <c r="G103" s="789">
        <v>0.2</v>
      </c>
      <c r="H103" s="790">
        <f t="shared" si="9"/>
        <v>3.7499999999999999E-3</v>
      </c>
      <c r="I103" s="169">
        <f t="shared" si="5"/>
        <v>3.4965075614664802</v>
      </c>
      <c r="J103" s="169">
        <f t="shared" si="6"/>
        <v>-1.6094379124341003</v>
      </c>
      <c r="K103" s="169">
        <f t="shared" si="7"/>
        <v>-5.585999438999818</v>
      </c>
    </row>
    <row r="104" spans="1:11">
      <c r="A104" s="616">
        <f t="shared" si="8"/>
        <v>98</v>
      </c>
      <c r="B104" s="618">
        <v>25325</v>
      </c>
      <c r="C104" s="604">
        <v>0.6875</v>
      </c>
      <c r="D104" s="617" t="s">
        <v>145</v>
      </c>
      <c r="E104" s="620" t="s">
        <v>149</v>
      </c>
      <c r="F104" s="621">
        <v>33</v>
      </c>
      <c r="G104" s="789">
        <v>0.2</v>
      </c>
      <c r="H104" s="790">
        <f t="shared" si="9"/>
        <v>3.7499999999999999E-3</v>
      </c>
      <c r="I104" s="169">
        <f t="shared" si="5"/>
        <v>3.4965075614664802</v>
      </c>
      <c r="J104" s="169">
        <f t="shared" si="6"/>
        <v>-1.6094379124341003</v>
      </c>
      <c r="K104" s="169">
        <f t="shared" si="7"/>
        <v>-5.585999438999818</v>
      </c>
    </row>
    <row r="105" spans="1:11">
      <c r="A105" s="616">
        <f t="shared" si="8"/>
        <v>99</v>
      </c>
      <c r="B105" s="618">
        <v>25335</v>
      </c>
      <c r="C105" s="604">
        <v>0.72222222222222221</v>
      </c>
      <c r="D105" s="617" t="s">
        <v>137</v>
      </c>
      <c r="E105" s="620" t="s">
        <v>149</v>
      </c>
      <c r="F105" s="621">
        <v>33</v>
      </c>
      <c r="G105" s="789">
        <v>0.1</v>
      </c>
      <c r="H105" s="790">
        <f t="shared" si="9"/>
        <v>1.8749999999999999E-3</v>
      </c>
      <c r="I105" s="169">
        <f t="shared" si="5"/>
        <v>3.4965075614664802</v>
      </c>
      <c r="J105" s="169">
        <f t="shared" si="6"/>
        <v>-2.3025850929940455</v>
      </c>
      <c r="K105" s="169">
        <f t="shared" si="7"/>
        <v>-6.2791466195597634</v>
      </c>
    </row>
    <row r="106" spans="1:11">
      <c r="A106" s="616">
        <f t="shared" si="8"/>
        <v>100</v>
      </c>
      <c r="B106" s="618">
        <v>25335</v>
      </c>
      <c r="C106" s="604">
        <v>0.79166666666666663</v>
      </c>
      <c r="D106" s="617" t="s">
        <v>143</v>
      </c>
      <c r="E106" s="620" t="s">
        <v>149</v>
      </c>
      <c r="F106" s="621">
        <v>33</v>
      </c>
      <c r="G106" s="789">
        <v>0.1</v>
      </c>
      <c r="H106" s="790">
        <f t="shared" si="9"/>
        <v>1.8749999999999999E-3</v>
      </c>
      <c r="I106" s="169">
        <f t="shared" si="5"/>
        <v>3.4965075614664802</v>
      </c>
      <c r="J106" s="169">
        <f t="shared" si="6"/>
        <v>-2.3025850929940455</v>
      </c>
      <c r="K106" s="169">
        <f t="shared" si="7"/>
        <v>-6.2791466195597634</v>
      </c>
    </row>
    <row r="107" spans="1:11">
      <c r="A107" s="616">
        <f t="shared" si="8"/>
        <v>101</v>
      </c>
      <c r="B107" s="618">
        <v>25335</v>
      </c>
      <c r="C107" s="604">
        <v>0.97222222222222221</v>
      </c>
      <c r="D107" s="617" t="s">
        <v>143</v>
      </c>
      <c r="E107" s="620" t="s">
        <v>149</v>
      </c>
      <c r="F107" s="621">
        <v>10</v>
      </c>
      <c r="G107" s="789">
        <v>0.1</v>
      </c>
      <c r="H107" s="790">
        <f t="shared" si="9"/>
        <v>5.6818181818181826E-4</v>
      </c>
      <c r="I107" s="169">
        <f t="shared" si="5"/>
        <v>2.3025850929940459</v>
      </c>
      <c r="J107" s="169">
        <f t="shared" si="6"/>
        <v>-2.3025850929940455</v>
      </c>
      <c r="K107" s="169">
        <f t="shared" si="7"/>
        <v>-7.4730690880321973</v>
      </c>
    </row>
    <row r="108" spans="1:11">
      <c r="A108" s="616">
        <f t="shared" si="8"/>
        <v>102</v>
      </c>
      <c r="B108" s="618">
        <v>25336</v>
      </c>
      <c r="C108" s="604">
        <v>0.78125</v>
      </c>
      <c r="D108" s="617" t="s">
        <v>143</v>
      </c>
      <c r="E108" s="620" t="s">
        <v>149</v>
      </c>
      <c r="F108" s="621">
        <v>10</v>
      </c>
      <c r="G108" s="789">
        <v>0.1</v>
      </c>
      <c r="H108" s="790">
        <f t="shared" si="9"/>
        <v>5.6818181818181826E-4</v>
      </c>
      <c r="I108" s="169">
        <f t="shared" si="5"/>
        <v>2.3025850929940459</v>
      </c>
      <c r="J108" s="169">
        <f t="shared" si="6"/>
        <v>-2.3025850929940455</v>
      </c>
      <c r="K108" s="169">
        <f t="shared" si="7"/>
        <v>-7.4730690880321973</v>
      </c>
    </row>
    <row r="109" spans="1:11">
      <c r="A109" s="616">
        <f t="shared" si="8"/>
        <v>103</v>
      </c>
      <c r="B109" s="618">
        <v>25337</v>
      </c>
      <c r="C109" s="604">
        <v>0.79861111111111116</v>
      </c>
      <c r="D109" s="617" t="s">
        <v>130</v>
      </c>
      <c r="E109" s="620" t="s">
        <v>149</v>
      </c>
      <c r="F109" s="621">
        <v>17</v>
      </c>
      <c r="G109" s="789">
        <v>0.1</v>
      </c>
      <c r="H109" s="790">
        <f t="shared" si="9"/>
        <v>9.6590909090909095E-4</v>
      </c>
      <c r="I109" s="169">
        <f t="shared" si="5"/>
        <v>2.8332133440562162</v>
      </c>
      <c r="J109" s="169">
        <f t="shared" si="6"/>
        <v>-2.3025850929940455</v>
      </c>
      <c r="K109" s="169">
        <f t="shared" si="7"/>
        <v>-6.942440836970027</v>
      </c>
    </row>
    <row r="110" spans="1:11">
      <c r="A110" s="616">
        <f t="shared" si="8"/>
        <v>104</v>
      </c>
      <c r="B110" s="618">
        <v>25338</v>
      </c>
      <c r="C110" s="604">
        <v>0.625</v>
      </c>
      <c r="D110" s="617" t="s">
        <v>145</v>
      </c>
      <c r="E110" s="620" t="s">
        <v>149</v>
      </c>
      <c r="F110" s="621">
        <v>33</v>
      </c>
      <c r="G110" s="789">
        <v>0.5</v>
      </c>
      <c r="H110" s="790">
        <f t="shared" si="9"/>
        <v>9.3749999999999997E-3</v>
      </c>
      <c r="I110" s="169">
        <f t="shared" si="5"/>
        <v>3.4965075614664802</v>
      </c>
      <c r="J110" s="169">
        <f t="shared" si="6"/>
        <v>-0.69314718055994529</v>
      </c>
      <c r="K110" s="169">
        <f t="shared" si="7"/>
        <v>-4.6697087071256629</v>
      </c>
    </row>
    <row r="111" spans="1:11">
      <c r="A111" s="616">
        <f t="shared" si="8"/>
        <v>105</v>
      </c>
      <c r="B111" s="618">
        <v>25339</v>
      </c>
      <c r="C111" s="604">
        <v>0.60416666666666663</v>
      </c>
      <c r="D111" s="617" t="s">
        <v>134</v>
      </c>
      <c r="E111" s="620" t="s">
        <v>149</v>
      </c>
      <c r="F111" s="621">
        <v>33</v>
      </c>
      <c r="G111" s="789">
        <v>1</v>
      </c>
      <c r="H111" s="790">
        <f t="shared" si="9"/>
        <v>1.8749999999999999E-2</v>
      </c>
      <c r="I111" s="169">
        <f t="shared" si="5"/>
        <v>3.4965075614664802</v>
      </c>
      <c r="J111" s="169">
        <f t="shared" si="6"/>
        <v>0</v>
      </c>
      <c r="K111" s="169">
        <f t="shared" si="7"/>
        <v>-3.9765615265657175</v>
      </c>
    </row>
    <row r="112" spans="1:11">
      <c r="A112" s="616">
        <f t="shared" si="8"/>
        <v>106</v>
      </c>
      <c r="B112" s="618">
        <v>25339</v>
      </c>
      <c r="C112" s="604">
        <v>0.61111111111111105</v>
      </c>
      <c r="D112" s="617" t="s">
        <v>142</v>
      </c>
      <c r="E112" s="620" t="s">
        <v>149</v>
      </c>
      <c r="F112" s="621">
        <v>33</v>
      </c>
      <c r="G112" s="789">
        <v>0.1</v>
      </c>
      <c r="H112" s="790">
        <f t="shared" si="9"/>
        <v>1.8749999999999999E-3</v>
      </c>
      <c r="I112" s="169">
        <f t="shared" si="5"/>
        <v>3.4965075614664802</v>
      </c>
      <c r="J112" s="169">
        <f t="shared" si="6"/>
        <v>-2.3025850929940455</v>
      </c>
      <c r="K112" s="169">
        <f t="shared" si="7"/>
        <v>-6.2791466195597634</v>
      </c>
    </row>
    <row r="113" spans="1:11">
      <c r="A113" s="616">
        <f t="shared" si="8"/>
        <v>107</v>
      </c>
      <c r="B113" s="618">
        <v>25364</v>
      </c>
      <c r="C113" s="604">
        <v>0.76249999999999996</v>
      </c>
      <c r="D113" s="617" t="s">
        <v>132</v>
      </c>
      <c r="E113" s="620" t="s">
        <v>149</v>
      </c>
      <c r="F113" s="621">
        <v>33</v>
      </c>
      <c r="G113" s="789">
        <v>0.1</v>
      </c>
      <c r="H113" s="790">
        <f t="shared" si="9"/>
        <v>1.8749999999999999E-3</v>
      </c>
      <c r="I113" s="169">
        <f t="shared" si="5"/>
        <v>3.4965075614664802</v>
      </c>
      <c r="J113" s="169">
        <f t="shared" si="6"/>
        <v>-2.3025850929940455</v>
      </c>
      <c r="K113" s="169">
        <f t="shared" si="7"/>
        <v>-6.2791466195597634</v>
      </c>
    </row>
    <row r="114" spans="1:11">
      <c r="A114" s="616">
        <f t="shared" si="8"/>
        <v>108</v>
      </c>
      <c r="B114" s="618">
        <v>25364</v>
      </c>
      <c r="C114" s="604">
        <v>0.79166666666666663</v>
      </c>
      <c r="D114" s="617" t="s">
        <v>128</v>
      </c>
      <c r="E114" s="620" t="s">
        <v>149</v>
      </c>
      <c r="F114" s="621">
        <v>10</v>
      </c>
      <c r="G114" s="789">
        <v>0.1</v>
      </c>
      <c r="H114" s="790">
        <f t="shared" si="9"/>
        <v>5.6818181818181826E-4</v>
      </c>
      <c r="I114" s="169">
        <f t="shared" si="5"/>
        <v>2.3025850929940459</v>
      </c>
      <c r="J114" s="169">
        <f t="shared" si="6"/>
        <v>-2.3025850929940455</v>
      </c>
      <c r="K114" s="169">
        <f t="shared" si="7"/>
        <v>-7.4730690880321973</v>
      </c>
    </row>
    <row r="115" spans="1:11">
      <c r="A115" s="616">
        <f t="shared" si="8"/>
        <v>109</v>
      </c>
      <c r="B115" s="618">
        <v>25364</v>
      </c>
      <c r="C115" s="604">
        <v>0.91180555555555554</v>
      </c>
      <c r="D115" s="617" t="s">
        <v>130</v>
      </c>
      <c r="E115" s="620" t="s">
        <v>149</v>
      </c>
      <c r="F115" s="621">
        <v>17</v>
      </c>
      <c r="G115" s="789">
        <v>0.1</v>
      </c>
      <c r="H115" s="790">
        <f t="shared" si="9"/>
        <v>9.6590909090909095E-4</v>
      </c>
      <c r="I115" s="169">
        <f t="shared" si="5"/>
        <v>2.8332133440562162</v>
      </c>
      <c r="J115" s="169">
        <f t="shared" si="6"/>
        <v>-2.3025850929940455</v>
      </c>
      <c r="K115" s="169">
        <f t="shared" si="7"/>
        <v>-6.942440836970027</v>
      </c>
    </row>
    <row r="116" spans="1:11">
      <c r="A116" s="616">
        <f t="shared" si="8"/>
        <v>110</v>
      </c>
      <c r="B116" s="618">
        <v>25377</v>
      </c>
      <c r="C116" s="604">
        <v>0.70486111111111116</v>
      </c>
      <c r="D116" s="617" t="s">
        <v>133</v>
      </c>
      <c r="E116" s="620" t="s">
        <v>149</v>
      </c>
      <c r="F116" s="621">
        <v>300</v>
      </c>
      <c r="G116" s="789">
        <v>1</v>
      </c>
      <c r="H116" s="790">
        <f t="shared" si="9"/>
        <v>0.17045454545454544</v>
      </c>
      <c r="I116" s="169">
        <f t="shared" si="5"/>
        <v>5.7037824746562009</v>
      </c>
      <c r="J116" s="169">
        <f t="shared" si="6"/>
        <v>0</v>
      </c>
      <c r="K116" s="169">
        <f t="shared" si="7"/>
        <v>-1.7692866133759966</v>
      </c>
    </row>
    <row r="117" spans="1:11">
      <c r="A117" s="616">
        <f t="shared" si="8"/>
        <v>111</v>
      </c>
      <c r="B117" s="618">
        <v>25719</v>
      </c>
      <c r="C117" s="604">
        <v>0.58819444444444446</v>
      </c>
      <c r="D117" s="617" t="s">
        <v>141</v>
      </c>
      <c r="E117" s="620" t="s">
        <v>149</v>
      </c>
      <c r="F117" s="621">
        <v>33</v>
      </c>
      <c r="G117" s="789">
        <v>5.0999999999999996</v>
      </c>
      <c r="H117" s="790">
        <f t="shared" si="9"/>
        <v>9.5624999999999988E-2</v>
      </c>
      <c r="I117" s="169">
        <f t="shared" si="5"/>
        <v>3.4965075614664802</v>
      </c>
      <c r="J117" s="169">
        <f t="shared" si="6"/>
        <v>1.62924053973028</v>
      </c>
      <c r="K117" s="169">
        <f t="shared" si="7"/>
        <v>-2.3473209868354372</v>
      </c>
    </row>
    <row r="118" spans="1:11">
      <c r="A118" s="616">
        <f t="shared" si="8"/>
        <v>112</v>
      </c>
      <c r="B118" s="618">
        <v>26045</v>
      </c>
      <c r="C118" s="604">
        <v>0.52083333333333337</v>
      </c>
      <c r="D118" s="617" t="s">
        <v>126</v>
      </c>
      <c r="E118" s="620" t="s">
        <v>149</v>
      </c>
      <c r="F118" s="621">
        <v>10</v>
      </c>
      <c r="G118" s="789">
        <v>0.1</v>
      </c>
      <c r="H118" s="790">
        <f t="shared" si="9"/>
        <v>5.6818181818181826E-4</v>
      </c>
      <c r="I118" s="169">
        <f t="shared" si="5"/>
        <v>2.3025850929940459</v>
      </c>
      <c r="J118" s="169">
        <f t="shared" si="6"/>
        <v>-2.3025850929940455</v>
      </c>
      <c r="K118" s="169">
        <f t="shared" si="7"/>
        <v>-7.4730690880321973</v>
      </c>
    </row>
    <row r="119" spans="1:11">
      <c r="A119" s="616">
        <f t="shared" si="8"/>
        <v>113</v>
      </c>
      <c r="B119" s="618">
        <v>26081</v>
      </c>
      <c r="C119" s="604">
        <v>0.76597222222222217</v>
      </c>
      <c r="D119" s="617" t="s">
        <v>126</v>
      </c>
      <c r="E119" s="620" t="s">
        <v>149</v>
      </c>
      <c r="F119" s="621">
        <v>10</v>
      </c>
      <c r="G119" s="789">
        <v>0.1</v>
      </c>
      <c r="H119" s="790">
        <f t="shared" si="9"/>
        <v>5.6818181818181826E-4</v>
      </c>
      <c r="I119" s="169">
        <f t="shared" si="5"/>
        <v>2.3025850929940459</v>
      </c>
      <c r="J119" s="169">
        <f t="shared" si="6"/>
        <v>-2.3025850929940455</v>
      </c>
      <c r="K119" s="169">
        <f t="shared" si="7"/>
        <v>-7.4730690880321973</v>
      </c>
    </row>
    <row r="120" spans="1:11">
      <c r="A120" s="616">
        <f t="shared" si="8"/>
        <v>114</v>
      </c>
      <c r="B120" s="618">
        <v>26093</v>
      </c>
      <c r="C120" s="604">
        <v>0.71250000000000002</v>
      </c>
      <c r="D120" s="617" t="s">
        <v>128</v>
      </c>
      <c r="E120" s="620" t="s">
        <v>149</v>
      </c>
      <c r="F120" s="621">
        <v>10</v>
      </c>
      <c r="G120" s="789">
        <v>0.1</v>
      </c>
      <c r="H120" s="790">
        <f t="shared" si="9"/>
        <v>5.6818181818181826E-4</v>
      </c>
      <c r="I120" s="169">
        <f t="shared" si="5"/>
        <v>2.3025850929940459</v>
      </c>
      <c r="J120" s="169">
        <f t="shared" si="6"/>
        <v>-2.3025850929940455</v>
      </c>
      <c r="K120" s="169">
        <f t="shared" si="7"/>
        <v>-7.4730690880321973</v>
      </c>
    </row>
    <row r="121" spans="1:11">
      <c r="A121" s="616">
        <f t="shared" si="8"/>
        <v>115</v>
      </c>
      <c r="B121" s="618">
        <v>26093</v>
      </c>
      <c r="C121" s="604">
        <v>0.89930555555555547</v>
      </c>
      <c r="D121" s="617" t="s">
        <v>127</v>
      </c>
      <c r="E121" s="620" t="s">
        <v>149</v>
      </c>
      <c r="F121" s="621">
        <v>10</v>
      </c>
      <c r="G121" s="789">
        <v>0.1</v>
      </c>
      <c r="H121" s="790">
        <f t="shared" si="9"/>
        <v>5.6818181818181826E-4</v>
      </c>
      <c r="I121" s="169">
        <f t="shared" si="5"/>
        <v>2.3025850929940459</v>
      </c>
      <c r="J121" s="169">
        <f t="shared" si="6"/>
        <v>-2.3025850929940455</v>
      </c>
      <c r="K121" s="169">
        <f t="shared" si="7"/>
        <v>-7.4730690880321973</v>
      </c>
    </row>
    <row r="122" spans="1:11">
      <c r="A122" s="616">
        <f t="shared" si="8"/>
        <v>116</v>
      </c>
      <c r="B122" s="618">
        <v>26519</v>
      </c>
      <c r="C122" s="604">
        <v>0.59375</v>
      </c>
      <c r="D122" s="617" t="s">
        <v>140</v>
      </c>
      <c r="E122" s="620" t="s">
        <v>149</v>
      </c>
      <c r="F122" s="621">
        <v>50</v>
      </c>
      <c r="G122" s="789">
        <v>2</v>
      </c>
      <c r="H122" s="790">
        <f t="shared" si="9"/>
        <v>5.6818181818181816E-2</v>
      </c>
      <c r="I122" s="169">
        <f t="shared" si="5"/>
        <v>3.912023005428146</v>
      </c>
      <c r="J122" s="169">
        <f t="shared" si="6"/>
        <v>0.69314718055994529</v>
      </c>
      <c r="K122" s="169">
        <f t="shared" si="7"/>
        <v>-2.8678989020441059</v>
      </c>
    </row>
    <row r="123" spans="1:11">
      <c r="A123" s="616">
        <f t="shared" si="8"/>
        <v>117</v>
      </c>
      <c r="B123" s="618">
        <v>26785</v>
      </c>
      <c r="C123" s="604">
        <v>0.375</v>
      </c>
      <c r="D123" s="617" t="s">
        <v>127</v>
      </c>
      <c r="E123" s="620" t="s">
        <v>149</v>
      </c>
      <c r="F123" s="621">
        <v>150</v>
      </c>
      <c r="G123" s="789">
        <v>1</v>
      </c>
      <c r="H123" s="790">
        <f t="shared" si="9"/>
        <v>8.5227272727272721E-2</v>
      </c>
      <c r="I123" s="169">
        <f t="shared" si="5"/>
        <v>5.0106352940962555</v>
      </c>
      <c r="J123" s="169">
        <f t="shared" si="6"/>
        <v>0</v>
      </c>
      <c r="K123" s="169">
        <f t="shared" si="7"/>
        <v>-2.4624337939359418</v>
      </c>
    </row>
    <row r="124" spans="1:11">
      <c r="A124" s="616">
        <f t="shared" si="8"/>
        <v>118</v>
      </c>
      <c r="B124" s="618">
        <v>27183</v>
      </c>
      <c r="C124" s="604">
        <v>0.77083333333333337</v>
      </c>
      <c r="D124" s="617" t="s">
        <v>135</v>
      </c>
      <c r="E124" s="620" t="s">
        <v>149</v>
      </c>
      <c r="F124" s="621">
        <v>30</v>
      </c>
      <c r="G124" s="789">
        <v>0.5</v>
      </c>
      <c r="H124" s="790">
        <f t="shared" si="9"/>
        <v>8.5227272727272721E-3</v>
      </c>
      <c r="I124" s="169">
        <f t="shared" si="5"/>
        <v>3.4011973816621555</v>
      </c>
      <c r="J124" s="169">
        <f t="shared" si="6"/>
        <v>-0.69314718055994529</v>
      </c>
      <c r="K124" s="169">
        <f t="shared" si="7"/>
        <v>-4.7650188869299877</v>
      </c>
    </row>
    <row r="125" spans="1:11">
      <c r="A125" s="616">
        <f t="shared" si="8"/>
        <v>119</v>
      </c>
      <c r="B125" s="618">
        <v>27191</v>
      </c>
      <c r="C125" s="604">
        <v>0.6069444444444444</v>
      </c>
      <c r="D125" s="617" t="s">
        <v>147</v>
      </c>
      <c r="E125" s="620" t="s">
        <v>149</v>
      </c>
      <c r="F125" s="621">
        <v>17</v>
      </c>
      <c r="G125" s="789">
        <v>0.5</v>
      </c>
      <c r="H125" s="790">
        <f t="shared" si="9"/>
        <v>4.8295454545454544E-3</v>
      </c>
      <c r="I125" s="169">
        <f t="shared" si="5"/>
        <v>2.8332133440562162</v>
      </c>
      <c r="J125" s="169">
        <f t="shared" si="6"/>
        <v>-0.69314718055994529</v>
      </c>
      <c r="K125" s="169">
        <f t="shared" si="7"/>
        <v>-5.3330029245359265</v>
      </c>
    </row>
    <row r="126" spans="1:11">
      <c r="A126" s="616">
        <f t="shared" si="8"/>
        <v>120</v>
      </c>
      <c r="B126" s="618">
        <v>27193</v>
      </c>
      <c r="C126" s="604">
        <v>0.66666666666666663</v>
      </c>
      <c r="D126" s="617" t="s">
        <v>139</v>
      </c>
      <c r="E126" s="620" t="s">
        <v>149</v>
      </c>
      <c r="F126" s="621">
        <v>10</v>
      </c>
      <c r="G126" s="789">
        <v>0.5</v>
      </c>
      <c r="H126" s="790">
        <f t="shared" si="9"/>
        <v>2.840909090909091E-3</v>
      </c>
      <c r="I126" s="169">
        <f t="shared" si="5"/>
        <v>2.3025850929940459</v>
      </c>
      <c r="J126" s="169">
        <f t="shared" si="6"/>
        <v>-0.69314718055994529</v>
      </c>
      <c r="K126" s="169">
        <f t="shared" si="7"/>
        <v>-5.8636311755980968</v>
      </c>
    </row>
    <row r="127" spans="1:11">
      <c r="A127" s="616">
        <f t="shared" si="8"/>
        <v>121</v>
      </c>
      <c r="B127" s="618">
        <v>27201</v>
      </c>
      <c r="C127" s="604">
        <v>0.74097222222222225</v>
      </c>
      <c r="D127" s="617" t="s">
        <v>130</v>
      </c>
      <c r="E127" s="620" t="s">
        <v>149</v>
      </c>
      <c r="F127" s="621">
        <v>20</v>
      </c>
      <c r="G127" s="789">
        <v>0.5</v>
      </c>
      <c r="H127" s="790">
        <f t="shared" si="9"/>
        <v>5.681818181818182E-3</v>
      </c>
      <c r="I127" s="169">
        <f t="shared" si="5"/>
        <v>2.9957322735539909</v>
      </c>
      <c r="J127" s="169">
        <f t="shared" si="6"/>
        <v>-0.69314718055994529</v>
      </c>
      <c r="K127" s="169">
        <f t="shared" si="7"/>
        <v>-5.1704839950381514</v>
      </c>
    </row>
    <row r="128" spans="1:11">
      <c r="A128" s="616">
        <f t="shared" si="8"/>
        <v>122</v>
      </c>
      <c r="B128" s="618">
        <v>27248</v>
      </c>
      <c r="C128" s="604">
        <v>0.78125</v>
      </c>
      <c r="D128" s="617" t="s">
        <v>146</v>
      </c>
      <c r="E128" s="620" t="s">
        <v>149</v>
      </c>
      <c r="F128" s="621">
        <v>20</v>
      </c>
      <c r="G128" s="789">
        <v>0.5</v>
      </c>
      <c r="H128" s="790">
        <f t="shared" si="9"/>
        <v>5.681818181818182E-3</v>
      </c>
      <c r="I128" s="169">
        <f t="shared" si="5"/>
        <v>2.9957322735539909</v>
      </c>
      <c r="J128" s="169">
        <f t="shared" si="6"/>
        <v>-0.69314718055994529</v>
      </c>
      <c r="K128" s="169">
        <f t="shared" si="7"/>
        <v>-5.1704839950381514</v>
      </c>
    </row>
    <row r="129" spans="1:11">
      <c r="A129" s="616">
        <f t="shared" si="8"/>
        <v>123</v>
      </c>
      <c r="B129" s="618">
        <v>27248</v>
      </c>
      <c r="C129" s="604">
        <v>0.88888888888888884</v>
      </c>
      <c r="D129" s="617" t="s">
        <v>141</v>
      </c>
      <c r="E129" s="620" t="s">
        <v>149</v>
      </c>
      <c r="F129" s="621">
        <v>17</v>
      </c>
      <c r="G129" s="789">
        <v>0.3</v>
      </c>
      <c r="H129" s="790">
        <f t="shared" si="9"/>
        <v>2.8977272727272727E-3</v>
      </c>
      <c r="I129" s="169">
        <f t="shared" si="5"/>
        <v>2.8332133440562162</v>
      </c>
      <c r="J129" s="169">
        <f t="shared" si="6"/>
        <v>-1.2039728043259361</v>
      </c>
      <c r="K129" s="169">
        <f t="shared" si="7"/>
        <v>-5.843828548301917</v>
      </c>
    </row>
    <row r="130" spans="1:11">
      <c r="A130" s="616">
        <f t="shared" si="8"/>
        <v>124</v>
      </c>
      <c r="B130" s="618">
        <v>27524</v>
      </c>
      <c r="C130" s="604">
        <v>0.80555555555555547</v>
      </c>
      <c r="D130" s="617" t="s">
        <v>139</v>
      </c>
      <c r="E130" s="620" t="s">
        <v>149</v>
      </c>
      <c r="F130" s="621">
        <v>30</v>
      </c>
      <c r="G130" s="789">
        <v>1</v>
      </c>
      <c r="H130" s="790">
        <f t="shared" si="9"/>
        <v>1.7045454545454544E-2</v>
      </c>
      <c r="I130" s="169">
        <f t="shared" si="5"/>
        <v>3.4011973816621555</v>
      </c>
      <c r="J130" s="169">
        <f t="shared" si="6"/>
        <v>0</v>
      </c>
      <c r="K130" s="169">
        <f t="shared" si="7"/>
        <v>-4.0718717063700423</v>
      </c>
    </row>
    <row r="131" spans="1:11">
      <c r="A131" s="616">
        <f t="shared" si="8"/>
        <v>125</v>
      </c>
      <c r="B131" s="618">
        <v>27526</v>
      </c>
      <c r="C131" s="604">
        <v>0.72222222222222221</v>
      </c>
      <c r="D131" s="617" t="s">
        <v>134</v>
      </c>
      <c r="E131" s="620" t="s">
        <v>149</v>
      </c>
      <c r="F131" s="621">
        <v>60</v>
      </c>
      <c r="G131" s="789">
        <v>3.6</v>
      </c>
      <c r="H131" s="790">
        <f t="shared" si="9"/>
        <v>0.12272727272727273</v>
      </c>
      <c r="I131" s="169">
        <f t="shared" si="5"/>
        <v>4.0943445622221004</v>
      </c>
      <c r="J131" s="169">
        <f t="shared" si="6"/>
        <v>1.2809338454620642</v>
      </c>
      <c r="K131" s="169">
        <f t="shared" si="7"/>
        <v>-2.0977906803480324</v>
      </c>
    </row>
    <row r="132" spans="1:11">
      <c r="A132" s="616">
        <f t="shared" si="8"/>
        <v>126</v>
      </c>
      <c r="B132" s="618">
        <v>27526</v>
      </c>
      <c r="C132" s="604">
        <v>0.97916666666666663</v>
      </c>
      <c r="D132" s="617" t="s">
        <v>141</v>
      </c>
      <c r="E132" s="620" t="s">
        <v>149</v>
      </c>
      <c r="F132" s="621">
        <v>30</v>
      </c>
      <c r="G132" s="789">
        <v>1</v>
      </c>
      <c r="H132" s="790">
        <f t="shared" si="9"/>
        <v>1.7045454545454544E-2</v>
      </c>
      <c r="I132" s="169">
        <f t="shared" si="5"/>
        <v>3.4011973816621555</v>
      </c>
      <c r="J132" s="169">
        <f t="shared" si="6"/>
        <v>0</v>
      </c>
      <c r="K132" s="169">
        <f t="shared" si="7"/>
        <v>-4.0718717063700423</v>
      </c>
    </row>
    <row r="133" spans="1:11">
      <c r="A133" s="616">
        <f t="shared" si="8"/>
        <v>127</v>
      </c>
      <c r="B133" s="618">
        <v>27526</v>
      </c>
      <c r="C133" s="604">
        <v>0.99791666666666667</v>
      </c>
      <c r="D133" s="617" t="s">
        <v>142</v>
      </c>
      <c r="E133" s="620" t="s">
        <v>149</v>
      </c>
      <c r="F133" s="621">
        <v>30</v>
      </c>
      <c r="G133" s="789">
        <v>0.5</v>
      </c>
      <c r="H133" s="790">
        <f t="shared" si="9"/>
        <v>8.5227272727272721E-3</v>
      </c>
      <c r="I133" s="169">
        <f t="shared" si="5"/>
        <v>3.4011973816621555</v>
      </c>
      <c r="J133" s="169">
        <f t="shared" si="6"/>
        <v>-0.69314718055994529</v>
      </c>
      <c r="K133" s="169">
        <f t="shared" si="7"/>
        <v>-4.7650188869299877</v>
      </c>
    </row>
    <row r="134" spans="1:11">
      <c r="A134" s="616">
        <f t="shared" si="8"/>
        <v>128</v>
      </c>
      <c r="B134" s="618">
        <v>27536</v>
      </c>
      <c r="C134" s="604">
        <v>0.82291666666666663</v>
      </c>
      <c r="D134" s="617" t="s">
        <v>136</v>
      </c>
      <c r="E134" s="620" t="s">
        <v>149</v>
      </c>
      <c r="F134" s="621">
        <v>40</v>
      </c>
      <c r="G134" s="789">
        <v>2</v>
      </c>
      <c r="H134" s="790">
        <f t="shared" si="9"/>
        <v>4.5454545454545456E-2</v>
      </c>
      <c r="I134" s="169">
        <f t="shared" si="5"/>
        <v>3.6888794541139363</v>
      </c>
      <c r="J134" s="169">
        <f t="shared" si="6"/>
        <v>0.69314718055994529</v>
      </c>
      <c r="K134" s="169">
        <f t="shared" si="7"/>
        <v>-3.0910424533583156</v>
      </c>
    </row>
    <row r="135" spans="1:11">
      <c r="A135" s="616">
        <f t="shared" si="8"/>
        <v>129</v>
      </c>
      <c r="B135" s="618">
        <v>27542</v>
      </c>
      <c r="C135" s="604">
        <v>0.73472222222222217</v>
      </c>
      <c r="D135" s="617" t="s">
        <v>146</v>
      </c>
      <c r="E135" s="620" t="s">
        <v>149</v>
      </c>
      <c r="F135" s="621">
        <v>50</v>
      </c>
      <c r="G135" s="789">
        <v>3</v>
      </c>
      <c r="H135" s="790">
        <f t="shared" si="9"/>
        <v>8.5227272727272721E-2</v>
      </c>
      <c r="I135" s="169">
        <f t="shared" si="5"/>
        <v>3.912023005428146</v>
      </c>
      <c r="J135" s="169">
        <f t="shared" si="6"/>
        <v>1.0986122886681098</v>
      </c>
      <c r="K135" s="169">
        <f t="shared" si="7"/>
        <v>-2.4624337939359418</v>
      </c>
    </row>
    <row r="136" spans="1:11">
      <c r="A136" s="616">
        <f t="shared" si="8"/>
        <v>130</v>
      </c>
      <c r="B136" s="618">
        <v>27542</v>
      </c>
      <c r="C136" s="604">
        <v>0.79027777777777775</v>
      </c>
      <c r="D136" s="617" t="s">
        <v>131</v>
      </c>
      <c r="E136" s="620" t="s">
        <v>149</v>
      </c>
      <c r="F136" s="621">
        <v>30</v>
      </c>
      <c r="G136" s="789">
        <v>0.5</v>
      </c>
      <c r="H136" s="790">
        <f t="shared" si="9"/>
        <v>8.5227272727272721E-3</v>
      </c>
      <c r="I136" s="169">
        <f t="shared" ref="I136:I199" si="10">LN(F136)</f>
        <v>3.4011973816621555</v>
      </c>
      <c r="J136" s="169">
        <f t="shared" ref="J136:J199" si="11">LN(G136)</f>
        <v>-0.69314718055994529</v>
      </c>
      <c r="K136" s="169">
        <f t="shared" ref="K136:K199" si="12">LN(H136)</f>
        <v>-4.7650188869299877</v>
      </c>
    </row>
    <row r="137" spans="1:11">
      <c r="A137" s="616">
        <f t="shared" ref="A137:A200" si="13">+A136+1</f>
        <v>131</v>
      </c>
      <c r="B137" s="618">
        <v>27542</v>
      </c>
      <c r="C137" s="604">
        <v>0.80902777777777779</v>
      </c>
      <c r="D137" s="617" t="s">
        <v>136</v>
      </c>
      <c r="E137" s="620" t="s">
        <v>149</v>
      </c>
      <c r="F137" s="621">
        <v>40</v>
      </c>
      <c r="G137" s="789">
        <v>1</v>
      </c>
      <c r="H137" s="790">
        <f t="shared" ref="H137:H200" si="14">+(F137/1760)*G137</f>
        <v>2.2727272727272728E-2</v>
      </c>
      <c r="I137" s="169">
        <f t="shared" si="10"/>
        <v>3.6888794541139363</v>
      </c>
      <c r="J137" s="169">
        <f t="shared" si="11"/>
        <v>0</v>
      </c>
      <c r="K137" s="169">
        <f t="shared" si="12"/>
        <v>-3.784189633918261</v>
      </c>
    </row>
    <row r="138" spans="1:11">
      <c r="A138" s="616">
        <f t="shared" si="13"/>
        <v>132</v>
      </c>
      <c r="B138" s="618">
        <v>27571</v>
      </c>
      <c r="C138" s="604">
        <v>0.69791666666666663</v>
      </c>
      <c r="D138" s="617" t="s">
        <v>131</v>
      </c>
      <c r="E138" s="620" t="s">
        <v>149</v>
      </c>
      <c r="F138" s="621">
        <v>60</v>
      </c>
      <c r="G138" s="789">
        <v>1.9</v>
      </c>
      <c r="H138" s="790">
        <f t="shared" si="14"/>
        <v>6.477272727272726E-2</v>
      </c>
      <c r="I138" s="169">
        <f t="shared" si="10"/>
        <v>4.0943445622221004</v>
      </c>
      <c r="J138" s="169">
        <f t="shared" si="11"/>
        <v>0.64185388617239469</v>
      </c>
      <c r="K138" s="169">
        <f t="shared" si="12"/>
        <v>-2.7368706396377021</v>
      </c>
    </row>
    <row r="139" spans="1:11">
      <c r="A139" s="616">
        <f t="shared" si="13"/>
        <v>133</v>
      </c>
      <c r="B139" s="618">
        <v>27584</v>
      </c>
      <c r="C139" s="604">
        <v>0.85069444444444453</v>
      </c>
      <c r="D139" s="617" t="s">
        <v>136</v>
      </c>
      <c r="E139" s="620" t="s">
        <v>149</v>
      </c>
      <c r="F139" s="621">
        <v>10</v>
      </c>
      <c r="G139" s="789">
        <v>0.1</v>
      </c>
      <c r="H139" s="790">
        <f t="shared" si="14"/>
        <v>5.6818181818181826E-4</v>
      </c>
      <c r="I139" s="169">
        <f t="shared" si="10"/>
        <v>2.3025850929940459</v>
      </c>
      <c r="J139" s="169">
        <f t="shared" si="11"/>
        <v>-2.3025850929940455</v>
      </c>
      <c r="K139" s="169">
        <f t="shared" si="12"/>
        <v>-7.4730690880321973</v>
      </c>
    </row>
    <row r="140" spans="1:11">
      <c r="A140" s="616">
        <f t="shared" si="13"/>
        <v>134</v>
      </c>
      <c r="B140" s="618">
        <v>27857</v>
      </c>
      <c r="C140" s="604">
        <v>0.6875</v>
      </c>
      <c r="D140" s="617" t="s">
        <v>147</v>
      </c>
      <c r="E140" s="620" t="s">
        <v>149</v>
      </c>
      <c r="F140" s="621">
        <v>10</v>
      </c>
      <c r="G140" s="789">
        <v>0.1</v>
      </c>
      <c r="H140" s="790">
        <f t="shared" si="14"/>
        <v>5.6818181818181826E-4</v>
      </c>
      <c r="I140" s="169">
        <f t="shared" si="10"/>
        <v>2.3025850929940459</v>
      </c>
      <c r="J140" s="169">
        <f t="shared" si="11"/>
        <v>-2.3025850929940455</v>
      </c>
      <c r="K140" s="169">
        <f t="shared" si="12"/>
        <v>-7.4730690880321973</v>
      </c>
    </row>
    <row r="141" spans="1:11">
      <c r="A141" s="616">
        <f t="shared" si="13"/>
        <v>135</v>
      </c>
      <c r="B141" s="618">
        <v>27857</v>
      </c>
      <c r="C141" s="604">
        <v>0.69097222222222221</v>
      </c>
      <c r="D141" s="617" t="s">
        <v>147</v>
      </c>
      <c r="E141" s="620" t="s">
        <v>149</v>
      </c>
      <c r="F141" s="621">
        <v>10</v>
      </c>
      <c r="G141" s="789">
        <v>0.1</v>
      </c>
      <c r="H141" s="790">
        <f t="shared" si="14"/>
        <v>5.6818181818181826E-4</v>
      </c>
      <c r="I141" s="169">
        <f t="shared" si="10"/>
        <v>2.3025850929940459</v>
      </c>
      <c r="J141" s="169">
        <f t="shared" si="11"/>
        <v>-2.3025850929940455</v>
      </c>
      <c r="K141" s="169">
        <f t="shared" si="12"/>
        <v>-7.4730690880321973</v>
      </c>
    </row>
    <row r="142" spans="1:11">
      <c r="A142" s="616">
        <f t="shared" si="13"/>
        <v>136</v>
      </c>
      <c r="B142" s="618">
        <v>27857</v>
      </c>
      <c r="C142" s="604">
        <v>0.74305555555555547</v>
      </c>
      <c r="D142" s="617" t="s">
        <v>148</v>
      </c>
      <c r="E142" s="620" t="s">
        <v>149</v>
      </c>
      <c r="F142" s="621">
        <v>10</v>
      </c>
      <c r="G142" s="789">
        <v>0.1</v>
      </c>
      <c r="H142" s="790">
        <f t="shared" si="14"/>
        <v>5.6818181818181826E-4</v>
      </c>
      <c r="I142" s="169">
        <f t="shared" si="10"/>
        <v>2.3025850929940459</v>
      </c>
      <c r="J142" s="169">
        <f t="shared" si="11"/>
        <v>-2.3025850929940455</v>
      </c>
      <c r="K142" s="169">
        <f t="shared" si="12"/>
        <v>-7.4730690880321973</v>
      </c>
    </row>
    <row r="143" spans="1:11">
      <c r="A143" s="616">
        <f t="shared" si="13"/>
        <v>137</v>
      </c>
      <c r="B143" s="618">
        <v>27865</v>
      </c>
      <c r="C143" s="604">
        <v>0.60416666666666663</v>
      </c>
      <c r="D143" s="617" t="s">
        <v>131</v>
      </c>
      <c r="E143" s="620" t="s">
        <v>149</v>
      </c>
      <c r="F143" s="621">
        <v>10</v>
      </c>
      <c r="G143" s="789">
        <v>0.1</v>
      </c>
      <c r="H143" s="790">
        <f t="shared" si="14"/>
        <v>5.6818181818181826E-4</v>
      </c>
      <c r="I143" s="169">
        <f t="shared" si="10"/>
        <v>2.3025850929940459</v>
      </c>
      <c r="J143" s="169">
        <f t="shared" si="11"/>
        <v>-2.3025850929940455</v>
      </c>
      <c r="K143" s="169">
        <f t="shared" si="12"/>
        <v>-7.4730690880321973</v>
      </c>
    </row>
    <row r="144" spans="1:11">
      <c r="A144" s="616">
        <f t="shared" si="13"/>
        <v>138</v>
      </c>
      <c r="B144" s="618">
        <v>27865</v>
      </c>
      <c r="C144" s="604">
        <v>0.60416666666666663</v>
      </c>
      <c r="D144" s="617" t="s">
        <v>131</v>
      </c>
      <c r="E144" s="620" t="s">
        <v>149</v>
      </c>
      <c r="F144" s="621">
        <v>10</v>
      </c>
      <c r="G144" s="789">
        <v>0.1</v>
      </c>
      <c r="H144" s="790">
        <f t="shared" si="14"/>
        <v>5.6818181818181826E-4</v>
      </c>
      <c r="I144" s="169">
        <f t="shared" si="10"/>
        <v>2.3025850929940459</v>
      </c>
      <c r="J144" s="169">
        <f t="shared" si="11"/>
        <v>-2.3025850929940455</v>
      </c>
      <c r="K144" s="169">
        <f t="shared" si="12"/>
        <v>-7.4730690880321973</v>
      </c>
    </row>
    <row r="145" spans="1:11">
      <c r="A145" s="616">
        <f t="shared" si="13"/>
        <v>139</v>
      </c>
      <c r="B145" s="618">
        <v>27865</v>
      </c>
      <c r="C145" s="604">
        <v>0.61597222222222225</v>
      </c>
      <c r="D145" s="617" t="s">
        <v>131</v>
      </c>
      <c r="E145" s="620" t="s">
        <v>149</v>
      </c>
      <c r="F145" s="621">
        <v>10</v>
      </c>
      <c r="G145" s="789">
        <v>0.1</v>
      </c>
      <c r="H145" s="790">
        <f t="shared" si="14"/>
        <v>5.6818181818181826E-4</v>
      </c>
      <c r="I145" s="169">
        <f t="shared" si="10"/>
        <v>2.3025850929940459</v>
      </c>
      <c r="J145" s="169">
        <f t="shared" si="11"/>
        <v>-2.3025850929940455</v>
      </c>
      <c r="K145" s="169">
        <f t="shared" si="12"/>
        <v>-7.4730690880321973</v>
      </c>
    </row>
    <row r="146" spans="1:11">
      <c r="A146" s="616">
        <f t="shared" si="13"/>
        <v>140</v>
      </c>
      <c r="B146" s="618">
        <v>27869</v>
      </c>
      <c r="C146" s="604">
        <v>0.62152777777777779</v>
      </c>
      <c r="D146" s="617" t="s">
        <v>135</v>
      </c>
      <c r="E146" s="620" t="s">
        <v>149</v>
      </c>
      <c r="F146" s="621">
        <v>10</v>
      </c>
      <c r="G146" s="789">
        <v>0.1</v>
      </c>
      <c r="H146" s="790">
        <f t="shared" si="14"/>
        <v>5.6818181818181826E-4</v>
      </c>
      <c r="I146" s="169">
        <f t="shared" si="10"/>
        <v>2.3025850929940459</v>
      </c>
      <c r="J146" s="169">
        <f t="shared" si="11"/>
        <v>-2.3025850929940455</v>
      </c>
      <c r="K146" s="169">
        <f t="shared" si="12"/>
        <v>-7.4730690880321973</v>
      </c>
    </row>
    <row r="147" spans="1:11">
      <c r="A147" s="616">
        <f t="shared" si="13"/>
        <v>141</v>
      </c>
      <c r="B147" s="618">
        <v>27877</v>
      </c>
      <c r="C147" s="604">
        <v>0.79166666666666663</v>
      </c>
      <c r="D147" s="617" t="s">
        <v>135</v>
      </c>
      <c r="E147" s="620" t="s">
        <v>149</v>
      </c>
      <c r="F147" s="621">
        <v>10</v>
      </c>
      <c r="G147" s="789">
        <v>0.1</v>
      </c>
      <c r="H147" s="790">
        <f t="shared" si="14"/>
        <v>5.6818181818181826E-4</v>
      </c>
      <c r="I147" s="169">
        <f t="shared" si="10"/>
        <v>2.3025850929940459</v>
      </c>
      <c r="J147" s="169">
        <f t="shared" si="11"/>
        <v>-2.3025850929940455</v>
      </c>
      <c r="K147" s="169">
        <f t="shared" si="12"/>
        <v>-7.4730690880321973</v>
      </c>
    </row>
    <row r="148" spans="1:11">
      <c r="A148" s="616">
        <f t="shared" si="13"/>
        <v>142</v>
      </c>
      <c r="B148" s="618">
        <v>27932</v>
      </c>
      <c r="C148" s="604">
        <v>0.76249999999999996</v>
      </c>
      <c r="D148" s="617" t="s">
        <v>145</v>
      </c>
      <c r="E148" s="620" t="s">
        <v>149</v>
      </c>
      <c r="F148" s="621">
        <v>10</v>
      </c>
      <c r="G148" s="789">
        <v>0.3</v>
      </c>
      <c r="H148" s="790">
        <f t="shared" si="14"/>
        <v>1.7045454545454545E-3</v>
      </c>
      <c r="I148" s="169">
        <f t="shared" si="10"/>
        <v>2.3025850929940459</v>
      </c>
      <c r="J148" s="169">
        <f t="shared" si="11"/>
        <v>-1.2039728043259361</v>
      </c>
      <c r="K148" s="169">
        <f t="shared" si="12"/>
        <v>-6.3744567993640882</v>
      </c>
    </row>
    <row r="149" spans="1:11">
      <c r="A149" s="616">
        <f t="shared" si="13"/>
        <v>143</v>
      </c>
      <c r="B149" s="618">
        <v>28234</v>
      </c>
      <c r="C149" s="604">
        <v>0.64583333333333337</v>
      </c>
      <c r="D149" s="617" t="s">
        <v>147</v>
      </c>
      <c r="E149" s="620" t="s">
        <v>149</v>
      </c>
      <c r="F149" s="621">
        <v>10</v>
      </c>
      <c r="G149" s="789">
        <v>0.1</v>
      </c>
      <c r="H149" s="790">
        <f t="shared" si="14"/>
        <v>5.6818181818181826E-4</v>
      </c>
      <c r="I149" s="169">
        <f t="shared" si="10"/>
        <v>2.3025850929940459</v>
      </c>
      <c r="J149" s="169">
        <f t="shared" si="11"/>
        <v>-2.3025850929940455</v>
      </c>
      <c r="K149" s="169">
        <f t="shared" si="12"/>
        <v>-7.4730690880321973</v>
      </c>
    </row>
    <row r="150" spans="1:11">
      <c r="A150" s="616">
        <f t="shared" si="13"/>
        <v>144</v>
      </c>
      <c r="B150" s="618">
        <v>28262</v>
      </c>
      <c r="C150" s="604">
        <v>0.77083333333333337</v>
      </c>
      <c r="D150" s="617" t="s">
        <v>146</v>
      </c>
      <c r="E150" s="620" t="s">
        <v>149</v>
      </c>
      <c r="F150" s="621">
        <v>20</v>
      </c>
      <c r="G150" s="789">
        <v>0.2</v>
      </c>
      <c r="H150" s="790">
        <f t="shared" si="14"/>
        <v>2.2727272727272731E-3</v>
      </c>
      <c r="I150" s="169">
        <f t="shared" si="10"/>
        <v>2.9957322735539909</v>
      </c>
      <c r="J150" s="169">
        <f t="shared" si="11"/>
        <v>-1.6094379124341003</v>
      </c>
      <c r="K150" s="169">
        <f t="shared" si="12"/>
        <v>-6.0867747269123065</v>
      </c>
    </row>
    <row r="151" spans="1:11">
      <c r="A151" s="616">
        <f t="shared" si="13"/>
        <v>145</v>
      </c>
      <c r="B151" s="618">
        <v>28262</v>
      </c>
      <c r="C151" s="604">
        <v>0.92361111111111116</v>
      </c>
      <c r="D151" s="617" t="s">
        <v>142</v>
      </c>
      <c r="E151" s="620" t="s">
        <v>149</v>
      </c>
      <c r="F151" s="621">
        <v>20</v>
      </c>
      <c r="G151" s="789">
        <v>0.5</v>
      </c>
      <c r="H151" s="790">
        <f t="shared" si="14"/>
        <v>5.681818181818182E-3</v>
      </c>
      <c r="I151" s="169">
        <f t="shared" si="10"/>
        <v>2.9957322735539909</v>
      </c>
      <c r="J151" s="169">
        <f t="shared" si="11"/>
        <v>-0.69314718055994529</v>
      </c>
      <c r="K151" s="169">
        <f t="shared" si="12"/>
        <v>-5.1704839950381514</v>
      </c>
    </row>
    <row r="152" spans="1:11">
      <c r="A152" s="616">
        <f t="shared" si="13"/>
        <v>146</v>
      </c>
      <c r="B152" s="618">
        <v>28265</v>
      </c>
      <c r="C152" s="604">
        <v>0.71805555555555556</v>
      </c>
      <c r="D152" s="617" t="s">
        <v>143</v>
      </c>
      <c r="E152" s="620" t="s">
        <v>149</v>
      </c>
      <c r="F152" s="621">
        <v>20</v>
      </c>
      <c r="G152" s="789">
        <v>1</v>
      </c>
      <c r="H152" s="790">
        <f t="shared" si="14"/>
        <v>1.1363636363636364E-2</v>
      </c>
      <c r="I152" s="169">
        <f t="shared" si="10"/>
        <v>2.9957322735539909</v>
      </c>
      <c r="J152" s="169">
        <f t="shared" si="11"/>
        <v>0</v>
      </c>
      <c r="K152" s="169">
        <f t="shared" si="12"/>
        <v>-4.4773368144782069</v>
      </c>
    </row>
    <row r="153" spans="1:11">
      <c r="A153" s="616">
        <f t="shared" si="13"/>
        <v>147</v>
      </c>
      <c r="B153" s="618">
        <v>28270</v>
      </c>
      <c r="C153" s="604">
        <v>0.71944444444444444</v>
      </c>
      <c r="D153" s="617" t="s">
        <v>131</v>
      </c>
      <c r="E153" s="620" t="s">
        <v>149</v>
      </c>
      <c r="F153" s="621">
        <v>20</v>
      </c>
      <c r="G153" s="789">
        <v>1</v>
      </c>
      <c r="H153" s="790">
        <f t="shared" si="14"/>
        <v>1.1363636363636364E-2</v>
      </c>
      <c r="I153" s="169">
        <f t="shared" si="10"/>
        <v>2.9957322735539909</v>
      </c>
      <c r="J153" s="169">
        <f t="shared" si="11"/>
        <v>0</v>
      </c>
      <c r="K153" s="169">
        <f t="shared" si="12"/>
        <v>-4.4773368144782069</v>
      </c>
    </row>
    <row r="154" spans="1:11">
      <c r="A154" s="616">
        <f t="shared" si="13"/>
        <v>148</v>
      </c>
      <c r="B154" s="618">
        <v>28295</v>
      </c>
      <c r="C154" s="604">
        <v>0.87152777777777779</v>
      </c>
      <c r="D154" s="617" t="s">
        <v>130</v>
      </c>
      <c r="E154" s="620" t="s">
        <v>149</v>
      </c>
      <c r="F154" s="621">
        <v>30</v>
      </c>
      <c r="G154" s="789">
        <v>0.5</v>
      </c>
      <c r="H154" s="790">
        <f t="shared" si="14"/>
        <v>8.5227272727272721E-3</v>
      </c>
      <c r="I154" s="169">
        <f t="shared" si="10"/>
        <v>3.4011973816621555</v>
      </c>
      <c r="J154" s="169">
        <f t="shared" si="11"/>
        <v>-0.69314718055994529</v>
      </c>
      <c r="K154" s="169">
        <f t="shared" si="12"/>
        <v>-4.7650188869299877</v>
      </c>
    </row>
    <row r="155" spans="1:11">
      <c r="A155" s="616">
        <f t="shared" si="13"/>
        <v>149</v>
      </c>
      <c r="B155" s="618">
        <v>28339</v>
      </c>
      <c r="C155" s="604">
        <v>0.6875</v>
      </c>
      <c r="D155" s="617" t="s">
        <v>131</v>
      </c>
      <c r="E155" s="620" t="s">
        <v>149</v>
      </c>
      <c r="F155" s="621">
        <v>30</v>
      </c>
      <c r="G155" s="789">
        <v>0.5</v>
      </c>
      <c r="H155" s="790">
        <f t="shared" si="14"/>
        <v>8.5227272727272721E-3</v>
      </c>
      <c r="I155" s="169">
        <f t="shared" si="10"/>
        <v>3.4011973816621555</v>
      </c>
      <c r="J155" s="169">
        <f t="shared" si="11"/>
        <v>-0.69314718055994529</v>
      </c>
      <c r="K155" s="169">
        <f t="shared" si="12"/>
        <v>-4.7650188869299877</v>
      </c>
    </row>
    <row r="156" spans="1:11">
      <c r="A156" s="616">
        <f t="shared" si="13"/>
        <v>150</v>
      </c>
      <c r="B156" s="618">
        <v>28613</v>
      </c>
      <c r="C156" s="604">
        <v>0.6875</v>
      </c>
      <c r="D156" s="617" t="s">
        <v>133</v>
      </c>
      <c r="E156" s="620" t="s">
        <v>149</v>
      </c>
      <c r="F156" s="621">
        <v>400</v>
      </c>
      <c r="G156" s="789">
        <v>6.5</v>
      </c>
      <c r="H156" s="790">
        <f t="shared" si="14"/>
        <v>1.4772727272727273</v>
      </c>
      <c r="I156" s="169">
        <f t="shared" si="10"/>
        <v>5.9914645471079817</v>
      </c>
      <c r="J156" s="169">
        <f t="shared" si="11"/>
        <v>1.8718021769015913</v>
      </c>
      <c r="K156" s="169">
        <f t="shared" si="12"/>
        <v>0.39019763597737595</v>
      </c>
    </row>
    <row r="157" spans="1:11">
      <c r="A157" s="616">
        <f t="shared" si="13"/>
        <v>151</v>
      </c>
      <c r="B157" s="618">
        <v>28614</v>
      </c>
      <c r="C157" s="604">
        <v>0.70138888888888884</v>
      </c>
      <c r="D157" s="617" t="s">
        <v>130</v>
      </c>
      <c r="E157" s="620" t="s">
        <v>149</v>
      </c>
      <c r="F157" s="621">
        <v>60</v>
      </c>
      <c r="G157" s="789">
        <v>11.3</v>
      </c>
      <c r="H157" s="790">
        <f t="shared" si="14"/>
        <v>0.3852272727272727</v>
      </c>
      <c r="I157" s="169">
        <f t="shared" si="10"/>
        <v>4.0943445622221004</v>
      </c>
      <c r="J157" s="169">
        <f t="shared" si="11"/>
        <v>2.4248027257182949</v>
      </c>
      <c r="K157" s="169">
        <f t="shared" si="12"/>
        <v>-0.95392180009180194</v>
      </c>
    </row>
    <row r="158" spans="1:11">
      <c r="A158" s="616">
        <f t="shared" si="13"/>
        <v>152</v>
      </c>
      <c r="B158" s="618">
        <v>28615</v>
      </c>
      <c r="C158" s="604">
        <v>0.73958333333333337</v>
      </c>
      <c r="D158" s="617" t="s">
        <v>129</v>
      </c>
      <c r="E158" s="620" t="s">
        <v>149</v>
      </c>
      <c r="F158" s="621">
        <v>30</v>
      </c>
      <c r="G158" s="789">
        <v>4.5</v>
      </c>
      <c r="H158" s="790">
        <f t="shared" si="14"/>
        <v>7.6704545454545442E-2</v>
      </c>
      <c r="I158" s="169">
        <f t="shared" si="10"/>
        <v>3.4011973816621555</v>
      </c>
      <c r="J158" s="169">
        <f t="shared" si="11"/>
        <v>1.5040773967762742</v>
      </c>
      <c r="K158" s="169">
        <f t="shared" si="12"/>
        <v>-2.5677943095937681</v>
      </c>
    </row>
    <row r="159" spans="1:11">
      <c r="A159" s="616">
        <f t="shared" si="13"/>
        <v>153</v>
      </c>
      <c r="B159" s="618">
        <v>28615</v>
      </c>
      <c r="C159" s="604">
        <v>0.77083333333333337</v>
      </c>
      <c r="D159" s="617" t="s">
        <v>129</v>
      </c>
      <c r="E159" s="620" t="s">
        <v>149</v>
      </c>
      <c r="F159" s="621">
        <v>30</v>
      </c>
      <c r="G159" s="789">
        <v>2</v>
      </c>
      <c r="H159" s="790">
        <f t="shared" si="14"/>
        <v>3.4090909090909088E-2</v>
      </c>
      <c r="I159" s="169">
        <f t="shared" si="10"/>
        <v>3.4011973816621555</v>
      </c>
      <c r="J159" s="169">
        <f t="shared" si="11"/>
        <v>0.69314718055994529</v>
      </c>
      <c r="K159" s="169">
        <f t="shared" si="12"/>
        <v>-3.3787245258100969</v>
      </c>
    </row>
    <row r="160" spans="1:11">
      <c r="A160" s="616">
        <f t="shared" si="13"/>
        <v>154</v>
      </c>
      <c r="B160" s="618">
        <v>28630</v>
      </c>
      <c r="C160" s="604">
        <v>0.96597222222222223</v>
      </c>
      <c r="D160" s="617" t="s">
        <v>143</v>
      </c>
      <c r="E160" s="620" t="s">
        <v>149</v>
      </c>
      <c r="F160" s="621">
        <v>30</v>
      </c>
      <c r="G160" s="789">
        <v>2</v>
      </c>
      <c r="H160" s="790">
        <f t="shared" si="14"/>
        <v>3.4090909090909088E-2</v>
      </c>
      <c r="I160" s="169">
        <f t="shared" si="10"/>
        <v>3.4011973816621555</v>
      </c>
      <c r="J160" s="169">
        <f t="shared" si="11"/>
        <v>0.69314718055994529</v>
      </c>
      <c r="K160" s="169">
        <f t="shared" si="12"/>
        <v>-3.3787245258100969</v>
      </c>
    </row>
    <row r="161" spans="1:11">
      <c r="A161" s="616">
        <f t="shared" si="13"/>
        <v>155</v>
      </c>
      <c r="B161" s="618">
        <v>28635</v>
      </c>
      <c r="C161" s="604">
        <v>0.76736111111111116</v>
      </c>
      <c r="D161" s="617" t="s">
        <v>144</v>
      </c>
      <c r="E161" s="620" t="s">
        <v>149</v>
      </c>
      <c r="F161" s="621">
        <v>60</v>
      </c>
      <c r="G161" s="789">
        <v>6.1</v>
      </c>
      <c r="H161" s="790">
        <f t="shared" si="14"/>
        <v>0.20795454545454542</v>
      </c>
      <c r="I161" s="169">
        <f t="shared" si="10"/>
        <v>4.0943445622221004</v>
      </c>
      <c r="J161" s="169">
        <f t="shared" si="11"/>
        <v>1.8082887711792655</v>
      </c>
      <c r="K161" s="169">
        <f t="shared" si="12"/>
        <v>-1.5704357546308314</v>
      </c>
    </row>
    <row r="162" spans="1:11">
      <c r="A162" s="616">
        <f t="shared" si="13"/>
        <v>156</v>
      </c>
      <c r="B162" s="618">
        <v>28636</v>
      </c>
      <c r="C162" s="604">
        <v>0.78888888888888886</v>
      </c>
      <c r="D162" s="617" t="s">
        <v>145</v>
      </c>
      <c r="E162" s="620" t="s">
        <v>149</v>
      </c>
      <c r="F162" s="621">
        <v>40</v>
      </c>
      <c r="G162" s="789">
        <v>1</v>
      </c>
      <c r="H162" s="790">
        <f t="shared" si="14"/>
        <v>2.2727272727272728E-2</v>
      </c>
      <c r="I162" s="169">
        <f t="shared" si="10"/>
        <v>3.6888794541139363</v>
      </c>
      <c r="J162" s="169">
        <f t="shared" si="11"/>
        <v>0</v>
      </c>
      <c r="K162" s="169">
        <f t="shared" si="12"/>
        <v>-3.784189633918261</v>
      </c>
    </row>
    <row r="163" spans="1:11">
      <c r="A163" s="616">
        <f t="shared" si="13"/>
        <v>157</v>
      </c>
      <c r="B163" s="618">
        <v>28636</v>
      </c>
      <c r="C163" s="604">
        <v>0.7944444444444444</v>
      </c>
      <c r="D163" s="617" t="s">
        <v>144</v>
      </c>
      <c r="E163" s="620" t="s">
        <v>149</v>
      </c>
      <c r="F163" s="621">
        <v>30</v>
      </c>
      <c r="G163" s="789">
        <v>2</v>
      </c>
      <c r="H163" s="790">
        <f t="shared" si="14"/>
        <v>3.4090909090909088E-2</v>
      </c>
      <c r="I163" s="169">
        <f t="shared" si="10"/>
        <v>3.4011973816621555</v>
      </c>
      <c r="J163" s="169">
        <f t="shared" si="11"/>
        <v>0.69314718055994529</v>
      </c>
      <c r="K163" s="169">
        <f t="shared" si="12"/>
        <v>-3.3787245258100969</v>
      </c>
    </row>
    <row r="164" spans="1:11">
      <c r="A164" s="616">
        <f t="shared" si="13"/>
        <v>158</v>
      </c>
      <c r="B164" s="618">
        <v>28636</v>
      </c>
      <c r="C164" s="604">
        <v>0.80902777777777779</v>
      </c>
      <c r="D164" s="617" t="s">
        <v>144</v>
      </c>
      <c r="E164" s="620" t="s">
        <v>149</v>
      </c>
      <c r="F164" s="621">
        <v>50</v>
      </c>
      <c r="G164" s="789">
        <v>2</v>
      </c>
      <c r="H164" s="790">
        <f t="shared" si="14"/>
        <v>5.6818181818181816E-2</v>
      </c>
      <c r="I164" s="169">
        <f t="shared" si="10"/>
        <v>3.912023005428146</v>
      </c>
      <c r="J164" s="169">
        <f t="shared" si="11"/>
        <v>0.69314718055994529</v>
      </c>
      <c r="K164" s="169">
        <f t="shared" si="12"/>
        <v>-2.8678989020441059</v>
      </c>
    </row>
    <row r="165" spans="1:11">
      <c r="A165" s="616">
        <f t="shared" si="13"/>
        <v>159</v>
      </c>
      <c r="B165" s="618">
        <v>28636</v>
      </c>
      <c r="C165" s="604">
        <v>0.91666666666666663</v>
      </c>
      <c r="D165" s="617" t="s">
        <v>147</v>
      </c>
      <c r="E165" s="620" t="s">
        <v>149</v>
      </c>
      <c r="F165" s="621">
        <v>40</v>
      </c>
      <c r="G165" s="789">
        <v>1</v>
      </c>
      <c r="H165" s="790">
        <f t="shared" si="14"/>
        <v>2.2727272727272728E-2</v>
      </c>
      <c r="I165" s="169">
        <f t="shared" si="10"/>
        <v>3.6888794541139363</v>
      </c>
      <c r="J165" s="169">
        <f t="shared" si="11"/>
        <v>0</v>
      </c>
      <c r="K165" s="169">
        <f t="shared" si="12"/>
        <v>-3.784189633918261</v>
      </c>
    </row>
    <row r="166" spans="1:11">
      <c r="A166" s="616">
        <f t="shared" si="13"/>
        <v>160</v>
      </c>
      <c r="B166" s="618">
        <v>28637</v>
      </c>
      <c r="C166" s="604">
        <v>8.3333333333333329E-2</v>
      </c>
      <c r="D166" s="617" t="s">
        <v>148</v>
      </c>
      <c r="E166" s="620" t="s">
        <v>149</v>
      </c>
      <c r="F166" s="621">
        <v>30</v>
      </c>
      <c r="G166" s="789">
        <v>2</v>
      </c>
      <c r="H166" s="790">
        <f t="shared" si="14"/>
        <v>3.4090909090909088E-2</v>
      </c>
      <c r="I166" s="169">
        <f t="shared" si="10"/>
        <v>3.4011973816621555</v>
      </c>
      <c r="J166" s="169">
        <f t="shared" si="11"/>
        <v>0.69314718055994529</v>
      </c>
      <c r="K166" s="169">
        <f t="shared" si="12"/>
        <v>-3.3787245258100969</v>
      </c>
    </row>
    <row r="167" spans="1:11">
      <c r="A167" s="616">
        <f t="shared" si="13"/>
        <v>161</v>
      </c>
      <c r="B167" s="618">
        <v>28641</v>
      </c>
      <c r="C167" s="604">
        <v>0.64930555555555558</v>
      </c>
      <c r="D167" s="617" t="s">
        <v>144</v>
      </c>
      <c r="E167" s="620" t="s">
        <v>149</v>
      </c>
      <c r="F167" s="621">
        <v>30</v>
      </c>
      <c r="G167" s="789">
        <v>2</v>
      </c>
      <c r="H167" s="790">
        <f t="shared" si="14"/>
        <v>3.4090909090909088E-2</v>
      </c>
      <c r="I167" s="169">
        <f t="shared" si="10"/>
        <v>3.4011973816621555</v>
      </c>
      <c r="J167" s="169">
        <f t="shared" si="11"/>
        <v>0.69314718055994529</v>
      </c>
      <c r="K167" s="169">
        <f t="shared" si="12"/>
        <v>-3.3787245258100969</v>
      </c>
    </row>
    <row r="168" spans="1:11">
      <c r="A168" s="616">
        <f t="shared" si="13"/>
        <v>162</v>
      </c>
      <c r="B168" s="618">
        <v>28645</v>
      </c>
      <c r="C168" s="604">
        <v>2.9861111111111113E-2</v>
      </c>
      <c r="D168" s="617" t="s">
        <v>130</v>
      </c>
      <c r="E168" s="620" t="s">
        <v>149</v>
      </c>
      <c r="F168" s="621">
        <v>60</v>
      </c>
      <c r="G168" s="789">
        <v>1</v>
      </c>
      <c r="H168" s="790">
        <f t="shared" si="14"/>
        <v>3.4090909090909088E-2</v>
      </c>
      <c r="I168" s="169">
        <f t="shared" si="10"/>
        <v>4.0943445622221004</v>
      </c>
      <c r="J168" s="169">
        <f t="shared" si="11"/>
        <v>0</v>
      </c>
      <c r="K168" s="169">
        <f t="shared" si="12"/>
        <v>-3.3787245258100969</v>
      </c>
    </row>
    <row r="169" spans="1:11">
      <c r="A169" s="616">
        <f t="shared" si="13"/>
        <v>163</v>
      </c>
      <c r="B169" s="618">
        <v>28672</v>
      </c>
      <c r="C169" s="604">
        <v>0.68055555555555547</v>
      </c>
      <c r="D169" s="617" t="s">
        <v>130</v>
      </c>
      <c r="E169" s="620" t="s">
        <v>149</v>
      </c>
      <c r="F169" s="621">
        <v>7</v>
      </c>
      <c r="G169" s="789">
        <v>0.4</v>
      </c>
      <c r="H169" s="790">
        <f t="shared" si="14"/>
        <v>1.5909090909090907E-3</v>
      </c>
      <c r="I169" s="169">
        <f t="shared" si="10"/>
        <v>1.9459101490553132</v>
      </c>
      <c r="J169" s="169">
        <f t="shared" si="11"/>
        <v>-0.916290731874155</v>
      </c>
      <c r="K169" s="169">
        <f t="shared" si="12"/>
        <v>-6.4434496708510389</v>
      </c>
    </row>
    <row r="170" spans="1:11">
      <c r="A170" s="616">
        <f t="shared" si="13"/>
        <v>164</v>
      </c>
      <c r="B170" s="618">
        <v>28932</v>
      </c>
      <c r="C170" s="604">
        <v>0.10416666666666667</v>
      </c>
      <c r="D170" s="617" t="s">
        <v>141</v>
      </c>
      <c r="E170" s="620" t="s">
        <v>149</v>
      </c>
      <c r="F170" s="621">
        <v>30</v>
      </c>
      <c r="G170" s="789">
        <v>0.5</v>
      </c>
      <c r="H170" s="790">
        <f t="shared" si="14"/>
        <v>8.5227272727272721E-3</v>
      </c>
      <c r="I170" s="169">
        <f t="shared" si="10"/>
        <v>3.4011973816621555</v>
      </c>
      <c r="J170" s="169">
        <f t="shared" si="11"/>
        <v>-0.69314718055994529</v>
      </c>
      <c r="K170" s="169">
        <f t="shared" si="12"/>
        <v>-4.7650188869299877</v>
      </c>
    </row>
    <row r="171" spans="1:11">
      <c r="A171" s="616">
        <f t="shared" si="13"/>
        <v>165</v>
      </c>
      <c r="B171" s="618">
        <v>28984</v>
      </c>
      <c r="C171" s="604">
        <v>0.72013888888888899</v>
      </c>
      <c r="D171" s="617" t="s">
        <v>138</v>
      </c>
      <c r="E171" s="620" t="s">
        <v>149</v>
      </c>
      <c r="F171" s="621">
        <v>33</v>
      </c>
      <c r="G171" s="789">
        <v>5.7</v>
      </c>
      <c r="H171" s="790">
        <f t="shared" si="14"/>
        <v>0.106875</v>
      </c>
      <c r="I171" s="169">
        <f t="shared" si="10"/>
        <v>3.4965075614664802</v>
      </c>
      <c r="J171" s="169">
        <f t="shared" si="11"/>
        <v>1.7404661748405046</v>
      </c>
      <c r="K171" s="169">
        <f t="shared" si="12"/>
        <v>-2.2360953517252127</v>
      </c>
    </row>
    <row r="172" spans="1:11">
      <c r="A172" s="616">
        <f t="shared" si="13"/>
        <v>166</v>
      </c>
      <c r="B172" s="618">
        <v>29001</v>
      </c>
      <c r="C172" s="604">
        <v>0.65347222222222223</v>
      </c>
      <c r="D172" s="617" t="s">
        <v>142</v>
      </c>
      <c r="E172" s="620" t="s">
        <v>149</v>
      </c>
      <c r="F172" s="621">
        <v>30</v>
      </c>
      <c r="G172" s="789">
        <v>0.3</v>
      </c>
      <c r="H172" s="790">
        <f t="shared" si="14"/>
        <v>5.1136363636363627E-3</v>
      </c>
      <c r="I172" s="169">
        <f t="shared" si="10"/>
        <v>3.4011973816621555</v>
      </c>
      <c r="J172" s="169">
        <f t="shared" si="11"/>
        <v>-1.2039728043259361</v>
      </c>
      <c r="K172" s="169">
        <f t="shared" si="12"/>
        <v>-5.2758445106959782</v>
      </c>
    </row>
    <row r="173" spans="1:11">
      <c r="A173" s="616">
        <f t="shared" si="13"/>
        <v>167</v>
      </c>
      <c r="B173" s="618">
        <v>29002</v>
      </c>
      <c r="C173" s="604">
        <v>0.6875</v>
      </c>
      <c r="D173" s="617" t="s">
        <v>139</v>
      </c>
      <c r="E173" s="620" t="s">
        <v>149</v>
      </c>
      <c r="F173" s="621">
        <v>10</v>
      </c>
      <c r="G173" s="789">
        <v>0.1</v>
      </c>
      <c r="H173" s="790">
        <f t="shared" si="14"/>
        <v>5.6818181818181826E-4</v>
      </c>
      <c r="I173" s="169">
        <f t="shared" si="10"/>
        <v>2.3025850929940459</v>
      </c>
      <c r="J173" s="169">
        <f t="shared" si="11"/>
        <v>-2.3025850929940455</v>
      </c>
      <c r="K173" s="169">
        <f t="shared" si="12"/>
        <v>-7.4730690880321973</v>
      </c>
    </row>
    <row r="174" spans="1:11">
      <c r="A174" s="616">
        <f t="shared" si="13"/>
        <v>168</v>
      </c>
      <c r="B174" s="618">
        <v>29043</v>
      </c>
      <c r="C174" s="604">
        <v>0.88194444444444453</v>
      </c>
      <c r="D174" s="617" t="s">
        <v>140</v>
      </c>
      <c r="E174" s="620" t="s">
        <v>149</v>
      </c>
      <c r="F174" s="621">
        <v>10</v>
      </c>
      <c r="G174" s="789">
        <v>0.1</v>
      </c>
      <c r="H174" s="790">
        <f t="shared" si="14"/>
        <v>5.6818181818181826E-4</v>
      </c>
      <c r="I174" s="169">
        <f t="shared" si="10"/>
        <v>2.3025850929940459</v>
      </c>
      <c r="J174" s="169">
        <f t="shared" si="11"/>
        <v>-2.3025850929940455</v>
      </c>
      <c r="K174" s="169">
        <f t="shared" si="12"/>
        <v>-7.4730690880321973</v>
      </c>
    </row>
    <row r="175" spans="1:11">
      <c r="A175" s="616">
        <f t="shared" si="13"/>
        <v>169</v>
      </c>
      <c r="B175" s="618">
        <v>29059</v>
      </c>
      <c r="C175" s="604">
        <v>0.70486111111111116</v>
      </c>
      <c r="D175" s="617" t="s">
        <v>138</v>
      </c>
      <c r="E175" s="620" t="s">
        <v>149</v>
      </c>
      <c r="F175" s="621">
        <v>10</v>
      </c>
      <c r="G175" s="789">
        <v>0.1</v>
      </c>
      <c r="H175" s="790">
        <f t="shared" si="14"/>
        <v>5.6818181818181826E-4</v>
      </c>
      <c r="I175" s="169">
        <f t="shared" si="10"/>
        <v>2.3025850929940459</v>
      </c>
      <c r="J175" s="169">
        <f t="shared" si="11"/>
        <v>-2.3025850929940455</v>
      </c>
      <c r="K175" s="169">
        <f t="shared" si="12"/>
        <v>-7.4730690880321973</v>
      </c>
    </row>
    <row r="176" spans="1:11">
      <c r="A176" s="616">
        <f t="shared" si="13"/>
        <v>170</v>
      </c>
      <c r="B176" s="618">
        <v>29060</v>
      </c>
      <c r="C176" s="604">
        <v>0.70486111111111116</v>
      </c>
      <c r="D176" s="617" t="s">
        <v>131</v>
      </c>
      <c r="E176" s="620" t="s">
        <v>149</v>
      </c>
      <c r="F176" s="621">
        <v>10</v>
      </c>
      <c r="G176" s="789">
        <v>0.1</v>
      </c>
      <c r="H176" s="790">
        <f t="shared" si="14"/>
        <v>5.6818181818181826E-4</v>
      </c>
      <c r="I176" s="169">
        <f t="shared" si="10"/>
        <v>2.3025850929940459</v>
      </c>
      <c r="J176" s="169">
        <f t="shared" si="11"/>
        <v>-2.3025850929940455</v>
      </c>
      <c r="K176" s="169">
        <f t="shared" si="12"/>
        <v>-7.4730690880321973</v>
      </c>
    </row>
    <row r="177" spans="1:11">
      <c r="A177" s="616">
        <f t="shared" si="13"/>
        <v>171</v>
      </c>
      <c r="B177" s="618">
        <v>29060</v>
      </c>
      <c r="C177" s="604">
        <v>0.70486111111111116</v>
      </c>
      <c r="D177" s="617" t="s">
        <v>131</v>
      </c>
      <c r="E177" s="620" t="s">
        <v>149</v>
      </c>
      <c r="F177" s="621">
        <v>10</v>
      </c>
      <c r="G177" s="789">
        <v>0.1</v>
      </c>
      <c r="H177" s="790">
        <f t="shared" si="14"/>
        <v>5.6818181818181826E-4</v>
      </c>
      <c r="I177" s="169">
        <f t="shared" si="10"/>
        <v>2.3025850929940459</v>
      </c>
      <c r="J177" s="169">
        <f t="shared" si="11"/>
        <v>-2.3025850929940455</v>
      </c>
      <c r="K177" s="169">
        <f t="shared" si="12"/>
        <v>-7.4730690880321973</v>
      </c>
    </row>
    <row r="178" spans="1:11">
      <c r="A178" s="616">
        <f t="shared" si="13"/>
        <v>172</v>
      </c>
      <c r="B178" s="618">
        <v>29088</v>
      </c>
      <c r="C178" s="604">
        <v>0.73263888888888884</v>
      </c>
      <c r="D178" s="617" t="s">
        <v>138</v>
      </c>
      <c r="E178" s="620" t="s">
        <v>149</v>
      </c>
      <c r="F178" s="621">
        <v>20</v>
      </c>
      <c r="G178" s="789">
        <v>1</v>
      </c>
      <c r="H178" s="790">
        <f t="shared" si="14"/>
        <v>1.1363636363636364E-2</v>
      </c>
      <c r="I178" s="169">
        <f t="shared" si="10"/>
        <v>2.9957322735539909</v>
      </c>
      <c r="J178" s="169">
        <f t="shared" si="11"/>
        <v>0</v>
      </c>
      <c r="K178" s="169">
        <f t="shared" si="12"/>
        <v>-4.4773368144782069</v>
      </c>
    </row>
    <row r="179" spans="1:11">
      <c r="A179" s="616">
        <f t="shared" si="13"/>
        <v>173</v>
      </c>
      <c r="B179" s="618">
        <v>29092</v>
      </c>
      <c r="C179" s="604">
        <v>0.92500000000000004</v>
      </c>
      <c r="D179" s="617" t="s">
        <v>130</v>
      </c>
      <c r="E179" s="620" t="s">
        <v>149</v>
      </c>
      <c r="F179" s="621">
        <v>10</v>
      </c>
      <c r="G179" s="789">
        <v>0.1</v>
      </c>
      <c r="H179" s="790">
        <f t="shared" si="14"/>
        <v>5.6818181818181826E-4</v>
      </c>
      <c r="I179" s="169">
        <f t="shared" si="10"/>
        <v>2.3025850929940459</v>
      </c>
      <c r="J179" s="169">
        <f t="shared" si="11"/>
        <v>-2.3025850929940455</v>
      </c>
      <c r="K179" s="169">
        <f t="shared" si="12"/>
        <v>-7.4730690880321973</v>
      </c>
    </row>
    <row r="180" spans="1:11">
      <c r="A180" s="616">
        <f t="shared" si="13"/>
        <v>174</v>
      </c>
      <c r="B180" s="618">
        <v>29335</v>
      </c>
      <c r="C180" s="604">
        <v>0.50694444444444442</v>
      </c>
      <c r="D180" s="617" t="s">
        <v>145</v>
      </c>
      <c r="E180" s="620" t="s">
        <v>149</v>
      </c>
      <c r="F180" s="621">
        <v>7</v>
      </c>
      <c r="G180" s="789">
        <v>0.5</v>
      </c>
      <c r="H180" s="790">
        <f t="shared" si="14"/>
        <v>1.9886363636363634E-3</v>
      </c>
      <c r="I180" s="169">
        <f t="shared" si="10"/>
        <v>1.9459101490553132</v>
      </c>
      <c r="J180" s="169">
        <f t="shared" si="11"/>
        <v>-0.69314718055994529</v>
      </c>
      <c r="K180" s="169">
        <f t="shared" si="12"/>
        <v>-6.2203061195368292</v>
      </c>
    </row>
    <row r="181" spans="1:11">
      <c r="A181" s="616">
        <f t="shared" si="13"/>
        <v>175</v>
      </c>
      <c r="B181" s="618">
        <v>29335</v>
      </c>
      <c r="C181" s="604">
        <v>0.72916666666666663</v>
      </c>
      <c r="D181" s="617" t="s">
        <v>138</v>
      </c>
      <c r="E181" s="620" t="s">
        <v>149</v>
      </c>
      <c r="F181" s="621">
        <v>7</v>
      </c>
      <c r="G181" s="789">
        <v>1.5</v>
      </c>
      <c r="H181" s="790">
        <f t="shared" si="14"/>
        <v>5.9659090909090903E-3</v>
      </c>
      <c r="I181" s="169">
        <f t="shared" si="10"/>
        <v>1.9459101490553132</v>
      </c>
      <c r="J181" s="169">
        <f t="shared" si="11"/>
        <v>0.40546510810816438</v>
      </c>
      <c r="K181" s="169">
        <f t="shared" si="12"/>
        <v>-5.1216938308687201</v>
      </c>
    </row>
    <row r="182" spans="1:11">
      <c r="A182" s="616">
        <f t="shared" si="13"/>
        <v>176</v>
      </c>
      <c r="B182" s="618">
        <v>29361</v>
      </c>
      <c r="C182" s="604">
        <v>0.68402777777777779</v>
      </c>
      <c r="D182" s="617" t="s">
        <v>128</v>
      </c>
      <c r="E182" s="620" t="s">
        <v>149</v>
      </c>
      <c r="F182" s="621">
        <v>10</v>
      </c>
      <c r="G182" s="789">
        <v>0.1</v>
      </c>
      <c r="H182" s="790">
        <f t="shared" si="14"/>
        <v>5.6818181818181826E-4</v>
      </c>
      <c r="I182" s="169">
        <f t="shared" si="10"/>
        <v>2.3025850929940459</v>
      </c>
      <c r="J182" s="169">
        <f t="shared" si="11"/>
        <v>-2.3025850929940455</v>
      </c>
      <c r="K182" s="169">
        <f t="shared" si="12"/>
        <v>-7.4730690880321973</v>
      </c>
    </row>
    <row r="183" spans="1:11">
      <c r="A183" s="616">
        <f t="shared" si="13"/>
        <v>177</v>
      </c>
      <c r="B183" s="618">
        <v>29368</v>
      </c>
      <c r="C183" s="604">
        <v>0.63541666666666663</v>
      </c>
      <c r="D183" s="617" t="s">
        <v>134</v>
      </c>
      <c r="E183" s="620" t="s">
        <v>149</v>
      </c>
      <c r="F183" s="621">
        <v>10</v>
      </c>
      <c r="G183" s="789">
        <v>0.1</v>
      </c>
      <c r="H183" s="790">
        <f t="shared" si="14"/>
        <v>5.6818181818181826E-4</v>
      </c>
      <c r="I183" s="169">
        <f t="shared" si="10"/>
        <v>2.3025850929940459</v>
      </c>
      <c r="J183" s="169">
        <f t="shared" si="11"/>
        <v>-2.3025850929940455</v>
      </c>
      <c r="K183" s="169">
        <f t="shared" si="12"/>
        <v>-7.4730690880321973</v>
      </c>
    </row>
    <row r="184" spans="1:11">
      <c r="A184" s="616">
        <f t="shared" si="13"/>
        <v>178</v>
      </c>
      <c r="B184" s="618">
        <v>29368</v>
      </c>
      <c r="C184" s="604">
        <v>0.65138888888888891</v>
      </c>
      <c r="D184" s="617" t="s">
        <v>134</v>
      </c>
      <c r="E184" s="620" t="s">
        <v>149</v>
      </c>
      <c r="F184" s="621">
        <v>10</v>
      </c>
      <c r="G184" s="789">
        <v>0.1</v>
      </c>
      <c r="H184" s="790">
        <f t="shared" si="14"/>
        <v>5.6818181818181826E-4</v>
      </c>
      <c r="I184" s="169">
        <f t="shared" si="10"/>
        <v>2.3025850929940459</v>
      </c>
      <c r="J184" s="169">
        <f t="shared" si="11"/>
        <v>-2.3025850929940455</v>
      </c>
      <c r="K184" s="169">
        <f t="shared" si="12"/>
        <v>-7.4730690880321973</v>
      </c>
    </row>
    <row r="185" spans="1:11">
      <c r="A185" s="616">
        <f t="shared" si="13"/>
        <v>179</v>
      </c>
      <c r="B185" s="618">
        <v>29369</v>
      </c>
      <c r="C185" s="604">
        <v>0.73263888888888884</v>
      </c>
      <c r="D185" s="617" t="s">
        <v>131</v>
      </c>
      <c r="E185" s="620" t="s">
        <v>149</v>
      </c>
      <c r="F185" s="621">
        <v>20</v>
      </c>
      <c r="G185" s="789">
        <v>0.3</v>
      </c>
      <c r="H185" s="790">
        <f t="shared" si="14"/>
        <v>3.4090909090909089E-3</v>
      </c>
      <c r="I185" s="169">
        <f t="shared" si="10"/>
        <v>2.9957322735539909</v>
      </c>
      <c r="J185" s="169">
        <f t="shared" si="11"/>
        <v>-1.2039728043259361</v>
      </c>
      <c r="K185" s="169">
        <f t="shared" si="12"/>
        <v>-5.6813096188041428</v>
      </c>
    </row>
    <row r="186" spans="1:11">
      <c r="A186" s="616">
        <f t="shared" si="13"/>
        <v>180</v>
      </c>
      <c r="B186" s="618">
        <v>29648</v>
      </c>
      <c r="C186" s="604">
        <v>0.68402777777777779</v>
      </c>
      <c r="D186" s="617" t="s">
        <v>136</v>
      </c>
      <c r="E186" s="620" t="s">
        <v>149</v>
      </c>
      <c r="F186" s="621">
        <v>50</v>
      </c>
      <c r="G186" s="789">
        <v>1</v>
      </c>
      <c r="H186" s="790">
        <f t="shared" si="14"/>
        <v>2.8409090909090908E-2</v>
      </c>
      <c r="I186" s="169">
        <f t="shared" si="10"/>
        <v>3.912023005428146</v>
      </c>
      <c r="J186" s="169">
        <f t="shared" si="11"/>
        <v>0</v>
      </c>
      <c r="K186" s="169">
        <f t="shared" si="12"/>
        <v>-3.5610460826040513</v>
      </c>
    </row>
    <row r="187" spans="1:11">
      <c r="A187" s="616">
        <f t="shared" si="13"/>
        <v>181</v>
      </c>
      <c r="B187" s="618">
        <v>29712</v>
      </c>
      <c r="C187" s="604">
        <v>0.84722222222222221</v>
      </c>
      <c r="D187" s="617" t="s">
        <v>131</v>
      </c>
      <c r="E187" s="620" t="s">
        <v>149</v>
      </c>
      <c r="F187" s="621">
        <v>30</v>
      </c>
      <c r="G187" s="789">
        <v>0.5</v>
      </c>
      <c r="H187" s="790">
        <f t="shared" si="14"/>
        <v>8.5227272727272721E-3</v>
      </c>
      <c r="I187" s="169">
        <f t="shared" si="10"/>
        <v>3.4011973816621555</v>
      </c>
      <c r="J187" s="169">
        <f t="shared" si="11"/>
        <v>-0.69314718055994529</v>
      </c>
      <c r="K187" s="169">
        <f t="shared" si="12"/>
        <v>-4.7650188869299877</v>
      </c>
    </row>
    <row r="188" spans="1:11">
      <c r="A188" s="616">
        <f t="shared" si="13"/>
        <v>182</v>
      </c>
      <c r="B188" s="618">
        <v>29738</v>
      </c>
      <c r="C188" s="604">
        <v>0.72222222222222221</v>
      </c>
      <c r="D188" s="617" t="s">
        <v>148</v>
      </c>
      <c r="E188" s="620" t="s">
        <v>149</v>
      </c>
      <c r="F188" s="621">
        <v>20</v>
      </c>
      <c r="G188" s="789">
        <v>0.3</v>
      </c>
      <c r="H188" s="790">
        <f t="shared" si="14"/>
        <v>3.4090909090909089E-3</v>
      </c>
      <c r="I188" s="169">
        <f t="shared" si="10"/>
        <v>2.9957322735539909</v>
      </c>
      <c r="J188" s="169">
        <f t="shared" si="11"/>
        <v>-1.2039728043259361</v>
      </c>
      <c r="K188" s="169">
        <f t="shared" si="12"/>
        <v>-5.6813096188041428</v>
      </c>
    </row>
    <row r="189" spans="1:11">
      <c r="A189" s="616">
        <f t="shared" si="13"/>
        <v>183</v>
      </c>
      <c r="B189" s="618">
        <v>29739</v>
      </c>
      <c r="C189" s="604">
        <v>0.70833333333333337</v>
      </c>
      <c r="D189" s="617" t="s">
        <v>135</v>
      </c>
      <c r="E189" s="620" t="s">
        <v>149</v>
      </c>
      <c r="F189" s="621">
        <v>10</v>
      </c>
      <c r="G189" s="789">
        <v>0.3</v>
      </c>
      <c r="H189" s="790">
        <f t="shared" si="14"/>
        <v>1.7045454545454545E-3</v>
      </c>
      <c r="I189" s="169">
        <f t="shared" si="10"/>
        <v>2.3025850929940459</v>
      </c>
      <c r="J189" s="169">
        <f t="shared" si="11"/>
        <v>-1.2039728043259361</v>
      </c>
      <c r="K189" s="169">
        <f t="shared" si="12"/>
        <v>-6.3744567993640882</v>
      </c>
    </row>
    <row r="190" spans="1:11">
      <c r="A190" s="616">
        <f t="shared" si="13"/>
        <v>184</v>
      </c>
      <c r="B190" s="618">
        <v>29739</v>
      </c>
      <c r="C190" s="604">
        <v>0.70833333333333337</v>
      </c>
      <c r="D190" s="617" t="s">
        <v>135</v>
      </c>
      <c r="E190" s="620" t="s">
        <v>149</v>
      </c>
      <c r="F190" s="621">
        <v>10</v>
      </c>
      <c r="G190" s="789">
        <v>0.3</v>
      </c>
      <c r="H190" s="790">
        <f t="shared" si="14"/>
        <v>1.7045454545454545E-3</v>
      </c>
      <c r="I190" s="169">
        <f t="shared" si="10"/>
        <v>2.3025850929940459</v>
      </c>
      <c r="J190" s="169">
        <f t="shared" si="11"/>
        <v>-1.2039728043259361</v>
      </c>
      <c r="K190" s="169">
        <f t="shared" si="12"/>
        <v>-6.3744567993640882</v>
      </c>
    </row>
    <row r="191" spans="1:11">
      <c r="A191" s="616">
        <f t="shared" si="13"/>
        <v>185</v>
      </c>
      <c r="B191" s="618">
        <v>29739</v>
      </c>
      <c r="C191" s="604">
        <v>0.70833333333333337</v>
      </c>
      <c r="D191" s="617" t="s">
        <v>127</v>
      </c>
      <c r="E191" s="620" t="s">
        <v>149</v>
      </c>
      <c r="F191" s="621">
        <v>10</v>
      </c>
      <c r="G191" s="789">
        <v>0.1</v>
      </c>
      <c r="H191" s="790">
        <f t="shared" si="14"/>
        <v>5.6818181818181826E-4</v>
      </c>
      <c r="I191" s="169">
        <f t="shared" si="10"/>
        <v>2.3025850929940459</v>
      </c>
      <c r="J191" s="169">
        <f t="shared" si="11"/>
        <v>-2.3025850929940455</v>
      </c>
      <c r="K191" s="169">
        <f t="shared" si="12"/>
        <v>-7.4730690880321973</v>
      </c>
    </row>
    <row r="192" spans="1:11">
      <c r="A192" s="616">
        <f t="shared" si="13"/>
        <v>186</v>
      </c>
      <c r="B192" s="618">
        <v>29748</v>
      </c>
      <c r="C192" s="604">
        <v>0.75</v>
      </c>
      <c r="D192" s="617" t="s">
        <v>126</v>
      </c>
      <c r="E192" s="620" t="s">
        <v>149</v>
      </c>
      <c r="F192" s="621">
        <v>10</v>
      </c>
      <c r="G192" s="789">
        <v>0.1</v>
      </c>
      <c r="H192" s="790">
        <f t="shared" si="14"/>
        <v>5.6818181818181826E-4</v>
      </c>
      <c r="I192" s="169">
        <f t="shared" si="10"/>
        <v>2.3025850929940459</v>
      </c>
      <c r="J192" s="169">
        <f t="shared" si="11"/>
        <v>-2.3025850929940455</v>
      </c>
      <c r="K192" s="169">
        <f t="shared" si="12"/>
        <v>-7.4730690880321973</v>
      </c>
    </row>
    <row r="193" spans="1:11">
      <c r="A193" s="616">
        <f t="shared" si="13"/>
        <v>187</v>
      </c>
      <c r="B193" s="618">
        <v>29748</v>
      </c>
      <c r="C193" s="604">
        <v>0.89583333333333337</v>
      </c>
      <c r="D193" s="617" t="s">
        <v>141</v>
      </c>
      <c r="E193" s="620" t="s">
        <v>149</v>
      </c>
      <c r="F193" s="621">
        <v>30</v>
      </c>
      <c r="G193" s="789">
        <v>0.5</v>
      </c>
      <c r="H193" s="790">
        <f t="shared" si="14"/>
        <v>8.5227272727272721E-3</v>
      </c>
      <c r="I193" s="169">
        <f t="shared" si="10"/>
        <v>3.4011973816621555</v>
      </c>
      <c r="J193" s="169">
        <f t="shared" si="11"/>
        <v>-0.69314718055994529</v>
      </c>
      <c r="K193" s="169">
        <f t="shared" si="12"/>
        <v>-4.7650188869299877</v>
      </c>
    </row>
    <row r="194" spans="1:11">
      <c r="A194" s="616">
        <f t="shared" si="13"/>
        <v>188</v>
      </c>
      <c r="B194" s="618">
        <v>29771</v>
      </c>
      <c r="C194" s="604">
        <v>0.6875</v>
      </c>
      <c r="D194" s="617" t="s">
        <v>131</v>
      </c>
      <c r="E194" s="620" t="s">
        <v>149</v>
      </c>
      <c r="F194" s="621">
        <v>10</v>
      </c>
      <c r="G194" s="789">
        <v>0.2</v>
      </c>
      <c r="H194" s="790">
        <f t="shared" si="14"/>
        <v>1.1363636363636365E-3</v>
      </c>
      <c r="I194" s="169">
        <f t="shared" si="10"/>
        <v>2.3025850929940459</v>
      </c>
      <c r="J194" s="169">
        <f t="shared" si="11"/>
        <v>-1.6094379124341003</v>
      </c>
      <c r="K194" s="169">
        <f t="shared" si="12"/>
        <v>-6.7799219074722519</v>
      </c>
    </row>
    <row r="195" spans="1:11">
      <c r="A195" s="616">
        <f t="shared" si="13"/>
        <v>189</v>
      </c>
      <c r="B195" s="618">
        <v>29804</v>
      </c>
      <c r="C195" s="604">
        <v>0.54027777777777775</v>
      </c>
      <c r="D195" s="617" t="s">
        <v>129</v>
      </c>
      <c r="E195" s="620" t="s">
        <v>149</v>
      </c>
      <c r="F195" s="621">
        <v>67</v>
      </c>
      <c r="G195" s="789">
        <v>0.1</v>
      </c>
      <c r="H195" s="790">
        <f t="shared" si="14"/>
        <v>3.806818181818182E-3</v>
      </c>
      <c r="I195" s="169">
        <f t="shared" si="10"/>
        <v>4.2046926193909657</v>
      </c>
      <c r="J195" s="169">
        <f t="shared" si="11"/>
        <v>-2.3025850929940455</v>
      </c>
      <c r="K195" s="169">
        <f t="shared" si="12"/>
        <v>-5.5709615616352774</v>
      </c>
    </row>
    <row r="196" spans="1:11">
      <c r="A196" s="616">
        <f t="shared" si="13"/>
        <v>190</v>
      </c>
      <c r="B196" s="618">
        <v>30080</v>
      </c>
      <c r="C196" s="604">
        <v>0.77361111111111114</v>
      </c>
      <c r="D196" s="617" t="s">
        <v>136</v>
      </c>
      <c r="E196" s="620" t="s">
        <v>149</v>
      </c>
      <c r="F196" s="621">
        <v>20</v>
      </c>
      <c r="G196" s="789">
        <v>0.2</v>
      </c>
      <c r="H196" s="790">
        <f t="shared" si="14"/>
        <v>2.2727272727272731E-3</v>
      </c>
      <c r="I196" s="169">
        <f t="shared" si="10"/>
        <v>2.9957322735539909</v>
      </c>
      <c r="J196" s="169">
        <f t="shared" si="11"/>
        <v>-1.6094379124341003</v>
      </c>
      <c r="K196" s="169">
        <f t="shared" si="12"/>
        <v>-6.0867747269123065</v>
      </c>
    </row>
    <row r="197" spans="1:11">
      <c r="A197" s="616">
        <f t="shared" si="13"/>
        <v>191</v>
      </c>
      <c r="B197" s="618">
        <v>30080</v>
      </c>
      <c r="C197" s="604">
        <v>0.78680555555555554</v>
      </c>
      <c r="D197" s="617" t="s">
        <v>135</v>
      </c>
      <c r="E197" s="620" t="s">
        <v>149</v>
      </c>
      <c r="F197" s="621">
        <v>10</v>
      </c>
      <c r="G197" s="789">
        <v>0.1</v>
      </c>
      <c r="H197" s="790">
        <f t="shared" si="14"/>
        <v>5.6818181818181826E-4</v>
      </c>
      <c r="I197" s="169">
        <f t="shared" si="10"/>
        <v>2.3025850929940459</v>
      </c>
      <c r="J197" s="169">
        <f t="shared" si="11"/>
        <v>-2.3025850929940455</v>
      </c>
      <c r="K197" s="169">
        <f t="shared" si="12"/>
        <v>-7.4730690880321973</v>
      </c>
    </row>
    <row r="198" spans="1:11">
      <c r="A198" s="616">
        <f t="shared" si="13"/>
        <v>192</v>
      </c>
      <c r="B198" s="618">
        <v>30080</v>
      </c>
      <c r="C198" s="604">
        <v>0.79722222222222217</v>
      </c>
      <c r="D198" s="617" t="s">
        <v>144</v>
      </c>
      <c r="E198" s="620" t="s">
        <v>149</v>
      </c>
      <c r="F198" s="621">
        <v>100</v>
      </c>
      <c r="G198" s="789">
        <v>1</v>
      </c>
      <c r="H198" s="790">
        <f t="shared" si="14"/>
        <v>5.6818181818181816E-2</v>
      </c>
      <c r="I198" s="169">
        <f t="shared" si="10"/>
        <v>4.6051701859880918</v>
      </c>
      <c r="J198" s="169">
        <f t="shared" si="11"/>
        <v>0</v>
      </c>
      <c r="K198" s="169">
        <f t="shared" si="12"/>
        <v>-2.8678989020441059</v>
      </c>
    </row>
    <row r="199" spans="1:11">
      <c r="A199" s="616">
        <f t="shared" si="13"/>
        <v>193</v>
      </c>
      <c r="B199" s="618">
        <v>30080</v>
      </c>
      <c r="C199" s="604">
        <v>0.80833333333333324</v>
      </c>
      <c r="D199" s="617" t="s">
        <v>145</v>
      </c>
      <c r="E199" s="620" t="s">
        <v>149</v>
      </c>
      <c r="F199" s="621">
        <v>10</v>
      </c>
      <c r="G199" s="789">
        <v>0.1</v>
      </c>
      <c r="H199" s="790">
        <f t="shared" si="14"/>
        <v>5.6818181818181826E-4</v>
      </c>
      <c r="I199" s="169">
        <f t="shared" si="10"/>
        <v>2.3025850929940459</v>
      </c>
      <c r="J199" s="169">
        <f t="shared" si="11"/>
        <v>-2.3025850929940455</v>
      </c>
      <c r="K199" s="169">
        <f t="shared" si="12"/>
        <v>-7.4730690880321973</v>
      </c>
    </row>
    <row r="200" spans="1:11">
      <c r="A200" s="616">
        <f t="shared" si="13"/>
        <v>194</v>
      </c>
      <c r="B200" s="618">
        <v>30082</v>
      </c>
      <c r="C200" s="604">
        <v>0.60069444444444442</v>
      </c>
      <c r="D200" s="617" t="s">
        <v>146</v>
      </c>
      <c r="E200" s="620" t="s">
        <v>149</v>
      </c>
      <c r="F200" s="621">
        <v>20</v>
      </c>
      <c r="G200" s="789">
        <v>0.1</v>
      </c>
      <c r="H200" s="790">
        <f t="shared" si="14"/>
        <v>1.1363636363636365E-3</v>
      </c>
      <c r="I200" s="169">
        <f t="shared" ref="I200:I263" si="15">LN(F200)</f>
        <v>2.9957322735539909</v>
      </c>
      <c r="J200" s="169">
        <f t="shared" ref="J200:J263" si="16">LN(G200)</f>
        <v>-2.3025850929940455</v>
      </c>
      <c r="K200" s="169">
        <f t="shared" ref="K200:K263" si="17">LN(H200)</f>
        <v>-6.7799219074722519</v>
      </c>
    </row>
    <row r="201" spans="1:11">
      <c r="A201" s="616">
        <f t="shared" ref="A201:A264" si="18">+A200+1</f>
        <v>195</v>
      </c>
      <c r="B201" s="618">
        <v>30083</v>
      </c>
      <c r="C201" s="604">
        <v>0.64375000000000004</v>
      </c>
      <c r="D201" s="617" t="s">
        <v>142</v>
      </c>
      <c r="E201" s="620" t="s">
        <v>149</v>
      </c>
      <c r="F201" s="621">
        <v>10</v>
      </c>
      <c r="G201" s="789">
        <v>0.1</v>
      </c>
      <c r="H201" s="790">
        <f t="shared" ref="H201:H264" si="19">+(F201/1760)*G201</f>
        <v>5.6818181818181826E-4</v>
      </c>
      <c r="I201" s="169">
        <f t="shared" si="15"/>
        <v>2.3025850929940459</v>
      </c>
      <c r="J201" s="169">
        <f t="shared" si="16"/>
        <v>-2.3025850929940455</v>
      </c>
      <c r="K201" s="169">
        <f t="shared" si="17"/>
        <v>-7.4730690880321973</v>
      </c>
    </row>
    <row r="202" spans="1:11">
      <c r="A202" s="616">
        <f t="shared" si="18"/>
        <v>196</v>
      </c>
      <c r="B202" s="618">
        <v>30088</v>
      </c>
      <c r="C202" s="604">
        <v>0.80902777777777779</v>
      </c>
      <c r="D202" s="617" t="s">
        <v>146</v>
      </c>
      <c r="E202" s="620" t="s">
        <v>149</v>
      </c>
      <c r="F202" s="621">
        <v>20</v>
      </c>
      <c r="G202" s="789">
        <v>0.2</v>
      </c>
      <c r="H202" s="790">
        <f t="shared" si="19"/>
        <v>2.2727272727272731E-3</v>
      </c>
      <c r="I202" s="169">
        <f t="shared" si="15"/>
        <v>2.9957322735539909</v>
      </c>
      <c r="J202" s="169">
        <f t="shared" si="16"/>
        <v>-1.6094379124341003</v>
      </c>
      <c r="K202" s="169">
        <f t="shared" si="17"/>
        <v>-6.0867747269123065</v>
      </c>
    </row>
    <row r="203" spans="1:11">
      <c r="A203" s="616">
        <f t="shared" si="18"/>
        <v>197</v>
      </c>
      <c r="B203" s="618">
        <v>30089</v>
      </c>
      <c r="C203" s="604">
        <v>0.83263888888888893</v>
      </c>
      <c r="D203" s="617" t="s">
        <v>141</v>
      </c>
      <c r="E203" s="620" t="s">
        <v>149</v>
      </c>
      <c r="F203" s="621">
        <v>10</v>
      </c>
      <c r="G203" s="789">
        <v>0.1</v>
      </c>
      <c r="H203" s="790">
        <f t="shared" si="19"/>
        <v>5.6818181818181826E-4</v>
      </c>
      <c r="I203" s="169">
        <f t="shared" si="15"/>
        <v>2.3025850929940459</v>
      </c>
      <c r="J203" s="169">
        <f t="shared" si="16"/>
        <v>-2.3025850929940455</v>
      </c>
      <c r="K203" s="169">
        <f t="shared" si="17"/>
        <v>-7.4730690880321973</v>
      </c>
    </row>
    <row r="204" spans="1:11">
      <c r="A204" s="616">
        <f t="shared" si="18"/>
        <v>198</v>
      </c>
      <c r="B204" s="618">
        <v>30089</v>
      </c>
      <c r="C204" s="604">
        <v>0.83263888888888893</v>
      </c>
      <c r="D204" s="617" t="s">
        <v>130</v>
      </c>
      <c r="E204" s="620" t="s">
        <v>149</v>
      </c>
      <c r="F204" s="621">
        <v>7</v>
      </c>
      <c r="G204" s="789">
        <v>0.1</v>
      </c>
      <c r="H204" s="790">
        <f t="shared" si="19"/>
        <v>3.9772727272727269E-4</v>
      </c>
      <c r="I204" s="169">
        <f t="shared" si="15"/>
        <v>1.9459101490553132</v>
      </c>
      <c r="J204" s="169">
        <f t="shared" si="16"/>
        <v>-2.3025850929940455</v>
      </c>
      <c r="K204" s="169">
        <f t="shared" si="17"/>
        <v>-7.8297440319709297</v>
      </c>
    </row>
    <row r="205" spans="1:11">
      <c r="A205" s="616">
        <f t="shared" si="18"/>
        <v>199</v>
      </c>
      <c r="B205" s="618">
        <v>30090</v>
      </c>
      <c r="C205" s="604">
        <v>0.70694444444444438</v>
      </c>
      <c r="D205" s="617" t="s">
        <v>141</v>
      </c>
      <c r="E205" s="620" t="s">
        <v>149</v>
      </c>
      <c r="F205" s="621">
        <v>50</v>
      </c>
      <c r="G205" s="789">
        <v>0.5</v>
      </c>
      <c r="H205" s="790">
        <f t="shared" si="19"/>
        <v>1.4204545454545454E-2</v>
      </c>
      <c r="I205" s="169">
        <f t="shared" si="15"/>
        <v>3.912023005428146</v>
      </c>
      <c r="J205" s="169">
        <f t="shared" si="16"/>
        <v>-0.69314718055994529</v>
      </c>
      <c r="K205" s="169">
        <f t="shared" si="17"/>
        <v>-4.2541932631639972</v>
      </c>
    </row>
    <row r="206" spans="1:11">
      <c r="A206" s="616">
        <f t="shared" si="18"/>
        <v>200</v>
      </c>
      <c r="B206" s="618">
        <v>30090</v>
      </c>
      <c r="C206" s="604">
        <v>0.75624999999999998</v>
      </c>
      <c r="D206" s="617" t="s">
        <v>142</v>
      </c>
      <c r="E206" s="620" t="s">
        <v>149</v>
      </c>
      <c r="F206" s="621">
        <v>20</v>
      </c>
      <c r="G206" s="789">
        <v>0.5</v>
      </c>
      <c r="H206" s="790">
        <f t="shared" si="19"/>
        <v>5.681818181818182E-3</v>
      </c>
      <c r="I206" s="169">
        <f t="shared" si="15"/>
        <v>2.9957322735539909</v>
      </c>
      <c r="J206" s="169">
        <f t="shared" si="16"/>
        <v>-0.69314718055994529</v>
      </c>
      <c r="K206" s="169">
        <f t="shared" si="17"/>
        <v>-5.1704839950381514</v>
      </c>
    </row>
    <row r="207" spans="1:11">
      <c r="A207" s="616">
        <f t="shared" si="18"/>
        <v>201</v>
      </c>
      <c r="B207" s="618">
        <v>30090</v>
      </c>
      <c r="C207" s="604">
        <v>0.7944444444444444</v>
      </c>
      <c r="D207" s="617" t="s">
        <v>137</v>
      </c>
      <c r="E207" s="620" t="s">
        <v>149</v>
      </c>
      <c r="F207" s="621">
        <v>20</v>
      </c>
      <c r="G207" s="789">
        <v>0.3</v>
      </c>
      <c r="H207" s="790">
        <f t="shared" si="19"/>
        <v>3.4090909090909089E-3</v>
      </c>
      <c r="I207" s="169">
        <f t="shared" si="15"/>
        <v>2.9957322735539909</v>
      </c>
      <c r="J207" s="169">
        <f t="shared" si="16"/>
        <v>-1.2039728043259361</v>
      </c>
      <c r="K207" s="169">
        <f t="shared" si="17"/>
        <v>-5.6813096188041428</v>
      </c>
    </row>
    <row r="208" spans="1:11">
      <c r="A208" s="616">
        <f t="shared" si="18"/>
        <v>202</v>
      </c>
      <c r="B208" s="618">
        <v>30095</v>
      </c>
      <c r="C208" s="604">
        <v>0.69791666666666663</v>
      </c>
      <c r="D208" s="617" t="s">
        <v>128</v>
      </c>
      <c r="E208" s="620" t="s">
        <v>149</v>
      </c>
      <c r="F208" s="621">
        <v>10</v>
      </c>
      <c r="G208" s="789">
        <v>4</v>
      </c>
      <c r="H208" s="790">
        <f t="shared" si="19"/>
        <v>2.2727272727272728E-2</v>
      </c>
      <c r="I208" s="169">
        <f t="shared" si="15"/>
        <v>2.3025850929940459</v>
      </c>
      <c r="J208" s="169">
        <f t="shared" si="16"/>
        <v>1.3862943611198906</v>
      </c>
      <c r="K208" s="169">
        <f t="shared" si="17"/>
        <v>-3.784189633918261</v>
      </c>
    </row>
    <row r="209" spans="1:11">
      <c r="A209" s="616">
        <f t="shared" si="18"/>
        <v>203</v>
      </c>
      <c r="B209" s="618">
        <v>30101</v>
      </c>
      <c r="C209" s="604">
        <v>0.73958333333333337</v>
      </c>
      <c r="D209" s="617" t="s">
        <v>127</v>
      </c>
      <c r="E209" s="620" t="s">
        <v>149</v>
      </c>
      <c r="F209" s="621">
        <v>10</v>
      </c>
      <c r="G209" s="789">
        <v>0.1</v>
      </c>
      <c r="H209" s="790">
        <f t="shared" si="19"/>
        <v>5.6818181818181826E-4</v>
      </c>
      <c r="I209" s="169">
        <f t="shared" si="15"/>
        <v>2.3025850929940459</v>
      </c>
      <c r="J209" s="169">
        <f t="shared" si="16"/>
        <v>-2.3025850929940455</v>
      </c>
      <c r="K209" s="169">
        <f t="shared" si="17"/>
        <v>-7.4730690880321973</v>
      </c>
    </row>
    <row r="210" spans="1:11">
      <c r="A210" s="616">
        <f t="shared" si="18"/>
        <v>204</v>
      </c>
      <c r="B210" s="618">
        <v>30116</v>
      </c>
      <c r="C210" s="604">
        <v>0.80208333333333337</v>
      </c>
      <c r="D210" s="617" t="s">
        <v>141</v>
      </c>
      <c r="E210" s="620" t="s">
        <v>149</v>
      </c>
      <c r="F210" s="621">
        <v>3</v>
      </c>
      <c r="G210" s="789">
        <v>0.1</v>
      </c>
      <c r="H210" s="790">
        <f t="shared" si="19"/>
        <v>1.7045454545454547E-4</v>
      </c>
      <c r="I210" s="169">
        <f t="shared" si="15"/>
        <v>1.0986122886681098</v>
      </c>
      <c r="J210" s="169">
        <f t="shared" si="16"/>
        <v>-2.3025850929940455</v>
      </c>
      <c r="K210" s="169">
        <f t="shared" si="17"/>
        <v>-8.6770418923581332</v>
      </c>
    </row>
    <row r="211" spans="1:11">
      <c r="A211" s="616">
        <f t="shared" si="18"/>
        <v>205</v>
      </c>
      <c r="B211" s="618">
        <v>30116</v>
      </c>
      <c r="C211" s="604">
        <v>0.87847222222222221</v>
      </c>
      <c r="D211" s="617" t="s">
        <v>133</v>
      </c>
      <c r="E211" s="620" t="s">
        <v>149</v>
      </c>
      <c r="F211" s="621">
        <v>3</v>
      </c>
      <c r="G211" s="789">
        <v>0.1</v>
      </c>
      <c r="H211" s="790">
        <f t="shared" si="19"/>
        <v>1.7045454545454547E-4</v>
      </c>
      <c r="I211" s="169">
        <f t="shared" si="15"/>
        <v>1.0986122886681098</v>
      </c>
      <c r="J211" s="169">
        <f t="shared" si="16"/>
        <v>-2.3025850929940455</v>
      </c>
      <c r="K211" s="169">
        <f t="shared" si="17"/>
        <v>-8.6770418923581332</v>
      </c>
    </row>
    <row r="212" spans="1:11">
      <c r="A212" s="616">
        <f t="shared" si="18"/>
        <v>206</v>
      </c>
      <c r="B212" s="618">
        <v>30125</v>
      </c>
      <c r="C212" s="604">
        <v>0.73611111111111116</v>
      </c>
      <c r="D212" s="617" t="s">
        <v>126</v>
      </c>
      <c r="E212" s="620" t="s">
        <v>149</v>
      </c>
      <c r="F212" s="621">
        <v>3</v>
      </c>
      <c r="G212" s="789">
        <v>0.1</v>
      </c>
      <c r="H212" s="790">
        <f t="shared" si="19"/>
        <v>1.7045454545454547E-4</v>
      </c>
      <c r="I212" s="169">
        <f t="shared" si="15"/>
        <v>1.0986122886681098</v>
      </c>
      <c r="J212" s="169">
        <f t="shared" si="16"/>
        <v>-2.3025850929940455</v>
      </c>
      <c r="K212" s="169">
        <f t="shared" si="17"/>
        <v>-8.6770418923581332</v>
      </c>
    </row>
    <row r="213" spans="1:11">
      <c r="A213" s="616">
        <f t="shared" si="18"/>
        <v>207</v>
      </c>
      <c r="B213" s="618">
        <v>30125</v>
      </c>
      <c r="C213" s="604">
        <v>0.8125</v>
      </c>
      <c r="D213" s="617" t="s">
        <v>141</v>
      </c>
      <c r="E213" s="620" t="s">
        <v>149</v>
      </c>
      <c r="F213" s="621">
        <v>3</v>
      </c>
      <c r="G213" s="789">
        <v>0.1</v>
      </c>
      <c r="H213" s="790">
        <f t="shared" si="19"/>
        <v>1.7045454545454547E-4</v>
      </c>
      <c r="I213" s="169">
        <f t="shared" si="15"/>
        <v>1.0986122886681098</v>
      </c>
      <c r="J213" s="169">
        <f t="shared" si="16"/>
        <v>-2.3025850929940455</v>
      </c>
      <c r="K213" s="169">
        <f t="shared" si="17"/>
        <v>-8.6770418923581332</v>
      </c>
    </row>
    <row r="214" spans="1:11">
      <c r="A214" s="616">
        <f t="shared" si="18"/>
        <v>208</v>
      </c>
      <c r="B214" s="618">
        <v>30141</v>
      </c>
      <c r="C214" s="604">
        <v>0.57291666666666663</v>
      </c>
      <c r="D214" s="617" t="s">
        <v>126</v>
      </c>
      <c r="E214" s="620" t="s">
        <v>149</v>
      </c>
      <c r="F214" s="621">
        <v>3</v>
      </c>
      <c r="G214" s="789">
        <v>0.1</v>
      </c>
      <c r="H214" s="790">
        <f t="shared" si="19"/>
        <v>1.7045454545454547E-4</v>
      </c>
      <c r="I214" s="169">
        <f t="shared" si="15"/>
        <v>1.0986122886681098</v>
      </c>
      <c r="J214" s="169">
        <f t="shared" si="16"/>
        <v>-2.3025850929940455</v>
      </c>
      <c r="K214" s="169">
        <f t="shared" si="17"/>
        <v>-8.6770418923581332</v>
      </c>
    </row>
    <row r="215" spans="1:11">
      <c r="A215" s="616">
        <f t="shared" si="18"/>
        <v>209</v>
      </c>
      <c r="B215" s="618">
        <v>30378</v>
      </c>
      <c r="C215" s="604">
        <v>0.79513888888888884</v>
      </c>
      <c r="D215" s="617" t="s">
        <v>142</v>
      </c>
      <c r="E215" s="620" t="s">
        <v>149</v>
      </c>
      <c r="F215" s="621">
        <v>33</v>
      </c>
      <c r="G215" s="789">
        <v>0.5</v>
      </c>
      <c r="H215" s="790">
        <f t="shared" si="19"/>
        <v>9.3749999999999997E-3</v>
      </c>
      <c r="I215" s="169">
        <f t="shared" si="15"/>
        <v>3.4965075614664802</v>
      </c>
      <c r="J215" s="169">
        <f t="shared" si="16"/>
        <v>-0.69314718055994529</v>
      </c>
      <c r="K215" s="169">
        <f t="shared" si="17"/>
        <v>-4.6697087071256629</v>
      </c>
    </row>
    <row r="216" spans="1:11">
      <c r="A216" s="616">
        <f t="shared" si="18"/>
        <v>210</v>
      </c>
      <c r="B216" s="618">
        <v>30449</v>
      </c>
      <c r="C216" s="604">
        <v>0.5625</v>
      </c>
      <c r="D216" s="617" t="s">
        <v>135</v>
      </c>
      <c r="E216" s="620" t="s">
        <v>149</v>
      </c>
      <c r="F216" s="621">
        <v>50</v>
      </c>
      <c r="G216" s="789">
        <v>0.5</v>
      </c>
      <c r="H216" s="790">
        <f t="shared" si="19"/>
        <v>1.4204545454545454E-2</v>
      </c>
      <c r="I216" s="169">
        <f t="shared" si="15"/>
        <v>3.912023005428146</v>
      </c>
      <c r="J216" s="169">
        <f t="shared" si="16"/>
        <v>-0.69314718055994529</v>
      </c>
      <c r="K216" s="169">
        <f t="shared" si="17"/>
        <v>-4.2541932631639972</v>
      </c>
    </row>
    <row r="217" spans="1:11">
      <c r="A217" s="616">
        <f t="shared" si="18"/>
        <v>211</v>
      </c>
      <c r="B217" s="618">
        <v>30477</v>
      </c>
      <c r="C217" s="604">
        <v>0.94791666666666663</v>
      </c>
      <c r="D217" s="617" t="s">
        <v>130</v>
      </c>
      <c r="E217" s="620" t="s">
        <v>149</v>
      </c>
      <c r="F217" s="621">
        <v>70</v>
      </c>
      <c r="G217" s="789">
        <v>0.3</v>
      </c>
      <c r="H217" s="790">
        <f t="shared" si="19"/>
        <v>1.1931818181818181E-2</v>
      </c>
      <c r="I217" s="169">
        <f t="shared" si="15"/>
        <v>4.2484952420493594</v>
      </c>
      <c r="J217" s="169">
        <f t="shared" si="16"/>
        <v>-1.2039728043259361</v>
      </c>
      <c r="K217" s="169">
        <f t="shared" si="17"/>
        <v>-4.4285466503087747</v>
      </c>
    </row>
    <row r="218" spans="1:11">
      <c r="A218" s="616">
        <f t="shared" si="18"/>
        <v>212</v>
      </c>
      <c r="B218" s="618">
        <v>30478</v>
      </c>
      <c r="C218" s="604">
        <v>1.0416666666666666E-2</v>
      </c>
      <c r="D218" s="617" t="s">
        <v>142</v>
      </c>
      <c r="E218" s="620" t="s">
        <v>149</v>
      </c>
      <c r="F218" s="621">
        <v>70</v>
      </c>
      <c r="G218" s="789">
        <v>0.3</v>
      </c>
      <c r="H218" s="790">
        <f t="shared" si="19"/>
        <v>1.1931818181818181E-2</v>
      </c>
      <c r="I218" s="169">
        <f t="shared" si="15"/>
        <v>4.2484952420493594</v>
      </c>
      <c r="J218" s="169">
        <f t="shared" si="16"/>
        <v>-1.2039728043259361</v>
      </c>
      <c r="K218" s="169">
        <f t="shared" si="17"/>
        <v>-4.4285466503087747</v>
      </c>
    </row>
    <row r="219" spans="1:11">
      <c r="A219" s="616">
        <f t="shared" si="18"/>
        <v>213</v>
      </c>
      <c r="B219" s="618">
        <v>30480</v>
      </c>
      <c r="C219" s="604">
        <v>0.61805555555555558</v>
      </c>
      <c r="D219" s="617" t="s">
        <v>132</v>
      </c>
      <c r="E219" s="620" t="s">
        <v>149</v>
      </c>
      <c r="F219" s="621">
        <v>80</v>
      </c>
      <c r="G219" s="789">
        <v>0.3</v>
      </c>
      <c r="H219" s="790">
        <f t="shared" si="19"/>
        <v>1.3636363636363636E-2</v>
      </c>
      <c r="I219" s="169">
        <f t="shared" si="15"/>
        <v>4.3820266346738812</v>
      </c>
      <c r="J219" s="169">
        <f t="shared" si="16"/>
        <v>-1.2039728043259361</v>
      </c>
      <c r="K219" s="169">
        <f t="shared" si="17"/>
        <v>-4.295015257684252</v>
      </c>
    </row>
    <row r="220" spans="1:11">
      <c r="A220" s="616">
        <f t="shared" si="18"/>
        <v>214</v>
      </c>
      <c r="B220" s="618">
        <v>30480</v>
      </c>
      <c r="C220" s="604">
        <v>0.64583333333333337</v>
      </c>
      <c r="D220" s="617" t="s">
        <v>127</v>
      </c>
      <c r="E220" s="620" t="s">
        <v>149</v>
      </c>
      <c r="F220" s="621">
        <v>10</v>
      </c>
      <c r="G220" s="789">
        <v>0.1</v>
      </c>
      <c r="H220" s="790">
        <f t="shared" si="19"/>
        <v>5.6818181818181826E-4</v>
      </c>
      <c r="I220" s="169">
        <f t="shared" si="15"/>
        <v>2.3025850929940459</v>
      </c>
      <c r="J220" s="169">
        <f t="shared" si="16"/>
        <v>-2.3025850929940455</v>
      </c>
      <c r="K220" s="169">
        <f t="shared" si="17"/>
        <v>-7.4730690880321973</v>
      </c>
    </row>
    <row r="221" spans="1:11">
      <c r="A221" s="616">
        <f t="shared" si="18"/>
        <v>215</v>
      </c>
      <c r="B221" s="618">
        <v>30480</v>
      </c>
      <c r="C221" s="604">
        <v>0.7104166666666667</v>
      </c>
      <c r="D221" s="617" t="s">
        <v>128</v>
      </c>
      <c r="E221" s="620" t="s">
        <v>149</v>
      </c>
      <c r="F221" s="621">
        <v>10</v>
      </c>
      <c r="G221" s="789">
        <v>0.1</v>
      </c>
      <c r="H221" s="790">
        <f t="shared" si="19"/>
        <v>5.6818181818181826E-4</v>
      </c>
      <c r="I221" s="169">
        <f t="shared" si="15"/>
        <v>2.3025850929940459</v>
      </c>
      <c r="J221" s="169">
        <f t="shared" si="16"/>
        <v>-2.3025850929940455</v>
      </c>
      <c r="K221" s="169">
        <f t="shared" si="17"/>
        <v>-7.4730690880321973</v>
      </c>
    </row>
    <row r="222" spans="1:11">
      <c r="A222" s="616">
        <f t="shared" si="18"/>
        <v>216</v>
      </c>
      <c r="B222" s="618">
        <v>30549</v>
      </c>
      <c r="C222" s="604">
        <v>0.60416666666666663</v>
      </c>
      <c r="D222" s="617" t="s">
        <v>126</v>
      </c>
      <c r="E222" s="620" t="s">
        <v>149</v>
      </c>
      <c r="F222" s="621">
        <v>10</v>
      </c>
      <c r="G222" s="789">
        <v>0.2</v>
      </c>
      <c r="H222" s="790">
        <f t="shared" si="19"/>
        <v>1.1363636363636365E-3</v>
      </c>
      <c r="I222" s="169">
        <f t="shared" si="15"/>
        <v>2.3025850929940459</v>
      </c>
      <c r="J222" s="169">
        <f t="shared" si="16"/>
        <v>-1.6094379124341003</v>
      </c>
      <c r="K222" s="169">
        <f t="shared" si="17"/>
        <v>-6.7799219074722519</v>
      </c>
    </row>
    <row r="223" spans="1:11">
      <c r="A223" s="616">
        <f t="shared" si="18"/>
        <v>217</v>
      </c>
      <c r="B223" s="618">
        <v>30843</v>
      </c>
      <c r="C223" s="604">
        <v>0.55069444444444449</v>
      </c>
      <c r="D223" s="617" t="s">
        <v>135</v>
      </c>
      <c r="E223" s="620" t="s">
        <v>149</v>
      </c>
      <c r="F223" s="621">
        <v>33</v>
      </c>
      <c r="G223" s="789">
        <v>9</v>
      </c>
      <c r="H223" s="790">
        <f t="shared" si="19"/>
        <v>0.16874999999999998</v>
      </c>
      <c r="I223" s="169">
        <f t="shared" si="15"/>
        <v>3.4965075614664802</v>
      </c>
      <c r="J223" s="169">
        <f t="shared" si="16"/>
        <v>2.1972245773362196</v>
      </c>
      <c r="K223" s="169">
        <f t="shared" si="17"/>
        <v>-1.7793369492294979</v>
      </c>
    </row>
    <row r="224" spans="1:11">
      <c r="A224" s="616">
        <f t="shared" si="18"/>
        <v>218</v>
      </c>
      <c r="B224" s="618">
        <v>30843</v>
      </c>
      <c r="C224" s="604">
        <v>0.61597222222222225</v>
      </c>
      <c r="D224" s="617" t="s">
        <v>143</v>
      </c>
      <c r="E224" s="620" t="s">
        <v>149</v>
      </c>
      <c r="F224" s="621">
        <v>10</v>
      </c>
      <c r="G224" s="789">
        <v>0.1</v>
      </c>
      <c r="H224" s="790">
        <f t="shared" si="19"/>
        <v>5.6818181818181826E-4</v>
      </c>
      <c r="I224" s="169">
        <f t="shared" si="15"/>
        <v>2.3025850929940459</v>
      </c>
      <c r="J224" s="169">
        <f t="shared" si="16"/>
        <v>-2.3025850929940455</v>
      </c>
      <c r="K224" s="169">
        <f t="shared" si="17"/>
        <v>-7.4730690880321973</v>
      </c>
    </row>
    <row r="225" spans="1:11">
      <c r="A225" s="616">
        <f t="shared" si="18"/>
        <v>219</v>
      </c>
      <c r="B225" s="618">
        <v>30860</v>
      </c>
      <c r="C225" s="604">
        <v>0.66805555555555562</v>
      </c>
      <c r="D225" s="617" t="s">
        <v>143</v>
      </c>
      <c r="E225" s="620" t="s">
        <v>149</v>
      </c>
      <c r="F225" s="621">
        <v>10</v>
      </c>
      <c r="G225" s="789">
        <v>0.1</v>
      </c>
      <c r="H225" s="790">
        <f t="shared" si="19"/>
        <v>5.6818181818181826E-4</v>
      </c>
      <c r="I225" s="169">
        <f t="shared" si="15"/>
        <v>2.3025850929940459</v>
      </c>
      <c r="J225" s="169">
        <f t="shared" si="16"/>
        <v>-2.3025850929940455</v>
      </c>
      <c r="K225" s="169">
        <f t="shared" si="17"/>
        <v>-7.4730690880321973</v>
      </c>
    </row>
    <row r="226" spans="1:11">
      <c r="A226" s="616">
        <f t="shared" si="18"/>
        <v>220</v>
      </c>
      <c r="B226" s="618">
        <v>30860</v>
      </c>
      <c r="C226" s="604">
        <v>0.6875</v>
      </c>
      <c r="D226" s="617" t="s">
        <v>148</v>
      </c>
      <c r="E226" s="620" t="s">
        <v>149</v>
      </c>
      <c r="F226" s="621">
        <v>10</v>
      </c>
      <c r="G226" s="789">
        <v>0.1</v>
      </c>
      <c r="H226" s="790">
        <f t="shared" si="19"/>
        <v>5.6818181818181826E-4</v>
      </c>
      <c r="I226" s="169">
        <f t="shared" si="15"/>
        <v>2.3025850929940459</v>
      </c>
      <c r="J226" s="169">
        <f t="shared" si="16"/>
        <v>-2.3025850929940455</v>
      </c>
      <c r="K226" s="169">
        <f t="shared" si="17"/>
        <v>-7.4730690880321973</v>
      </c>
    </row>
    <row r="227" spans="1:11">
      <c r="A227" s="616">
        <f t="shared" si="18"/>
        <v>221</v>
      </c>
      <c r="B227" s="618">
        <v>30860</v>
      </c>
      <c r="C227" s="604">
        <v>0.6875</v>
      </c>
      <c r="D227" s="617" t="s">
        <v>148</v>
      </c>
      <c r="E227" s="620" t="s">
        <v>149</v>
      </c>
      <c r="F227" s="621">
        <v>10</v>
      </c>
      <c r="G227" s="789">
        <v>0.1</v>
      </c>
      <c r="H227" s="790">
        <f t="shared" si="19"/>
        <v>5.6818181818181826E-4</v>
      </c>
      <c r="I227" s="169">
        <f t="shared" si="15"/>
        <v>2.3025850929940459</v>
      </c>
      <c r="J227" s="169">
        <f t="shared" si="16"/>
        <v>-2.3025850929940455</v>
      </c>
      <c r="K227" s="169">
        <f t="shared" si="17"/>
        <v>-7.4730690880321973</v>
      </c>
    </row>
    <row r="228" spans="1:11">
      <c r="A228" s="616">
        <f t="shared" si="18"/>
        <v>222</v>
      </c>
      <c r="B228" s="618">
        <v>30902</v>
      </c>
      <c r="C228" s="604">
        <v>0.97013888888888899</v>
      </c>
      <c r="D228" s="617" t="s">
        <v>145</v>
      </c>
      <c r="E228" s="620" t="s">
        <v>149</v>
      </c>
      <c r="F228" s="621">
        <v>10</v>
      </c>
      <c r="G228" s="789">
        <v>0.1</v>
      </c>
      <c r="H228" s="790">
        <f t="shared" si="19"/>
        <v>5.6818181818181826E-4</v>
      </c>
      <c r="I228" s="169">
        <f t="shared" si="15"/>
        <v>2.3025850929940459</v>
      </c>
      <c r="J228" s="169">
        <f t="shared" si="16"/>
        <v>-2.3025850929940455</v>
      </c>
      <c r="K228" s="169">
        <f t="shared" si="17"/>
        <v>-7.4730690880321973</v>
      </c>
    </row>
    <row r="229" spans="1:11">
      <c r="A229" s="616">
        <f t="shared" si="18"/>
        <v>223</v>
      </c>
      <c r="B229" s="618">
        <v>31163</v>
      </c>
      <c r="C229" s="604">
        <v>0.63194444444444442</v>
      </c>
      <c r="D229" s="617" t="s">
        <v>142</v>
      </c>
      <c r="E229" s="620" t="s">
        <v>149</v>
      </c>
      <c r="F229" s="621">
        <v>30</v>
      </c>
      <c r="G229" s="789">
        <v>0.1</v>
      </c>
      <c r="H229" s="790">
        <f t="shared" si="19"/>
        <v>1.7045454545454545E-3</v>
      </c>
      <c r="I229" s="169">
        <f t="shared" si="15"/>
        <v>3.4011973816621555</v>
      </c>
      <c r="J229" s="169">
        <f t="shared" si="16"/>
        <v>-2.3025850929940455</v>
      </c>
      <c r="K229" s="169">
        <f t="shared" si="17"/>
        <v>-6.3744567993640882</v>
      </c>
    </row>
    <row r="230" spans="1:11">
      <c r="A230" s="616">
        <f t="shared" si="18"/>
        <v>224</v>
      </c>
      <c r="B230" s="618">
        <v>31192</v>
      </c>
      <c r="C230" s="604">
        <v>0.99652777777777779</v>
      </c>
      <c r="D230" s="617" t="s">
        <v>136</v>
      </c>
      <c r="E230" s="620" t="s">
        <v>149</v>
      </c>
      <c r="F230" s="621">
        <v>50</v>
      </c>
      <c r="G230" s="789">
        <v>0.1</v>
      </c>
      <c r="H230" s="790">
        <f t="shared" si="19"/>
        <v>2.840909090909091E-3</v>
      </c>
      <c r="I230" s="169">
        <f t="shared" si="15"/>
        <v>3.912023005428146</v>
      </c>
      <c r="J230" s="169">
        <f t="shared" si="16"/>
        <v>-2.3025850929940455</v>
      </c>
      <c r="K230" s="169">
        <f t="shared" si="17"/>
        <v>-5.8636311755980968</v>
      </c>
    </row>
    <row r="231" spans="1:11">
      <c r="A231" s="616">
        <f t="shared" si="18"/>
        <v>225</v>
      </c>
      <c r="B231" s="618">
        <v>31308</v>
      </c>
      <c r="C231" s="604">
        <v>0.8125</v>
      </c>
      <c r="D231" s="617" t="s">
        <v>132</v>
      </c>
      <c r="E231" s="620" t="s">
        <v>149</v>
      </c>
      <c r="F231" s="621">
        <v>10</v>
      </c>
      <c r="G231" s="789">
        <v>0.1</v>
      </c>
      <c r="H231" s="790">
        <f t="shared" si="19"/>
        <v>5.6818181818181826E-4</v>
      </c>
      <c r="I231" s="169">
        <f t="shared" si="15"/>
        <v>2.3025850929940459</v>
      </c>
      <c r="J231" s="169">
        <f t="shared" si="16"/>
        <v>-2.3025850929940455</v>
      </c>
      <c r="K231" s="169">
        <f t="shared" si="17"/>
        <v>-7.4730690880321973</v>
      </c>
    </row>
    <row r="232" spans="1:11">
      <c r="A232" s="616">
        <f t="shared" si="18"/>
        <v>226</v>
      </c>
      <c r="B232" s="618">
        <v>31539</v>
      </c>
      <c r="C232" s="604">
        <v>0.67500000000000004</v>
      </c>
      <c r="D232" s="617" t="s">
        <v>138</v>
      </c>
      <c r="E232" s="620" t="s">
        <v>149</v>
      </c>
      <c r="F232" s="621">
        <v>100</v>
      </c>
      <c r="G232" s="789">
        <v>1</v>
      </c>
      <c r="H232" s="790">
        <f t="shared" si="19"/>
        <v>5.6818181818181816E-2</v>
      </c>
      <c r="I232" s="169">
        <f t="shared" si="15"/>
        <v>4.6051701859880918</v>
      </c>
      <c r="J232" s="169">
        <f t="shared" si="16"/>
        <v>0</v>
      </c>
      <c r="K232" s="169">
        <f t="shared" si="17"/>
        <v>-2.8678989020441059</v>
      </c>
    </row>
    <row r="233" spans="1:11">
      <c r="A233" s="616">
        <f t="shared" si="18"/>
        <v>227</v>
      </c>
      <c r="B233" s="618">
        <v>31539</v>
      </c>
      <c r="C233" s="604">
        <v>0.70625000000000004</v>
      </c>
      <c r="D233" s="617" t="s">
        <v>138</v>
      </c>
      <c r="E233" s="620" t="s">
        <v>149</v>
      </c>
      <c r="F233" s="621">
        <v>50</v>
      </c>
      <c r="G233" s="789">
        <v>0.2</v>
      </c>
      <c r="H233" s="790">
        <f t="shared" si="19"/>
        <v>5.681818181818182E-3</v>
      </c>
      <c r="I233" s="169">
        <f t="shared" si="15"/>
        <v>3.912023005428146</v>
      </c>
      <c r="J233" s="169">
        <f t="shared" si="16"/>
        <v>-1.6094379124341003</v>
      </c>
      <c r="K233" s="169">
        <f t="shared" si="17"/>
        <v>-5.1704839950381514</v>
      </c>
    </row>
    <row r="234" spans="1:11">
      <c r="A234" s="616">
        <f t="shared" si="18"/>
        <v>228</v>
      </c>
      <c r="B234" s="618">
        <v>31539</v>
      </c>
      <c r="C234" s="604">
        <v>0.75555555555555554</v>
      </c>
      <c r="D234" s="617" t="s">
        <v>138</v>
      </c>
      <c r="E234" s="620" t="s">
        <v>149</v>
      </c>
      <c r="F234" s="621">
        <v>50</v>
      </c>
      <c r="G234" s="789">
        <v>0.2</v>
      </c>
      <c r="H234" s="790">
        <f t="shared" si="19"/>
        <v>5.681818181818182E-3</v>
      </c>
      <c r="I234" s="169">
        <f t="shared" si="15"/>
        <v>3.912023005428146</v>
      </c>
      <c r="J234" s="169">
        <f t="shared" si="16"/>
        <v>-1.6094379124341003</v>
      </c>
      <c r="K234" s="169">
        <f t="shared" si="17"/>
        <v>-5.1704839950381514</v>
      </c>
    </row>
    <row r="235" spans="1:11">
      <c r="A235" s="616">
        <f t="shared" si="18"/>
        <v>229</v>
      </c>
      <c r="B235" s="618">
        <v>31539</v>
      </c>
      <c r="C235" s="604">
        <v>0.78472222222222221</v>
      </c>
      <c r="D235" s="617" t="s">
        <v>133</v>
      </c>
      <c r="E235" s="620" t="s">
        <v>149</v>
      </c>
      <c r="F235" s="621">
        <v>10</v>
      </c>
      <c r="G235" s="789">
        <v>0.2</v>
      </c>
      <c r="H235" s="790">
        <f t="shared" si="19"/>
        <v>1.1363636363636365E-3</v>
      </c>
      <c r="I235" s="169">
        <f t="shared" si="15"/>
        <v>2.3025850929940459</v>
      </c>
      <c r="J235" s="169">
        <f t="shared" si="16"/>
        <v>-1.6094379124341003</v>
      </c>
      <c r="K235" s="169">
        <f t="shared" si="17"/>
        <v>-6.7799219074722519</v>
      </c>
    </row>
    <row r="236" spans="1:11">
      <c r="A236" s="616">
        <f t="shared" si="18"/>
        <v>230</v>
      </c>
      <c r="B236" s="618">
        <v>31546</v>
      </c>
      <c r="C236" s="604">
        <v>0.5625</v>
      </c>
      <c r="D236" s="617" t="s">
        <v>129</v>
      </c>
      <c r="E236" s="620" t="s">
        <v>149</v>
      </c>
      <c r="F236" s="621">
        <v>10</v>
      </c>
      <c r="G236" s="789">
        <v>0.2</v>
      </c>
      <c r="H236" s="790">
        <f t="shared" si="19"/>
        <v>1.1363636363636365E-3</v>
      </c>
      <c r="I236" s="169">
        <f t="shared" si="15"/>
        <v>2.3025850929940459</v>
      </c>
      <c r="J236" s="169">
        <f t="shared" si="16"/>
        <v>-1.6094379124341003</v>
      </c>
      <c r="K236" s="169">
        <f t="shared" si="17"/>
        <v>-6.7799219074722519</v>
      </c>
    </row>
    <row r="237" spans="1:11">
      <c r="A237" s="616">
        <f t="shared" si="18"/>
        <v>231</v>
      </c>
      <c r="B237" s="618">
        <v>31546</v>
      </c>
      <c r="C237" s="604">
        <v>0.5625</v>
      </c>
      <c r="D237" s="617" t="s">
        <v>145</v>
      </c>
      <c r="E237" s="620" t="s">
        <v>149</v>
      </c>
      <c r="F237" s="621">
        <v>50</v>
      </c>
      <c r="G237" s="789">
        <v>3</v>
      </c>
      <c r="H237" s="790">
        <f t="shared" si="19"/>
        <v>8.5227272727272721E-2</v>
      </c>
      <c r="I237" s="169">
        <f t="shared" si="15"/>
        <v>3.912023005428146</v>
      </c>
      <c r="J237" s="169">
        <f t="shared" si="16"/>
        <v>1.0986122886681098</v>
      </c>
      <c r="K237" s="169">
        <f t="shared" si="17"/>
        <v>-2.4624337939359418</v>
      </c>
    </row>
    <row r="238" spans="1:11">
      <c r="A238" s="616">
        <f t="shared" si="18"/>
        <v>232</v>
      </c>
      <c r="B238" s="618">
        <v>31546</v>
      </c>
      <c r="C238" s="604">
        <v>0.58888888888888891</v>
      </c>
      <c r="D238" s="617" t="s">
        <v>146</v>
      </c>
      <c r="E238" s="620" t="s">
        <v>149</v>
      </c>
      <c r="F238" s="621">
        <v>30</v>
      </c>
      <c r="G238" s="789">
        <v>0.2</v>
      </c>
      <c r="H238" s="790">
        <f t="shared" si="19"/>
        <v>3.4090909090909089E-3</v>
      </c>
      <c r="I238" s="169">
        <f t="shared" si="15"/>
        <v>3.4011973816621555</v>
      </c>
      <c r="J238" s="169">
        <f t="shared" si="16"/>
        <v>-1.6094379124341003</v>
      </c>
      <c r="K238" s="169">
        <f t="shared" si="17"/>
        <v>-5.6813096188041428</v>
      </c>
    </row>
    <row r="239" spans="1:11">
      <c r="A239" s="616">
        <f t="shared" si="18"/>
        <v>233</v>
      </c>
      <c r="B239" s="618">
        <v>31548</v>
      </c>
      <c r="C239" s="604">
        <v>0.73124999999999996</v>
      </c>
      <c r="D239" s="617" t="s">
        <v>147</v>
      </c>
      <c r="E239" s="620" t="s">
        <v>149</v>
      </c>
      <c r="F239" s="621">
        <v>30</v>
      </c>
      <c r="G239" s="789">
        <v>0.2</v>
      </c>
      <c r="H239" s="790">
        <f t="shared" si="19"/>
        <v>3.4090909090909089E-3</v>
      </c>
      <c r="I239" s="169">
        <f t="shared" si="15"/>
        <v>3.4011973816621555</v>
      </c>
      <c r="J239" s="169">
        <f t="shared" si="16"/>
        <v>-1.6094379124341003</v>
      </c>
      <c r="K239" s="169">
        <f t="shared" si="17"/>
        <v>-5.6813096188041428</v>
      </c>
    </row>
    <row r="240" spans="1:11">
      <c r="A240" s="616">
        <f t="shared" si="18"/>
        <v>234</v>
      </c>
      <c r="B240" s="618">
        <v>31571</v>
      </c>
      <c r="C240" s="604">
        <v>0.55138888888888882</v>
      </c>
      <c r="D240" s="617" t="s">
        <v>147</v>
      </c>
      <c r="E240" s="620" t="s">
        <v>149</v>
      </c>
      <c r="F240" s="621">
        <v>40</v>
      </c>
      <c r="G240" s="789">
        <v>0.2</v>
      </c>
      <c r="H240" s="790">
        <f t="shared" si="19"/>
        <v>4.5454545454545461E-3</v>
      </c>
      <c r="I240" s="169">
        <f t="shared" si="15"/>
        <v>3.6888794541139363</v>
      </c>
      <c r="J240" s="169">
        <f t="shared" si="16"/>
        <v>-1.6094379124341003</v>
      </c>
      <c r="K240" s="169">
        <f t="shared" si="17"/>
        <v>-5.3936275463523611</v>
      </c>
    </row>
    <row r="241" spans="1:11">
      <c r="A241" s="616">
        <f t="shared" si="18"/>
        <v>235</v>
      </c>
      <c r="B241" s="618">
        <v>31571</v>
      </c>
      <c r="C241" s="604">
        <v>0.63194444444444442</v>
      </c>
      <c r="D241" s="617" t="s">
        <v>147</v>
      </c>
      <c r="E241" s="620" t="s">
        <v>149</v>
      </c>
      <c r="F241" s="621">
        <v>30</v>
      </c>
      <c r="G241" s="789">
        <v>0.2</v>
      </c>
      <c r="H241" s="790">
        <f t="shared" si="19"/>
        <v>3.4090909090909089E-3</v>
      </c>
      <c r="I241" s="169">
        <f t="shared" si="15"/>
        <v>3.4011973816621555</v>
      </c>
      <c r="J241" s="169">
        <f t="shared" si="16"/>
        <v>-1.6094379124341003</v>
      </c>
      <c r="K241" s="169">
        <f t="shared" si="17"/>
        <v>-5.6813096188041428</v>
      </c>
    </row>
    <row r="242" spans="1:11">
      <c r="A242" s="616">
        <f t="shared" si="18"/>
        <v>236</v>
      </c>
      <c r="B242" s="618">
        <v>31593</v>
      </c>
      <c r="C242" s="604">
        <v>0.83680555555555547</v>
      </c>
      <c r="D242" s="617" t="s">
        <v>135</v>
      </c>
      <c r="E242" s="620" t="s">
        <v>149</v>
      </c>
      <c r="F242" s="621">
        <v>30</v>
      </c>
      <c r="G242" s="789">
        <v>0.2</v>
      </c>
      <c r="H242" s="790">
        <f t="shared" si="19"/>
        <v>3.4090909090909089E-3</v>
      </c>
      <c r="I242" s="169">
        <f t="shared" si="15"/>
        <v>3.4011973816621555</v>
      </c>
      <c r="J242" s="169">
        <f t="shared" si="16"/>
        <v>-1.6094379124341003</v>
      </c>
      <c r="K242" s="169">
        <f t="shared" si="17"/>
        <v>-5.6813096188041428</v>
      </c>
    </row>
    <row r="243" spans="1:11">
      <c r="A243" s="616">
        <f t="shared" si="18"/>
        <v>237</v>
      </c>
      <c r="B243" s="618">
        <v>31605</v>
      </c>
      <c r="C243" s="604">
        <v>0.78819444444444453</v>
      </c>
      <c r="D243" s="617" t="s">
        <v>146</v>
      </c>
      <c r="E243" s="620" t="s">
        <v>149</v>
      </c>
      <c r="F243" s="621">
        <v>30</v>
      </c>
      <c r="G243" s="789">
        <v>0.2</v>
      </c>
      <c r="H243" s="790">
        <f t="shared" si="19"/>
        <v>3.4090909090909089E-3</v>
      </c>
      <c r="I243" s="169">
        <f t="shared" si="15"/>
        <v>3.4011973816621555</v>
      </c>
      <c r="J243" s="169">
        <f t="shared" si="16"/>
        <v>-1.6094379124341003</v>
      </c>
      <c r="K243" s="169">
        <f t="shared" si="17"/>
        <v>-5.6813096188041428</v>
      </c>
    </row>
    <row r="244" spans="1:11">
      <c r="A244" s="616">
        <f t="shared" si="18"/>
        <v>238</v>
      </c>
      <c r="B244" s="618">
        <v>31626</v>
      </c>
      <c r="C244" s="604">
        <v>0.64583333333333337</v>
      </c>
      <c r="D244" s="617" t="s">
        <v>126</v>
      </c>
      <c r="E244" s="620" t="s">
        <v>149</v>
      </c>
      <c r="F244" s="621">
        <v>50</v>
      </c>
      <c r="G244" s="789">
        <v>0.5</v>
      </c>
      <c r="H244" s="790">
        <f t="shared" si="19"/>
        <v>1.4204545454545454E-2</v>
      </c>
      <c r="I244" s="169">
        <f t="shared" si="15"/>
        <v>3.912023005428146</v>
      </c>
      <c r="J244" s="169">
        <f t="shared" si="16"/>
        <v>-0.69314718055994529</v>
      </c>
      <c r="K244" s="169">
        <f t="shared" si="17"/>
        <v>-4.2541932631639972</v>
      </c>
    </row>
    <row r="245" spans="1:11">
      <c r="A245" s="616">
        <f t="shared" si="18"/>
        <v>239</v>
      </c>
      <c r="B245" s="618" t="s">
        <v>0</v>
      </c>
      <c r="C245" s="604">
        <v>0.77777777777777779</v>
      </c>
      <c r="D245" s="617" t="s">
        <v>148</v>
      </c>
      <c r="E245" s="620" t="s">
        <v>149</v>
      </c>
      <c r="F245" s="621">
        <v>30</v>
      </c>
      <c r="G245" s="789">
        <v>0.2</v>
      </c>
      <c r="H245" s="790">
        <f t="shared" si="19"/>
        <v>3.4090909090909089E-3</v>
      </c>
      <c r="I245" s="169">
        <f t="shared" si="15"/>
        <v>3.4011973816621555</v>
      </c>
      <c r="J245" s="169">
        <f t="shared" si="16"/>
        <v>-1.6094379124341003</v>
      </c>
      <c r="K245" s="169">
        <f t="shared" si="17"/>
        <v>-5.6813096188041428</v>
      </c>
    </row>
    <row r="246" spans="1:11">
      <c r="A246" s="616">
        <f t="shared" si="18"/>
        <v>240</v>
      </c>
      <c r="B246" s="618">
        <v>31900</v>
      </c>
      <c r="C246" s="604">
        <v>0.56944444444444442</v>
      </c>
      <c r="D246" s="617" t="s">
        <v>126</v>
      </c>
      <c r="E246" s="620" t="s">
        <v>149</v>
      </c>
      <c r="F246" s="621">
        <v>30</v>
      </c>
      <c r="G246" s="789">
        <v>0.1</v>
      </c>
      <c r="H246" s="790">
        <f t="shared" si="19"/>
        <v>1.7045454545454545E-3</v>
      </c>
      <c r="I246" s="169">
        <f t="shared" si="15"/>
        <v>3.4011973816621555</v>
      </c>
      <c r="J246" s="169">
        <f t="shared" si="16"/>
        <v>-2.3025850929940455</v>
      </c>
      <c r="K246" s="169">
        <f t="shared" si="17"/>
        <v>-6.3744567993640882</v>
      </c>
    </row>
    <row r="247" spans="1:11">
      <c r="A247" s="616">
        <f t="shared" si="18"/>
        <v>241</v>
      </c>
      <c r="B247" s="618">
        <v>31918</v>
      </c>
      <c r="C247" s="604">
        <v>0.70138888888888884</v>
      </c>
      <c r="D247" s="617" t="s">
        <v>142</v>
      </c>
      <c r="E247" s="620" t="s">
        <v>149</v>
      </c>
      <c r="F247" s="621">
        <v>40</v>
      </c>
      <c r="G247" s="789">
        <v>1.5</v>
      </c>
      <c r="H247" s="790">
        <f t="shared" si="19"/>
        <v>3.4090909090909088E-2</v>
      </c>
      <c r="I247" s="169">
        <f t="shared" si="15"/>
        <v>3.6888794541139363</v>
      </c>
      <c r="J247" s="169">
        <f t="shared" si="16"/>
        <v>0.40546510810816438</v>
      </c>
      <c r="K247" s="169">
        <f t="shared" si="17"/>
        <v>-3.3787245258100969</v>
      </c>
    </row>
    <row r="248" spans="1:11">
      <c r="A248" s="616">
        <f t="shared" si="18"/>
        <v>242</v>
      </c>
      <c r="B248" s="618">
        <v>31921</v>
      </c>
      <c r="C248" s="604">
        <v>0.89583333333333337</v>
      </c>
      <c r="D248" s="617" t="s">
        <v>147</v>
      </c>
      <c r="E248" s="620" t="s">
        <v>149</v>
      </c>
      <c r="F248" s="621">
        <v>50</v>
      </c>
      <c r="G248" s="789">
        <v>0.5</v>
      </c>
      <c r="H248" s="790">
        <f t="shared" si="19"/>
        <v>1.4204545454545454E-2</v>
      </c>
      <c r="I248" s="169">
        <f t="shared" si="15"/>
        <v>3.912023005428146</v>
      </c>
      <c r="J248" s="169">
        <f t="shared" si="16"/>
        <v>-0.69314718055994529</v>
      </c>
      <c r="K248" s="169">
        <f t="shared" si="17"/>
        <v>-4.2541932631639972</v>
      </c>
    </row>
    <row r="249" spans="1:11">
      <c r="A249" s="616">
        <f t="shared" si="18"/>
        <v>243</v>
      </c>
      <c r="B249" s="618">
        <v>31922</v>
      </c>
      <c r="C249" s="604">
        <v>0.76041666666666663</v>
      </c>
      <c r="D249" s="617" t="s">
        <v>131</v>
      </c>
      <c r="E249" s="620" t="s">
        <v>149</v>
      </c>
      <c r="F249" s="621">
        <v>40</v>
      </c>
      <c r="G249" s="789">
        <v>0.1</v>
      </c>
      <c r="H249" s="790">
        <f t="shared" si="19"/>
        <v>2.2727272727272731E-3</v>
      </c>
      <c r="I249" s="169">
        <f t="shared" si="15"/>
        <v>3.6888794541139363</v>
      </c>
      <c r="J249" s="169">
        <f t="shared" si="16"/>
        <v>-2.3025850929940455</v>
      </c>
      <c r="K249" s="169">
        <f t="shared" si="17"/>
        <v>-6.0867747269123065</v>
      </c>
    </row>
    <row r="250" spans="1:11">
      <c r="A250" s="616">
        <f t="shared" si="18"/>
        <v>244</v>
      </c>
      <c r="B250" s="618">
        <v>31922</v>
      </c>
      <c r="C250" s="604">
        <v>0.78680555555555554</v>
      </c>
      <c r="D250" s="617" t="s">
        <v>145</v>
      </c>
      <c r="E250" s="620" t="s">
        <v>149</v>
      </c>
      <c r="F250" s="621">
        <v>50</v>
      </c>
      <c r="G250" s="789">
        <v>1</v>
      </c>
      <c r="H250" s="790">
        <f t="shared" si="19"/>
        <v>2.8409090909090908E-2</v>
      </c>
      <c r="I250" s="169">
        <f t="shared" si="15"/>
        <v>3.912023005428146</v>
      </c>
      <c r="J250" s="169">
        <f t="shared" si="16"/>
        <v>0</v>
      </c>
      <c r="K250" s="169">
        <f t="shared" si="17"/>
        <v>-3.5610460826040513</v>
      </c>
    </row>
    <row r="251" spans="1:11">
      <c r="A251" s="616">
        <f t="shared" si="18"/>
        <v>245</v>
      </c>
      <c r="B251" s="618">
        <v>31922</v>
      </c>
      <c r="C251" s="604">
        <v>0.83888888888888891</v>
      </c>
      <c r="D251" s="617" t="s">
        <v>145</v>
      </c>
      <c r="E251" s="620" t="s">
        <v>149</v>
      </c>
      <c r="F251" s="621">
        <v>50</v>
      </c>
      <c r="G251" s="789">
        <v>0.1</v>
      </c>
      <c r="H251" s="790">
        <f t="shared" si="19"/>
        <v>2.840909090909091E-3</v>
      </c>
      <c r="I251" s="169">
        <f t="shared" si="15"/>
        <v>3.912023005428146</v>
      </c>
      <c r="J251" s="169">
        <f t="shared" si="16"/>
        <v>-2.3025850929940455</v>
      </c>
      <c r="K251" s="169">
        <f t="shared" si="17"/>
        <v>-5.8636311755980968</v>
      </c>
    </row>
    <row r="252" spans="1:11">
      <c r="A252" s="616">
        <f t="shared" si="18"/>
        <v>246</v>
      </c>
      <c r="B252" s="618">
        <v>31922</v>
      </c>
      <c r="C252" s="604">
        <v>0.84722222222222221</v>
      </c>
      <c r="D252" s="617" t="s">
        <v>145</v>
      </c>
      <c r="E252" s="620" t="s">
        <v>149</v>
      </c>
      <c r="F252" s="621">
        <v>60</v>
      </c>
      <c r="G252" s="789">
        <v>3</v>
      </c>
      <c r="H252" s="790">
        <f t="shared" si="19"/>
        <v>0.10227272727272727</v>
      </c>
      <c r="I252" s="169">
        <f t="shared" si="15"/>
        <v>4.0943445622221004</v>
      </c>
      <c r="J252" s="169">
        <f t="shared" si="16"/>
        <v>1.0986122886681098</v>
      </c>
      <c r="K252" s="169">
        <f t="shared" si="17"/>
        <v>-2.2801122371419873</v>
      </c>
    </row>
    <row r="253" spans="1:11">
      <c r="A253" s="616">
        <f t="shared" si="18"/>
        <v>247</v>
      </c>
      <c r="B253" s="618">
        <v>31922</v>
      </c>
      <c r="C253" s="604">
        <v>0.89583333333333337</v>
      </c>
      <c r="D253" s="617" t="s">
        <v>140</v>
      </c>
      <c r="E253" s="620" t="s">
        <v>149</v>
      </c>
      <c r="F253" s="621">
        <v>40</v>
      </c>
      <c r="G253" s="789">
        <v>0.1</v>
      </c>
      <c r="H253" s="790">
        <f t="shared" si="19"/>
        <v>2.2727272727272731E-3</v>
      </c>
      <c r="I253" s="169">
        <f t="shared" si="15"/>
        <v>3.6888794541139363</v>
      </c>
      <c r="J253" s="169">
        <f t="shared" si="16"/>
        <v>-2.3025850929940455</v>
      </c>
      <c r="K253" s="169">
        <f t="shared" si="17"/>
        <v>-6.0867747269123065</v>
      </c>
    </row>
    <row r="254" spans="1:11">
      <c r="A254" s="616">
        <f t="shared" si="18"/>
        <v>248</v>
      </c>
      <c r="B254" s="618">
        <v>31923</v>
      </c>
      <c r="C254" s="604">
        <v>0.92013888888888884</v>
      </c>
      <c r="D254" s="617" t="s">
        <v>127</v>
      </c>
      <c r="E254" s="620" t="s">
        <v>149</v>
      </c>
      <c r="F254" s="621">
        <v>30</v>
      </c>
      <c r="G254" s="789">
        <v>0.1</v>
      </c>
      <c r="H254" s="790">
        <f t="shared" si="19"/>
        <v>1.7045454545454545E-3</v>
      </c>
      <c r="I254" s="169">
        <f t="shared" si="15"/>
        <v>3.4011973816621555</v>
      </c>
      <c r="J254" s="169">
        <f t="shared" si="16"/>
        <v>-2.3025850929940455</v>
      </c>
      <c r="K254" s="169">
        <f t="shared" si="17"/>
        <v>-6.3744567993640882</v>
      </c>
    </row>
    <row r="255" spans="1:11">
      <c r="A255" s="616">
        <f t="shared" si="18"/>
        <v>249</v>
      </c>
      <c r="B255" s="618">
        <v>31930</v>
      </c>
      <c r="C255" s="604">
        <v>0.80555555555555547</v>
      </c>
      <c r="D255" s="617" t="s">
        <v>140</v>
      </c>
      <c r="E255" s="620" t="s">
        <v>149</v>
      </c>
      <c r="F255" s="621">
        <v>40</v>
      </c>
      <c r="G255" s="789">
        <v>0.1</v>
      </c>
      <c r="H255" s="790">
        <f t="shared" si="19"/>
        <v>2.2727272727272731E-3</v>
      </c>
      <c r="I255" s="169">
        <f t="shared" si="15"/>
        <v>3.6888794541139363</v>
      </c>
      <c r="J255" s="169">
        <f t="shared" si="16"/>
        <v>-2.3025850929940455</v>
      </c>
      <c r="K255" s="169">
        <f t="shared" si="17"/>
        <v>-6.0867747269123065</v>
      </c>
    </row>
    <row r="256" spans="1:11">
      <c r="A256" s="616">
        <f t="shared" si="18"/>
        <v>250</v>
      </c>
      <c r="B256" s="618">
        <v>31957</v>
      </c>
      <c r="C256" s="604">
        <v>0.60763888888888895</v>
      </c>
      <c r="D256" s="617" t="s">
        <v>132</v>
      </c>
      <c r="E256" s="620" t="s">
        <v>149</v>
      </c>
      <c r="F256" s="621">
        <v>40</v>
      </c>
      <c r="G256" s="789">
        <v>0.1</v>
      </c>
      <c r="H256" s="790">
        <f t="shared" si="19"/>
        <v>2.2727272727272731E-3</v>
      </c>
      <c r="I256" s="169">
        <f t="shared" si="15"/>
        <v>3.6888794541139363</v>
      </c>
      <c r="J256" s="169">
        <f t="shared" si="16"/>
        <v>-2.3025850929940455</v>
      </c>
      <c r="K256" s="169">
        <f t="shared" si="17"/>
        <v>-6.0867747269123065</v>
      </c>
    </row>
    <row r="257" spans="1:11">
      <c r="A257" s="616">
        <f t="shared" si="18"/>
        <v>251</v>
      </c>
      <c r="B257" s="618">
        <v>31972</v>
      </c>
      <c r="C257" s="604">
        <v>0.66111111111111109</v>
      </c>
      <c r="D257" s="617" t="s">
        <v>131</v>
      </c>
      <c r="E257" s="620" t="s">
        <v>149</v>
      </c>
      <c r="F257" s="621">
        <v>60</v>
      </c>
      <c r="G257" s="789">
        <v>1</v>
      </c>
      <c r="H257" s="790">
        <f t="shared" si="19"/>
        <v>3.4090909090909088E-2</v>
      </c>
      <c r="I257" s="169">
        <f t="shared" si="15"/>
        <v>4.0943445622221004</v>
      </c>
      <c r="J257" s="169">
        <f t="shared" si="16"/>
        <v>0</v>
      </c>
      <c r="K257" s="169">
        <f t="shared" si="17"/>
        <v>-3.3787245258100969</v>
      </c>
    </row>
    <row r="258" spans="1:11">
      <c r="A258" s="616">
        <f t="shared" si="18"/>
        <v>252</v>
      </c>
      <c r="B258" s="618">
        <v>32031</v>
      </c>
      <c r="C258" s="604">
        <v>0.90277777777777779</v>
      </c>
      <c r="D258" s="617" t="s">
        <v>131</v>
      </c>
      <c r="E258" s="620" t="s">
        <v>149</v>
      </c>
      <c r="F258" s="621">
        <v>40</v>
      </c>
      <c r="G258" s="789">
        <v>0.1</v>
      </c>
      <c r="H258" s="790">
        <f t="shared" si="19"/>
        <v>2.2727272727272731E-3</v>
      </c>
      <c r="I258" s="169">
        <f t="shared" si="15"/>
        <v>3.6888794541139363</v>
      </c>
      <c r="J258" s="169">
        <f t="shared" si="16"/>
        <v>-2.3025850929940455</v>
      </c>
      <c r="K258" s="169">
        <f t="shared" si="17"/>
        <v>-6.0867747269123065</v>
      </c>
    </row>
    <row r="259" spans="1:11">
      <c r="A259" s="616">
        <f t="shared" si="18"/>
        <v>253</v>
      </c>
      <c r="B259" s="618">
        <v>32293</v>
      </c>
      <c r="C259" s="604">
        <v>0.77430555555555547</v>
      </c>
      <c r="D259" s="617" t="s">
        <v>129</v>
      </c>
      <c r="E259" s="620" t="s">
        <v>149</v>
      </c>
      <c r="F259" s="621">
        <v>100</v>
      </c>
      <c r="G259" s="789">
        <v>3</v>
      </c>
      <c r="H259" s="790">
        <f t="shared" si="19"/>
        <v>0.17045454545454544</v>
      </c>
      <c r="I259" s="169">
        <f t="shared" si="15"/>
        <v>4.6051701859880918</v>
      </c>
      <c r="J259" s="169">
        <f t="shared" si="16"/>
        <v>1.0986122886681098</v>
      </c>
      <c r="K259" s="169">
        <f t="shared" si="17"/>
        <v>-1.7692866133759966</v>
      </c>
    </row>
    <row r="260" spans="1:11">
      <c r="A260" s="616">
        <f t="shared" si="18"/>
        <v>254</v>
      </c>
      <c r="B260" s="618">
        <v>32372</v>
      </c>
      <c r="C260" s="604">
        <v>0.66180555555555554</v>
      </c>
      <c r="D260" s="617" t="s">
        <v>141</v>
      </c>
      <c r="E260" s="620" t="s">
        <v>149</v>
      </c>
      <c r="F260" s="621">
        <v>30</v>
      </c>
      <c r="G260" s="789">
        <v>0.1</v>
      </c>
      <c r="H260" s="790">
        <f t="shared" si="19"/>
        <v>1.7045454545454545E-3</v>
      </c>
      <c r="I260" s="169">
        <f t="shared" si="15"/>
        <v>3.4011973816621555</v>
      </c>
      <c r="J260" s="169">
        <f t="shared" si="16"/>
        <v>-2.3025850929940455</v>
      </c>
      <c r="K260" s="169">
        <f t="shared" si="17"/>
        <v>-6.3744567993640882</v>
      </c>
    </row>
    <row r="261" spans="1:11">
      <c r="A261" s="616">
        <f t="shared" si="18"/>
        <v>255</v>
      </c>
      <c r="B261" s="618">
        <v>32628</v>
      </c>
      <c r="C261" s="604">
        <v>0.71875</v>
      </c>
      <c r="D261" s="617" t="s">
        <v>135</v>
      </c>
      <c r="E261" s="620" t="s">
        <v>149</v>
      </c>
      <c r="F261" s="621">
        <v>40</v>
      </c>
      <c r="G261" s="789">
        <v>0.3</v>
      </c>
      <c r="H261" s="790">
        <f t="shared" si="19"/>
        <v>6.8181818181818179E-3</v>
      </c>
      <c r="I261" s="169">
        <f t="shared" si="15"/>
        <v>3.6888794541139363</v>
      </c>
      <c r="J261" s="169">
        <f t="shared" si="16"/>
        <v>-1.2039728043259361</v>
      </c>
      <c r="K261" s="169">
        <f t="shared" si="17"/>
        <v>-4.9881624382441974</v>
      </c>
    </row>
    <row r="262" spans="1:11">
      <c r="A262" s="616">
        <f t="shared" si="18"/>
        <v>256</v>
      </c>
      <c r="B262" s="618">
        <v>32628</v>
      </c>
      <c r="C262" s="604">
        <v>0.76944444444444438</v>
      </c>
      <c r="D262" s="617" t="s">
        <v>140</v>
      </c>
      <c r="E262" s="620" t="s">
        <v>149</v>
      </c>
      <c r="F262" s="621">
        <v>20</v>
      </c>
      <c r="G262" s="789">
        <v>0.1</v>
      </c>
      <c r="H262" s="790">
        <f t="shared" si="19"/>
        <v>1.1363636363636365E-3</v>
      </c>
      <c r="I262" s="169">
        <f t="shared" si="15"/>
        <v>2.9957322735539909</v>
      </c>
      <c r="J262" s="169">
        <f t="shared" si="16"/>
        <v>-2.3025850929940455</v>
      </c>
      <c r="K262" s="169">
        <f t="shared" si="17"/>
        <v>-6.7799219074722519</v>
      </c>
    </row>
    <row r="263" spans="1:11">
      <c r="A263" s="616">
        <f t="shared" si="18"/>
        <v>257</v>
      </c>
      <c r="B263" s="618">
        <v>32628</v>
      </c>
      <c r="C263" s="604">
        <v>0.76944444444444438</v>
      </c>
      <c r="D263" s="617" t="s">
        <v>145</v>
      </c>
      <c r="E263" s="620" t="s">
        <v>149</v>
      </c>
      <c r="F263" s="621">
        <v>20</v>
      </c>
      <c r="G263" s="789">
        <v>0.2</v>
      </c>
      <c r="H263" s="790">
        <f t="shared" si="19"/>
        <v>2.2727272727272731E-3</v>
      </c>
      <c r="I263" s="169">
        <f t="shared" si="15"/>
        <v>2.9957322735539909</v>
      </c>
      <c r="J263" s="169">
        <f t="shared" si="16"/>
        <v>-1.6094379124341003</v>
      </c>
      <c r="K263" s="169">
        <f t="shared" si="17"/>
        <v>-6.0867747269123065</v>
      </c>
    </row>
    <row r="264" spans="1:11">
      <c r="A264" s="616">
        <f t="shared" si="18"/>
        <v>258</v>
      </c>
      <c r="B264" s="618">
        <v>32632</v>
      </c>
      <c r="C264" s="604">
        <v>0.64583333333333337</v>
      </c>
      <c r="D264" s="617" t="s">
        <v>135</v>
      </c>
      <c r="E264" s="620" t="s">
        <v>149</v>
      </c>
      <c r="F264" s="621">
        <v>40</v>
      </c>
      <c r="G264" s="789">
        <v>1</v>
      </c>
      <c r="H264" s="790">
        <f t="shared" si="19"/>
        <v>2.2727272727272728E-2</v>
      </c>
      <c r="I264" s="169">
        <f t="shared" ref="I264:I327" si="20">LN(F264)</f>
        <v>3.6888794541139363</v>
      </c>
      <c r="J264" s="169">
        <f t="shared" ref="J264:J327" si="21">LN(G264)</f>
        <v>0</v>
      </c>
      <c r="K264" s="169">
        <f t="shared" ref="K264:K327" si="22">LN(H264)</f>
        <v>-3.784189633918261</v>
      </c>
    </row>
    <row r="265" spans="1:11">
      <c r="A265" s="616">
        <f t="shared" ref="A265:A328" si="23">+A264+1</f>
        <v>259</v>
      </c>
      <c r="B265" s="618">
        <v>32632</v>
      </c>
      <c r="C265" s="604">
        <v>0.65625</v>
      </c>
      <c r="D265" s="617" t="s">
        <v>135</v>
      </c>
      <c r="E265" s="620" t="s">
        <v>149</v>
      </c>
      <c r="F265" s="621">
        <v>40</v>
      </c>
      <c r="G265" s="789">
        <v>1</v>
      </c>
      <c r="H265" s="790">
        <f t="shared" ref="H265:H328" si="24">+(F265/1760)*G265</f>
        <v>2.2727272727272728E-2</v>
      </c>
      <c r="I265" s="169">
        <f t="shared" si="20"/>
        <v>3.6888794541139363</v>
      </c>
      <c r="J265" s="169">
        <f t="shared" si="21"/>
        <v>0</v>
      </c>
      <c r="K265" s="169">
        <f t="shared" si="22"/>
        <v>-3.784189633918261</v>
      </c>
    </row>
    <row r="266" spans="1:11">
      <c r="A266" s="616">
        <f t="shared" si="23"/>
        <v>260</v>
      </c>
      <c r="B266" s="618">
        <v>32632</v>
      </c>
      <c r="C266" s="604">
        <v>0.71180555555555547</v>
      </c>
      <c r="D266" s="617" t="s">
        <v>145</v>
      </c>
      <c r="E266" s="620" t="s">
        <v>149</v>
      </c>
      <c r="F266" s="621">
        <v>50</v>
      </c>
      <c r="G266" s="789">
        <v>2</v>
      </c>
      <c r="H266" s="790">
        <f t="shared" si="24"/>
        <v>5.6818181818181816E-2</v>
      </c>
      <c r="I266" s="169">
        <f t="shared" si="20"/>
        <v>3.912023005428146</v>
      </c>
      <c r="J266" s="169">
        <f t="shared" si="21"/>
        <v>0.69314718055994529</v>
      </c>
      <c r="K266" s="169">
        <f t="shared" si="22"/>
        <v>-2.8678989020441059</v>
      </c>
    </row>
    <row r="267" spans="1:11">
      <c r="A267" s="616">
        <f t="shared" si="23"/>
        <v>261</v>
      </c>
      <c r="B267" s="618">
        <v>32640</v>
      </c>
      <c r="C267" s="604">
        <v>0.76875000000000004</v>
      </c>
      <c r="D267" s="617" t="s">
        <v>139</v>
      </c>
      <c r="E267" s="620" t="s">
        <v>149</v>
      </c>
      <c r="F267" s="621">
        <v>60</v>
      </c>
      <c r="G267" s="789">
        <v>2</v>
      </c>
      <c r="H267" s="790">
        <f t="shared" si="24"/>
        <v>6.8181818181818177E-2</v>
      </c>
      <c r="I267" s="169">
        <f t="shared" si="20"/>
        <v>4.0943445622221004</v>
      </c>
      <c r="J267" s="169">
        <f t="shared" si="21"/>
        <v>0.69314718055994529</v>
      </c>
      <c r="K267" s="169">
        <f t="shared" si="22"/>
        <v>-2.6855773452501515</v>
      </c>
    </row>
    <row r="268" spans="1:11">
      <c r="A268" s="616">
        <f t="shared" si="23"/>
        <v>262</v>
      </c>
      <c r="B268" s="618">
        <v>32643</v>
      </c>
      <c r="C268" s="604">
        <v>0.76944444444444438</v>
      </c>
      <c r="D268" s="617" t="s">
        <v>144</v>
      </c>
      <c r="E268" s="620" t="s">
        <v>149</v>
      </c>
      <c r="F268" s="621">
        <v>50</v>
      </c>
      <c r="G268" s="789">
        <v>1</v>
      </c>
      <c r="H268" s="790">
        <f t="shared" si="24"/>
        <v>2.8409090909090908E-2</v>
      </c>
      <c r="I268" s="169">
        <f t="shared" si="20"/>
        <v>3.912023005428146</v>
      </c>
      <c r="J268" s="169">
        <f t="shared" si="21"/>
        <v>0</v>
      </c>
      <c r="K268" s="169">
        <f t="shared" si="22"/>
        <v>-3.5610460826040513</v>
      </c>
    </row>
    <row r="269" spans="1:11">
      <c r="A269" s="616">
        <f t="shared" si="23"/>
        <v>263</v>
      </c>
      <c r="B269" s="618">
        <v>32643</v>
      </c>
      <c r="C269" s="604">
        <v>0.83680555555555547</v>
      </c>
      <c r="D269" s="617" t="s">
        <v>139</v>
      </c>
      <c r="E269" s="620" t="s">
        <v>149</v>
      </c>
      <c r="F269" s="621">
        <v>90</v>
      </c>
      <c r="G269" s="789">
        <v>1.5</v>
      </c>
      <c r="H269" s="790">
        <f t="shared" si="24"/>
        <v>7.6704545454545456E-2</v>
      </c>
      <c r="I269" s="169">
        <f t="shared" si="20"/>
        <v>4.499809670330265</v>
      </c>
      <c r="J269" s="169">
        <f t="shared" si="21"/>
        <v>0.40546510810816438</v>
      </c>
      <c r="K269" s="169">
        <f t="shared" si="22"/>
        <v>-2.5677943095937681</v>
      </c>
    </row>
    <row r="270" spans="1:11">
      <c r="A270" s="616">
        <f t="shared" si="23"/>
        <v>264</v>
      </c>
      <c r="B270" s="618">
        <v>32644</v>
      </c>
      <c r="C270" s="604">
        <v>0.68055555555555547</v>
      </c>
      <c r="D270" s="617" t="s">
        <v>145</v>
      </c>
      <c r="E270" s="620" t="s">
        <v>149</v>
      </c>
      <c r="F270" s="621">
        <v>60</v>
      </c>
      <c r="G270" s="789">
        <v>1.5</v>
      </c>
      <c r="H270" s="790">
        <f t="shared" si="24"/>
        <v>5.1136363636363633E-2</v>
      </c>
      <c r="I270" s="169">
        <f t="shared" si="20"/>
        <v>4.0943445622221004</v>
      </c>
      <c r="J270" s="169">
        <f t="shared" si="21"/>
        <v>0.40546510810816438</v>
      </c>
      <c r="K270" s="169">
        <f t="shared" si="22"/>
        <v>-2.9732594177019327</v>
      </c>
    </row>
    <row r="271" spans="1:11">
      <c r="A271" s="616">
        <f t="shared" si="23"/>
        <v>265</v>
      </c>
      <c r="B271" s="618">
        <v>32644</v>
      </c>
      <c r="C271" s="604">
        <v>0.70486111111111116</v>
      </c>
      <c r="D271" s="617" t="s">
        <v>140</v>
      </c>
      <c r="E271" s="620" t="s">
        <v>149</v>
      </c>
      <c r="F271" s="621">
        <v>50</v>
      </c>
      <c r="G271" s="789">
        <v>3</v>
      </c>
      <c r="H271" s="790">
        <f t="shared" si="24"/>
        <v>8.5227272727272721E-2</v>
      </c>
      <c r="I271" s="169">
        <f t="shared" si="20"/>
        <v>3.912023005428146</v>
      </c>
      <c r="J271" s="169">
        <f t="shared" si="21"/>
        <v>1.0986122886681098</v>
      </c>
      <c r="K271" s="169">
        <f t="shared" si="22"/>
        <v>-2.4624337939359418</v>
      </c>
    </row>
    <row r="272" spans="1:11">
      <c r="A272" s="616">
        <f t="shared" si="23"/>
        <v>266</v>
      </c>
      <c r="B272" s="618">
        <v>32644</v>
      </c>
      <c r="C272" s="604">
        <v>0.70486111111111116</v>
      </c>
      <c r="D272" s="617" t="s">
        <v>145</v>
      </c>
      <c r="E272" s="620" t="s">
        <v>149</v>
      </c>
      <c r="F272" s="621">
        <v>40</v>
      </c>
      <c r="G272" s="789">
        <v>1</v>
      </c>
      <c r="H272" s="790">
        <f t="shared" si="24"/>
        <v>2.2727272727272728E-2</v>
      </c>
      <c r="I272" s="169">
        <f t="shared" si="20"/>
        <v>3.6888794541139363</v>
      </c>
      <c r="J272" s="169">
        <f t="shared" si="21"/>
        <v>0</v>
      </c>
      <c r="K272" s="169">
        <f t="shared" si="22"/>
        <v>-3.784189633918261</v>
      </c>
    </row>
    <row r="273" spans="1:11">
      <c r="A273" s="616">
        <f t="shared" si="23"/>
        <v>267</v>
      </c>
      <c r="B273" s="618">
        <v>32644</v>
      </c>
      <c r="C273" s="604">
        <v>0.70972222222222225</v>
      </c>
      <c r="D273" s="617" t="s">
        <v>140</v>
      </c>
      <c r="E273" s="620" t="s">
        <v>149</v>
      </c>
      <c r="F273" s="621">
        <v>40</v>
      </c>
      <c r="G273" s="789">
        <v>0.1</v>
      </c>
      <c r="H273" s="790">
        <f t="shared" si="24"/>
        <v>2.2727272727272731E-3</v>
      </c>
      <c r="I273" s="169">
        <f t="shared" si="20"/>
        <v>3.6888794541139363</v>
      </c>
      <c r="J273" s="169">
        <f t="shared" si="21"/>
        <v>-2.3025850929940455</v>
      </c>
      <c r="K273" s="169">
        <f t="shared" si="22"/>
        <v>-6.0867747269123065</v>
      </c>
    </row>
    <row r="274" spans="1:11">
      <c r="A274" s="616">
        <f t="shared" si="23"/>
        <v>268</v>
      </c>
      <c r="B274" s="618">
        <v>32669</v>
      </c>
      <c r="C274" s="604">
        <v>0.83819444444444446</v>
      </c>
      <c r="D274" s="617" t="s">
        <v>135</v>
      </c>
      <c r="E274" s="620" t="s">
        <v>149</v>
      </c>
      <c r="F274" s="621">
        <v>110</v>
      </c>
      <c r="G274" s="789">
        <v>2.5</v>
      </c>
      <c r="H274" s="790">
        <f t="shared" si="24"/>
        <v>0.15625</v>
      </c>
      <c r="I274" s="169">
        <f t="shared" si="20"/>
        <v>4.7004803657924166</v>
      </c>
      <c r="J274" s="169">
        <f t="shared" si="21"/>
        <v>0.91629073187415511</v>
      </c>
      <c r="K274" s="169">
        <f t="shared" si="22"/>
        <v>-1.8562979903656263</v>
      </c>
    </row>
    <row r="275" spans="1:11">
      <c r="A275" s="616">
        <f t="shared" si="23"/>
        <v>269</v>
      </c>
      <c r="B275" s="618">
        <v>32669</v>
      </c>
      <c r="C275" s="604">
        <v>0.84375</v>
      </c>
      <c r="D275" s="617" t="s">
        <v>135</v>
      </c>
      <c r="E275" s="620" t="s">
        <v>149</v>
      </c>
      <c r="F275" s="621">
        <v>100</v>
      </c>
      <c r="G275" s="789">
        <v>3</v>
      </c>
      <c r="H275" s="790">
        <f t="shared" si="24"/>
        <v>0.17045454545454544</v>
      </c>
      <c r="I275" s="169">
        <f t="shared" si="20"/>
        <v>4.6051701859880918</v>
      </c>
      <c r="J275" s="169">
        <f t="shared" si="21"/>
        <v>1.0986122886681098</v>
      </c>
      <c r="K275" s="169">
        <f t="shared" si="22"/>
        <v>-1.7692866133759966</v>
      </c>
    </row>
    <row r="276" spans="1:11">
      <c r="A276" s="616">
        <f t="shared" si="23"/>
        <v>270</v>
      </c>
      <c r="B276" s="618">
        <v>32669</v>
      </c>
      <c r="C276" s="604">
        <v>0.84513888888888899</v>
      </c>
      <c r="D276" s="617" t="s">
        <v>136</v>
      </c>
      <c r="E276" s="620" t="s">
        <v>149</v>
      </c>
      <c r="F276" s="621">
        <v>100</v>
      </c>
      <c r="G276" s="789">
        <v>1</v>
      </c>
      <c r="H276" s="790">
        <f t="shared" si="24"/>
        <v>5.6818181818181816E-2</v>
      </c>
      <c r="I276" s="169">
        <f t="shared" si="20"/>
        <v>4.6051701859880918</v>
      </c>
      <c r="J276" s="169">
        <f t="shared" si="21"/>
        <v>0</v>
      </c>
      <c r="K276" s="169">
        <f t="shared" si="22"/>
        <v>-2.8678989020441059</v>
      </c>
    </row>
    <row r="277" spans="1:11">
      <c r="A277" s="616">
        <f t="shared" si="23"/>
        <v>271</v>
      </c>
      <c r="B277" s="618">
        <v>32669</v>
      </c>
      <c r="C277" s="604">
        <v>0.86111111111111116</v>
      </c>
      <c r="D277" s="617" t="s">
        <v>136</v>
      </c>
      <c r="E277" s="620" t="s">
        <v>149</v>
      </c>
      <c r="F277" s="621">
        <v>120</v>
      </c>
      <c r="G277" s="789">
        <v>4.5</v>
      </c>
      <c r="H277" s="790">
        <f t="shared" si="24"/>
        <v>0.30681818181818177</v>
      </c>
      <c r="I277" s="169">
        <f t="shared" si="20"/>
        <v>4.7874917427820458</v>
      </c>
      <c r="J277" s="169">
        <f t="shared" si="21"/>
        <v>1.5040773967762742</v>
      </c>
      <c r="K277" s="169">
        <f t="shared" si="22"/>
        <v>-1.1814999484738775</v>
      </c>
    </row>
    <row r="278" spans="1:11">
      <c r="A278" s="616">
        <f t="shared" si="23"/>
        <v>272</v>
      </c>
      <c r="B278" s="618">
        <v>32670</v>
      </c>
      <c r="C278" s="604">
        <v>0.95972222222222225</v>
      </c>
      <c r="D278" s="617" t="s">
        <v>147</v>
      </c>
      <c r="E278" s="620" t="s">
        <v>149</v>
      </c>
      <c r="F278" s="621">
        <v>90</v>
      </c>
      <c r="G278" s="789">
        <v>1.5</v>
      </c>
      <c r="H278" s="790">
        <f t="shared" si="24"/>
        <v>7.6704545454545456E-2</v>
      </c>
      <c r="I278" s="169">
        <f t="shared" si="20"/>
        <v>4.499809670330265</v>
      </c>
      <c r="J278" s="169">
        <f t="shared" si="21"/>
        <v>0.40546510810816438</v>
      </c>
      <c r="K278" s="169">
        <f t="shared" si="22"/>
        <v>-2.5677943095937681</v>
      </c>
    </row>
    <row r="279" spans="1:11">
      <c r="A279" s="616">
        <f t="shared" si="23"/>
        <v>273</v>
      </c>
      <c r="B279" s="618">
        <v>32670</v>
      </c>
      <c r="C279" s="604">
        <v>0.96319444444444446</v>
      </c>
      <c r="D279" s="617" t="s">
        <v>147</v>
      </c>
      <c r="E279" s="620" t="s">
        <v>149</v>
      </c>
      <c r="F279" s="621">
        <v>80</v>
      </c>
      <c r="G279" s="789">
        <v>0.3</v>
      </c>
      <c r="H279" s="790">
        <f t="shared" si="24"/>
        <v>1.3636363636363636E-2</v>
      </c>
      <c r="I279" s="169">
        <f t="shared" si="20"/>
        <v>4.3820266346738812</v>
      </c>
      <c r="J279" s="169">
        <f t="shared" si="21"/>
        <v>-1.2039728043259361</v>
      </c>
      <c r="K279" s="169">
        <f t="shared" si="22"/>
        <v>-4.295015257684252</v>
      </c>
    </row>
    <row r="280" spans="1:11">
      <c r="A280" s="616">
        <f t="shared" si="23"/>
        <v>274</v>
      </c>
      <c r="B280" s="618">
        <v>32670</v>
      </c>
      <c r="C280" s="604">
        <v>0.96388888888888891</v>
      </c>
      <c r="D280" s="617" t="s">
        <v>147</v>
      </c>
      <c r="E280" s="620" t="s">
        <v>149</v>
      </c>
      <c r="F280" s="621">
        <v>80</v>
      </c>
      <c r="G280" s="789">
        <v>0.3</v>
      </c>
      <c r="H280" s="790">
        <f t="shared" si="24"/>
        <v>1.3636363636363636E-2</v>
      </c>
      <c r="I280" s="169">
        <f t="shared" si="20"/>
        <v>4.3820266346738812</v>
      </c>
      <c r="J280" s="169">
        <f t="shared" si="21"/>
        <v>-1.2039728043259361</v>
      </c>
      <c r="K280" s="169">
        <f t="shared" si="22"/>
        <v>-4.295015257684252</v>
      </c>
    </row>
    <row r="281" spans="1:11">
      <c r="A281" s="616">
        <f t="shared" si="23"/>
        <v>275</v>
      </c>
      <c r="B281" s="618">
        <v>32671</v>
      </c>
      <c r="C281" s="604">
        <v>0.93402777777777779</v>
      </c>
      <c r="D281" s="617" t="s">
        <v>147</v>
      </c>
      <c r="E281" s="620" t="s">
        <v>149</v>
      </c>
      <c r="F281" s="621">
        <v>100</v>
      </c>
      <c r="G281" s="789">
        <v>2</v>
      </c>
      <c r="H281" s="790">
        <f t="shared" si="24"/>
        <v>0.11363636363636363</v>
      </c>
      <c r="I281" s="169">
        <f t="shared" si="20"/>
        <v>4.6051701859880918</v>
      </c>
      <c r="J281" s="169">
        <f t="shared" si="21"/>
        <v>0.69314718055994529</v>
      </c>
      <c r="K281" s="169">
        <f t="shared" si="22"/>
        <v>-2.174751721484161</v>
      </c>
    </row>
    <row r="282" spans="1:11">
      <c r="A282" s="616">
        <f t="shared" si="23"/>
        <v>276</v>
      </c>
      <c r="B282" s="618">
        <v>32735</v>
      </c>
      <c r="C282" s="604">
        <v>0.69097222222222221</v>
      </c>
      <c r="D282" s="617" t="s">
        <v>139</v>
      </c>
      <c r="E282" s="620" t="s">
        <v>149</v>
      </c>
      <c r="F282" s="621">
        <v>60</v>
      </c>
      <c r="G282" s="789">
        <v>2.5</v>
      </c>
      <c r="H282" s="790">
        <f t="shared" si="24"/>
        <v>8.5227272727272721E-2</v>
      </c>
      <c r="I282" s="169">
        <f t="shared" si="20"/>
        <v>4.0943445622221004</v>
      </c>
      <c r="J282" s="169">
        <f t="shared" si="21"/>
        <v>0.91629073187415511</v>
      </c>
      <c r="K282" s="169">
        <f t="shared" si="22"/>
        <v>-2.4624337939359418</v>
      </c>
    </row>
    <row r="283" spans="1:11">
      <c r="A283" s="616">
        <f t="shared" si="23"/>
        <v>277</v>
      </c>
      <c r="B283" s="618">
        <v>32735</v>
      </c>
      <c r="C283" s="604">
        <v>0.82916666666666661</v>
      </c>
      <c r="D283" s="617" t="s">
        <v>134</v>
      </c>
      <c r="E283" s="620" t="s">
        <v>149</v>
      </c>
      <c r="F283" s="621">
        <v>90</v>
      </c>
      <c r="G283" s="789">
        <v>3</v>
      </c>
      <c r="H283" s="790">
        <f t="shared" si="24"/>
        <v>0.15340909090909091</v>
      </c>
      <c r="I283" s="169">
        <f t="shared" si="20"/>
        <v>4.499809670330265</v>
      </c>
      <c r="J283" s="169">
        <f t="shared" si="21"/>
        <v>1.0986122886681098</v>
      </c>
      <c r="K283" s="169">
        <f t="shared" si="22"/>
        <v>-1.8746471290338227</v>
      </c>
    </row>
    <row r="284" spans="1:11">
      <c r="A284" s="616">
        <f t="shared" si="23"/>
        <v>278</v>
      </c>
      <c r="B284" s="618">
        <v>32987</v>
      </c>
      <c r="C284" s="604">
        <v>0.71597222222222223</v>
      </c>
      <c r="D284" s="617" t="s">
        <v>142</v>
      </c>
      <c r="E284" s="620" t="s">
        <v>149</v>
      </c>
      <c r="F284" s="621">
        <v>80</v>
      </c>
      <c r="G284" s="789">
        <v>1.4</v>
      </c>
      <c r="H284" s="790">
        <f t="shared" si="24"/>
        <v>6.363636363636363E-2</v>
      </c>
      <c r="I284" s="169">
        <f t="shared" si="20"/>
        <v>4.3820266346738812</v>
      </c>
      <c r="J284" s="169">
        <f t="shared" si="21"/>
        <v>0.33647223662121289</v>
      </c>
      <c r="K284" s="169">
        <f t="shared" si="22"/>
        <v>-2.7545702167371031</v>
      </c>
    </row>
    <row r="285" spans="1:11">
      <c r="A285" s="616">
        <f t="shared" si="23"/>
        <v>279</v>
      </c>
      <c r="B285" s="618">
        <v>32987</v>
      </c>
      <c r="C285" s="604">
        <v>0.8125</v>
      </c>
      <c r="D285" s="617" t="s">
        <v>138</v>
      </c>
      <c r="E285" s="620" t="s">
        <v>149</v>
      </c>
      <c r="F285" s="621">
        <v>70</v>
      </c>
      <c r="G285" s="789">
        <v>1.3</v>
      </c>
      <c r="H285" s="790">
        <f t="shared" si="24"/>
        <v>5.1704545454545454E-2</v>
      </c>
      <c r="I285" s="169">
        <f t="shared" si="20"/>
        <v>4.2484952420493594</v>
      </c>
      <c r="J285" s="169">
        <f t="shared" si="21"/>
        <v>0.26236426446749106</v>
      </c>
      <c r="K285" s="169">
        <f t="shared" si="22"/>
        <v>-2.9622095815153475</v>
      </c>
    </row>
    <row r="286" spans="1:11">
      <c r="A286" s="616">
        <f t="shared" si="23"/>
        <v>280</v>
      </c>
      <c r="B286" s="618">
        <v>32987</v>
      </c>
      <c r="C286" s="604">
        <v>0.90277777777777779</v>
      </c>
      <c r="D286" s="617" t="s">
        <v>147</v>
      </c>
      <c r="E286" s="620" t="s">
        <v>149</v>
      </c>
      <c r="F286" s="621">
        <v>90</v>
      </c>
      <c r="G286" s="789">
        <v>1.5</v>
      </c>
      <c r="H286" s="790">
        <f t="shared" si="24"/>
        <v>7.6704545454545456E-2</v>
      </c>
      <c r="I286" s="169">
        <f t="shared" si="20"/>
        <v>4.499809670330265</v>
      </c>
      <c r="J286" s="169">
        <f t="shared" si="21"/>
        <v>0.40546510810816438</v>
      </c>
      <c r="K286" s="169">
        <f t="shared" si="22"/>
        <v>-2.5677943095937681</v>
      </c>
    </row>
    <row r="287" spans="1:11">
      <c r="A287" s="616">
        <f t="shared" si="23"/>
        <v>281</v>
      </c>
      <c r="B287" s="618">
        <v>33024</v>
      </c>
      <c r="C287" s="604">
        <v>0.67291666666666661</v>
      </c>
      <c r="D287" s="617" t="s">
        <v>132</v>
      </c>
      <c r="E287" s="620" t="s">
        <v>149</v>
      </c>
      <c r="F287" s="621">
        <v>50</v>
      </c>
      <c r="G287" s="789">
        <v>1.2</v>
      </c>
      <c r="H287" s="790">
        <f t="shared" si="24"/>
        <v>3.4090909090909088E-2</v>
      </c>
      <c r="I287" s="169">
        <f t="shared" si="20"/>
        <v>3.912023005428146</v>
      </c>
      <c r="J287" s="169">
        <f t="shared" si="21"/>
        <v>0.18232155679395459</v>
      </c>
      <c r="K287" s="169">
        <f t="shared" si="22"/>
        <v>-3.3787245258100969</v>
      </c>
    </row>
    <row r="288" spans="1:11">
      <c r="A288" s="616">
        <f t="shared" si="23"/>
        <v>282</v>
      </c>
      <c r="B288" s="618">
        <v>33024</v>
      </c>
      <c r="C288" s="604">
        <v>0.73958333333333337</v>
      </c>
      <c r="D288" s="617" t="s">
        <v>131</v>
      </c>
      <c r="E288" s="620" t="s">
        <v>149</v>
      </c>
      <c r="F288" s="621">
        <v>60</v>
      </c>
      <c r="G288" s="789">
        <v>1.3</v>
      </c>
      <c r="H288" s="790">
        <f t="shared" si="24"/>
        <v>4.4318181818181819E-2</v>
      </c>
      <c r="I288" s="169">
        <f t="shared" si="20"/>
        <v>4.0943445622221004</v>
      </c>
      <c r="J288" s="169">
        <f t="shared" si="21"/>
        <v>0.26236426446749106</v>
      </c>
      <c r="K288" s="169">
        <f t="shared" si="22"/>
        <v>-3.1163602613426056</v>
      </c>
    </row>
    <row r="289" spans="1:11">
      <c r="A289" s="616">
        <f t="shared" si="23"/>
        <v>283</v>
      </c>
      <c r="B289" s="618">
        <v>33024</v>
      </c>
      <c r="C289" s="604">
        <v>0.83888888888888891</v>
      </c>
      <c r="D289" s="617" t="s">
        <v>132</v>
      </c>
      <c r="E289" s="620" t="s">
        <v>149</v>
      </c>
      <c r="F289" s="621">
        <v>70</v>
      </c>
      <c r="G289" s="789">
        <v>0.7</v>
      </c>
      <c r="H289" s="790">
        <f t="shared" si="24"/>
        <v>2.784090909090909E-2</v>
      </c>
      <c r="I289" s="169">
        <f t="shared" si="20"/>
        <v>4.2484952420493594</v>
      </c>
      <c r="J289" s="169">
        <f t="shared" si="21"/>
        <v>-0.35667494393873245</v>
      </c>
      <c r="K289" s="169">
        <f t="shared" si="22"/>
        <v>-3.5812487899215708</v>
      </c>
    </row>
    <row r="290" spans="1:11">
      <c r="A290" s="616">
        <f t="shared" si="23"/>
        <v>284</v>
      </c>
      <c r="B290" s="618">
        <v>33024</v>
      </c>
      <c r="C290" s="604">
        <v>0.84305555555555556</v>
      </c>
      <c r="D290" s="617" t="s">
        <v>131</v>
      </c>
      <c r="E290" s="620" t="s">
        <v>149</v>
      </c>
      <c r="F290" s="621">
        <v>50</v>
      </c>
      <c r="G290" s="789">
        <v>0.6</v>
      </c>
      <c r="H290" s="790">
        <f t="shared" si="24"/>
        <v>1.7045454545454544E-2</v>
      </c>
      <c r="I290" s="169">
        <f t="shared" si="20"/>
        <v>3.912023005428146</v>
      </c>
      <c r="J290" s="169">
        <f t="shared" si="21"/>
        <v>-0.51082562376599072</v>
      </c>
      <c r="K290" s="169">
        <f t="shared" si="22"/>
        <v>-4.0718717063700423</v>
      </c>
    </row>
    <row r="291" spans="1:11">
      <c r="A291" s="616">
        <f t="shared" si="23"/>
        <v>285</v>
      </c>
      <c r="B291" s="618">
        <v>33024</v>
      </c>
      <c r="C291" s="604">
        <v>0.92708333333333337</v>
      </c>
      <c r="D291" s="617" t="s">
        <v>138</v>
      </c>
      <c r="E291" s="620" t="s">
        <v>149</v>
      </c>
      <c r="F291" s="621">
        <v>77</v>
      </c>
      <c r="G291" s="789">
        <v>0.6</v>
      </c>
      <c r="H291" s="790">
        <f t="shared" si="24"/>
        <v>2.6249999999999999E-2</v>
      </c>
      <c r="I291" s="169">
        <f t="shared" si="20"/>
        <v>4.3438054218536841</v>
      </c>
      <c r="J291" s="169">
        <f t="shared" si="21"/>
        <v>-0.51082562376599072</v>
      </c>
      <c r="K291" s="169">
        <f t="shared" si="22"/>
        <v>-3.6400892899445045</v>
      </c>
    </row>
    <row r="292" spans="1:11">
      <c r="A292" s="616">
        <f t="shared" si="23"/>
        <v>286</v>
      </c>
      <c r="B292" s="618">
        <v>33024</v>
      </c>
      <c r="C292" s="604">
        <v>0.94513888888888886</v>
      </c>
      <c r="D292" s="617" t="s">
        <v>138</v>
      </c>
      <c r="E292" s="620" t="s">
        <v>149</v>
      </c>
      <c r="F292" s="621">
        <v>70</v>
      </c>
      <c r="G292" s="789">
        <v>0.5</v>
      </c>
      <c r="H292" s="790">
        <f t="shared" si="24"/>
        <v>1.9886363636363636E-2</v>
      </c>
      <c r="I292" s="169">
        <f t="shared" si="20"/>
        <v>4.2484952420493594</v>
      </c>
      <c r="J292" s="169">
        <f t="shared" si="21"/>
        <v>-0.69314718055994529</v>
      </c>
      <c r="K292" s="169">
        <f t="shared" si="22"/>
        <v>-3.9177210265427838</v>
      </c>
    </row>
    <row r="293" spans="1:11">
      <c r="A293" s="616">
        <f t="shared" si="23"/>
        <v>287</v>
      </c>
      <c r="B293" s="618">
        <v>33024</v>
      </c>
      <c r="C293" s="604">
        <v>0.97430555555555554</v>
      </c>
      <c r="D293" s="617" t="s">
        <v>143</v>
      </c>
      <c r="E293" s="620" t="s">
        <v>149</v>
      </c>
      <c r="F293" s="621">
        <v>80</v>
      </c>
      <c r="G293" s="789">
        <v>0.8</v>
      </c>
      <c r="H293" s="790">
        <f t="shared" si="24"/>
        <v>3.6363636363636369E-2</v>
      </c>
      <c r="I293" s="169">
        <f t="shared" si="20"/>
        <v>4.3820266346738812</v>
      </c>
      <c r="J293" s="169">
        <f t="shared" si="21"/>
        <v>-0.22314355131420971</v>
      </c>
      <c r="K293" s="169">
        <f t="shared" si="22"/>
        <v>-3.3141860046725253</v>
      </c>
    </row>
    <row r="294" spans="1:11">
      <c r="A294" s="616">
        <f t="shared" si="23"/>
        <v>288</v>
      </c>
      <c r="B294" s="618">
        <v>33024</v>
      </c>
      <c r="C294" s="604">
        <v>0.99236111111111114</v>
      </c>
      <c r="D294" s="617" t="s">
        <v>143</v>
      </c>
      <c r="E294" s="620" t="s">
        <v>149</v>
      </c>
      <c r="F294" s="621">
        <v>67</v>
      </c>
      <c r="G294" s="789">
        <v>0.6</v>
      </c>
      <c r="H294" s="790">
        <f t="shared" si="24"/>
        <v>2.2840909090909092E-2</v>
      </c>
      <c r="I294" s="169">
        <f t="shared" si="20"/>
        <v>4.2046926193909657</v>
      </c>
      <c r="J294" s="169">
        <f t="shared" si="21"/>
        <v>-0.51082562376599072</v>
      </c>
      <c r="K294" s="169">
        <f t="shared" si="22"/>
        <v>-3.779202092407222</v>
      </c>
    </row>
    <row r="295" spans="1:11">
      <c r="A295" s="616">
        <f t="shared" si="23"/>
        <v>289</v>
      </c>
      <c r="B295" s="618">
        <v>33032</v>
      </c>
      <c r="C295" s="604">
        <v>0.76875000000000004</v>
      </c>
      <c r="D295" s="617" t="s">
        <v>142</v>
      </c>
      <c r="E295" s="620" t="s">
        <v>149</v>
      </c>
      <c r="F295" s="621">
        <v>80</v>
      </c>
      <c r="G295" s="789">
        <v>1.2</v>
      </c>
      <c r="H295" s="790">
        <f t="shared" si="24"/>
        <v>5.4545454545454543E-2</v>
      </c>
      <c r="I295" s="169">
        <f t="shared" si="20"/>
        <v>4.3820266346738812</v>
      </c>
      <c r="J295" s="169">
        <f t="shared" si="21"/>
        <v>0.18232155679395459</v>
      </c>
      <c r="K295" s="169">
        <f t="shared" si="22"/>
        <v>-2.9087208965643612</v>
      </c>
    </row>
    <row r="296" spans="1:11">
      <c r="A296" s="616">
        <f t="shared" si="23"/>
        <v>290</v>
      </c>
      <c r="B296" s="618">
        <v>33032</v>
      </c>
      <c r="C296" s="604">
        <v>0.77083333333333337</v>
      </c>
      <c r="D296" s="617" t="s">
        <v>141</v>
      </c>
      <c r="E296" s="620" t="s">
        <v>149</v>
      </c>
      <c r="F296" s="621">
        <v>70</v>
      </c>
      <c r="G296" s="789">
        <v>0.8</v>
      </c>
      <c r="H296" s="790">
        <f t="shared" si="24"/>
        <v>3.1818181818181822E-2</v>
      </c>
      <c r="I296" s="169">
        <f t="shared" si="20"/>
        <v>4.2484952420493594</v>
      </c>
      <c r="J296" s="169">
        <f t="shared" si="21"/>
        <v>-0.22314355131420971</v>
      </c>
      <c r="K296" s="169">
        <f t="shared" si="22"/>
        <v>-3.4477173972970481</v>
      </c>
    </row>
    <row r="297" spans="1:11">
      <c r="A297" s="616">
        <f t="shared" si="23"/>
        <v>291</v>
      </c>
      <c r="B297" s="618">
        <v>33032</v>
      </c>
      <c r="C297" s="604">
        <v>0.78263888888888899</v>
      </c>
      <c r="D297" s="617" t="s">
        <v>141</v>
      </c>
      <c r="E297" s="620" t="s">
        <v>149</v>
      </c>
      <c r="F297" s="621">
        <v>70</v>
      </c>
      <c r="G297" s="789">
        <v>1.1000000000000001</v>
      </c>
      <c r="H297" s="790">
        <f t="shared" si="24"/>
        <v>4.3750000000000004E-2</v>
      </c>
      <c r="I297" s="169">
        <f t="shared" si="20"/>
        <v>4.2484952420493594</v>
      </c>
      <c r="J297" s="169">
        <f t="shared" si="21"/>
        <v>9.5310179804324935E-2</v>
      </c>
      <c r="K297" s="169">
        <f t="shared" si="22"/>
        <v>-3.1292636661785136</v>
      </c>
    </row>
    <row r="298" spans="1:11">
      <c r="A298" s="616">
        <f t="shared" si="23"/>
        <v>292</v>
      </c>
      <c r="B298" s="618">
        <v>33032</v>
      </c>
      <c r="C298" s="604">
        <v>0.78402777777777777</v>
      </c>
      <c r="D298" s="617" t="s">
        <v>141</v>
      </c>
      <c r="E298" s="620" t="s">
        <v>149</v>
      </c>
      <c r="F298" s="621">
        <v>60</v>
      </c>
      <c r="G298" s="789">
        <v>0.9</v>
      </c>
      <c r="H298" s="790">
        <f t="shared" si="24"/>
        <v>3.0681818181818182E-2</v>
      </c>
      <c r="I298" s="169">
        <f t="shared" si="20"/>
        <v>4.0943445622221004</v>
      </c>
      <c r="J298" s="169">
        <f t="shared" si="21"/>
        <v>-0.10536051565782628</v>
      </c>
      <c r="K298" s="169">
        <f t="shared" si="22"/>
        <v>-3.4840850414679232</v>
      </c>
    </row>
    <row r="299" spans="1:11">
      <c r="A299" s="616">
        <f t="shared" si="23"/>
        <v>293</v>
      </c>
      <c r="B299" s="618">
        <v>33032</v>
      </c>
      <c r="C299" s="604">
        <v>0.80763888888888891</v>
      </c>
      <c r="D299" s="617" t="s">
        <v>141</v>
      </c>
      <c r="E299" s="620" t="s">
        <v>149</v>
      </c>
      <c r="F299" s="621">
        <v>60</v>
      </c>
      <c r="G299" s="789">
        <v>1</v>
      </c>
      <c r="H299" s="790">
        <f t="shared" si="24"/>
        <v>3.4090909090909088E-2</v>
      </c>
      <c r="I299" s="169">
        <f t="shared" si="20"/>
        <v>4.0943445622221004</v>
      </c>
      <c r="J299" s="169">
        <f t="shared" si="21"/>
        <v>0</v>
      </c>
      <c r="K299" s="169">
        <f t="shared" si="22"/>
        <v>-3.3787245258100969</v>
      </c>
    </row>
    <row r="300" spans="1:11">
      <c r="A300" s="616">
        <f t="shared" si="23"/>
        <v>294</v>
      </c>
      <c r="B300" s="618">
        <v>33032</v>
      </c>
      <c r="C300" s="604">
        <v>0.82361111111111107</v>
      </c>
      <c r="D300" s="617" t="s">
        <v>141</v>
      </c>
      <c r="E300" s="620" t="s">
        <v>149</v>
      </c>
      <c r="F300" s="621">
        <v>80</v>
      </c>
      <c r="G300" s="789">
        <v>1.2</v>
      </c>
      <c r="H300" s="790">
        <f t="shared" si="24"/>
        <v>5.4545454545454543E-2</v>
      </c>
      <c r="I300" s="169">
        <f t="shared" si="20"/>
        <v>4.3820266346738812</v>
      </c>
      <c r="J300" s="169">
        <f t="shared" si="21"/>
        <v>0.18232155679395459</v>
      </c>
      <c r="K300" s="169">
        <f t="shared" si="22"/>
        <v>-2.9087208965643612</v>
      </c>
    </row>
    <row r="301" spans="1:11">
      <c r="A301" s="616">
        <f t="shared" si="23"/>
        <v>295</v>
      </c>
      <c r="B301" s="618">
        <v>33032</v>
      </c>
      <c r="C301" s="604">
        <v>0.83680555555555547</v>
      </c>
      <c r="D301" s="617" t="s">
        <v>141</v>
      </c>
      <c r="E301" s="620" t="s">
        <v>149</v>
      </c>
      <c r="F301" s="621">
        <v>60</v>
      </c>
      <c r="G301" s="789">
        <v>1.2</v>
      </c>
      <c r="H301" s="790">
        <f t="shared" si="24"/>
        <v>4.0909090909090902E-2</v>
      </c>
      <c r="I301" s="169">
        <f t="shared" si="20"/>
        <v>4.0943445622221004</v>
      </c>
      <c r="J301" s="169">
        <f t="shared" si="21"/>
        <v>0.18232155679395459</v>
      </c>
      <c r="K301" s="169">
        <f t="shared" si="22"/>
        <v>-3.1964029690161424</v>
      </c>
    </row>
    <row r="302" spans="1:11">
      <c r="A302" s="616">
        <f t="shared" si="23"/>
        <v>296</v>
      </c>
      <c r="B302" s="618">
        <v>33032</v>
      </c>
      <c r="C302" s="604">
        <v>0.84722222222222221</v>
      </c>
      <c r="D302" s="617" t="s">
        <v>142</v>
      </c>
      <c r="E302" s="620" t="s">
        <v>149</v>
      </c>
      <c r="F302" s="621">
        <v>70</v>
      </c>
      <c r="G302" s="789">
        <v>1.8</v>
      </c>
      <c r="H302" s="790">
        <f t="shared" si="24"/>
        <v>7.1590909090909094E-2</v>
      </c>
      <c r="I302" s="169">
        <f t="shared" si="20"/>
        <v>4.2484952420493594</v>
      </c>
      <c r="J302" s="169">
        <f t="shared" si="21"/>
        <v>0.58778666490211906</v>
      </c>
      <c r="K302" s="169">
        <f t="shared" si="22"/>
        <v>-2.6367871810807193</v>
      </c>
    </row>
    <row r="303" spans="1:11">
      <c r="A303" s="616">
        <f t="shared" si="23"/>
        <v>297</v>
      </c>
      <c r="B303" s="618">
        <v>33038</v>
      </c>
      <c r="C303" s="604">
        <v>0.65555555555555556</v>
      </c>
      <c r="D303" s="617" t="s">
        <v>137</v>
      </c>
      <c r="E303" s="620" t="s">
        <v>149</v>
      </c>
      <c r="F303" s="621">
        <v>73</v>
      </c>
      <c r="G303" s="789">
        <v>0.7</v>
      </c>
      <c r="H303" s="790">
        <f t="shared" si="24"/>
        <v>2.9034090909090909E-2</v>
      </c>
      <c r="I303" s="169">
        <f t="shared" si="20"/>
        <v>4.290459441148391</v>
      </c>
      <c r="J303" s="169">
        <f t="shared" si="21"/>
        <v>-0.35667494393873245</v>
      </c>
      <c r="K303" s="169">
        <f t="shared" si="22"/>
        <v>-3.5392845908225388</v>
      </c>
    </row>
    <row r="304" spans="1:11">
      <c r="A304" s="616">
        <f t="shared" si="23"/>
        <v>298</v>
      </c>
      <c r="B304" s="618">
        <v>33069</v>
      </c>
      <c r="C304" s="604">
        <v>0.6333333333333333</v>
      </c>
      <c r="D304" s="617" t="s">
        <v>141</v>
      </c>
      <c r="E304" s="620" t="s">
        <v>149</v>
      </c>
      <c r="F304" s="621">
        <v>60</v>
      </c>
      <c r="G304" s="789">
        <v>1.2</v>
      </c>
      <c r="H304" s="790">
        <f t="shared" si="24"/>
        <v>4.0909090909090902E-2</v>
      </c>
      <c r="I304" s="169">
        <f t="shared" si="20"/>
        <v>4.0943445622221004</v>
      </c>
      <c r="J304" s="169">
        <f t="shared" si="21"/>
        <v>0.18232155679395459</v>
      </c>
      <c r="K304" s="169">
        <f t="shared" si="22"/>
        <v>-3.1964029690161424</v>
      </c>
    </row>
    <row r="305" spans="1:11">
      <c r="A305" s="616">
        <f t="shared" si="23"/>
        <v>299</v>
      </c>
      <c r="B305" s="618">
        <v>33069</v>
      </c>
      <c r="C305" s="604">
        <v>0.64583333333333337</v>
      </c>
      <c r="D305" s="617" t="s">
        <v>141</v>
      </c>
      <c r="E305" s="620" t="s">
        <v>149</v>
      </c>
      <c r="F305" s="621">
        <v>73</v>
      </c>
      <c r="G305" s="789">
        <v>1.5</v>
      </c>
      <c r="H305" s="790">
        <f t="shared" si="24"/>
        <v>6.2215909090909099E-2</v>
      </c>
      <c r="I305" s="169">
        <f t="shared" si="20"/>
        <v>4.290459441148391</v>
      </c>
      <c r="J305" s="169">
        <f t="shared" si="21"/>
        <v>0.40546510810816438</v>
      </c>
      <c r="K305" s="169">
        <f t="shared" si="22"/>
        <v>-2.7771445387756417</v>
      </c>
    </row>
    <row r="306" spans="1:11">
      <c r="A306" s="616">
        <f t="shared" si="23"/>
        <v>300</v>
      </c>
      <c r="B306" s="618">
        <v>33069</v>
      </c>
      <c r="C306" s="604">
        <v>0.69027777777777777</v>
      </c>
      <c r="D306" s="617" t="s">
        <v>141</v>
      </c>
      <c r="E306" s="620" t="s">
        <v>149</v>
      </c>
      <c r="F306" s="621">
        <v>100</v>
      </c>
      <c r="G306" s="789">
        <v>1.9</v>
      </c>
      <c r="H306" s="790">
        <f t="shared" si="24"/>
        <v>0.10795454545454544</v>
      </c>
      <c r="I306" s="169">
        <f t="shared" si="20"/>
        <v>4.6051701859880918</v>
      </c>
      <c r="J306" s="169">
        <f t="shared" si="21"/>
        <v>0.64185388617239469</v>
      </c>
      <c r="K306" s="169">
        <f t="shared" si="22"/>
        <v>-2.2260450158717116</v>
      </c>
    </row>
    <row r="307" spans="1:11">
      <c r="A307" s="616">
        <f t="shared" si="23"/>
        <v>301</v>
      </c>
      <c r="B307" s="618">
        <v>33069</v>
      </c>
      <c r="C307" s="604">
        <v>0.69791666666666663</v>
      </c>
      <c r="D307" s="617" t="s">
        <v>128</v>
      </c>
      <c r="E307" s="620" t="s">
        <v>149</v>
      </c>
      <c r="F307" s="621">
        <v>20</v>
      </c>
      <c r="G307" s="789">
        <v>0.1</v>
      </c>
      <c r="H307" s="790">
        <f t="shared" si="24"/>
        <v>1.1363636363636365E-3</v>
      </c>
      <c r="I307" s="169">
        <f t="shared" si="20"/>
        <v>2.9957322735539909</v>
      </c>
      <c r="J307" s="169">
        <f t="shared" si="21"/>
        <v>-2.3025850929940455</v>
      </c>
      <c r="K307" s="169">
        <f t="shared" si="22"/>
        <v>-6.7799219074722519</v>
      </c>
    </row>
    <row r="308" spans="1:11">
      <c r="A308" s="616">
        <f t="shared" si="23"/>
        <v>302</v>
      </c>
      <c r="B308" s="618">
        <v>33368</v>
      </c>
      <c r="C308" s="604">
        <v>0.80902777777777779</v>
      </c>
      <c r="D308" s="617" t="s">
        <v>129</v>
      </c>
      <c r="E308" s="620" t="s">
        <v>149</v>
      </c>
      <c r="F308" s="621">
        <v>40</v>
      </c>
      <c r="G308" s="789">
        <v>0.2</v>
      </c>
      <c r="H308" s="790">
        <f t="shared" si="24"/>
        <v>4.5454545454545461E-3</v>
      </c>
      <c r="I308" s="169">
        <f t="shared" si="20"/>
        <v>3.6888794541139363</v>
      </c>
      <c r="J308" s="169">
        <f t="shared" si="21"/>
        <v>-1.6094379124341003</v>
      </c>
      <c r="K308" s="169">
        <f t="shared" si="22"/>
        <v>-5.3936275463523611</v>
      </c>
    </row>
    <row r="309" spans="1:11">
      <c r="A309" s="616">
        <f t="shared" si="23"/>
        <v>303</v>
      </c>
      <c r="B309" s="618">
        <v>33369</v>
      </c>
      <c r="C309" s="604">
        <v>0.79305555555555562</v>
      </c>
      <c r="D309" s="617" t="s">
        <v>126</v>
      </c>
      <c r="E309" s="620" t="s">
        <v>149</v>
      </c>
      <c r="F309" s="621">
        <v>70</v>
      </c>
      <c r="G309" s="789">
        <v>0.5</v>
      </c>
      <c r="H309" s="790">
        <f t="shared" si="24"/>
        <v>1.9886363636363636E-2</v>
      </c>
      <c r="I309" s="169">
        <f t="shared" si="20"/>
        <v>4.2484952420493594</v>
      </c>
      <c r="J309" s="169">
        <f t="shared" si="21"/>
        <v>-0.69314718055994529</v>
      </c>
      <c r="K309" s="169">
        <f t="shared" si="22"/>
        <v>-3.9177210265427838</v>
      </c>
    </row>
    <row r="310" spans="1:11">
      <c r="A310" s="616">
        <f t="shared" si="23"/>
        <v>304</v>
      </c>
      <c r="B310" s="618">
        <v>33369</v>
      </c>
      <c r="C310" s="604">
        <v>0.8125</v>
      </c>
      <c r="D310" s="617" t="s">
        <v>145</v>
      </c>
      <c r="E310" s="620" t="s">
        <v>149</v>
      </c>
      <c r="F310" s="621">
        <v>30</v>
      </c>
      <c r="G310" s="789">
        <v>0.1</v>
      </c>
      <c r="H310" s="790">
        <f t="shared" si="24"/>
        <v>1.7045454545454545E-3</v>
      </c>
      <c r="I310" s="169">
        <f t="shared" si="20"/>
        <v>3.4011973816621555</v>
      </c>
      <c r="J310" s="169">
        <f t="shared" si="21"/>
        <v>-2.3025850929940455</v>
      </c>
      <c r="K310" s="169">
        <f t="shared" si="22"/>
        <v>-6.3744567993640882</v>
      </c>
    </row>
    <row r="311" spans="1:11">
      <c r="A311" s="616">
        <f t="shared" si="23"/>
        <v>305</v>
      </c>
      <c r="B311" s="618">
        <v>33369</v>
      </c>
      <c r="C311" s="604">
        <v>0.82291666666666663</v>
      </c>
      <c r="D311" s="617" t="s">
        <v>145</v>
      </c>
      <c r="E311" s="620" t="s">
        <v>149</v>
      </c>
      <c r="F311" s="621">
        <v>30</v>
      </c>
      <c r="G311" s="789">
        <v>0.2</v>
      </c>
      <c r="H311" s="790">
        <f t="shared" si="24"/>
        <v>3.4090909090909089E-3</v>
      </c>
      <c r="I311" s="169">
        <f t="shared" si="20"/>
        <v>3.4011973816621555</v>
      </c>
      <c r="J311" s="169">
        <f t="shared" si="21"/>
        <v>-1.6094379124341003</v>
      </c>
      <c r="K311" s="169">
        <f t="shared" si="22"/>
        <v>-5.6813096188041428</v>
      </c>
    </row>
    <row r="312" spans="1:11">
      <c r="A312" s="616">
        <f t="shared" si="23"/>
        <v>306</v>
      </c>
      <c r="B312" s="618">
        <v>33371</v>
      </c>
      <c r="C312" s="604">
        <v>0.7</v>
      </c>
      <c r="D312" s="617" t="s">
        <v>136</v>
      </c>
      <c r="E312" s="620" t="s">
        <v>149</v>
      </c>
      <c r="F312" s="621">
        <v>30</v>
      </c>
      <c r="G312" s="789">
        <v>0.2</v>
      </c>
      <c r="H312" s="790">
        <f t="shared" si="24"/>
        <v>3.4090909090909089E-3</v>
      </c>
      <c r="I312" s="169">
        <f t="shared" si="20"/>
        <v>3.4011973816621555</v>
      </c>
      <c r="J312" s="169">
        <f t="shared" si="21"/>
        <v>-1.6094379124341003</v>
      </c>
      <c r="K312" s="169">
        <f t="shared" si="22"/>
        <v>-5.6813096188041428</v>
      </c>
    </row>
    <row r="313" spans="1:11">
      <c r="A313" s="616">
        <f t="shared" si="23"/>
        <v>307</v>
      </c>
      <c r="B313" s="618">
        <v>33371</v>
      </c>
      <c r="C313" s="604">
        <v>0.74305555555555547</v>
      </c>
      <c r="D313" s="617" t="s">
        <v>136</v>
      </c>
      <c r="E313" s="620" t="s">
        <v>149</v>
      </c>
      <c r="F313" s="621">
        <v>20</v>
      </c>
      <c r="G313" s="789">
        <v>0.1</v>
      </c>
      <c r="H313" s="790">
        <f t="shared" si="24"/>
        <v>1.1363636363636365E-3</v>
      </c>
      <c r="I313" s="169">
        <f t="shared" si="20"/>
        <v>2.9957322735539909</v>
      </c>
      <c r="J313" s="169">
        <f t="shared" si="21"/>
        <v>-2.3025850929940455</v>
      </c>
      <c r="K313" s="169">
        <f t="shared" si="22"/>
        <v>-6.7799219074722519</v>
      </c>
    </row>
    <row r="314" spans="1:11">
      <c r="A314" s="616">
        <f t="shared" si="23"/>
        <v>308</v>
      </c>
      <c r="B314" s="618">
        <v>33381</v>
      </c>
      <c r="C314" s="604">
        <v>0.72222222222222221</v>
      </c>
      <c r="D314" s="617" t="s">
        <v>127</v>
      </c>
      <c r="E314" s="620" t="s">
        <v>149</v>
      </c>
      <c r="F314" s="621">
        <v>70</v>
      </c>
      <c r="G314" s="789">
        <v>0.1</v>
      </c>
      <c r="H314" s="790">
        <f t="shared" si="24"/>
        <v>3.9772727272727277E-3</v>
      </c>
      <c r="I314" s="169">
        <f t="shared" si="20"/>
        <v>4.2484952420493594</v>
      </c>
      <c r="J314" s="169">
        <f t="shared" si="21"/>
        <v>-2.3025850929940455</v>
      </c>
      <c r="K314" s="169">
        <f t="shared" si="22"/>
        <v>-5.5271589389768838</v>
      </c>
    </row>
    <row r="315" spans="1:11">
      <c r="A315" s="616">
        <f t="shared" si="23"/>
        <v>309</v>
      </c>
      <c r="B315" s="618">
        <v>33381</v>
      </c>
      <c r="C315" s="604">
        <v>0.79513888888888884</v>
      </c>
      <c r="D315" s="617" t="s">
        <v>142</v>
      </c>
      <c r="E315" s="620" t="s">
        <v>149</v>
      </c>
      <c r="F315" s="621">
        <v>20</v>
      </c>
      <c r="G315" s="789">
        <v>0.1</v>
      </c>
      <c r="H315" s="790">
        <f t="shared" si="24"/>
        <v>1.1363636363636365E-3</v>
      </c>
      <c r="I315" s="169">
        <f t="shared" si="20"/>
        <v>2.9957322735539909</v>
      </c>
      <c r="J315" s="169">
        <f t="shared" si="21"/>
        <v>-2.3025850929940455</v>
      </c>
      <c r="K315" s="169">
        <f t="shared" si="22"/>
        <v>-6.7799219074722519</v>
      </c>
    </row>
    <row r="316" spans="1:11">
      <c r="A316" s="616">
        <f t="shared" si="23"/>
        <v>310</v>
      </c>
      <c r="B316" s="618">
        <v>33386</v>
      </c>
      <c r="C316" s="604">
        <v>0.87569444444444444</v>
      </c>
      <c r="D316" s="617" t="s">
        <v>134</v>
      </c>
      <c r="E316" s="620" t="s">
        <v>149</v>
      </c>
      <c r="F316" s="621">
        <v>40</v>
      </c>
      <c r="G316" s="789">
        <v>0.5</v>
      </c>
      <c r="H316" s="790">
        <f t="shared" si="24"/>
        <v>1.1363636363636364E-2</v>
      </c>
      <c r="I316" s="169">
        <f t="shared" si="20"/>
        <v>3.6888794541139363</v>
      </c>
      <c r="J316" s="169">
        <f t="shared" si="21"/>
        <v>-0.69314718055994529</v>
      </c>
      <c r="K316" s="169">
        <f t="shared" si="22"/>
        <v>-4.4773368144782069</v>
      </c>
    </row>
    <row r="317" spans="1:11">
      <c r="A317" s="616">
        <f t="shared" si="23"/>
        <v>311</v>
      </c>
      <c r="B317" s="618">
        <v>33386</v>
      </c>
      <c r="C317" s="604">
        <v>0.88194444444444453</v>
      </c>
      <c r="D317" s="617" t="s">
        <v>134</v>
      </c>
      <c r="E317" s="620" t="s">
        <v>149</v>
      </c>
      <c r="F317" s="621">
        <v>30</v>
      </c>
      <c r="G317" s="789">
        <v>0.1</v>
      </c>
      <c r="H317" s="790">
        <f t="shared" si="24"/>
        <v>1.7045454545454545E-3</v>
      </c>
      <c r="I317" s="169">
        <f t="shared" si="20"/>
        <v>3.4011973816621555</v>
      </c>
      <c r="J317" s="169">
        <f t="shared" si="21"/>
        <v>-2.3025850929940455</v>
      </c>
      <c r="K317" s="169">
        <f t="shared" si="22"/>
        <v>-6.3744567993640882</v>
      </c>
    </row>
    <row r="318" spans="1:11">
      <c r="A318" s="616">
        <f t="shared" si="23"/>
        <v>312</v>
      </c>
      <c r="B318" s="618">
        <v>33387</v>
      </c>
      <c r="C318" s="604">
        <v>0.71666666666666667</v>
      </c>
      <c r="D318" s="617" t="s">
        <v>132</v>
      </c>
      <c r="E318" s="620" t="s">
        <v>149</v>
      </c>
      <c r="F318" s="621">
        <v>60</v>
      </c>
      <c r="G318" s="789">
        <v>0.5</v>
      </c>
      <c r="H318" s="790">
        <f t="shared" si="24"/>
        <v>1.7045454545454544E-2</v>
      </c>
      <c r="I318" s="169">
        <f t="shared" si="20"/>
        <v>4.0943445622221004</v>
      </c>
      <c r="J318" s="169">
        <f t="shared" si="21"/>
        <v>-0.69314718055994529</v>
      </c>
      <c r="K318" s="169">
        <f t="shared" si="22"/>
        <v>-4.0718717063700423</v>
      </c>
    </row>
    <row r="319" spans="1:11">
      <c r="A319" s="616">
        <f t="shared" si="23"/>
        <v>313</v>
      </c>
      <c r="B319" s="618">
        <v>33387</v>
      </c>
      <c r="C319" s="604">
        <v>0.74097222222222225</v>
      </c>
      <c r="D319" s="617" t="s">
        <v>145</v>
      </c>
      <c r="E319" s="620" t="s">
        <v>149</v>
      </c>
      <c r="F319" s="621">
        <v>50</v>
      </c>
      <c r="G319" s="789">
        <v>0.5</v>
      </c>
      <c r="H319" s="790">
        <f t="shared" si="24"/>
        <v>1.4204545454545454E-2</v>
      </c>
      <c r="I319" s="169">
        <f t="shared" si="20"/>
        <v>3.912023005428146</v>
      </c>
      <c r="J319" s="169">
        <f t="shared" si="21"/>
        <v>-0.69314718055994529</v>
      </c>
      <c r="K319" s="169">
        <f t="shared" si="22"/>
        <v>-4.2541932631639972</v>
      </c>
    </row>
    <row r="320" spans="1:11">
      <c r="A320" s="616">
        <f t="shared" si="23"/>
        <v>314</v>
      </c>
      <c r="B320" s="618">
        <v>33387</v>
      </c>
      <c r="C320" s="604">
        <v>0.74375000000000002</v>
      </c>
      <c r="D320" s="617" t="s">
        <v>140</v>
      </c>
      <c r="E320" s="620" t="s">
        <v>149</v>
      </c>
      <c r="F320" s="621">
        <v>60</v>
      </c>
      <c r="G320" s="789">
        <v>2.8</v>
      </c>
      <c r="H320" s="790">
        <f t="shared" si="24"/>
        <v>9.5454545454545445E-2</v>
      </c>
      <c r="I320" s="169">
        <f t="shared" si="20"/>
        <v>4.0943445622221004</v>
      </c>
      <c r="J320" s="169">
        <f t="shared" si="21"/>
        <v>1.0296194171811581</v>
      </c>
      <c r="K320" s="169">
        <f t="shared" si="22"/>
        <v>-2.3491051086289385</v>
      </c>
    </row>
    <row r="321" spans="1:11">
      <c r="A321" s="616">
        <f t="shared" si="23"/>
        <v>315</v>
      </c>
      <c r="B321" s="618">
        <v>33387</v>
      </c>
      <c r="C321" s="604">
        <v>0.75555555555555554</v>
      </c>
      <c r="D321" s="617" t="s">
        <v>136</v>
      </c>
      <c r="E321" s="620" t="s">
        <v>149</v>
      </c>
      <c r="F321" s="621">
        <v>20</v>
      </c>
      <c r="G321" s="789">
        <v>0.1</v>
      </c>
      <c r="H321" s="790">
        <f t="shared" si="24"/>
        <v>1.1363636363636365E-3</v>
      </c>
      <c r="I321" s="169">
        <f t="shared" si="20"/>
        <v>2.9957322735539909</v>
      </c>
      <c r="J321" s="169">
        <f t="shared" si="21"/>
        <v>-2.3025850929940455</v>
      </c>
      <c r="K321" s="169">
        <f t="shared" si="22"/>
        <v>-6.7799219074722519</v>
      </c>
    </row>
    <row r="322" spans="1:11">
      <c r="A322" s="616">
        <f t="shared" si="23"/>
        <v>316</v>
      </c>
      <c r="B322" s="618">
        <v>33387</v>
      </c>
      <c r="C322" s="604">
        <v>0.75694444444444453</v>
      </c>
      <c r="D322" s="617" t="s">
        <v>135</v>
      </c>
      <c r="E322" s="620" t="s">
        <v>149</v>
      </c>
      <c r="F322" s="621">
        <v>40</v>
      </c>
      <c r="G322" s="789">
        <v>2</v>
      </c>
      <c r="H322" s="790">
        <f t="shared" si="24"/>
        <v>4.5454545454545456E-2</v>
      </c>
      <c r="I322" s="169">
        <f t="shared" si="20"/>
        <v>3.6888794541139363</v>
      </c>
      <c r="J322" s="169">
        <f t="shared" si="21"/>
        <v>0.69314718055994529</v>
      </c>
      <c r="K322" s="169">
        <f t="shared" si="22"/>
        <v>-3.0910424533583156</v>
      </c>
    </row>
    <row r="323" spans="1:11">
      <c r="A323" s="616">
        <f t="shared" si="23"/>
        <v>317</v>
      </c>
      <c r="B323" s="618">
        <v>33387</v>
      </c>
      <c r="C323" s="604">
        <v>0.78333333333333333</v>
      </c>
      <c r="D323" s="617" t="s">
        <v>145</v>
      </c>
      <c r="E323" s="620" t="s">
        <v>149</v>
      </c>
      <c r="F323" s="621">
        <v>30</v>
      </c>
      <c r="G323" s="789">
        <v>0.2</v>
      </c>
      <c r="H323" s="790">
        <f t="shared" si="24"/>
        <v>3.4090909090909089E-3</v>
      </c>
      <c r="I323" s="169">
        <f t="shared" si="20"/>
        <v>3.4011973816621555</v>
      </c>
      <c r="J323" s="169">
        <f t="shared" si="21"/>
        <v>-1.6094379124341003</v>
      </c>
      <c r="K323" s="169">
        <f t="shared" si="22"/>
        <v>-5.6813096188041428</v>
      </c>
    </row>
    <row r="324" spans="1:11">
      <c r="A324" s="616">
        <f t="shared" si="23"/>
        <v>318</v>
      </c>
      <c r="B324" s="618">
        <v>33387</v>
      </c>
      <c r="C324" s="604">
        <v>0.8125</v>
      </c>
      <c r="D324" s="617" t="s">
        <v>141</v>
      </c>
      <c r="E324" s="620" t="s">
        <v>149</v>
      </c>
      <c r="F324" s="621">
        <v>20</v>
      </c>
      <c r="G324" s="789">
        <v>0.1</v>
      </c>
      <c r="H324" s="790">
        <f t="shared" si="24"/>
        <v>1.1363636363636365E-3</v>
      </c>
      <c r="I324" s="169">
        <f t="shared" si="20"/>
        <v>2.9957322735539909</v>
      </c>
      <c r="J324" s="169">
        <f t="shared" si="21"/>
        <v>-2.3025850929940455</v>
      </c>
      <c r="K324" s="169">
        <f t="shared" si="22"/>
        <v>-6.7799219074722519</v>
      </c>
    </row>
    <row r="325" spans="1:11">
      <c r="A325" s="616">
        <f t="shared" si="23"/>
        <v>319</v>
      </c>
      <c r="B325" s="618">
        <v>33387</v>
      </c>
      <c r="C325" s="604">
        <v>0.83680555555555547</v>
      </c>
      <c r="D325" s="617" t="s">
        <v>141</v>
      </c>
      <c r="E325" s="620" t="s">
        <v>149</v>
      </c>
      <c r="F325" s="621">
        <v>30</v>
      </c>
      <c r="G325" s="789">
        <v>0.2</v>
      </c>
      <c r="H325" s="790">
        <f t="shared" si="24"/>
        <v>3.4090909090909089E-3</v>
      </c>
      <c r="I325" s="169">
        <f t="shared" si="20"/>
        <v>3.4011973816621555</v>
      </c>
      <c r="J325" s="169">
        <f t="shared" si="21"/>
        <v>-1.6094379124341003</v>
      </c>
      <c r="K325" s="169">
        <f t="shared" si="22"/>
        <v>-5.6813096188041428</v>
      </c>
    </row>
    <row r="326" spans="1:11">
      <c r="A326" s="616">
        <f t="shared" si="23"/>
        <v>320</v>
      </c>
      <c r="B326" s="618">
        <v>33407</v>
      </c>
      <c r="C326" s="604">
        <v>0.73611111111111116</v>
      </c>
      <c r="D326" s="617" t="s">
        <v>128</v>
      </c>
      <c r="E326" s="620" t="s">
        <v>149</v>
      </c>
      <c r="F326" s="621">
        <v>30</v>
      </c>
      <c r="G326" s="789">
        <v>0.5</v>
      </c>
      <c r="H326" s="790">
        <f t="shared" si="24"/>
        <v>8.5227272727272721E-3</v>
      </c>
      <c r="I326" s="169">
        <f t="shared" si="20"/>
        <v>3.4011973816621555</v>
      </c>
      <c r="J326" s="169">
        <f t="shared" si="21"/>
        <v>-0.69314718055994529</v>
      </c>
      <c r="K326" s="169">
        <f t="shared" si="22"/>
        <v>-4.7650188869299877</v>
      </c>
    </row>
    <row r="327" spans="1:11">
      <c r="A327" s="616">
        <f t="shared" si="23"/>
        <v>321</v>
      </c>
      <c r="B327" s="618">
        <v>33710</v>
      </c>
      <c r="C327" s="604">
        <v>0.70138888888888884</v>
      </c>
      <c r="D327" s="617" t="s">
        <v>136</v>
      </c>
      <c r="E327" s="620" t="s">
        <v>149</v>
      </c>
      <c r="F327" s="621">
        <v>13</v>
      </c>
      <c r="G327" s="789">
        <v>0.5</v>
      </c>
      <c r="H327" s="790">
        <f t="shared" si="24"/>
        <v>3.6931818181818181E-3</v>
      </c>
      <c r="I327" s="169">
        <f t="shared" si="20"/>
        <v>2.5649493574615367</v>
      </c>
      <c r="J327" s="169">
        <f t="shared" si="21"/>
        <v>-0.69314718055994529</v>
      </c>
      <c r="K327" s="169">
        <f t="shared" si="22"/>
        <v>-5.6012669111306064</v>
      </c>
    </row>
    <row r="328" spans="1:11">
      <c r="A328" s="616">
        <f t="shared" si="23"/>
        <v>322</v>
      </c>
      <c r="B328" s="618">
        <v>33710</v>
      </c>
      <c r="C328" s="604">
        <v>0.70763888888888893</v>
      </c>
      <c r="D328" s="617" t="s">
        <v>136</v>
      </c>
      <c r="E328" s="620" t="s">
        <v>149</v>
      </c>
      <c r="F328" s="621">
        <v>13</v>
      </c>
      <c r="G328" s="789">
        <v>0.5</v>
      </c>
      <c r="H328" s="790">
        <f t="shared" si="24"/>
        <v>3.6931818181818181E-3</v>
      </c>
      <c r="I328" s="169">
        <f t="shared" ref="I328:I391" si="25">LN(F328)</f>
        <v>2.5649493574615367</v>
      </c>
      <c r="J328" s="169">
        <f t="shared" ref="J328:J391" si="26">LN(G328)</f>
        <v>-0.69314718055994529</v>
      </c>
      <c r="K328" s="169">
        <f t="shared" ref="K328:K391" si="27">LN(H328)</f>
        <v>-5.6012669111306064</v>
      </c>
    </row>
    <row r="329" spans="1:11">
      <c r="A329" s="616">
        <f t="shared" ref="A329:A392" si="28">+A328+1</f>
        <v>323</v>
      </c>
      <c r="B329" s="618">
        <v>33710</v>
      </c>
      <c r="C329" s="604">
        <v>0.71527777777777779</v>
      </c>
      <c r="D329" s="617" t="s">
        <v>141</v>
      </c>
      <c r="E329" s="620" t="s">
        <v>149</v>
      </c>
      <c r="F329" s="621">
        <v>10</v>
      </c>
      <c r="G329" s="789">
        <v>0.5</v>
      </c>
      <c r="H329" s="790">
        <f t="shared" ref="H329:H392" si="29">+(F329/1760)*G329</f>
        <v>2.840909090909091E-3</v>
      </c>
      <c r="I329" s="169">
        <f t="shared" si="25"/>
        <v>2.3025850929940459</v>
      </c>
      <c r="J329" s="169">
        <f t="shared" si="26"/>
        <v>-0.69314718055994529</v>
      </c>
      <c r="K329" s="169">
        <f t="shared" si="27"/>
        <v>-5.8636311755980968</v>
      </c>
    </row>
    <row r="330" spans="1:11">
      <c r="A330" s="616">
        <f t="shared" si="28"/>
        <v>324</v>
      </c>
      <c r="B330" s="618">
        <v>33751</v>
      </c>
      <c r="C330" s="604">
        <v>0.67708333333333337</v>
      </c>
      <c r="D330" s="617" t="s">
        <v>139</v>
      </c>
      <c r="E330" s="620" t="s">
        <v>149</v>
      </c>
      <c r="F330" s="621">
        <v>50</v>
      </c>
      <c r="G330" s="789">
        <v>0.1</v>
      </c>
      <c r="H330" s="790">
        <f t="shared" si="29"/>
        <v>2.840909090909091E-3</v>
      </c>
      <c r="I330" s="169">
        <f t="shared" si="25"/>
        <v>3.912023005428146</v>
      </c>
      <c r="J330" s="169">
        <f t="shared" si="26"/>
        <v>-2.3025850929940455</v>
      </c>
      <c r="K330" s="169">
        <f t="shared" si="27"/>
        <v>-5.8636311755980968</v>
      </c>
    </row>
    <row r="331" spans="1:11">
      <c r="A331" s="616">
        <f t="shared" si="28"/>
        <v>325</v>
      </c>
      <c r="B331" s="618">
        <v>33759</v>
      </c>
      <c r="C331" s="604">
        <v>0.86458333333333337</v>
      </c>
      <c r="D331" s="617" t="s">
        <v>135</v>
      </c>
      <c r="E331" s="620" t="s">
        <v>149</v>
      </c>
      <c r="F331" s="621">
        <v>13</v>
      </c>
      <c r="G331" s="789">
        <v>0.5</v>
      </c>
      <c r="H331" s="790">
        <f t="shared" si="29"/>
        <v>3.6931818181818181E-3</v>
      </c>
      <c r="I331" s="169">
        <f t="shared" si="25"/>
        <v>2.5649493574615367</v>
      </c>
      <c r="J331" s="169">
        <f t="shared" si="26"/>
        <v>-0.69314718055994529</v>
      </c>
      <c r="K331" s="169">
        <f t="shared" si="27"/>
        <v>-5.6012669111306064</v>
      </c>
    </row>
    <row r="332" spans="1:11">
      <c r="A332" s="616">
        <f t="shared" si="28"/>
        <v>326</v>
      </c>
      <c r="B332" s="618">
        <v>33759</v>
      </c>
      <c r="C332" s="604">
        <v>0.90486111111111101</v>
      </c>
      <c r="D332" s="617" t="s">
        <v>135</v>
      </c>
      <c r="E332" s="620" t="s">
        <v>149</v>
      </c>
      <c r="F332" s="621">
        <v>13</v>
      </c>
      <c r="G332" s="789">
        <v>0.5</v>
      </c>
      <c r="H332" s="790">
        <f t="shared" si="29"/>
        <v>3.6931818181818181E-3</v>
      </c>
      <c r="I332" s="169">
        <f t="shared" si="25"/>
        <v>2.5649493574615367</v>
      </c>
      <c r="J332" s="169">
        <f t="shared" si="26"/>
        <v>-0.69314718055994529</v>
      </c>
      <c r="K332" s="169">
        <f t="shared" si="27"/>
        <v>-5.6012669111306064</v>
      </c>
    </row>
    <row r="333" spans="1:11">
      <c r="A333" s="616">
        <f t="shared" si="28"/>
        <v>327</v>
      </c>
      <c r="B333" s="618">
        <v>33759</v>
      </c>
      <c r="C333" s="604">
        <v>0.92152777777777783</v>
      </c>
      <c r="D333" s="617" t="s">
        <v>135</v>
      </c>
      <c r="E333" s="620" t="s">
        <v>149</v>
      </c>
      <c r="F333" s="621">
        <v>13</v>
      </c>
      <c r="G333" s="789">
        <v>0.5</v>
      </c>
      <c r="H333" s="790">
        <f t="shared" si="29"/>
        <v>3.6931818181818181E-3</v>
      </c>
      <c r="I333" s="169">
        <f t="shared" si="25"/>
        <v>2.5649493574615367</v>
      </c>
      <c r="J333" s="169">
        <f t="shared" si="26"/>
        <v>-0.69314718055994529</v>
      </c>
      <c r="K333" s="169">
        <f t="shared" si="27"/>
        <v>-5.6012669111306064</v>
      </c>
    </row>
    <row r="334" spans="1:11">
      <c r="A334" s="616">
        <f t="shared" si="28"/>
        <v>328</v>
      </c>
      <c r="B334" s="618">
        <v>33766</v>
      </c>
      <c r="C334" s="604">
        <v>0.66041666666666665</v>
      </c>
      <c r="D334" s="617" t="s">
        <v>145</v>
      </c>
      <c r="E334" s="620" t="s">
        <v>149</v>
      </c>
      <c r="F334" s="621">
        <v>13</v>
      </c>
      <c r="G334" s="789">
        <v>0.5</v>
      </c>
      <c r="H334" s="790">
        <f t="shared" si="29"/>
        <v>3.6931818181818181E-3</v>
      </c>
      <c r="I334" s="169">
        <f t="shared" si="25"/>
        <v>2.5649493574615367</v>
      </c>
      <c r="J334" s="169">
        <f t="shared" si="26"/>
        <v>-0.69314718055994529</v>
      </c>
      <c r="K334" s="169">
        <f t="shared" si="27"/>
        <v>-5.6012669111306064</v>
      </c>
    </row>
    <row r="335" spans="1:11">
      <c r="A335" s="616">
        <f t="shared" si="28"/>
        <v>329</v>
      </c>
      <c r="B335" s="618">
        <v>33766</v>
      </c>
      <c r="C335" s="604">
        <v>0.66111111111111109</v>
      </c>
      <c r="D335" s="617" t="s">
        <v>145</v>
      </c>
      <c r="E335" s="620" t="s">
        <v>149</v>
      </c>
      <c r="F335" s="621">
        <v>13</v>
      </c>
      <c r="G335" s="789">
        <v>0.5</v>
      </c>
      <c r="H335" s="790">
        <f t="shared" si="29"/>
        <v>3.6931818181818181E-3</v>
      </c>
      <c r="I335" s="169">
        <f t="shared" si="25"/>
        <v>2.5649493574615367</v>
      </c>
      <c r="J335" s="169">
        <f t="shared" si="26"/>
        <v>-0.69314718055994529</v>
      </c>
      <c r="K335" s="169">
        <f t="shared" si="27"/>
        <v>-5.6012669111306064</v>
      </c>
    </row>
    <row r="336" spans="1:11">
      <c r="A336" s="616">
        <f t="shared" si="28"/>
        <v>330</v>
      </c>
      <c r="B336" s="618">
        <v>33773</v>
      </c>
      <c r="C336" s="604">
        <v>0.70138888888888884</v>
      </c>
      <c r="D336" s="617" t="s">
        <v>132</v>
      </c>
      <c r="E336" s="620" t="s">
        <v>149</v>
      </c>
      <c r="F336" s="621">
        <v>7</v>
      </c>
      <c r="G336" s="789">
        <v>0.3</v>
      </c>
      <c r="H336" s="790">
        <f t="shared" si="29"/>
        <v>1.1931818181818181E-3</v>
      </c>
      <c r="I336" s="169">
        <f t="shared" si="25"/>
        <v>1.9459101490553132</v>
      </c>
      <c r="J336" s="169">
        <f t="shared" si="26"/>
        <v>-1.2039728043259361</v>
      </c>
      <c r="K336" s="169">
        <f t="shared" si="27"/>
        <v>-6.7311317433028206</v>
      </c>
    </row>
    <row r="337" spans="1:11">
      <c r="A337" s="616">
        <f t="shared" si="28"/>
        <v>331</v>
      </c>
      <c r="B337" s="618">
        <v>33774</v>
      </c>
      <c r="C337" s="604">
        <v>0.80625000000000002</v>
      </c>
      <c r="D337" s="617" t="s">
        <v>148</v>
      </c>
      <c r="E337" s="620" t="s">
        <v>149</v>
      </c>
      <c r="F337" s="621">
        <v>5</v>
      </c>
      <c r="G337" s="789">
        <v>0.1</v>
      </c>
      <c r="H337" s="790">
        <f t="shared" si="29"/>
        <v>2.8409090909090913E-4</v>
      </c>
      <c r="I337" s="169">
        <f t="shared" si="25"/>
        <v>1.6094379124341003</v>
      </c>
      <c r="J337" s="169">
        <f t="shared" si="26"/>
        <v>-2.3025850929940455</v>
      </c>
      <c r="K337" s="169">
        <f t="shared" si="27"/>
        <v>-8.1662162685921427</v>
      </c>
    </row>
    <row r="338" spans="1:11">
      <c r="A338" s="616">
        <f t="shared" si="28"/>
        <v>332</v>
      </c>
      <c r="B338" s="618">
        <v>33781</v>
      </c>
      <c r="C338" s="604">
        <v>0.82291666666666663</v>
      </c>
      <c r="D338" s="617" t="s">
        <v>127</v>
      </c>
      <c r="E338" s="620" t="s">
        <v>149</v>
      </c>
      <c r="F338" s="621">
        <v>10</v>
      </c>
      <c r="G338" s="789">
        <v>0.2</v>
      </c>
      <c r="H338" s="790">
        <f t="shared" si="29"/>
        <v>1.1363636363636365E-3</v>
      </c>
      <c r="I338" s="169">
        <f t="shared" si="25"/>
        <v>2.3025850929940459</v>
      </c>
      <c r="J338" s="169">
        <f t="shared" si="26"/>
        <v>-1.6094379124341003</v>
      </c>
      <c r="K338" s="169">
        <f t="shared" si="27"/>
        <v>-6.7799219074722519</v>
      </c>
    </row>
    <row r="339" spans="1:11">
      <c r="A339" s="616">
        <f t="shared" si="28"/>
        <v>333</v>
      </c>
      <c r="B339" s="618">
        <v>33782</v>
      </c>
      <c r="C339" s="604">
        <v>0.72083333333333333</v>
      </c>
      <c r="D339" s="617" t="s">
        <v>135</v>
      </c>
      <c r="E339" s="620" t="s">
        <v>149</v>
      </c>
      <c r="F339" s="621">
        <v>10</v>
      </c>
      <c r="G339" s="789">
        <v>0.1</v>
      </c>
      <c r="H339" s="790">
        <f t="shared" si="29"/>
        <v>5.6818181818181826E-4</v>
      </c>
      <c r="I339" s="169">
        <f t="shared" si="25"/>
        <v>2.3025850929940459</v>
      </c>
      <c r="J339" s="169">
        <f t="shared" si="26"/>
        <v>-2.3025850929940455</v>
      </c>
      <c r="K339" s="169">
        <f t="shared" si="27"/>
        <v>-7.4730690880321973</v>
      </c>
    </row>
    <row r="340" spans="1:11">
      <c r="A340" s="616">
        <f t="shared" si="28"/>
        <v>334</v>
      </c>
      <c r="B340" s="618">
        <v>34087</v>
      </c>
      <c r="C340" s="604">
        <v>0.7368055555555556</v>
      </c>
      <c r="D340" s="617" t="s">
        <v>139</v>
      </c>
      <c r="E340" s="620" t="s">
        <v>149</v>
      </c>
      <c r="F340" s="621">
        <v>50</v>
      </c>
      <c r="G340" s="789">
        <v>0.2</v>
      </c>
      <c r="H340" s="790">
        <f t="shared" si="29"/>
        <v>5.681818181818182E-3</v>
      </c>
      <c r="I340" s="169">
        <f t="shared" si="25"/>
        <v>3.912023005428146</v>
      </c>
      <c r="J340" s="169">
        <f t="shared" si="26"/>
        <v>-1.6094379124341003</v>
      </c>
      <c r="K340" s="169">
        <f t="shared" si="27"/>
        <v>-5.1704839950381514</v>
      </c>
    </row>
    <row r="341" spans="1:11">
      <c r="A341" s="616">
        <f t="shared" si="28"/>
        <v>335</v>
      </c>
      <c r="B341" s="618">
        <v>34087</v>
      </c>
      <c r="C341" s="604">
        <v>0.74375000000000002</v>
      </c>
      <c r="D341" s="617" t="s">
        <v>140</v>
      </c>
      <c r="E341" s="620" t="s">
        <v>149</v>
      </c>
      <c r="F341" s="621">
        <v>75</v>
      </c>
      <c r="G341" s="789">
        <v>1.5</v>
      </c>
      <c r="H341" s="790">
        <f t="shared" si="29"/>
        <v>6.3920454545454544E-2</v>
      </c>
      <c r="I341" s="169">
        <f t="shared" si="25"/>
        <v>4.3174881135363101</v>
      </c>
      <c r="J341" s="169">
        <f t="shared" si="26"/>
        <v>0.40546510810816438</v>
      </c>
      <c r="K341" s="169">
        <f t="shared" si="27"/>
        <v>-2.7501158663877225</v>
      </c>
    </row>
    <row r="342" spans="1:11">
      <c r="A342" s="616">
        <f t="shared" si="28"/>
        <v>336</v>
      </c>
      <c r="B342" s="618">
        <v>34094</v>
      </c>
      <c r="C342" s="604">
        <v>0.71875</v>
      </c>
      <c r="D342" s="617" t="s">
        <v>131</v>
      </c>
      <c r="E342" s="620" t="s">
        <v>149</v>
      </c>
      <c r="F342" s="621">
        <v>100</v>
      </c>
      <c r="G342" s="789">
        <v>0.5</v>
      </c>
      <c r="H342" s="790">
        <f t="shared" si="29"/>
        <v>2.8409090909090908E-2</v>
      </c>
      <c r="I342" s="169">
        <f t="shared" si="25"/>
        <v>4.6051701859880918</v>
      </c>
      <c r="J342" s="169">
        <f t="shared" si="26"/>
        <v>-0.69314718055994529</v>
      </c>
      <c r="K342" s="169">
        <f t="shared" si="27"/>
        <v>-3.5610460826040513</v>
      </c>
    </row>
    <row r="343" spans="1:11">
      <c r="A343" s="616">
        <f t="shared" si="28"/>
        <v>337</v>
      </c>
      <c r="B343" s="618">
        <v>34094</v>
      </c>
      <c r="C343" s="604">
        <v>0.74652777777777779</v>
      </c>
      <c r="D343" s="617" t="s">
        <v>127</v>
      </c>
      <c r="E343" s="620" t="s">
        <v>149</v>
      </c>
      <c r="F343" s="621">
        <v>150</v>
      </c>
      <c r="G343" s="789">
        <v>1</v>
      </c>
      <c r="H343" s="790">
        <f t="shared" si="29"/>
        <v>8.5227272727272721E-2</v>
      </c>
      <c r="I343" s="169">
        <f t="shared" si="25"/>
        <v>5.0106352940962555</v>
      </c>
      <c r="J343" s="169">
        <f t="shared" si="26"/>
        <v>0</v>
      </c>
      <c r="K343" s="169">
        <f t="shared" si="27"/>
        <v>-2.4624337939359418</v>
      </c>
    </row>
    <row r="344" spans="1:11">
      <c r="A344" s="616">
        <f t="shared" si="28"/>
        <v>338</v>
      </c>
      <c r="B344" s="618">
        <v>34094</v>
      </c>
      <c r="C344" s="604">
        <v>0.78263888888888899</v>
      </c>
      <c r="D344" s="617" t="s">
        <v>127</v>
      </c>
      <c r="E344" s="620" t="s">
        <v>149</v>
      </c>
      <c r="F344" s="621">
        <v>100</v>
      </c>
      <c r="G344" s="789">
        <v>0.5</v>
      </c>
      <c r="H344" s="790">
        <f t="shared" si="29"/>
        <v>2.8409090909090908E-2</v>
      </c>
      <c r="I344" s="169">
        <f t="shared" si="25"/>
        <v>4.6051701859880918</v>
      </c>
      <c r="J344" s="169">
        <f t="shared" si="26"/>
        <v>-0.69314718055994529</v>
      </c>
      <c r="K344" s="169">
        <f t="shared" si="27"/>
        <v>-3.5610460826040513</v>
      </c>
    </row>
    <row r="345" spans="1:11">
      <c r="A345" s="616">
        <f t="shared" si="28"/>
        <v>339</v>
      </c>
      <c r="B345" s="618">
        <v>34094</v>
      </c>
      <c r="C345" s="604">
        <v>0.78472222222222221</v>
      </c>
      <c r="D345" s="617" t="s">
        <v>127</v>
      </c>
      <c r="E345" s="620" t="s">
        <v>149</v>
      </c>
      <c r="F345" s="621">
        <v>150</v>
      </c>
      <c r="G345" s="789">
        <v>2</v>
      </c>
      <c r="H345" s="790">
        <f t="shared" si="29"/>
        <v>0.17045454545454544</v>
      </c>
      <c r="I345" s="169">
        <f t="shared" si="25"/>
        <v>5.0106352940962555</v>
      </c>
      <c r="J345" s="169">
        <f t="shared" si="26"/>
        <v>0.69314718055994529</v>
      </c>
      <c r="K345" s="169">
        <f t="shared" si="27"/>
        <v>-1.7692866133759966</v>
      </c>
    </row>
    <row r="346" spans="1:11">
      <c r="A346" s="616">
        <f t="shared" si="28"/>
        <v>340</v>
      </c>
      <c r="B346" s="618">
        <v>34096</v>
      </c>
      <c r="C346" s="604">
        <v>0.70486111111111116</v>
      </c>
      <c r="D346" s="617" t="s">
        <v>138</v>
      </c>
      <c r="E346" s="620" t="s">
        <v>149</v>
      </c>
      <c r="F346" s="621">
        <v>75</v>
      </c>
      <c r="G346" s="789">
        <v>0.5</v>
      </c>
      <c r="H346" s="790">
        <f t="shared" si="29"/>
        <v>2.130681818181818E-2</v>
      </c>
      <c r="I346" s="169">
        <f t="shared" si="25"/>
        <v>4.3174881135363101</v>
      </c>
      <c r="J346" s="169">
        <f t="shared" si="26"/>
        <v>-0.69314718055994529</v>
      </c>
      <c r="K346" s="169">
        <f t="shared" si="27"/>
        <v>-3.8487281550558325</v>
      </c>
    </row>
    <row r="347" spans="1:11">
      <c r="A347" s="616">
        <f t="shared" si="28"/>
        <v>341</v>
      </c>
      <c r="B347" s="618">
        <v>34096</v>
      </c>
      <c r="C347" s="604">
        <v>0.72986111111111107</v>
      </c>
      <c r="D347" s="617" t="s">
        <v>148</v>
      </c>
      <c r="E347" s="620" t="s">
        <v>149</v>
      </c>
      <c r="F347" s="621">
        <v>100</v>
      </c>
      <c r="G347" s="789">
        <v>1</v>
      </c>
      <c r="H347" s="790">
        <f t="shared" si="29"/>
        <v>5.6818181818181816E-2</v>
      </c>
      <c r="I347" s="169">
        <f t="shared" si="25"/>
        <v>4.6051701859880918</v>
      </c>
      <c r="J347" s="169">
        <f t="shared" si="26"/>
        <v>0</v>
      </c>
      <c r="K347" s="169">
        <f t="shared" si="27"/>
        <v>-2.8678989020441059</v>
      </c>
    </row>
    <row r="348" spans="1:11">
      <c r="A348" s="616">
        <f t="shared" si="28"/>
        <v>342</v>
      </c>
      <c r="B348" s="618">
        <v>34096</v>
      </c>
      <c r="C348" s="604">
        <v>0.73958333333333337</v>
      </c>
      <c r="D348" s="617" t="s">
        <v>148</v>
      </c>
      <c r="E348" s="620" t="s">
        <v>149</v>
      </c>
      <c r="F348" s="621">
        <v>100</v>
      </c>
      <c r="G348" s="789">
        <v>1</v>
      </c>
      <c r="H348" s="790">
        <f t="shared" si="29"/>
        <v>5.6818181818181816E-2</v>
      </c>
      <c r="I348" s="169">
        <f t="shared" si="25"/>
        <v>4.6051701859880918</v>
      </c>
      <c r="J348" s="169">
        <f t="shared" si="26"/>
        <v>0</v>
      </c>
      <c r="K348" s="169">
        <f t="shared" si="27"/>
        <v>-2.8678989020441059</v>
      </c>
    </row>
    <row r="349" spans="1:11">
      <c r="A349" s="616">
        <f t="shared" si="28"/>
        <v>343</v>
      </c>
      <c r="B349" s="618">
        <v>34122</v>
      </c>
      <c r="C349" s="604">
        <v>0.89583333333333337</v>
      </c>
      <c r="D349" s="617" t="s">
        <v>128</v>
      </c>
      <c r="E349" s="620" t="s">
        <v>149</v>
      </c>
      <c r="F349" s="621">
        <v>50</v>
      </c>
      <c r="G349" s="789">
        <v>0.5</v>
      </c>
      <c r="H349" s="790">
        <f t="shared" si="29"/>
        <v>1.4204545454545454E-2</v>
      </c>
      <c r="I349" s="169">
        <f t="shared" si="25"/>
        <v>3.912023005428146</v>
      </c>
      <c r="J349" s="169">
        <f t="shared" si="26"/>
        <v>-0.69314718055994529</v>
      </c>
      <c r="K349" s="169">
        <f t="shared" si="27"/>
        <v>-4.2541932631639972</v>
      </c>
    </row>
    <row r="350" spans="1:11">
      <c r="A350" s="616">
        <f t="shared" si="28"/>
        <v>344</v>
      </c>
      <c r="B350" s="618">
        <v>34157</v>
      </c>
      <c r="C350" s="604">
        <v>0.79166666666666663</v>
      </c>
      <c r="D350" s="617" t="s">
        <v>141</v>
      </c>
      <c r="E350" s="620" t="s">
        <v>149</v>
      </c>
      <c r="F350" s="621">
        <v>50</v>
      </c>
      <c r="G350" s="789">
        <v>0.5</v>
      </c>
      <c r="H350" s="790">
        <f t="shared" si="29"/>
        <v>1.4204545454545454E-2</v>
      </c>
      <c r="I350" s="169">
        <f t="shared" si="25"/>
        <v>3.912023005428146</v>
      </c>
      <c r="J350" s="169">
        <f t="shared" si="26"/>
        <v>-0.69314718055994529</v>
      </c>
      <c r="K350" s="169">
        <f t="shared" si="27"/>
        <v>-4.2541932631639972</v>
      </c>
    </row>
    <row r="351" spans="1:11">
      <c r="A351" s="616">
        <f t="shared" si="28"/>
        <v>345</v>
      </c>
      <c r="B351" s="618">
        <v>34230</v>
      </c>
      <c r="C351" s="604">
        <v>0.7597222222222223</v>
      </c>
      <c r="D351" s="617" t="s">
        <v>128</v>
      </c>
      <c r="E351" s="620" t="s">
        <v>149</v>
      </c>
      <c r="F351" s="621">
        <v>100</v>
      </c>
      <c r="G351" s="789">
        <v>0.5</v>
      </c>
      <c r="H351" s="790">
        <f t="shared" si="29"/>
        <v>2.8409090909090908E-2</v>
      </c>
      <c r="I351" s="169">
        <f t="shared" si="25"/>
        <v>4.6051701859880918</v>
      </c>
      <c r="J351" s="169">
        <f t="shared" si="26"/>
        <v>-0.69314718055994529</v>
      </c>
      <c r="K351" s="169">
        <f t="shared" si="27"/>
        <v>-3.5610460826040513</v>
      </c>
    </row>
    <row r="352" spans="1:11">
      <c r="A352" s="616">
        <f t="shared" si="28"/>
        <v>346</v>
      </c>
      <c r="B352" s="618">
        <v>34463</v>
      </c>
      <c r="C352" s="604">
        <v>0.71527777777777779</v>
      </c>
      <c r="D352" s="617" t="s">
        <v>129</v>
      </c>
      <c r="E352" s="620" t="s">
        <v>149</v>
      </c>
      <c r="F352" s="621">
        <v>25</v>
      </c>
      <c r="G352" s="789">
        <v>1</v>
      </c>
      <c r="H352" s="790">
        <f t="shared" si="29"/>
        <v>1.4204545454545454E-2</v>
      </c>
      <c r="I352" s="169">
        <f t="shared" si="25"/>
        <v>3.2188758248682006</v>
      </c>
      <c r="J352" s="169">
        <f t="shared" si="26"/>
        <v>0</v>
      </c>
      <c r="K352" s="169">
        <f t="shared" si="27"/>
        <v>-4.2541932631639972</v>
      </c>
    </row>
    <row r="353" spans="1:11">
      <c r="A353" s="616">
        <f t="shared" si="28"/>
        <v>347</v>
      </c>
      <c r="B353" s="618">
        <v>34495</v>
      </c>
      <c r="C353" s="604">
        <v>0.8125</v>
      </c>
      <c r="D353" s="617" t="s">
        <v>139</v>
      </c>
      <c r="E353" s="620" t="s">
        <v>149</v>
      </c>
      <c r="F353" s="621">
        <v>50</v>
      </c>
      <c r="G353" s="789">
        <v>1</v>
      </c>
      <c r="H353" s="790">
        <f t="shared" si="29"/>
        <v>2.8409090909090908E-2</v>
      </c>
      <c r="I353" s="169">
        <f t="shared" si="25"/>
        <v>3.912023005428146</v>
      </c>
      <c r="J353" s="169">
        <f t="shared" si="26"/>
        <v>0</v>
      </c>
      <c r="K353" s="169">
        <f t="shared" si="27"/>
        <v>-3.5610460826040513</v>
      </c>
    </row>
    <row r="354" spans="1:11">
      <c r="A354" s="616">
        <f t="shared" si="28"/>
        <v>348</v>
      </c>
      <c r="B354" s="618">
        <v>34514</v>
      </c>
      <c r="C354" s="604">
        <v>0.79861111111111116</v>
      </c>
      <c r="D354" s="617" t="s">
        <v>133</v>
      </c>
      <c r="E354" s="620" t="s">
        <v>149</v>
      </c>
      <c r="F354" s="621">
        <v>25</v>
      </c>
      <c r="G354" s="789">
        <v>0.5</v>
      </c>
      <c r="H354" s="790">
        <f t="shared" si="29"/>
        <v>7.102272727272727E-3</v>
      </c>
      <c r="I354" s="169">
        <f t="shared" si="25"/>
        <v>3.2188758248682006</v>
      </c>
      <c r="J354" s="169">
        <f t="shared" si="26"/>
        <v>-0.69314718055994529</v>
      </c>
      <c r="K354" s="169">
        <f t="shared" si="27"/>
        <v>-4.9473404437239417</v>
      </c>
    </row>
    <row r="355" spans="1:11">
      <c r="A355" s="616">
        <f t="shared" si="28"/>
        <v>349</v>
      </c>
      <c r="B355" s="618">
        <v>34783</v>
      </c>
      <c r="C355" s="604">
        <v>0.76041666666666663</v>
      </c>
      <c r="D355" s="617" t="s">
        <v>128</v>
      </c>
      <c r="E355" s="620" t="s">
        <v>149</v>
      </c>
      <c r="F355" s="621">
        <v>50</v>
      </c>
      <c r="G355" s="789">
        <v>0.5</v>
      </c>
      <c r="H355" s="790">
        <f t="shared" si="29"/>
        <v>1.4204545454545454E-2</v>
      </c>
      <c r="I355" s="169">
        <f t="shared" si="25"/>
        <v>3.912023005428146</v>
      </c>
      <c r="J355" s="169">
        <f t="shared" si="26"/>
        <v>-0.69314718055994529</v>
      </c>
      <c r="K355" s="169">
        <f t="shared" si="27"/>
        <v>-4.2541932631639972</v>
      </c>
    </row>
    <row r="356" spans="1:11">
      <c r="A356" s="616">
        <f t="shared" si="28"/>
        <v>350</v>
      </c>
      <c r="B356" s="618">
        <v>34808</v>
      </c>
      <c r="C356" s="604">
        <v>0.80208333333333337</v>
      </c>
      <c r="D356" s="617" t="s">
        <v>135</v>
      </c>
      <c r="E356" s="620" t="s">
        <v>149</v>
      </c>
      <c r="F356" s="621">
        <v>20</v>
      </c>
      <c r="G356" s="789">
        <v>0.2</v>
      </c>
      <c r="H356" s="790">
        <f t="shared" si="29"/>
        <v>2.2727272727272731E-3</v>
      </c>
      <c r="I356" s="169">
        <f t="shared" si="25"/>
        <v>2.9957322735539909</v>
      </c>
      <c r="J356" s="169">
        <f t="shared" si="26"/>
        <v>-1.6094379124341003</v>
      </c>
      <c r="K356" s="169">
        <f t="shared" si="27"/>
        <v>-6.0867747269123065</v>
      </c>
    </row>
    <row r="357" spans="1:11">
      <c r="A357" s="616">
        <f t="shared" si="28"/>
        <v>351</v>
      </c>
      <c r="B357" s="618">
        <v>34826</v>
      </c>
      <c r="C357" s="604">
        <v>0.2951388888888889</v>
      </c>
      <c r="D357" s="617" t="s">
        <v>131</v>
      </c>
      <c r="E357" s="620" t="s">
        <v>149</v>
      </c>
      <c r="F357" s="621">
        <v>25</v>
      </c>
      <c r="G357" s="789">
        <v>0.2</v>
      </c>
      <c r="H357" s="790">
        <f t="shared" si="29"/>
        <v>2.840909090909091E-3</v>
      </c>
      <c r="I357" s="169">
        <f t="shared" si="25"/>
        <v>3.2188758248682006</v>
      </c>
      <c r="J357" s="169">
        <f t="shared" si="26"/>
        <v>-1.6094379124341003</v>
      </c>
      <c r="K357" s="169">
        <f t="shared" si="27"/>
        <v>-5.8636311755980968</v>
      </c>
    </row>
    <row r="358" spans="1:11">
      <c r="A358" s="616">
        <f t="shared" si="28"/>
        <v>352</v>
      </c>
      <c r="B358" s="618">
        <v>34836</v>
      </c>
      <c r="C358" s="604">
        <v>0.54513888888888895</v>
      </c>
      <c r="D358" s="617" t="s">
        <v>132</v>
      </c>
      <c r="E358" s="620" t="s">
        <v>149</v>
      </c>
      <c r="F358" s="621">
        <v>75</v>
      </c>
      <c r="G358" s="789">
        <v>3</v>
      </c>
      <c r="H358" s="790">
        <f t="shared" si="29"/>
        <v>0.12784090909090909</v>
      </c>
      <c r="I358" s="169">
        <f t="shared" si="25"/>
        <v>4.3174881135363101</v>
      </c>
      <c r="J358" s="169">
        <f t="shared" si="26"/>
        <v>1.0986122886681098</v>
      </c>
      <c r="K358" s="169">
        <f t="shared" si="27"/>
        <v>-2.0569686858277771</v>
      </c>
    </row>
    <row r="359" spans="1:11">
      <c r="A359" s="616">
        <f t="shared" si="28"/>
        <v>353</v>
      </c>
      <c r="B359" s="618">
        <v>34836</v>
      </c>
      <c r="C359" s="604">
        <v>0.59444444444444444</v>
      </c>
      <c r="D359" s="617" t="s">
        <v>128</v>
      </c>
      <c r="E359" s="620" t="s">
        <v>149</v>
      </c>
      <c r="F359" s="621">
        <v>100</v>
      </c>
      <c r="G359" s="789">
        <v>2</v>
      </c>
      <c r="H359" s="790">
        <f t="shared" si="29"/>
        <v>0.11363636363636363</v>
      </c>
      <c r="I359" s="169">
        <f t="shared" si="25"/>
        <v>4.6051701859880918</v>
      </c>
      <c r="J359" s="169">
        <f t="shared" si="26"/>
        <v>0.69314718055994529</v>
      </c>
      <c r="K359" s="169">
        <f t="shared" si="27"/>
        <v>-2.174751721484161</v>
      </c>
    </row>
    <row r="360" spans="1:11">
      <c r="A360" s="616">
        <f t="shared" si="28"/>
        <v>354</v>
      </c>
      <c r="B360" s="618">
        <v>34841</v>
      </c>
      <c r="C360" s="604">
        <v>0.63541666666666663</v>
      </c>
      <c r="D360" s="617" t="s">
        <v>141</v>
      </c>
      <c r="E360" s="620" t="s">
        <v>149</v>
      </c>
      <c r="F360" s="621">
        <v>25</v>
      </c>
      <c r="G360" s="789">
        <v>0.5</v>
      </c>
      <c r="H360" s="790">
        <f t="shared" si="29"/>
        <v>7.102272727272727E-3</v>
      </c>
      <c r="I360" s="169">
        <f t="shared" si="25"/>
        <v>3.2188758248682006</v>
      </c>
      <c r="J360" s="169">
        <f t="shared" si="26"/>
        <v>-0.69314718055994529</v>
      </c>
      <c r="K360" s="169">
        <f t="shared" si="27"/>
        <v>-4.9473404437239417</v>
      </c>
    </row>
    <row r="361" spans="1:11">
      <c r="A361" s="616">
        <f t="shared" si="28"/>
        <v>355</v>
      </c>
      <c r="B361" s="618">
        <v>34841</v>
      </c>
      <c r="C361" s="604">
        <v>0.76249999999999996</v>
      </c>
      <c r="D361" s="617" t="s">
        <v>143</v>
      </c>
      <c r="E361" s="620" t="s">
        <v>149</v>
      </c>
      <c r="F361" s="621">
        <v>50</v>
      </c>
      <c r="G361" s="789">
        <v>1</v>
      </c>
      <c r="H361" s="790">
        <f t="shared" si="29"/>
        <v>2.8409090909090908E-2</v>
      </c>
      <c r="I361" s="169">
        <f t="shared" si="25"/>
        <v>3.912023005428146</v>
      </c>
      <c r="J361" s="169">
        <f t="shared" si="26"/>
        <v>0</v>
      </c>
      <c r="K361" s="169">
        <f t="shared" si="27"/>
        <v>-3.5610460826040513</v>
      </c>
    </row>
    <row r="362" spans="1:11">
      <c r="A362" s="616">
        <f t="shared" si="28"/>
        <v>356</v>
      </c>
      <c r="B362" s="618">
        <v>34841</v>
      </c>
      <c r="C362" s="604">
        <v>0.81597222222222221</v>
      </c>
      <c r="D362" s="617" t="s">
        <v>143</v>
      </c>
      <c r="E362" s="620" t="s">
        <v>149</v>
      </c>
      <c r="F362" s="621">
        <v>25</v>
      </c>
      <c r="G362" s="789">
        <v>0.3</v>
      </c>
      <c r="H362" s="790">
        <f t="shared" si="29"/>
        <v>4.261363636363636E-3</v>
      </c>
      <c r="I362" s="169">
        <f t="shared" si="25"/>
        <v>3.2188758248682006</v>
      </c>
      <c r="J362" s="169">
        <f t="shared" si="26"/>
        <v>-1.2039728043259361</v>
      </c>
      <c r="K362" s="169">
        <f t="shared" si="27"/>
        <v>-5.458166067489933</v>
      </c>
    </row>
    <row r="363" spans="1:11">
      <c r="A363" s="616">
        <f t="shared" si="28"/>
        <v>357</v>
      </c>
      <c r="B363" s="618">
        <v>34841</v>
      </c>
      <c r="C363" s="604">
        <v>0.8340277777777777</v>
      </c>
      <c r="D363" s="617" t="s">
        <v>143</v>
      </c>
      <c r="E363" s="620" t="s">
        <v>149</v>
      </c>
      <c r="F363" s="621">
        <v>75</v>
      </c>
      <c r="G363" s="789">
        <v>1</v>
      </c>
      <c r="H363" s="790">
        <f t="shared" si="29"/>
        <v>4.261363636363636E-2</v>
      </c>
      <c r="I363" s="169">
        <f t="shared" si="25"/>
        <v>4.3174881135363101</v>
      </c>
      <c r="J363" s="169">
        <f t="shared" si="26"/>
        <v>0</v>
      </c>
      <c r="K363" s="169">
        <f t="shared" si="27"/>
        <v>-3.1555809744958871</v>
      </c>
    </row>
    <row r="364" spans="1:11">
      <c r="A364" s="616">
        <f t="shared" si="28"/>
        <v>358</v>
      </c>
      <c r="B364" s="618">
        <v>34845</v>
      </c>
      <c r="C364" s="604">
        <v>0.66319444444444442</v>
      </c>
      <c r="D364" s="617" t="s">
        <v>146</v>
      </c>
      <c r="E364" s="620" t="s">
        <v>149</v>
      </c>
      <c r="F364" s="621">
        <v>100</v>
      </c>
      <c r="G364" s="789">
        <v>1</v>
      </c>
      <c r="H364" s="790">
        <f t="shared" si="29"/>
        <v>5.6818181818181816E-2</v>
      </c>
      <c r="I364" s="169">
        <f t="shared" si="25"/>
        <v>4.6051701859880918</v>
      </c>
      <c r="J364" s="169">
        <f t="shared" si="26"/>
        <v>0</v>
      </c>
      <c r="K364" s="169">
        <f t="shared" si="27"/>
        <v>-2.8678989020441059</v>
      </c>
    </row>
    <row r="365" spans="1:11">
      <c r="A365" s="616">
        <f t="shared" si="28"/>
        <v>359</v>
      </c>
      <c r="B365" s="618">
        <v>34849</v>
      </c>
      <c r="C365" s="604">
        <v>0.76111111111111107</v>
      </c>
      <c r="D365" s="617" t="s">
        <v>127</v>
      </c>
      <c r="E365" s="620" t="s">
        <v>149</v>
      </c>
      <c r="F365" s="621">
        <v>50</v>
      </c>
      <c r="G365" s="789">
        <v>0.5</v>
      </c>
      <c r="H365" s="790">
        <f t="shared" si="29"/>
        <v>1.4204545454545454E-2</v>
      </c>
      <c r="I365" s="169">
        <f t="shared" si="25"/>
        <v>3.912023005428146</v>
      </c>
      <c r="J365" s="169">
        <f t="shared" si="26"/>
        <v>-0.69314718055994529</v>
      </c>
      <c r="K365" s="169">
        <f t="shared" si="27"/>
        <v>-4.2541932631639972</v>
      </c>
    </row>
    <row r="366" spans="1:11">
      <c r="A366" s="616">
        <f t="shared" si="28"/>
        <v>360</v>
      </c>
      <c r="B366" s="618">
        <v>34849</v>
      </c>
      <c r="C366" s="604">
        <v>0.80208333333333337</v>
      </c>
      <c r="D366" s="617" t="s">
        <v>142</v>
      </c>
      <c r="E366" s="620" t="s">
        <v>149</v>
      </c>
      <c r="F366" s="621">
        <v>200</v>
      </c>
      <c r="G366" s="789">
        <v>2</v>
      </c>
      <c r="H366" s="790">
        <f t="shared" si="29"/>
        <v>0.22727272727272727</v>
      </c>
      <c r="I366" s="169">
        <f t="shared" si="25"/>
        <v>5.2983173665480363</v>
      </c>
      <c r="J366" s="169">
        <f t="shared" si="26"/>
        <v>0.69314718055994529</v>
      </c>
      <c r="K366" s="169">
        <f t="shared" si="27"/>
        <v>-1.4816045409242156</v>
      </c>
    </row>
    <row r="367" spans="1:11">
      <c r="A367" s="616">
        <f t="shared" si="28"/>
        <v>361</v>
      </c>
      <c r="B367" s="618">
        <v>34850</v>
      </c>
      <c r="C367" s="604">
        <v>0.52083333333333337</v>
      </c>
      <c r="D367" s="617" t="s">
        <v>142</v>
      </c>
      <c r="E367" s="620" t="s">
        <v>149</v>
      </c>
      <c r="F367" s="621">
        <v>25</v>
      </c>
      <c r="G367" s="789">
        <v>0.1</v>
      </c>
      <c r="H367" s="790">
        <f t="shared" si="29"/>
        <v>1.4204545454545455E-3</v>
      </c>
      <c r="I367" s="169">
        <f t="shared" si="25"/>
        <v>3.2188758248682006</v>
      </c>
      <c r="J367" s="169">
        <f t="shared" si="26"/>
        <v>-2.3025850929940455</v>
      </c>
      <c r="K367" s="169">
        <f t="shared" si="27"/>
        <v>-6.5567783561580422</v>
      </c>
    </row>
    <row r="368" spans="1:11">
      <c r="A368" s="616">
        <f t="shared" si="28"/>
        <v>362</v>
      </c>
      <c r="B368" s="618">
        <v>34858</v>
      </c>
      <c r="C368" s="604">
        <v>0.64375000000000004</v>
      </c>
      <c r="D368" s="617" t="s">
        <v>142</v>
      </c>
      <c r="E368" s="620" t="s">
        <v>149</v>
      </c>
      <c r="F368" s="621">
        <v>50</v>
      </c>
      <c r="G368" s="789">
        <v>0.1</v>
      </c>
      <c r="H368" s="790">
        <f t="shared" si="29"/>
        <v>2.840909090909091E-3</v>
      </c>
      <c r="I368" s="169">
        <f t="shared" si="25"/>
        <v>3.912023005428146</v>
      </c>
      <c r="J368" s="169">
        <f t="shared" si="26"/>
        <v>-2.3025850929940455</v>
      </c>
      <c r="K368" s="169">
        <f t="shared" si="27"/>
        <v>-5.8636311755980968</v>
      </c>
    </row>
    <row r="369" spans="1:11">
      <c r="A369" s="616">
        <f t="shared" si="28"/>
        <v>363</v>
      </c>
      <c r="B369" s="618">
        <v>34858</v>
      </c>
      <c r="C369" s="604">
        <v>0.65972222222222221</v>
      </c>
      <c r="D369" s="617" t="s">
        <v>142</v>
      </c>
      <c r="E369" s="620" t="s">
        <v>149</v>
      </c>
      <c r="F369" s="621">
        <v>100</v>
      </c>
      <c r="G369" s="789">
        <v>0.3</v>
      </c>
      <c r="H369" s="790">
        <f t="shared" si="29"/>
        <v>1.7045454545454544E-2</v>
      </c>
      <c r="I369" s="169">
        <f t="shared" si="25"/>
        <v>4.6051701859880918</v>
      </c>
      <c r="J369" s="169">
        <f t="shared" si="26"/>
        <v>-1.2039728043259361</v>
      </c>
      <c r="K369" s="169">
        <f t="shared" si="27"/>
        <v>-4.0718717063700423</v>
      </c>
    </row>
    <row r="370" spans="1:11">
      <c r="A370" s="616">
        <f t="shared" si="28"/>
        <v>364</v>
      </c>
      <c r="B370" s="618">
        <v>34858</v>
      </c>
      <c r="C370" s="604">
        <v>0.67708333333333337</v>
      </c>
      <c r="D370" s="617" t="s">
        <v>132</v>
      </c>
      <c r="E370" s="620" t="s">
        <v>149</v>
      </c>
      <c r="F370" s="621">
        <v>75</v>
      </c>
      <c r="G370" s="789">
        <v>1</v>
      </c>
      <c r="H370" s="790">
        <f t="shared" si="29"/>
        <v>4.261363636363636E-2</v>
      </c>
      <c r="I370" s="169">
        <f t="shared" si="25"/>
        <v>4.3174881135363101</v>
      </c>
      <c r="J370" s="169">
        <f t="shared" si="26"/>
        <v>0</v>
      </c>
      <c r="K370" s="169">
        <f t="shared" si="27"/>
        <v>-3.1555809744958871</v>
      </c>
    </row>
    <row r="371" spans="1:11">
      <c r="A371" s="616">
        <f t="shared" si="28"/>
        <v>365</v>
      </c>
      <c r="B371" s="618">
        <v>34858</v>
      </c>
      <c r="C371" s="604">
        <v>0.67986111111111114</v>
      </c>
      <c r="D371" s="617" t="s">
        <v>147</v>
      </c>
      <c r="E371" s="620" t="s">
        <v>149</v>
      </c>
      <c r="F371" s="621">
        <v>100</v>
      </c>
      <c r="G371" s="789">
        <v>2</v>
      </c>
      <c r="H371" s="790">
        <f t="shared" si="29"/>
        <v>0.11363636363636363</v>
      </c>
      <c r="I371" s="169">
        <f t="shared" si="25"/>
        <v>4.6051701859880918</v>
      </c>
      <c r="J371" s="169">
        <f t="shared" si="26"/>
        <v>0.69314718055994529</v>
      </c>
      <c r="K371" s="169">
        <f t="shared" si="27"/>
        <v>-2.174751721484161</v>
      </c>
    </row>
    <row r="372" spans="1:11">
      <c r="A372" s="616">
        <f t="shared" si="28"/>
        <v>366</v>
      </c>
      <c r="B372" s="618">
        <v>34858</v>
      </c>
      <c r="C372" s="604">
        <v>0.71527777777777779</v>
      </c>
      <c r="D372" s="617" t="s">
        <v>142</v>
      </c>
      <c r="E372" s="620" t="s">
        <v>149</v>
      </c>
      <c r="F372" s="621">
        <v>100</v>
      </c>
      <c r="G372" s="789">
        <v>2</v>
      </c>
      <c r="H372" s="790">
        <f t="shared" si="29"/>
        <v>0.11363636363636363</v>
      </c>
      <c r="I372" s="169">
        <f t="shared" si="25"/>
        <v>4.6051701859880918</v>
      </c>
      <c r="J372" s="169">
        <f t="shared" si="26"/>
        <v>0.69314718055994529</v>
      </c>
      <c r="K372" s="169">
        <f t="shared" si="27"/>
        <v>-2.174751721484161</v>
      </c>
    </row>
    <row r="373" spans="1:11">
      <c r="A373" s="616">
        <f t="shared" si="28"/>
        <v>367</v>
      </c>
      <c r="B373" s="618">
        <v>34858</v>
      </c>
      <c r="C373" s="604">
        <v>0.72291666666666676</v>
      </c>
      <c r="D373" s="617" t="s">
        <v>142</v>
      </c>
      <c r="E373" s="620" t="s">
        <v>149</v>
      </c>
      <c r="F373" s="621">
        <v>50</v>
      </c>
      <c r="G373" s="789">
        <v>1</v>
      </c>
      <c r="H373" s="790">
        <f t="shared" si="29"/>
        <v>2.8409090909090908E-2</v>
      </c>
      <c r="I373" s="169">
        <f t="shared" si="25"/>
        <v>3.912023005428146</v>
      </c>
      <c r="J373" s="169">
        <f t="shared" si="26"/>
        <v>0</v>
      </c>
      <c r="K373" s="169">
        <f t="shared" si="27"/>
        <v>-3.5610460826040513</v>
      </c>
    </row>
    <row r="374" spans="1:11">
      <c r="A374" s="616">
        <f t="shared" si="28"/>
        <v>368</v>
      </c>
      <c r="B374" s="618">
        <v>34858</v>
      </c>
      <c r="C374" s="604">
        <v>0.73819444444444438</v>
      </c>
      <c r="D374" s="617" t="s">
        <v>138</v>
      </c>
      <c r="E374" s="620" t="s">
        <v>149</v>
      </c>
      <c r="F374" s="621">
        <v>150</v>
      </c>
      <c r="G374" s="789">
        <v>4</v>
      </c>
      <c r="H374" s="790">
        <f t="shared" si="29"/>
        <v>0.34090909090909088</v>
      </c>
      <c r="I374" s="169">
        <f t="shared" si="25"/>
        <v>5.0106352940962555</v>
      </c>
      <c r="J374" s="169">
        <f t="shared" si="26"/>
        <v>1.3862943611198906</v>
      </c>
      <c r="K374" s="169">
        <f t="shared" si="27"/>
        <v>-1.0761394328160512</v>
      </c>
    </row>
    <row r="375" spans="1:11">
      <c r="A375" s="616">
        <f t="shared" si="28"/>
        <v>369</v>
      </c>
      <c r="B375" s="618">
        <v>34858</v>
      </c>
      <c r="C375" s="604">
        <v>0.74513888888888891</v>
      </c>
      <c r="D375" s="617" t="s">
        <v>137</v>
      </c>
      <c r="E375" s="620" t="s">
        <v>149</v>
      </c>
      <c r="F375" s="621">
        <v>50</v>
      </c>
      <c r="G375" s="789">
        <v>0.5</v>
      </c>
      <c r="H375" s="790">
        <f t="shared" si="29"/>
        <v>1.4204545454545454E-2</v>
      </c>
      <c r="I375" s="169">
        <f t="shared" si="25"/>
        <v>3.912023005428146</v>
      </c>
      <c r="J375" s="169">
        <f t="shared" si="26"/>
        <v>-0.69314718055994529</v>
      </c>
      <c r="K375" s="169">
        <f t="shared" si="27"/>
        <v>-4.2541932631639972</v>
      </c>
    </row>
    <row r="376" spans="1:11">
      <c r="A376" s="616">
        <f t="shared" si="28"/>
        <v>370</v>
      </c>
      <c r="B376" s="618">
        <v>34882</v>
      </c>
      <c r="C376" s="604">
        <v>0.8222222222222223</v>
      </c>
      <c r="D376" s="617" t="s">
        <v>141</v>
      </c>
      <c r="E376" s="620" t="s">
        <v>149</v>
      </c>
      <c r="F376" s="621">
        <v>50</v>
      </c>
      <c r="G376" s="789">
        <v>0.3</v>
      </c>
      <c r="H376" s="790">
        <f t="shared" si="29"/>
        <v>8.5227272727272721E-3</v>
      </c>
      <c r="I376" s="169">
        <f t="shared" si="25"/>
        <v>3.912023005428146</v>
      </c>
      <c r="J376" s="169">
        <f t="shared" si="26"/>
        <v>-1.2039728043259361</v>
      </c>
      <c r="K376" s="169">
        <f t="shared" si="27"/>
        <v>-4.7650188869299877</v>
      </c>
    </row>
    <row r="377" spans="1:11">
      <c r="A377" s="616">
        <f t="shared" si="28"/>
        <v>371</v>
      </c>
      <c r="B377" s="618">
        <v>34882</v>
      </c>
      <c r="C377" s="604">
        <v>0.84375</v>
      </c>
      <c r="D377" s="617" t="s">
        <v>141</v>
      </c>
      <c r="E377" s="620" t="s">
        <v>149</v>
      </c>
      <c r="F377" s="621">
        <v>75</v>
      </c>
      <c r="G377" s="789">
        <v>0.5</v>
      </c>
      <c r="H377" s="790">
        <f t="shared" si="29"/>
        <v>2.130681818181818E-2</v>
      </c>
      <c r="I377" s="169">
        <f t="shared" si="25"/>
        <v>4.3174881135363101</v>
      </c>
      <c r="J377" s="169">
        <f t="shared" si="26"/>
        <v>-0.69314718055994529</v>
      </c>
      <c r="K377" s="169">
        <f t="shared" si="27"/>
        <v>-3.8487281550558325</v>
      </c>
    </row>
    <row r="378" spans="1:11">
      <c r="A378" s="616">
        <f t="shared" si="28"/>
        <v>372</v>
      </c>
      <c r="B378" s="618">
        <v>34902</v>
      </c>
      <c r="C378" s="604">
        <v>0.80625000000000002</v>
      </c>
      <c r="D378" s="617" t="s">
        <v>138</v>
      </c>
      <c r="E378" s="620" t="s">
        <v>149</v>
      </c>
      <c r="F378" s="621">
        <v>25</v>
      </c>
      <c r="G378" s="789">
        <v>0.1</v>
      </c>
      <c r="H378" s="790">
        <f t="shared" si="29"/>
        <v>1.4204545454545455E-3</v>
      </c>
      <c r="I378" s="169">
        <f t="shared" si="25"/>
        <v>3.2188758248682006</v>
      </c>
      <c r="J378" s="169">
        <f t="shared" si="26"/>
        <v>-2.3025850929940455</v>
      </c>
      <c r="K378" s="169">
        <f t="shared" si="27"/>
        <v>-6.5567783561580422</v>
      </c>
    </row>
    <row r="379" spans="1:11">
      <c r="A379" s="616">
        <f t="shared" si="28"/>
        <v>373</v>
      </c>
      <c r="B379" s="618">
        <v>34903</v>
      </c>
      <c r="C379" s="604">
        <v>0.82638888888888884</v>
      </c>
      <c r="D379" s="617" t="s">
        <v>146</v>
      </c>
      <c r="E379" s="620" t="s">
        <v>149</v>
      </c>
      <c r="F379" s="621">
        <v>100</v>
      </c>
      <c r="G379" s="789">
        <v>2</v>
      </c>
      <c r="H379" s="790">
        <f t="shared" si="29"/>
        <v>0.11363636363636363</v>
      </c>
      <c r="I379" s="169">
        <f t="shared" si="25"/>
        <v>4.6051701859880918</v>
      </c>
      <c r="J379" s="169">
        <f t="shared" si="26"/>
        <v>0.69314718055994529</v>
      </c>
      <c r="K379" s="169">
        <f t="shared" si="27"/>
        <v>-2.174751721484161</v>
      </c>
    </row>
    <row r="380" spans="1:11">
      <c r="A380" s="616">
        <f t="shared" si="28"/>
        <v>374</v>
      </c>
      <c r="B380" s="618">
        <v>35194</v>
      </c>
      <c r="C380" s="604">
        <v>0.72222222222222221</v>
      </c>
      <c r="D380" s="617" t="s">
        <v>142</v>
      </c>
      <c r="E380" s="620" t="s">
        <v>149</v>
      </c>
      <c r="F380" s="621">
        <v>25</v>
      </c>
      <c r="G380" s="789">
        <v>0.1</v>
      </c>
      <c r="H380" s="790">
        <f t="shared" si="29"/>
        <v>1.4204545454545455E-3</v>
      </c>
      <c r="I380" s="169">
        <f t="shared" si="25"/>
        <v>3.2188758248682006</v>
      </c>
      <c r="J380" s="169">
        <f t="shared" si="26"/>
        <v>-2.3025850929940455</v>
      </c>
      <c r="K380" s="169">
        <f t="shared" si="27"/>
        <v>-6.5567783561580422</v>
      </c>
    </row>
    <row r="381" spans="1:11">
      <c r="A381" s="616">
        <f t="shared" si="28"/>
        <v>375</v>
      </c>
      <c r="B381" s="618">
        <v>35194</v>
      </c>
      <c r="C381" s="604">
        <v>0.74930555555555556</v>
      </c>
      <c r="D381" s="617" t="s">
        <v>143</v>
      </c>
      <c r="E381" s="620" t="s">
        <v>149</v>
      </c>
      <c r="F381" s="621">
        <v>100</v>
      </c>
      <c r="G381" s="789">
        <v>5</v>
      </c>
      <c r="H381" s="790">
        <f t="shared" si="29"/>
        <v>0.28409090909090906</v>
      </c>
      <c r="I381" s="169">
        <f t="shared" si="25"/>
        <v>4.6051701859880918</v>
      </c>
      <c r="J381" s="169">
        <f t="shared" si="26"/>
        <v>1.6094379124341003</v>
      </c>
      <c r="K381" s="169">
        <f t="shared" si="27"/>
        <v>-1.2584609896100059</v>
      </c>
    </row>
    <row r="382" spans="1:11">
      <c r="A382" s="616">
        <f t="shared" si="28"/>
        <v>376</v>
      </c>
      <c r="B382" s="618">
        <v>35194</v>
      </c>
      <c r="C382" s="604">
        <v>0.76527777777777783</v>
      </c>
      <c r="D382" s="617" t="s">
        <v>143</v>
      </c>
      <c r="E382" s="620" t="s">
        <v>149</v>
      </c>
      <c r="F382" s="621">
        <v>20</v>
      </c>
      <c r="G382" s="789">
        <v>0.1</v>
      </c>
      <c r="H382" s="790">
        <f t="shared" si="29"/>
        <v>1.1363636363636365E-3</v>
      </c>
      <c r="I382" s="169">
        <f t="shared" si="25"/>
        <v>2.9957322735539909</v>
      </c>
      <c r="J382" s="169">
        <f t="shared" si="26"/>
        <v>-2.3025850929940455</v>
      </c>
      <c r="K382" s="169">
        <f t="shared" si="27"/>
        <v>-6.7799219074722519</v>
      </c>
    </row>
    <row r="383" spans="1:11">
      <c r="A383" s="616">
        <f t="shared" si="28"/>
        <v>377</v>
      </c>
      <c r="B383" s="618">
        <v>35194</v>
      </c>
      <c r="C383" s="604">
        <v>0.7715277777777777</v>
      </c>
      <c r="D383" s="617" t="s">
        <v>143</v>
      </c>
      <c r="E383" s="620" t="s">
        <v>149</v>
      </c>
      <c r="F383" s="621">
        <v>75</v>
      </c>
      <c r="G383" s="789">
        <v>0.6</v>
      </c>
      <c r="H383" s="790">
        <f t="shared" si="29"/>
        <v>2.5568181818181816E-2</v>
      </c>
      <c r="I383" s="169">
        <f t="shared" si="25"/>
        <v>4.3174881135363101</v>
      </c>
      <c r="J383" s="169">
        <f t="shared" si="26"/>
        <v>-0.51082562376599072</v>
      </c>
      <c r="K383" s="169">
        <f t="shared" si="27"/>
        <v>-3.6664065982618776</v>
      </c>
    </row>
    <row r="384" spans="1:11">
      <c r="A384" s="616">
        <f t="shared" si="28"/>
        <v>378</v>
      </c>
      <c r="B384" s="618">
        <v>35209</v>
      </c>
      <c r="C384" s="604">
        <v>0.61736111111111114</v>
      </c>
      <c r="D384" s="617" t="s">
        <v>131</v>
      </c>
      <c r="E384" s="620" t="s">
        <v>149</v>
      </c>
      <c r="F384" s="621">
        <v>50</v>
      </c>
      <c r="G384" s="789">
        <v>1</v>
      </c>
      <c r="H384" s="790">
        <f t="shared" si="29"/>
        <v>2.8409090909090908E-2</v>
      </c>
      <c r="I384" s="169">
        <f t="shared" si="25"/>
        <v>3.912023005428146</v>
      </c>
      <c r="J384" s="169">
        <f t="shared" si="26"/>
        <v>0</v>
      </c>
      <c r="K384" s="169">
        <f t="shared" si="27"/>
        <v>-3.5610460826040513</v>
      </c>
    </row>
    <row r="385" spans="1:11">
      <c r="A385" s="616">
        <f t="shared" si="28"/>
        <v>379</v>
      </c>
      <c r="B385" s="618">
        <v>35209</v>
      </c>
      <c r="C385" s="604">
        <v>0.62222222222222223</v>
      </c>
      <c r="D385" s="617" t="s">
        <v>136</v>
      </c>
      <c r="E385" s="620" t="s">
        <v>149</v>
      </c>
      <c r="F385" s="621">
        <v>30</v>
      </c>
      <c r="G385" s="789">
        <v>0.5</v>
      </c>
      <c r="H385" s="790">
        <f t="shared" si="29"/>
        <v>8.5227272727272721E-3</v>
      </c>
      <c r="I385" s="169">
        <f t="shared" si="25"/>
        <v>3.4011973816621555</v>
      </c>
      <c r="J385" s="169">
        <f t="shared" si="26"/>
        <v>-0.69314718055994529</v>
      </c>
      <c r="K385" s="169">
        <f t="shared" si="27"/>
        <v>-4.7650188869299877</v>
      </c>
    </row>
    <row r="386" spans="1:11">
      <c r="A386" s="616">
        <f t="shared" si="28"/>
        <v>380</v>
      </c>
      <c r="B386" s="618">
        <v>35209</v>
      </c>
      <c r="C386" s="604">
        <v>0.62291666666666667</v>
      </c>
      <c r="D386" s="617" t="s">
        <v>132</v>
      </c>
      <c r="E386" s="620" t="s">
        <v>149</v>
      </c>
      <c r="F386" s="621">
        <v>40</v>
      </c>
      <c r="G386" s="789">
        <v>0.6</v>
      </c>
      <c r="H386" s="790">
        <f t="shared" si="29"/>
        <v>1.3636363636363636E-2</v>
      </c>
      <c r="I386" s="169">
        <f t="shared" si="25"/>
        <v>3.6888794541139363</v>
      </c>
      <c r="J386" s="169">
        <f t="shared" si="26"/>
        <v>-0.51082562376599072</v>
      </c>
      <c r="K386" s="169">
        <f t="shared" si="27"/>
        <v>-4.295015257684252</v>
      </c>
    </row>
    <row r="387" spans="1:11">
      <c r="A387" s="616">
        <f t="shared" si="28"/>
        <v>381</v>
      </c>
      <c r="B387" s="618">
        <v>35209</v>
      </c>
      <c r="C387" s="604">
        <v>0.64444444444444449</v>
      </c>
      <c r="D387" s="617" t="s">
        <v>131</v>
      </c>
      <c r="E387" s="620" t="s">
        <v>149</v>
      </c>
      <c r="F387" s="621">
        <v>75</v>
      </c>
      <c r="G387" s="789">
        <v>0.6</v>
      </c>
      <c r="H387" s="790">
        <f t="shared" si="29"/>
        <v>2.5568181818181816E-2</v>
      </c>
      <c r="I387" s="169">
        <f t="shared" si="25"/>
        <v>4.3174881135363101</v>
      </c>
      <c r="J387" s="169">
        <f t="shared" si="26"/>
        <v>-0.51082562376599072</v>
      </c>
      <c r="K387" s="169">
        <f t="shared" si="27"/>
        <v>-3.6664065982618776</v>
      </c>
    </row>
    <row r="388" spans="1:11">
      <c r="A388" s="616">
        <f t="shared" si="28"/>
        <v>382</v>
      </c>
      <c r="B388" s="618">
        <v>35209</v>
      </c>
      <c r="C388" s="604">
        <v>0.65416666666666667</v>
      </c>
      <c r="D388" s="617" t="s">
        <v>132</v>
      </c>
      <c r="E388" s="620" t="s">
        <v>149</v>
      </c>
      <c r="F388" s="621">
        <v>50</v>
      </c>
      <c r="G388" s="789">
        <v>0.5</v>
      </c>
      <c r="H388" s="790">
        <f t="shared" si="29"/>
        <v>1.4204545454545454E-2</v>
      </c>
      <c r="I388" s="169">
        <f t="shared" si="25"/>
        <v>3.912023005428146</v>
      </c>
      <c r="J388" s="169">
        <f t="shared" si="26"/>
        <v>-0.69314718055994529</v>
      </c>
      <c r="K388" s="169">
        <f t="shared" si="27"/>
        <v>-4.2541932631639972</v>
      </c>
    </row>
    <row r="389" spans="1:11">
      <c r="A389" s="616">
        <f t="shared" si="28"/>
        <v>383</v>
      </c>
      <c r="B389" s="618">
        <v>35209</v>
      </c>
      <c r="C389" s="604">
        <v>0.68958333333333333</v>
      </c>
      <c r="D389" s="617" t="s">
        <v>141</v>
      </c>
      <c r="E389" s="620" t="s">
        <v>149</v>
      </c>
      <c r="F389" s="621">
        <v>50</v>
      </c>
      <c r="G389" s="789">
        <v>0.6</v>
      </c>
      <c r="H389" s="790">
        <f t="shared" si="29"/>
        <v>1.7045454545454544E-2</v>
      </c>
      <c r="I389" s="169">
        <f t="shared" si="25"/>
        <v>3.912023005428146</v>
      </c>
      <c r="J389" s="169">
        <f t="shared" si="26"/>
        <v>-0.51082562376599072</v>
      </c>
      <c r="K389" s="169">
        <f t="shared" si="27"/>
        <v>-4.0718717063700423</v>
      </c>
    </row>
    <row r="390" spans="1:11">
      <c r="A390" s="616">
        <f t="shared" si="28"/>
        <v>384</v>
      </c>
      <c r="B390" s="618">
        <v>35209</v>
      </c>
      <c r="C390" s="604">
        <v>0.74652777777777779</v>
      </c>
      <c r="D390" s="617" t="s">
        <v>142</v>
      </c>
      <c r="E390" s="620" t="s">
        <v>149</v>
      </c>
      <c r="F390" s="621">
        <v>40</v>
      </c>
      <c r="G390" s="789">
        <v>0.5</v>
      </c>
      <c r="H390" s="790">
        <f t="shared" si="29"/>
        <v>1.1363636363636364E-2</v>
      </c>
      <c r="I390" s="169">
        <f t="shared" si="25"/>
        <v>3.6888794541139363</v>
      </c>
      <c r="J390" s="169">
        <f t="shared" si="26"/>
        <v>-0.69314718055994529</v>
      </c>
      <c r="K390" s="169">
        <f t="shared" si="27"/>
        <v>-4.4773368144782069</v>
      </c>
    </row>
    <row r="391" spans="1:11">
      <c r="A391" s="616">
        <f t="shared" si="28"/>
        <v>385</v>
      </c>
      <c r="B391" s="618">
        <v>35209</v>
      </c>
      <c r="C391" s="604">
        <v>0.8125</v>
      </c>
      <c r="D391" s="617" t="s">
        <v>132</v>
      </c>
      <c r="E391" s="620" t="s">
        <v>149</v>
      </c>
      <c r="F391" s="621">
        <v>50</v>
      </c>
      <c r="G391" s="789">
        <v>0.5</v>
      </c>
      <c r="H391" s="790">
        <f t="shared" si="29"/>
        <v>1.4204545454545454E-2</v>
      </c>
      <c r="I391" s="169">
        <f t="shared" si="25"/>
        <v>3.912023005428146</v>
      </c>
      <c r="J391" s="169">
        <f t="shared" si="26"/>
        <v>-0.69314718055994529</v>
      </c>
      <c r="K391" s="169">
        <f t="shared" si="27"/>
        <v>-4.2541932631639972</v>
      </c>
    </row>
    <row r="392" spans="1:11">
      <c r="A392" s="616">
        <f t="shared" si="28"/>
        <v>386</v>
      </c>
      <c r="B392" s="618">
        <v>35210</v>
      </c>
      <c r="C392" s="604">
        <v>0.6875</v>
      </c>
      <c r="D392" s="617" t="s">
        <v>129</v>
      </c>
      <c r="E392" s="620" t="s">
        <v>149</v>
      </c>
      <c r="F392" s="621">
        <v>100</v>
      </c>
      <c r="G392" s="789">
        <v>5</v>
      </c>
      <c r="H392" s="790">
        <f t="shared" si="29"/>
        <v>0.28409090909090906</v>
      </c>
      <c r="I392" s="169">
        <f t="shared" ref="I392:I455" si="30">LN(F392)</f>
        <v>4.6051701859880918</v>
      </c>
      <c r="J392" s="169">
        <f t="shared" ref="J392:J455" si="31">LN(G392)</f>
        <v>1.6094379124341003</v>
      </c>
      <c r="K392" s="169">
        <f t="shared" ref="K392:K455" si="32">LN(H392)</f>
        <v>-1.2584609896100059</v>
      </c>
    </row>
    <row r="393" spans="1:11">
      <c r="A393" s="616">
        <f t="shared" ref="A393:A456" si="33">+A392+1</f>
        <v>387</v>
      </c>
      <c r="B393" s="618">
        <v>35211</v>
      </c>
      <c r="C393" s="604">
        <v>0.57847222222222217</v>
      </c>
      <c r="D393" s="617" t="s">
        <v>127</v>
      </c>
      <c r="E393" s="620" t="s">
        <v>149</v>
      </c>
      <c r="F393" s="621">
        <v>50</v>
      </c>
      <c r="G393" s="789">
        <v>0.5</v>
      </c>
      <c r="H393" s="790">
        <f t="shared" ref="H393:H456" si="34">+(F393/1760)*G393</f>
        <v>1.4204545454545454E-2</v>
      </c>
      <c r="I393" s="169">
        <f t="shared" si="30"/>
        <v>3.912023005428146</v>
      </c>
      <c r="J393" s="169">
        <f t="shared" si="31"/>
        <v>-0.69314718055994529</v>
      </c>
      <c r="K393" s="169">
        <f t="shared" si="32"/>
        <v>-4.2541932631639972</v>
      </c>
    </row>
    <row r="394" spans="1:11">
      <c r="A394" s="616">
        <f t="shared" si="33"/>
        <v>388</v>
      </c>
      <c r="B394" s="618">
        <v>35211</v>
      </c>
      <c r="C394" s="604">
        <v>0.59444444444444444</v>
      </c>
      <c r="D394" s="617" t="s">
        <v>127</v>
      </c>
      <c r="E394" s="620" t="s">
        <v>149</v>
      </c>
      <c r="F394" s="621">
        <v>100</v>
      </c>
      <c r="G394" s="789">
        <v>1</v>
      </c>
      <c r="H394" s="790">
        <f t="shared" si="34"/>
        <v>5.6818181818181816E-2</v>
      </c>
      <c r="I394" s="169">
        <f t="shared" si="30"/>
        <v>4.6051701859880918</v>
      </c>
      <c r="J394" s="169">
        <f t="shared" si="31"/>
        <v>0</v>
      </c>
      <c r="K394" s="169">
        <f t="shared" si="32"/>
        <v>-2.8678989020441059</v>
      </c>
    </row>
    <row r="395" spans="1:11">
      <c r="A395" s="616">
        <f t="shared" si="33"/>
        <v>389</v>
      </c>
      <c r="B395" s="618">
        <v>35211</v>
      </c>
      <c r="C395" s="604">
        <v>0.59444444444444444</v>
      </c>
      <c r="D395" s="617" t="s">
        <v>127</v>
      </c>
      <c r="E395" s="620" t="s">
        <v>149</v>
      </c>
      <c r="F395" s="621">
        <v>75</v>
      </c>
      <c r="G395" s="789">
        <v>1</v>
      </c>
      <c r="H395" s="790">
        <f t="shared" si="34"/>
        <v>4.261363636363636E-2</v>
      </c>
      <c r="I395" s="169">
        <f t="shared" si="30"/>
        <v>4.3174881135363101</v>
      </c>
      <c r="J395" s="169">
        <f t="shared" si="31"/>
        <v>0</v>
      </c>
      <c r="K395" s="169">
        <f t="shared" si="32"/>
        <v>-3.1555809744958871</v>
      </c>
    </row>
    <row r="396" spans="1:11">
      <c r="A396" s="616">
        <f t="shared" si="33"/>
        <v>390</v>
      </c>
      <c r="B396" s="618">
        <v>35216</v>
      </c>
      <c r="C396" s="604">
        <v>0.76180555555555562</v>
      </c>
      <c r="D396" s="617" t="s">
        <v>146</v>
      </c>
      <c r="E396" s="620" t="s">
        <v>149</v>
      </c>
      <c r="F396" s="621">
        <v>50</v>
      </c>
      <c r="G396" s="789">
        <v>0.5</v>
      </c>
      <c r="H396" s="790">
        <f t="shared" si="34"/>
        <v>1.4204545454545454E-2</v>
      </c>
      <c r="I396" s="169">
        <f t="shared" si="30"/>
        <v>3.912023005428146</v>
      </c>
      <c r="J396" s="169">
        <f t="shared" si="31"/>
        <v>-0.69314718055994529</v>
      </c>
      <c r="K396" s="169">
        <f t="shared" si="32"/>
        <v>-4.2541932631639972</v>
      </c>
    </row>
    <row r="397" spans="1:11">
      <c r="A397" s="616">
        <f t="shared" si="33"/>
        <v>391</v>
      </c>
      <c r="B397" s="618">
        <v>35216</v>
      </c>
      <c r="C397" s="604">
        <v>0.84236111111111101</v>
      </c>
      <c r="D397" s="617" t="s">
        <v>147</v>
      </c>
      <c r="E397" s="620" t="s">
        <v>149</v>
      </c>
      <c r="F397" s="621">
        <v>50</v>
      </c>
      <c r="G397" s="789">
        <v>0.5</v>
      </c>
      <c r="H397" s="790">
        <f t="shared" si="34"/>
        <v>1.4204545454545454E-2</v>
      </c>
      <c r="I397" s="169">
        <f t="shared" si="30"/>
        <v>3.912023005428146</v>
      </c>
      <c r="J397" s="169">
        <f t="shared" si="31"/>
        <v>-0.69314718055994529</v>
      </c>
      <c r="K397" s="169">
        <f t="shared" si="32"/>
        <v>-4.2541932631639972</v>
      </c>
    </row>
    <row r="398" spans="1:11">
      <c r="A398" s="616">
        <f t="shared" si="33"/>
        <v>392</v>
      </c>
      <c r="B398" s="618">
        <v>35218</v>
      </c>
      <c r="C398" s="604">
        <v>0.60277777777777775</v>
      </c>
      <c r="D398" s="617" t="s">
        <v>131</v>
      </c>
      <c r="E398" s="620" t="s">
        <v>149</v>
      </c>
      <c r="F398" s="621">
        <v>50</v>
      </c>
      <c r="G398" s="789">
        <v>3</v>
      </c>
      <c r="H398" s="790">
        <f t="shared" si="34"/>
        <v>8.5227272727272721E-2</v>
      </c>
      <c r="I398" s="169">
        <f t="shared" si="30"/>
        <v>3.912023005428146</v>
      </c>
      <c r="J398" s="169">
        <f t="shared" si="31"/>
        <v>1.0986122886681098</v>
      </c>
      <c r="K398" s="169">
        <f t="shared" si="32"/>
        <v>-2.4624337939359418</v>
      </c>
    </row>
    <row r="399" spans="1:11">
      <c r="A399" s="616">
        <f t="shared" si="33"/>
        <v>393</v>
      </c>
      <c r="B399" s="618">
        <v>35218</v>
      </c>
      <c r="C399" s="604">
        <v>0.67152777777777783</v>
      </c>
      <c r="D399" s="617" t="s">
        <v>141</v>
      </c>
      <c r="E399" s="620" t="s">
        <v>149</v>
      </c>
      <c r="F399" s="621">
        <v>50</v>
      </c>
      <c r="G399" s="789">
        <v>0.5</v>
      </c>
      <c r="H399" s="790">
        <f t="shared" si="34"/>
        <v>1.4204545454545454E-2</v>
      </c>
      <c r="I399" s="169">
        <f t="shared" si="30"/>
        <v>3.912023005428146</v>
      </c>
      <c r="J399" s="169">
        <f t="shared" si="31"/>
        <v>-0.69314718055994529</v>
      </c>
      <c r="K399" s="169">
        <f t="shared" si="32"/>
        <v>-4.2541932631639972</v>
      </c>
    </row>
    <row r="400" spans="1:11">
      <c r="A400" s="616">
        <f t="shared" si="33"/>
        <v>394</v>
      </c>
      <c r="B400" s="618">
        <v>35218</v>
      </c>
      <c r="C400" s="604">
        <v>0.68888888888888899</v>
      </c>
      <c r="D400" s="617" t="s">
        <v>141</v>
      </c>
      <c r="E400" s="620" t="s">
        <v>149</v>
      </c>
      <c r="F400" s="621">
        <v>50</v>
      </c>
      <c r="G400" s="789">
        <v>0.5</v>
      </c>
      <c r="H400" s="790">
        <f t="shared" si="34"/>
        <v>1.4204545454545454E-2</v>
      </c>
      <c r="I400" s="169">
        <f t="shared" si="30"/>
        <v>3.912023005428146</v>
      </c>
      <c r="J400" s="169">
        <f t="shared" si="31"/>
        <v>-0.69314718055994529</v>
      </c>
      <c r="K400" s="169">
        <f t="shared" si="32"/>
        <v>-4.2541932631639972</v>
      </c>
    </row>
    <row r="401" spans="1:11">
      <c r="A401" s="616">
        <f t="shared" si="33"/>
        <v>395</v>
      </c>
      <c r="B401" s="618">
        <v>35219</v>
      </c>
      <c r="C401" s="604">
        <v>0.59722222222222221</v>
      </c>
      <c r="D401" s="617" t="s">
        <v>126</v>
      </c>
      <c r="E401" s="620" t="s">
        <v>149</v>
      </c>
      <c r="F401" s="621">
        <v>50</v>
      </c>
      <c r="G401" s="789">
        <v>0.5</v>
      </c>
      <c r="H401" s="790">
        <f t="shared" si="34"/>
        <v>1.4204545454545454E-2</v>
      </c>
      <c r="I401" s="169">
        <f t="shared" si="30"/>
        <v>3.912023005428146</v>
      </c>
      <c r="J401" s="169">
        <f t="shared" si="31"/>
        <v>-0.69314718055994529</v>
      </c>
      <c r="K401" s="169">
        <f t="shared" si="32"/>
        <v>-4.2541932631639972</v>
      </c>
    </row>
    <row r="402" spans="1:11">
      <c r="A402" s="616">
        <f t="shared" si="33"/>
        <v>396</v>
      </c>
      <c r="B402" s="618">
        <v>35221</v>
      </c>
      <c r="C402" s="604">
        <v>0.69930555555555562</v>
      </c>
      <c r="D402" s="617" t="s">
        <v>127</v>
      </c>
      <c r="E402" s="620" t="s">
        <v>149</v>
      </c>
      <c r="F402" s="621">
        <v>25</v>
      </c>
      <c r="G402" s="789">
        <v>2</v>
      </c>
      <c r="H402" s="790">
        <f t="shared" si="34"/>
        <v>2.8409090909090908E-2</v>
      </c>
      <c r="I402" s="169">
        <f t="shared" si="30"/>
        <v>3.2188758248682006</v>
      </c>
      <c r="J402" s="169">
        <f t="shared" si="31"/>
        <v>0.69314718055994529</v>
      </c>
      <c r="K402" s="169">
        <f t="shared" si="32"/>
        <v>-3.5610460826040513</v>
      </c>
    </row>
    <row r="403" spans="1:11">
      <c r="A403" s="616">
        <f t="shared" si="33"/>
        <v>397</v>
      </c>
      <c r="B403" s="618">
        <v>35234</v>
      </c>
      <c r="C403" s="604">
        <v>0.69027777777777777</v>
      </c>
      <c r="D403" s="617" t="s">
        <v>146</v>
      </c>
      <c r="E403" s="620" t="s">
        <v>149</v>
      </c>
      <c r="F403" s="621">
        <v>50</v>
      </c>
      <c r="G403" s="789">
        <v>0.5</v>
      </c>
      <c r="H403" s="790">
        <f t="shared" si="34"/>
        <v>1.4204545454545454E-2</v>
      </c>
      <c r="I403" s="169">
        <f t="shared" si="30"/>
        <v>3.912023005428146</v>
      </c>
      <c r="J403" s="169">
        <f t="shared" si="31"/>
        <v>-0.69314718055994529</v>
      </c>
      <c r="K403" s="169">
        <f t="shared" si="32"/>
        <v>-4.2541932631639972</v>
      </c>
    </row>
    <row r="404" spans="1:11">
      <c r="A404" s="616">
        <f t="shared" si="33"/>
        <v>398</v>
      </c>
      <c r="B404" s="618">
        <v>35287</v>
      </c>
      <c r="C404" s="604">
        <v>0.72430555555555554</v>
      </c>
      <c r="D404" s="617" t="s">
        <v>143</v>
      </c>
      <c r="E404" s="620" t="s">
        <v>149</v>
      </c>
      <c r="F404" s="621">
        <v>50</v>
      </c>
      <c r="G404" s="789">
        <v>0.5</v>
      </c>
      <c r="H404" s="790">
        <f t="shared" si="34"/>
        <v>1.4204545454545454E-2</v>
      </c>
      <c r="I404" s="169">
        <f t="shared" si="30"/>
        <v>3.912023005428146</v>
      </c>
      <c r="J404" s="169">
        <f t="shared" si="31"/>
        <v>-0.69314718055994529</v>
      </c>
      <c r="K404" s="169">
        <f t="shared" si="32"/>
        <v>-4.2541932631639972</v>
      </c>
    </row>
    <row r="405" spans="1:11">
      <c r="A405" s="616">
        <f t="shared" si="33"/>
        <v>399</v>
      </c>
      <c r="B405" s="618">
        <v>35305</v>
      </c>
      <c r="C405" s="604">
        <v>0.50347222222222221</v>
      </c>
      <c r="D405" s="617" t="s">
        <v>145</v>
      </c>
      <c r="E405" s="620" t="s">
        <v>149</v>
      </c>
      <c r="F405" s="621">
        <v>10</v>
      </c>
      <c r="G405" s="789">
        <v>0.2</v>
      </c>
      <c r="H405" s="790">
        <f t="shared" si="34"/>
        <v>1.1363636363636365E-3</v>
      </c>
      <c r="I405" s="169">
        <f t="shared" si="30"/>
        <v>2.3025850929940459</v>
      </c>
      <c r="J405" s="169">
        <f t="shared" si="31"/>
        <v>-1.6094379124341003</v>
      </c>
      <c r="K405" s="169">
        <f t="shared" si="32"/>
        <v>-6.7799219074722519</v>
      </c>
    </row>
    <row r="406" spans="1:11">
      <c r="A406" s="616">
        <f t="shared" si="33"/>
        <v>400</v>
      </c>
      <c r="B406" s="618">
        <v>35305</v>
      </c>
      <c r="C406" s="604">
        <v>0.52083333333333337</v>
      </c>
      <c r="D406" s="617" t="s">
        <v>145</v>
      </c>
      <c r="E406" s="620" t="s">
        <v>149</v>
      </c>
      <c r="F406" s="621">
        <v>10</v>
      </c>
      <c r="G406" s="789">
        <v>0.2</v>
      </c>
      <c r="H406" s="790">
        <f t="shared" si="34"/>
        <v>1.1363636363636365E-3</v>
      </c>
      <c r="I406" s="169">
        <f t="shared" si="30"/>
        <v>2.3025850929940459</v>
      </c>
      <c r="J406" s="169">
        <f t="shared" si="31"/>
        <v>-1.6094379124341003</v>
      </c>
      <c r="K406" s="169">
        <f t="shared" si="32"/>
        <v>-6.7799219074722519</v>
      </c>
    </row>
    <row r="407" spans="1:11">
      <c r="A407" s="616">
        <f t="shared" si="33"/>
        <v>401</v>
      </c>
      <c r="B407" s="618">
        <v>35325</v>
      </c>
      <c r="C407" s="604">
        <v>0.88194444444444453</v>
      </c>
      <c r="D407" s="617" t="s">
        <v>135</v>
      </c>
      <c r="E407" s="620" t="s">
        <v>149</v>
      </c>
      <c r="F407" s="621">
        <v>100</v>
      </c>
      <c r="G407" s="789">
        <v>0.5</v>
      </c>
      <c r="H407" s="790">
        <f t="shared" si="34"/>
        <v>2.8409090909090908E-2</v>
      </c>
      <c r="I407" s="169">
        <f t="shared" si="30"/>
        <v>4.6051701859880918</v>
      </c>
      <c r="J407" s="169">
        <f t="shared" si="31"/>
        <v>-0.69314718055994529</v>
      </c>
      <c r="K407" s="169">
        <f t="shared" si="32"/>
        <v>-3.5610460826040513</v>
      </c>
    </row>
    <row r="408" spans="1:11">
      <c r="A408" s="616">
        <f t="shared" si="33"/>
        <v>402</v>
      </c>
      <c r="B408" s="618">
        <v>35325</v>
      </c>
      <c r="C408" s="604">
        <v>0.9458333333333333</v>
      </c>
      <c r="D408" s="617" t="s">
        <v>136</v>
      </c>
      <c r="E408" s="620" t="s">
        <v>149</v>
      </c>
      <c r="F408" s="621">
        <v>50</v>
      </c>
      <c r="G408" s="789">
        <v>0.5</v>
      </c>
      <c r="H408" s="790">
        <f t="shared" si="34"/>
        <v>1.4204545454545454E-2</v>
      </c>
      <c r="I408" s="169">
        <f t="shared" si="30"/>
        <v>3.912023005428146</v>
      </c>
      <c r="J408" s="169">
        <f t="shared" si="31"/>
        <v>-0.69314718055994529</v>
      </c>
      <c r="K408" s="169">
        <f t="shared" si="32"/>
        <v>-4.2541932631639972</v>
      </c>
    </row>
    <row r="409" spans="1:11">
      <c r="A409" s="616">
        <f t="shared" si="33"/>
        <v>403</v>
      </c>
      <c r="B409" s="618">
        <v>35325</v>
      </c>
      <c r="C409" s="604">
        <v>0.99236111111111114</v>
      </c>
      <c r="D409" s="617" t="s">
        <v>131</v>
      </c>
      <c r="E409" s="620" t="s">
        <v>149</v>
      </c>
      <c r="F409" s="621">
        <v>50</v>
      </c>
      <c r="G409" s="789">
        <v>0.5</v>
      </c>
      <c r="H409" s="790">
        <f t="shared" si="34"/>
        <v>1.4204545454545454E-2</v>
      </c>
      <c r="I409" s="169">
        <f t="shared" si="30"/>
        <v>3.912023005428146</v>
      </c>
      <c r="J409" s="169">
        <f t="shared" si="31"/>
        <v>-0.69314718055994529</v>
      </c>
      <c r="K409" s="169">
        <f t="shared" si="32"/>
        <v>-4.2541932631639972</v>
      </c>
    </row>
    <row r="410" spans="1:11">
      <c r="A410" s="616">
        <f t="shared" si="33"/>
        <v>404</v>
      </c>
      <c r="B410" s="618">
        <v>35326</v>
      </c>
      <c r="C410" s="604">
        <v>0.79236111111111107</v>
      </c>
      <c r="D410" s="617" t="s">
        <v>127</v>
      </c>
      <c r="E410" s="620" t="s">
        <v>149</v>
      </c>
      <c r="F410" s="621">
        <v>50</v>
      </c>
      <c r="G410" s="789">
        <v>0.5</v>
      </c>
      <c r="H410" s="790">
        <f t="shared" si="34"/>
        <v>1.4204545454545454E-2</v>
      </c>
      <c r="I410" s="169">
        <f t="shared" si="30"/>
        <v>3.912023005428146</v>
      </c>
      <c r="J410" s="169">
        <f t="shared" si="31"/>
        <v>-0.69314718055994529</v>
      </c>
      <c r="K410" s="169">
        <f t="shared" si="32"/>
        <v>-4.2541932631639972</v>
      </c>
    </row>
    <row r="411" spans="1:11">
      <c r="A411" s="616">
        <f t="shared" si="33"/>
        <v>405</v>
      </c>
      <c r="B411" s="618">
        <v>35326</v>
      </c>
      <c r="C411" s="604">
        <v>0.79652777777777783</v>
      </c>
      <c r="D411" s="617" t="s">
        <v>127</v>
      </c>
      <c r="E411" s="620" t="s">
        <v>149</v>
      </c>
      <c r="F411" s="621">
        <v>50</v>
      </c>
      <c r="G411" s="789">
        <v>0.5</v>
      </c>
      <c r="H411" s="790">
        <f t="shared" si="34"/>
        <v>1.4204545454545454E-2</v>
      </c>
      <c r="I411" s="169">
        <f t="shared" si="30"/>
        <v>3.912023005428146</v>
      </c>
      <c r="J411" s="169">
        <f t="shared" si="31"/>
        <v>-0.69314718055994529</v>
      </c>
      <c r="K411" s="169">
        <f t="shared" si="32"/>
        <v>-4.2541932631639972</v>
      </c>
    </row>
    <row r="412" spans="1:11">
      <c r="A412" s="616">
        <f t="shared" si="33"/>
        <v>406</v>
      </c>
      <c r="B412" s="618">
        <v>35556</v>
      </c>
      <c r="C412" s="604">
        <v>0.81597222222222221</v>
      </c>
      <c r="D412" s="617" t="s">
        <v>130</v>
      </c>
      <c r="E412" s="620" t="s">
        <v>149</v>
      </c>
      <c r="F412" s="621">
        <v>25</v>
      </c>
      <c r="G412" s="789">
        <v>0.7</v>
      </c>
      <c r="H412" s="790">
        <f t="shared" si="34"/>
        <v>9.943181818181818E-3</v>
      </c>
      <c r="I412" s="169">
        <f t="shared" si="30"/>
        <v>3.2188758248682006</v>
      </c>
      <c r="J412" s="169">
        <f t="shared" si="31"/>
        <v>-0.35667494393873245</v>
      </c>
      <c r="K412" s="169">
        <f t="shared" si="32"/>
        <v>-4.6108682071027287</v>
      </c>
    </row>
    <row r="413" spans="1:11">
      <c r="A413" s="616">
        <f t="shared" si="33"/>
        <v>407</v>
      </c>
      <c r="B413" s="618">
        <v>35557</v>
      </c>
      <c r="C413" s="604">
        <v>0.77708333333333324</v>
      </c>
      <c r="D413" s="617" t="s">
        <v>142</v>
      </c>
      <c r="E413" s="620" t="s">
        <v>149</v>
      </c>
      <c r="F413" s="621">
        <v>25</v>
      </c>
      <c r="G413" s="789">
        <v>0.2</v>
      </c>
      <c r="H413" s="790">
        <f t="shared" si="34"/>
        <v>2.840909090909091E-3</v>
      </c>
      <c r="I413" s="169">
        <f t="shared" si="30"/>
        <v>3.2188758248682006</v>
      </c>
      <c r="J413" s="169">
        <f t="shared" si="31"/>
        <v>-1.6094379124341003</v>
      </c>
      <c r="K413" s="169">
        <f t="shared" si="32"/>
        <v>-5.8636311755980968</v>
      </c>
    </row>
    <row r="414" spans="1:11">
      <c r="A414" s="616">
        <f t="shared" si="33"/>
        <v>408</v>
      </c>
      <c r="B414" s="618">
        <v>35557</v>
      </c>
      <c r="C414" s="604">
        <v>0.78611111111111109</v>
      </c>
      <c r="D414" s="617" t="s">
        <v>141</v>
      </c>
      <c r="E414" s="620" t="s">
        <v>149</v>
      </c>
      <c r="F414" s="621">
        <v>25</v>
      </c>
      <c r="G414" s="789">
        <v>0.5</v>
      </c>
      <c r="H414" s="790">
        <f t="shared" si="34"/>
        <v>7.102272727272727E-3</v>
      </c>
      <c r="I414" s="169">
        <f t="shared" si="30"/>
        <v>3.2188758248682006</v>
      </c>
      <c r="J414" s="169">
        <f t="shared" si="31"/>
        <v>-0.69314718055994529</v>
      </c>
      <c r="K414" s="169">
        <f t="shared" si="32"/>
        <v>-4.9473404437239417</v>
      </c>
    </row>
    <row r="415" spans="1:11">
      <c r="A415" s="616">
        <f t="shared" si="33"/>
        <v>409</v>
      </c>
      <c r="B415" s="618">
        <v>35557</v>
      </c>
      <c r="C415" s="604">
        <v>0.79861111111111116</v>
      </c>
      <c r="D415" s="617" t="s">
        <v>142</v>
      </c>
      <c r="E415" s="620" t="s">
        <v>149</v>
      </c>
      <c r="F415" s="621">
        <v>50</v>
      </c>
      <c r="G415" s="789">
        <v>1</v>
      </c>
      <c r="H415" s="790">
        <f t="shared" si="34"/>
        <v>2.8409090909090908E-2</v>
      </c>
      <c r="I415" s="169">
        <f t="shared" si="30"/>
        <v>3.912023005428146</v>
      </c>
      <c r="J415" s="169">
        <f t="shared" si="31"/>
        <v>0</v>
      </c>
      <c r="K415" s="169">
        <f t="shared" si="32"/>
        <v>-3.5610460826040513</v>
      </c>
    </row>
    <row r="416" spans="1:11">
      <c r="A416" s="616">
        <f t="shared" si="33"/>
        <v>410</v>
      </c>
      <c r="B416" s="618">
        <v>35557</v>
      </c>
      <c r="C416" s="604">
        <v>0.83680555555555547</v>
      </c>
      <c r="D416" s="617" t="s">
        <v>143</v>
      </c>
      <c r="E416" s="620" t="s">
        <v>149</v>
      </c>
      <c r="F416" s="621">
        <v>25</v>
      </c>
      <c r="G416" s="789">
        <v>0.1</v>
      </c>
      <c r="H416" s="790">
        <f t="shared" si="34"/>
        <v>1.4204545454545455E-3</v>
      </c>
      <c r="I416" s="169">
        <f t="shared" si="30"/>
        <v>3.2188758248682006</v>
      </c>
      <c r="J416" s="169">
        <f t="shared" si="31"/>
        <v>-2.3025850929940455</v>
      </c>
      <c r="K416" s="169">
        <f t="shared" si="32"/>
        <v>-6.5567783561580422</v>
      </c>
    </row>
    <row r="417" spans="1:11">
      <c r="A417" s="616">
        <f t="shared" si="33"/>
        <v>411</v>
      </c>
      <c r="B417" s="618">
        <v>35578</v>
      </c>
      <c r="C417" s="604">
        <v>0.67152777777777783</v>
      </c>
      <c r="D417" s="617" t="s">
        <v>144</v>
      </c>
      <c r="E417" s="620" t="s">
        <v>149</v>
      </c>
      <c r="F417" s="621">
        <v>25</v>
      </c>
      <c r="G417" s="789">
        <v>0.1</v>
      </c>
      <c r="H417" s="790">
        <f t="shared" si="34"/>
        <v>1.4204545454545455E-3</v>
      </c>
      <c r="I417" s="169">
        <f t="shared" si="30"/>
        <v>3.2188758248682006</v>
      </c>
      <c r="J417" s="169">
        <f t="shared" si="31"/>
        <v>-2.3025850929940455</v>
      </c>
      <c r="K417" s="169">
        <f t="shared" si="32"/>
        <v>-6.5567783561580422</v>
      </c>
    </row>
    <row r="418" spans="1:11">
      <c r="A418" s="616">
        <f t="shared" si="33"/>
        <v>412</v>
      </c>
      <c r="B418" s="618">
        <v>35579</v>
      </c>
      <c r="C418" s="604">
        <v>0.87152777777777779</v>
      </c>
      <c r="D418" s="617" t="s">
        <v>145</v>
      </c>
      <c r="E418" s="620" t="s">
        <v>149</v>
      </c>
      <c r="F418" s="621">
        <v>25</v>
      </c>
      <c r="G418" s="789">
        <v>0.1</v>
      </c>
      <c r="H418" s="790">
        <f t="shared" si="34"/>
        <v>1.4204545454545455E-3</v>
      </c>
      <c r="I418" s="169">
        <f t="shared" si="30"/>
        <v>3.2188758248682006</v>
      </c>
      <c r="J418" s="169">
        <f t="shared" si="31"/>
        <v>-2.3025850929940455</v>
      </c>
      <c r="K418" s="169">
        <f t="shared" si="32"/>
        <v>-6.5567783561580422</v>
      </c>
    </row>
    <row r="419" spans="1:11">
      <c r="A419" s="616">
        <f t="shared" si="33"/>
        <v>413</v>
      </c>
      <c r="B419" s="618">
        <v>35579</v>
      </c>
      <c r="C419" s="604">
        <v>0.87777777777777777</v>
      </c>
      <c r="D419" s="617" t="s">
        <v>141</v>
      </c>
      <c r="E419" s="620" t="s">
        <v>149</v>
      </c>
      <c r="F419" s="621">
        <v>50</v>
      </c>
      <c r="G419" s="789">
        <v>0.3</v>
      </c>
      <c r="H419" s="790">
        <f t="shared" si="34"/>
        <v>8.5227272727272721E-3</v>
      </c>
      <c r="I419" s="169">
        <f t="shared" si="30"/>
        <v>3.912023005428146</v>
      </c>
      <c r="J419" s="169">
        <f t="shared" si="31"/>
        <v>-1.2039728043259361</v>
      </c>
      <c r="K419" s="169">
        <f t="shared" si="32"/>
        <v>-4.7650188869299877</v>
      </c>
    </row>
    <row r="420" spans="1:11">
      <c r="A420" s="616">
        <f t="shared" si="33"/>
        <v>414</v>
      </c>
      <c r="B420" s="618">
        <v>35579</v>
      </c>
      <c r="C420" s="604">
        <v>0.8833333333333333</v>
      </c>
      <c r="D420" s="617" t="s">
        <v>145</v>
      </c>
      <c r="E420" s="620" t="s">
        <v>149</v>
      </c>
      <c r="F420" s="621">
        <v>25</v>
      </c>
      <c r="G420" s="789">
        <v>0.1</v>
      </c>
      <c r="H420" s="790">
        <f t="shared" si="34"/>
        <v>1.4204545454545455E-3</v>
      </c>
      <c r="I420" s="169">
        <f t="shared" si="30"/>
        <v>3.2188758248682006</v>
      </c>
      <c r="J420" s="169">
        <f t="shared" si="31"/>
        <v>-2.3025850929940455</v>
      </c>
      <c r="K420" s="169">
        <f t="shared" si="32"/>
        <v>-6.5567783561580422</v>
      </c>
    </row>
    <row r="421" spans="1:11">
      <c r="A421" s="616">
        <f t="shared" si="33"/>
        <v>415</v>
      </c>
      <c r="B421" s="618">
        <v>35590</v>
      </c>
      <c r="C421" s="604">
        <v>0.60069444444444442</v>
      </c>
      <c r="D421" s="617" t="s">
        <v>141</v>
      </c>
      <c r="E421" s="620" t="s">
        <v>149</v>
      </c>
      <c r="F421" s="621">
        <v>25</v>
      </c>
      <c r="G421" s="789">
        <v>0.1</v>
      </c>
      <c r="H421" s="790">
        <f t="shared" si="34"/>
        <v>1.4204545454545455E-3</v>
      </c>
      <c r="I421" s="169">
        <f t="shared" si="30"/>
        <v>3.2188758248682006</v>
      </c>
      <c r="J421" s="169">
        <f t="shared" si="31"/>
        <v>-2.3025850929940455</v>
      </c>
      <c r="K421" s="169">
        <f t="shared" si="32"/>
        <v>-6.5567783561580422</v>
      </c>
    </row>
    <row r="422" spans="1:11">
      <c r="A422" s="616">
        <f t="shared" si="33"/>
        <v>416</v>
      </c>
      <c r="B422" s="618">
        <v>35592</v>
      </c>
      <c r="C422" s="604">
        <v>0.73541666666666661</v>
      </c>
      <c r="D422" s="617" t="s">
        <v>143</v>
      </c>
      <c r="E422" s="620" t="s">
        <v>149</v>
      </c>
      <c r="F422" s="621">
        <v>25</v>
      </c>
      <c r="G422" s="789">
        <v>0.1</v>
      </c>
      <c r="H422" s="790">
        <f t="shared" si="34"/>
        <v>1.4204545454545455E-3</v>
      </c>
      <c r="I422" s="169">
        <f t="shared" si="30"/>
        <v>3.2188758248682006</v>
      </c>
      <c r="J422" s="169">
        <f t="shared" si="31"/>
        <v>-2.3025850929940455</v>
      </c>
      <c r="K422" s="169">
        <f t="shared" si="32"/>
        <v>-6.5567783561580422</v>
      </c>
    </row>
    <row r="423" spans="1:11">
      <c r="A423" s="616">
        <f t="shared" si="33"/>
        <v>417</v>
      </c>
      <c r="B423" s="618">
        <v>35592</v>
      </c>
      <c r="C423" s="604">
        <v>0.79791666666666661</v>
      </c>
      <c r="D423" s="617" t="s">
        <v>148</v>
      </c>
      <c r="E423" s="620" t="s">
        <v>149</v>
      </c>
      <c r="F423" s="621">
        <v>50</v>
      </c>
      <c r="G423" s="789">
        <v>0.5</v>
      </c>
      <c r="H423" s="790">
        <f t="shared" si="34"/>
        <v>1.4204545454545454E-2</v>
      </c>
      <c r="I423" s="169">
        <f t="shared" si="30"/>
        <v>3.912023005428146</v>
      </c>
      <c r="J423" s="169">
        <f t="shared" si="31"/>
        <v>-0.69314718055994529</v>
      </c>
      <c r="K423" s="169">
        <f t="shared" si="32"/>
        <v>-4.2541932631639972</v>
      </c>
    </row>
    <row r="424" spans="1:11">
      <c r="A424" s="616">
        <f t="shared" si="33"/>
        <v>418</v>
      </c>
      <c r="B424" s="618">
        <v>35592</v>
      </c>
      <c r="C424" s="604">
        <v>0.80694444444444446</v>
      </c>
      <c r="D424" s="617" t="s">
        <v>148</v>
      </c>
      <c r="E424" s="620" t="s">
        <v>149</v>
      </c>
      <c r="F424" s="621">
        <v>25</v>
      </c>
      <c r="G424" s="789">
        <v>0.1</v>
      </c>
      <c r="H424" s="790">
        <f t="shared" si="34"/>
        <v>1.4204545454545455E-3</v>
      </c>
      <c r="I424" s="169">
        <f t="shared" si="30"/>
        <v>3.2188758248682006</v>
      </c>
      <c r="J424" s="169">
        <f t="shared" si="31"/>
        <v>-2.3025850929940455</v>
      </c>
      <c r="K424" s="169">
        <f t="shared" si="32"/>
        <v>-6.5567783561580422</v>
      </c>
    </row>
    <row r="425" spans="1:11">
      <c r="A425" s="616">
        <f t="shared" si="33"/>
        <v>419</v>
      </c>
      <c r="B425" s="618">
        <v>35593</v>
      </c>
      <c r="C425" s="604">
        <v>0.80069444444444438</v>
      </c>
      <c r="D425" s="617" t="s">
        <v>143</v>
      </c>
      <c r="E425" s="620" t="s">
        <v>149</v>
      </c>
      <c r="F425" s="621">
        <v>25</v>
      </c>
      <c r="G425" s="789">
        <v>0.1</v>
      </c>
      <c r="H425" s="790">
        <f t="shared" si="34"/>
        <v>1.4204545454545455E-3</v>
      </c>
      <c r="I425" s="169">
        <f t="shared" si="30"/>
        <v>3.2188758248682006</v>
      </c>
      <c r="J425" s="169">
        <f t="shared" si="31"/>
        <v>-2.3025850929940455</v>
      </c>
      <c r="K425" s="169">
        <f t="shared" si="32"/>
        <v>-6.5567783561580422</v>
      </c>
    </row>
    <row r="426" spans="1:11">
      <c r="A426" s="616">
        <f t="shared" si="33"/>
        <v>420</v>
      </c>
      <c r="B426" s="618">
        <v>35593</v>
      </c>
      <c r="C426" s="604">
        <v>0.84027777777777779</v>
      </c>
      <c r="D426" s="617" t="s">
        <v>137</v>
      </c>
      <c r="E426" s="620" t="s">
        <v>149</v>
      </c>
      <c r="F426" s="621">
        <v>25</v>
      </c>
      <c r="G426" s="789">
        <v>0.1</v>
      </c>
      <c r="H426" s="790">
        <f t="shared" si="34"/>
        <v>1.4204545454545455E-3</v>
      </c>
      <c r="I426" s="169">
        <f t="shared" si="30"/>
        <v>3.2188758248682006</v>
      </c>
      <c r="J426" s="169">
        <f t="shared" si="31"/>
        <v>-2.3025850929940455</v>
      </c>
      <c r="K426" s="169">
        <f t="shared" si="32"/>
        <v>-6.5567783561580422</v>
      </c>
    </row>
    <row r="427" spans="1:11">
      <c r="A427" s="616">
        <f t="shared" si="33"/>
        <v>421</v>
      </c>
      <c r="B427" s="618">
        <v>35595</v>
      </c>
      <c r="C427" s="604">
        <v>0.62430555555555556</v>
      </c>
      <c r="D427" s="617" t="s">
        <v>135</v>
      </c>
      <c r="E427" s="620" t="s">
        <v>149</v>
      </c>
      <c r="F427" s="621">
        <v>50</v>
      </c>
      <c r="G427" s="789">
        <v>0.2</v>
      </c>
      <c r="H427" s="790">
        <f t="shared" si="34"/>
        <v>5.681818181818182E-3</v>
      </c>
      <c r="I427" s="169">
        <f t="shared" si="30"/>
        <v>3.912023005428146</v>
      </c>
      <c r="J427" s="169">
        <f t="shared" si="31"/>
        <v>-1.6094379124341003</v>
      </c>
      <c r="K427" s="169">
        <f t="shared" si="32"/>
        <v>-5.1704839950381514</v>
      </c>
    </row>
    <row r="428" spans="1:11">
      <c r="A428" s="616">
        <f t="shared" si="33"/>
        <v>422</v>
      </c>
      <c r="B428" s="618">
        <v>35595</v>
      </c>
      <c r="C428" s="604">
        <v>0.64097222222222217</v>
      </c>
      <c r="D428" s="617" t="s">
        <v>135</v>
      </c>
      <c r="E428" s="620" t="s">
        <v>149</v>
      </c>
      <c r="F428" s="621">
        <v>25</v>
      </c>
      <c r="G428" s="789">
        <v>0.1</v>
      </c>
      <c r="H428" s="790">
        <f t="shared" si="34"/>
        <v>1.4204545454545455E-3</v>
      </c>
      <c r="I428" s="169">
        <f t="shared" si="30"/>
        <v>3.2188758248682006</v>
      </c>
      <c r="J428" s="169">
        <f t="shared" si="31"/>
        <v>-2.3025850929940455</v>
      </c>
      <c r="K428" s="169">
        <f t="shared" si="32"/>
        <v>-6.5567783561580422</v>
      </c>
    </row>
    <row r="429" spans="1:11">
      <c r="A429" s="616">
        <f t="shared" si="33"/>
        <v>423</v>
      </c>
      <c r="B429" s="618">
        <v>35595</v>
      </c>
      <c r="C429" s="604">
        <v>0.68402777777777779</v>
      </c>
      <c r="D429" s="617" t="s">
        <v>145</v>
      </c>
      <c r="E429" s="620" t="s">
        <v>149</v>
      </c>
      <c r="F429" s="621">
        <v>25</v>
      </c>
      <c r="G429" s="789">
        <v>0.1</v>
      </c>
      <c r="H429" s="790">
        <f t="shared" si="34"/>
        <v>1.4204545454545455E-3</v>
      </c>
      <c r="I429" s="169">
        <f t="shared" si="30"/>
        <v>3.2188758248682006</v>
      </c>
      <c r="J429" s="169">
        <f t="shared" si="31"/>
        <v>-2.3025850929940455</v>
      </c>
      <c r="K429" s="169">
        <f t="shared" si="32"/>
        <v>-6.5567783561580422</v>
      </c>
    </row>
    <row r="430" spans="1:11">
      <c r="A430" s="616">
        <f t="shared" si="33"/>
        <v>424</v>
      </c>
      <c r="B430" s="618">
        <v>35595</v>
      </c>
      <c r="C430" s="604">
        <v>0.7416666666666667</v>
      </c>
      <c r="D430" s="617" t="s">
        <v>136</v>
      </c>
      <c r="E430" s="620" t="s">
        <v>149</v>
      </c>
      <c r="F430" s="621">
        <v>50</v>
      </c>
      <c r="G430" s="789">
        <v>0.2</v>
      </c>
      <c r="H430" s="790">
        <f t="shared" si="34"/>
        <v>5.681818181818182E-3</v>
      </c>
      <c r="I430" s="169">
        <f t="shared" si="30"/>
        <v>3.912023005428146</v>
      </c>
      <c r="J430" s="169">
        <f t="shared" si="31"/>
        <v>-1.6094379124341003</v>
      </c>
      <c r="K430" s="169">
        <f t="shared" si="32"/>
        <v>-5.1704839950381514</v>
      </c>
    </row>
    <row r="431" spans="1:11">
      <c r="A431" s="616">
        <f t="shared" si="33"/>
        <v>425</v>
      </c>
      <c r="B431" s="618">
        <v>35595</v>
      </c>
      <c r="C431" s="604">
        <v>0.75694444444444453</v>
      </c>
      <c r="D431" s="617" t="s">
        <v>141</v>
      </c>
      <c r="E431" s="620" t="s">
        <v>149</v>
      </c>
      <c r="F431" s="621">
        <v>50</v>
      </c>
      <c r="G431" s="789">
        <v>0.1</v>
      </c>
      <c r="H431" s="790">
        <f t="shared" si="34"/>
        <v>2.840909090909091E-3</v>
      </c>
      <c r="I431" s="169">
        <f t="shared" si="30"/>
        <v>3.912023005428146</v>
      </c>
      <c r="J431" s="169">
        <f t="shared" si="31"/>
        <v>-2.3025850929940455</v>
      </c>
      <c r="K431" s="169">
        <f t="shared" si="32"/>
        <v>-5.8636311755980968</v>
      </c>
    </row>
    <row r="432" spans="1:11">
      <c r="A432" s="616">
        <f t="shared" si="33"/>
        <v>426</v>
      </c>
      <c r="B432" s="618">
        <v>35597</v>
      </c>
      <c r="C432" s="604">
        <v>0.51388888888888895</v>
      </c>
      <c r="D432" s="617" t="s">
        <v>129</v>
      </c>
      <c r="E432" s="620" t="s">
        <v>149</v>
      </c>
      <c r="F432" s="621">
        <v>25</v>
      </c>
      <c r="G432" s="789">
        <v>0.2</v>
      </c>
      <c r="H432" s="790">
        <f t="shared" si="34"/>
        <v>2.840909090909091E-3</v>
      </c>
      <c r="I432" s="169">
        <f t="shared" si="30"/>
        <v>3.2188758248682006</v>
      </c>
      <c r="J432" s="169">
        <f t="shared" si="31"/>
        <v>-1.6094379124341003</v>
      </c>
      <c r="K432" s="169">
        <f t="shared" si="32"/>
        <v>-5.8636311755980968</v>
      </c>
    </row>
    <row r="433" spans="1:11">
      <c r="A433" s="616">
        <f t="shared" si="33"/>
        <v>427</v>
      </c>
      <c r="B433" s="618">
        <v>35597</v>
      </c>
      <c r="C433" s="604">
        <v>0.52083333333333337</v>
      </c>
      <c r="D433" s="617" t="s">
        <v>134</v>
      </c>
      <c r="E433" s="620" t="s">
        <v>149</v>
      </c>
      <c r="F433" s="621">
        <v>50</v>
      </c>
      <c r="G433" s="789">
        <v>0.1</v>
      </c>
      <c r="H433" s="790">
        <f t="shared" si="34"/>
        <v>2.840909090909091E-3</v>
      </c>
      <c r="I433" s="169">
        <f t="shared" si="30"/>
        <v>3.912023005428146</v>
      </c>
      <c r="J433" s="169">
        <f t="shared" si="31"/>
        <v>-2.3025850929940455</v>
      </c>
      <c r="K433" s="169">
        <f t="shared" si="32"/>
        <v>-5.8636311755980968</v>
      </c>
    </row>
    <row r="434" spans="1:11">
      <c r="A434" s="616">
        <f t="shared" si="33"/>
        <v>428</v>
      </c>
      <c r="B434" s="618">
        <v>36014</v>
      </c>
      <c r="C434" s="604">
        <v>0.67361111111111116</v>
      </c>
      <c r="D434" s="617" t="s">
        <v>145</v>
      </c>
      <c r="E434" s="620" t="s">
        <v>149</v>
      </c>
      <c r="F434" s="621">
        <v>25</v>
      </c>
      <c r="G434" s="789">
        <v>0.5</v>
      </c>
      <c r="H434" s="790">
        <f t="shared" si="34"/>
        <v>7.102272727272727E-3</v>
      </c>
      <c r="I434" s="169">
        <f t="shared" si="30"/>
        <v>3.2188758248682006</v>
      </c>
      <c r="J434" s="169">
        <f t="shared" si="31"/>
        <v>-0.69314718055994529</v>
      </c>
      <c r="K434" s="169">
        <f t="shared" si="32"/>
        <v>-4.9473404437239417</v>
      </c>
    </row>
    <row r="435" spans="1:11">
      <c r="A435" s="616">
        <f t="shared" si="33"/>
        <v>429</v>
      </c>
      <c r="B435" s="618">
        <v>36281</v>
      </c>
      <c r="C435" s="604">
        <v>0.79652777777777783</v>
      </c>
      <c r="D435" s="617" t="s">
        <v>134</v>
      </c>
      <c r="E435" s="620" t="s">
        <v>149</v>
      </c>
      <c r="F435" s="621">
        <v>50</v>
      </c>
      <c r="G435" s="789">
        <v>0.1</v>
      </c>
      <c r="H435" s="790">
        <f t="shared" si="34"/>
        <v>2.840909090909091E-3</v>
      </c>
      <c r="I435" s="169">
        <f t="shared" si="30"/>
        <v>3.912023005428146</v>
      </c>
      <c r="J435" s="169">
        <f t="shared" si="31"/>
        <v>-2.3025850929940455</v>
      </c>
      <c r="K435" s="169">
        <f t="shared" si="32"/>
        <v>-5.8636311755980968</v>
      </c>
    </row>
    <row r="436" spans="1:11">
      <c r="A436" s="616">
        <f t="shared" si="33"/>
        <v>430</v>
      </c>
      <c r="B436" s="618">
        <v>36300</v>
      </c>
      <c r="C436" s="604">
        <v>0.71111111111111114</v>
      </c>
      <c r="D436" s="617" t="s">
        <v>142</v>
      </c>
      <c r="E436" s="620" t="s">
        <v>149</v>
      </c>
      <c r="F436" s="621">
        <v>25</v>
      </c>
      <c r="G436" s="789">
        <v>0.1</v>
      </c>
      <c r="H436" s="790">
        <f t="shared" si="34"/>
        <v>1.4204545454545455E-3</v>
      </c>
      <c r="I436" s="169">
        <f t="shared" si="30"/>
        <v>3.2188758248682006</v>
      </c>
      <c r="J436" s="169">
        <f t="shared" si="31"/>
        <v>-2.3025850929940455</v>
      </c>
      <c r="K436" s="169">
        <f t="shared" si="32"/>
        <v>-6.5567783561580422</v>
      </c>
    </row>
    <row r="437" spans="1:11">
      <c r="A437" s="616">
        <f t="shared" si="33"/>
        <v>431</v>
      </c>
      <c r="B437" s="618">
        <v>36300</v>
      </c>
      <c r="C437" s="604">
        <v>0.72152777777777777</v>
      </c>
      <c r="D437" s="617" t="s">
        <v>142</v>
      </c>
      <c r="E437" s="620" t="s">
        <v>149</v>
      </c>
      <c r="F437" s="621">
        <v>25</v>
      </c>
      <c r="G437" s="789">
        <v>0.1</v>
      </c>
      <c r="H437" s="790">
        <f t="shared" si="34"/>
        <v>1.4204545454545455E-3</v>
      </c>
      <c r="I437" s="169">
        <f t="shared" si="30"/>
        <v>3.2188758248682006</v>
      </c>
      <c r="J437" s="169">
        <f t="shared" si="31"/>
        <v>-2.3025850929940455</v>
      </c>
      <c r="K437" s="169">
        <f t="shared" si="32"/>
        <v>-6.5567783561580422</v>
      </c>
    </row>
    <row r="438" spans="1:11">
      <c r="A438" s="616">
        <f t="shared" si="33"/>
        <v>432</v>
      </c>
      <c r="B438" s="618">
        <v>36300</v>
      </c>
      <c r="C438" s="604">
        <v>0.73888888888888893</v>
      </c>
      <c r="D438" s="617" t="s">
        <v>147</v>
      </c>
      <c r="E438" s="620" t="s">
        <v>149</v>
      </c>
      <c r="F438" s="621">
        <v>50</v>
      </c>
      <c r="G438" s="789">
        <v>0.5</v>
      </c>
      <c r="H438" s="790">
        <f t="shared" si="34"/>
        <v>1.4204545454545454E-2</v>
      </c>
      <c r="I438" s="169">
        <f t="shared" si="30"/>
        <v>3.912023005428146</v>
      </c>
      <c r="J438" s="169">
        <f t="shared" si="31"/>
        <v>-0.69314718055994529</v>
      </c>
      <c r="K438" s="169">
        <f t="shared" si="32"/>
        <v>-4.2541932631639972</v>
      </c>
    </row>
    <row r="439" spans="1:11">
      <c r="A439" s="616">
        <f t="shared" si="33"/>
        <v>433</v>
      </c>
      <c r="B439" s="618">
        <v>36300</v>
      </c>
      <c r="C439" s="604">
        <v>0.79305555555555562</v>
      </c>
      <c r="D439" s="617" t="s">
        <v>147</v>
      </c>
      <c r="E439" s="620" t="s">
        <v>149</v>
      </c>
      <c r="F439" s="621">
        <v>25</v>
      </c>
      <c r="G439" s="789">
        <v>0.1</v>
      </c>
      <c r="H439" s="790">
        <f t="shared" si="34"/>
        <v>1.4204545454545455E-3</v>
      </c>
      <c r="I439" s="169">
        <f t="shared" si="30"/>
        <v>3.2188758248682006</v>
      </c>
      <c r="J439" s="169">
        <f t="shared" si="31"/>
        <v>-2.3025850929940455</v>
      </c>
      <c r="K439" s="169">
        <f t="shared" si="32"/>
        <v>-6.5567783561580422</v>
      </c>
    </row>
    <row r="440" spans="1:11">
      <c r="A440" s="616">
        <f t="shared" si="33"/>
        <v>434</v>
      </c>
      <c r="B440" s="618">
        <v>36305</v>
      </c>
      <c r="C440" s="604">
        <v>0.70694444444444438</v>
      </c>
      <c r="D440" s="617" t="s">
        <v>145</v>
      </c>
      <c r="E440" s="620" t="s">
        <v>149</v>
      </c>
      <c r="F440" s="621">
        <v>25</v>
      </c>
      <c r="G440" s="789">
        <v>0.3</v>
      </c>
      <c r="H440" s="790">
        <f t="shared" si="34"/>
        <v>4.261363636363636E-3</v>
      </c>
      <c r="I440" s="169">
        <f t="shared" si="30"/>
        <v>3.2188758248682006</v>
      </c>
      <c r="J440" s="169">
        <f t="shared" si="31"/>
        <v>-1.2039728043259361</v>
      </c>
      <c r="K440" s="169">
        <f t="shared" si="32"/>
        <v>-5.458166067489933</v>
      </c>
    </row>
    <row r="441" spans="1:11">
      <c r="A441" s="616">
        <f t="shared" si="33"/>
        <v>435</v>
      </c>
      <c r="B441" s="618">
        <v>36305</v>
      </c>
      <c r="C441" s="604">
        <v>0.71180555555555547</v>
      </c>
      <c r="D441" s="617" t="s">
        <v>145</v>
      </c>
      <c r="E441" s="620" t="s">
        <v>149</v>
      </c>
      <c r="F441" s="621">
        <v>25</v>
      </c>
      <c r="G441" s="789">
        <v>1</v>
      </c>
      <c r="H441" s="790">
        <f t="shared" si="34"/>
        <v>1.4204545454545454E-2</v>
      </c>
      <c r="I441" s="169">
        <f t="shared" si="30"/>
        <v>3.2188758248682006</v>
      </c>
      <c r="J441" s="169">
        <f t="shared" si="31"/>
        <v>0</v>
      </c>
      <c r="K441" s="169">
        <f t="shared" si="32"/>
        <v>-4.2541932631639972</v>
      </c>
    </row>
    <row r="442" spans="1:11">
      <c r="A442" s="616">
        <f t="shared" si="33"/>
        <v>436</v>
      </c>
      <c r="B442" s="618">
        <v>36305</v>
      </c>
      <c r="C442" s="604">
        <v>0.82986111111111116</v>
      </c>
      <c r="D442" s="617" t="s">
        <v>145</v>
      </c>
      <c r="E442" s="620" t="s">
        <v>149</v>
      </c>
      <c r="F442" s="621">
        <v>25</v>
      </c>
      <c r="G442" s="789">
        <v>0.1</v>
      </c>
      <c r="H442" s="790">
        <f t="shared" si="34"/>
        <v>1.4204545454545455E-3</v>
      </c>
      <c r="I442" s="169">
        <f t="shared" si="30"/>
        <v>3.2188758248682006</v>
      </c>
      <c r="J442" s="169">
        <f t="shared" si="31"/>
        <v>-2.3025850929940455</v>
      </c>
      <c r="K442" s="169">
        <f t="shared" si="32"/>
        <v>-6.5567783561580422</v>
      </c>
    </row>
    <row r="443" spans="1:11">
      <c r="A443" s="616">
        <f t="shared" si="33"/>
        <v>437</v>
      </c>
      <c r="B443" s="618">
        <v>36313</v>
      </c>
      <c r="C443" s="604">
        <v>0.81111111111111101</v>
      </c>
      <c r="D443" s="617" t="s">
        <v>137</v>
      </c>
      <c r="E443" s="620" t="s">
        <v>149</v>
      </c>
      <c r="F443" s="621">
        <v>25</v>
      </c>
      <c r="G443" s="789">
        <v>0.1</v>
      </c>
      <c r="H443" s="790">
        <f t="shared" si="34"/>
        <v>1.4204545454545455E-3</v>
      </c>
      <c r="I443" s="169">
        <f t="shared" si="30"/>
        <v>3.2188758248682006</v>
      </c>
      <c r="J443" s="169">
        <f t="shared" si="31"/>
        <v>-2.3025850929940455</v>
      </c>
      <c r="K443" s="169">
        <f t="shared" si="32"/>
        <v>-6.5567783561580422</v>
      </c>
    </row>
    <row r="444" spans="1:11">
      <c r="A444" s="616">
        <f t="shared" si="33"/>
        <v>438</v>
      </c>
      <c r="B444" s="618">
        <v>36315</v>
      </c>
      <c r="C444" s="604">
        <v>0.85902777777777783</v>
      </c>
      <c r="D444" s="617" t="s">
        <v>127</v>
      </c>
      <c r="E444" s="620" t="s">
        <v>149</v>
      </c>
      <c r="F444" s="621">
        <v>15</v>
      </c>
      <c r="G444" s="789">
        <v>0.1</v>
      </c>
      <c r="H444" s="790">
        <f t="shared" si="34"/>
        <v>8.5227272727272723E-4</v>
      </c>
      <c r="I444" s="169">
        <f t="shared" si="30"/>
        <v>2.7080502011022101</v>
      </c>
      <c r="J444" s="169">
        <f t="shared" si="31"/>
        <v>-2.3025850929940455</v>
      </c>
      <c r="K444" s="169">
        <f t="shared" si="32"/>
        <v>-7.0676039799240336</v>
      </c>
    </row>
    <row r="445" spans="1:11">
      <c r="A445" s="616">
        <f t="shared" si="33"/>
        <v>439</v>
      </c>
      <c r="B445" s="618">
        <v>36335</v>
      </c>
      <c r="C445" s="604">
        <v>0.66388888888888886</v>
      </c>
      <c r="D445" s="617" t="s">
        <v>136</v>
      </c>
      <c r="E445" s="620" t="s">
        <v>149</v>
      </c>
      <c r="F445" s="621">
        <v>25</v>
      </c>
      <c r="G445" s="789">
        <v>0.1</v>
      </c>
      <c r="H445" s="790">
        <f t="shared" si="34"/>
        <v>1.4204545454545455E-3</v>
      </c>
      <c r="I445" s="169">
        <f t="shared" si="30"/>
        <v>3.2188758248682006</v>
      </c>
      <c r="J445" s="169">
        <f t="shared" si="31"/>
        <v>-2.3025850929940455</v>
      </c>
      <c r="K445" s="169">
        <f t="shared" si="32"/>
        <v>-6.5567783561580422</v>
      </c>
    </row>
    <row r="446" spans="1:11">
      <c r="A446" s="616">
        <f t="shared" si="33"/>
        <v>440</v>
      </c>
      <c r="B446" s="618">
        <v>36335</v>
      </c>
      <c r="C446" s="604">
        <v>0.75</v>
      </c>
      <c r="D446" s="617" t="s">
        <v>140</v>
      </c>
      <c r="E446" s="620" t="s">
        <v>149</v>
      </c>
      <c r="F446" s="621">
        <v>50</v>
      </c>
      <c r="G446" s="789">
        <v>0.2</v>
      </c>
      <c r="H446" s="790">
        <f t="shared" si="34"/>
        <v>5.681818181818182E-3</v>
      </c>
      <c r="I446" s="169">
        <f t="shared" si="30"/>
        <v>3.912023005428146</v>
      </c>
      <c r="J446" s="169">
        <f t="shared" si="31"/>
        <v>-1.6094379124341003</v>
      </c>
      <c r="K446" s="169">
        <f t="shared" si="32"/>
        <v>-5.1704839950381514</v>
      </c>
    </row>
    <row r="447" spans="1:11">
      <c r="A447" s="616">
        <f t="shared" si="33"/>
        <v>441</v>
      </c>
      <c r="B447" s="618">
        <v>36340</v>
      </c>
      <c r="C447" s="604">
        <v>0.65555555555555556</v>
      </c>
      <c r="D447" s="617" t="s">
        <v>127</v>
      </c>
      <c r="E447" s="620" t="s">
        <v>149</v>
      </c>
      <c r="F447" s="621">
        <v>25</v>
      </c>
      <c r="G447" s="789">
        <v>0.1</v>
      </c>
      <c r="H447" s="790">
        <f t="shared" si="34"/>
        <v>1.4204545454545455E-3</v>
      </c>
      <c r="I447" s="169">
        <f t="shared" si="30"/>
        <v>3.2188758248682006</v>
      </c>
      <c r="J447" s="169">
        <f t="shared" si="31"/>
        <v>-2.3025850929940455</v>
      </c>
      <c r="K447" s="169">
        <f t="shared" si="32"/>
        <v>-6.5567783561580422</v>
      </c>
    </row>
    <row r="448" spans="1:11">
      <c r="A448" s="616">
        <f t="shared" si="33"/>
        <v>442</v>
      </c>
      <c r="B448" s="618">
        <v>36340</v>
      </c>
      <c r="C448" s="604">
        <v>0.69097222222222221</v>
      </c>
      <c r="D448" s="617" t="s">
        <v>127</v>
      </c>
      <c r="E448" s="620" t="s">
        <v>149</v>
      </c>
      <c r="F448" s="621">
        <v>25</v>
      </c>
      <c r="G448" s="789">
        <v>0.1</v>
      </c>
      <c r="H448" s="790">
        <f t="shared" si="34"/>
        <v>1.4204545454545455E-3</v>
      </c>
      <c r="I448" s="169">
        <f t="shared" si="30"/>
        <v>3.2188758248682006</v>
      </c>
      <c r="J448" s="169">
        <f t="shared" si="31"/>
        <v>-2.3025850929940455</v>
      </c>
      <c r="K448" s="169">
        <f t="shared" si="32"/>
        <v>-6.5567783561580422</v>
      </c>
    </row>
    <row r="449" spans="1:11">
      <c r="A449" s="616">
        <f t="shared" si="33"/>
        <v>443</v>
      </c>
      <c r="B449" s="618">
        <v>36340</v>
      </c>
      <c r="C449" s="604">
        <v>0.75347222222222221</v>
      </c>
      <c r="D449" s="617" t="s">
        <v>131</v>
      </c>
      <c r="E449" s="620" t="s">
        <v>149</v>
      </c>
      <c r="F449" s="621">
        <v>25</v>
      </c>
      <c r="G449" s="789">
        <v>0.1</v>
      </c>
      <c r="H449" s="790">
        <f t="shared" si="34"/>
        <v>1.4204545454545455E-3</v>
      </c>
      <c r="I449" s="169">
        <f t="shared" si="30"/>
        <v>3.2188758248682006</v>
      </c>
      <c r="J449" s="169">
        <f t="shared" si="31"/>
        <v>-2.3025850929940455</v>
      </c>
      <c r="K449" s="169">
        <f t="shared" si="32"/>
        <v>-6.5567783561580422</v>
      </c>
    </row>
    <row r="450" spans="1:11">
      <c r="A450" s="616">
        <f t="shared" si="33"/>
        <v>444</v>
      </c>
      <c r="B450" s="618">
        <v>36340</v>
      </c>
      <c r="C450" s="604">
        <v>0.7583333333333333</v>
      </c>
      <c r="D450" s="617" t="s">
        <v>131</v>
      </c>
      <c r="E450" s="620" t="s">
        <v>149</v>
      </c>
      <c r="F450" s="621">
        <v>50</v>
      </c>
      <c r="G450" s="789">
        <v>1</v>
      </c>
      <c r="H450" s="790">
        <f t="shared" si="34"/>
        <v>2.8409090909090908E-2</v>
      </c>
      <c r="I450" s="169">
        <f t="shared" si="30"/>
        <v>3.912023005428146</v>
      </c>
      <c r="J450" s="169">
        <f t="shared" si="31"/>
        <v>0</v>
      </c>
      <c r="K450" s="169">
        <f t="shared" si="32"/>
        <v>-3.5610460826040513</v>
      </c>
    </row>
    <row r="451" spans="1:11">
      <c r="A451" s="616">
        <f t="shared" si="33"/>
        <v>445</v>
      </c>
      <c r="B451" s="618">
        <v>36340</v>
      </c>
      <c r="C451" s="604">
        <v>0.76458333333333339</v>
      </c>
      <c r="D451" s="617" t="s">
        <v>131</v>
      </c>
      <c r="E451" s="620" t="s">
        <v>149</v>
      </c>
      <c r="F451" s="621">
        <v>25</v>
      </c>
      <c r="G451" s="789">
        <v>0.1</v>
      </c>
      <c r="H451" s="790">
        <f t="shared" si="34"/>
        <v>1.4204545454545455E-3</v>
      </c>
      <c r="I451" s="169">
        <f t="shared" si="30"/>
        <v>3.2188758248682006</v>
      </c>
      <c r="J451" s="169">
        <f t="shared" si="31"/>
        <v>-2.3025850929940455</v>
      </c>
      <c r="K451" s="169">
        <f t="shared" si="32"/>
        <v>-6.5567783561580422</v>
      </c>
    </row>
    <row r="452" spans="1:11">
      <c r="A452" s="616">
        <f t="shared" si="33"/>
        <v>446</v>
      </c>
      <c r="B452" s="618">
        <v>36340</v>
      </c>
      <c r="C452" s="604">
        <v>0.77708333333333324</v>
      </c>
      <c r="D452" s="617" t="s">
        <v>131</v>
      </c>
      <c r="E452" s="620" t="s">
        <v>149</v>
      </c>
      <c r="F452" s="621">
        <v>25</v>
      </c>
      <c r="G452" s="789">
        <v>0.1</v>
      </c>
      <c r="H452" s="790">
        <f t="shared" si="34"/>
        <v>1.4204545454545455E-3</v>
      </c>
      <c r="I452" s="169">
        <f t="shared" si="30"/>
        <v>3.2188758248682006</v>
      </c>
      <c r="J452" s="169">
        <f t="shared" si="31"/>
        <v>-2.3025850929940455</v>
      </c>
      <c r="K452" s="169">
        <f t="shared" si="32"/>
        <v>-6.5567783561580422</v>
      </c>
    </row>
    <row r="453" spans="1:11">
      <c r="A453" s="616">
        <f t="shared" si="33"/>
        <v>447</v>
      </c>
      <c r="B453" s="618">
        <v>36340</v>
      </c>
      <c r="C453" s="604">
        <v>0.77916666666666667</v>
      </c>
      <c r="D453" s="617" t="s">
        <v>141</v>
      </c>
      <c r="E453" s="620" t="s">
        <v>149</v>
      </c>
      <c r="F453" s="621">
        <v>25</v>
      </c>
      <c r="G453" s="789">
        <v>0.1</v>
      </c>
      <c r="H453" s="790">
        <f t="shared" si="34"/>
        <v>1.4204545454545455E-3</v>
      </c>
      <c r="I453" s="169">
        <f t="shared" si="30"/>
        <v>3.2188758248682006</v>
      </c>
      <c r="J453" s="169">
        <f t="shared" si="31"/>
        <v>-2.3025850929940455</v>
      </c>
      <c r="K453" s="169">
        <f t="shared" si="32"/>
        <v>-6.5567783561580422</v>
      </c>
    </row>
    <row r="454" spans="1:11">
      <c r="A454" s="616">
        <f t="shared" si="33"/>
        <v>448</v>
      </c>
      <c r="B454" s="618">
        <v>36340</v>
      </c>
      <c r="C454" s="604">
        <v>0.78472222222222221</v>
      </c>
      <c r="D454" s="617" t="s">
        <v>131</v>
      </c>
      <c r="E454" s="620" t="s">
        <v>149</v>
      </c>
      <c r="F454" s="621">
        <v>25</v>
      </c>
      <c r="G454" s="789">
        <v>0.1</v>
      </c>
      <c r="H454" s="790">
        <f t="shared" si="34"/>
        <v>1.4204545454545455E-3</v>
      </c>
      <c r="I454" s="169">
        <f t="shared" si="30"/>
        <v>3.2188758248682006</v>
      </c>
      <c r="J454" s="169">
        <f t="shared" si="31"/>
        <v>-2.3025850929940455</v>
      </c>
      <c r="K454" s="169">
        <f t="shared" si="32"/>
        <v>-6.5567783561580422</v>
      </c>
    </row>
    <row r="455" spans="1:11">
      <c r="A455" s="616">
        <f t="shared" si="33"/>
        <v>449</v>
      </c>
      <c r="B455" s="618">
        <v>36340</v>
      </c>
      <c r="C455" s="604">
        <v>0.78888888888888886</v>
      </c>
      <c r="D455" s="617" t="s">
        <v>131</v>
      </c>
      <c r="E455" s="620" t="s">
        <v>149</v>
      </c>
      <c r="F455" s="621">
        <v>25</v>
      </c>
      <c r="G455" s="789">
        <v>0.1</v>
      </c>
      <c r="H455" s="790">
        <f t="shared" si="34"/>
        <v>1.4204545454545455E-3</v>
      </c>
      <c r="I455" s="169">
        <f t="shared" si="30"/>
        <v>3.2188758248682006</v>
      </c>
      <c r="J455" s="169">
        <f t="shared" si="31"/>
        <v>-2.3025850929940455</v>
      </c>
      <c r="K455" s="169">
        <f t="shared" si="32"/>
        <v>-6.5567783561580422</v>
      </c>
    </row>
    <row r="456" spans="1:11">
      <c r="A456" s="616">
        <f t="shared" si="33"/>
        <v>450</v>
      </c>
      <c r="B456" s="618">
        <v>36340</v>
      </c>
      <c r="C456" s="604">
        <v>0.79027777777777775</v>
      </c>
      <c r="D456" s="617" t="s">
        <v>141</v>
      </c>
      <c r="E456" s="620" t="s">
        <v>149</v>
      </c>
      <c r="F456" s="621">
        <v>50</v>
      </c>
      <c r="G456" s="789">
        <v>0.8</v>
      </c>
      <c r="H456" s="790">
        <f t="shared" si="34"/>
        <v>2.2727272727272728E-2</v>
      </c>
      <c r="I456" s="169">
        <f t="shared" ref="I456:I519" si="35">LN(F456)</f>
        <v>3.912023005428146</v>
      </c>
      <c r="J456" s="169">
        <f t="shared" ref="J456:J519" si="36">LN(G456)</f>
        <v>-0.22314355131420971</v>
      </c>
      <c r="K456" s="169">
        <f t="shared" ref="K456:K519" si="37">LN(H456)</f>
        <v>-3.784189633918261</v>
      </c>
    </row>
    <row r="457" spans="1:11">
      <c r="A457" s="616">
        <f t="shared" ref="A457:A520" si="38">+A456+1</f>
        <v>451</v>
      </c>
      <c r="B457" s="618">
        <v>36340</v>
      </c>
      <c r="C457" s="604">
        <v>0.80069444444444438</v>
      </c>
      <c r="D457" s="617" t="s">
        <v>141</v>
      </c>
      <c r="E457" s="620" t="s">
        <v>149</v>
      </c>
      <c r="F457" s="621">
        <v>25</v>
      </c>
      <c r="G457" s="789">
        <v>0.3</v>
      </c>
      <c r="H457" s="790">
        <f t="shared" ref="H457:H520" si="39">+(F457/1760)*G457</f>
        <v>4.261363636363636E-3</v>
      </c>
      <c r="I457" s="169">
        <f t="shared" si="35"/>
        <v>3.2188758248682006</v>
      </c>
      <c r="J457" s="169">
        <f t="shared" si="36"/>
        <v>-1.2039728043259361</v>
      </c>
      <c r="K457" s="169">
        <f t="shared" si="37"/>
        <v>-5.458166067489933</v>
      </c>
    </row>
    <row r="458" spans="1:11">
      <c r="A458" s="616">
        <f t="shared" si="38"/>
        <v>452</v>
      </c>
      <c r="B458" s="618">
        <v>36340</v>
      </c>
      <c r="C458" s="604">
        <v>0.80208333333333337</v>
      </c>
      <c r="D458" s="617" t="s">
        <v>141</v>
      </c>
      <c r="E458" s="620" t="s">
        <v>149</v>
      </c>
      <c r="F458" s="621">
        <v>25</v>
      </c>
      <c r="G458" s="789">
        <v>0.1</v>
      </c>
      <c r="H458" s="790">
        <f t="shared" si="39"/>
        <v>1.4204545454545455E-3</v>
      </c>
      <c r="I458" s="169">
        <f t="shared" si="35"/>
        <v>3.2188758248682006</v>
      </c>
      <c r="J458" s="169">
        <f t="shared" si="36"/>
        <v>-2.3025850929940455</v>
      </c>
      <c r="K458" s="169">
        <f t="shared" si="37"/>
        <v>-6.5567783561580422</v>
      </c>
    </row>
    <row r="459" spans="1:11">
      <c r="A459" s="616">
        <f t="shared" si="38"/>
        <v>453</v>
      </c>
      <c r="B459" s="618">
        <v>36340</v>
      </c>
      <c r="C459" s="604">
        <v>0.99305555555555547</v>
      </c>
      <c r="D459" s="617" t="s">
        <v>131</v>
      </c>
      <c r="E459" s="620" t="s">
        <v>149</v>
      </c>
      <c r="F459" s="621">
        <v>25</v>
      </c>
      <c r="G459" s="789">
        <v>0.2</v>
      </c>
      <c r="H459" s="790">
        <f t="shared" si="39"/>
        <v>2.840909090909091E-3</v>
      </c>
      <c r="I459" s="169">
        <f t="shared" si="35"/>
        <v>3.2188758248682006</v>
      </c>
      <c r="J459" s="169">
        <f t="shared" si="36"/>
        <v>-1.6094379124341003</v>
      </c>
      <c r="K459" s="169">
        <f t="shared" si="37"/>
        <v>-5.8636311755980968</v>
      </c>
    </row>
    <row r="460" spans="1:11">
      <c r="A460" s="616">
        <f t="shared" si="38"/>
        <v>454</v>
      </c>
      <c r="B460" s="640">
        <v>36580</v>
      </c>
      <c r="C460" s="604">
        <v>0.77916666666666667</v>
      </c>
      <c r="D460" s="617" t="s">
        <v>137</v>
      </c>
      <c r="E460" s="620" t="s">
        <v>149</v>
      </c>
      <c r="F460" s="621">
        <v>25</v>
      </c>
      <c r="G460" s="789">
        <v>2</v>
      </c>
      <c r="H460" s="790">
        <f t="shared" si="39"/>
        <v>2.8409090909090908E-2</v>
      </c>
      <c r="I460" s="169">
        <f t="shared" si="35"/>
        <v>3.2188758248682006</v>
      </c>
      <c r="J460" s="169">
        <f t="shared" si="36"/>
        <v>0.69314718055994529</v>
      </c>
      <c r="K460" s="169">
        <f t="shared" si="37"/>
        <v>-3.5610460826040513</v>
      </c>
    </row>
    <row r="461" spans="1:11">
      <c r="A461" s="616">
        <f t="shared" si="38"/>
        <v>455</v>
      </c>
      <c r="B461" s="640">
        <v>36671</v>
      </c>
      <c r="C461" s="604">
        <v>0.82708333333333339</v>
      </c>
      <c r="D461" s="617" t="s">
        <v>144</v>
      </c>
      <c r="E461" s="620" t="s">
        <v>149</v>
      </c>
      <c r="F461" s="621">
        <v>25</v>
      </c>
      <c r="G461" s="789">
        <v>0.5</v>
      </c>
      <c r="H461" s="790">
        <f t="shared" si="39"/>
        <v>7.102272727272727E-3</v>
      </c>
      <c r="I461" s="169">
        <f t="shared" si="35"/>
        <v>3.2188758248682006</v>
      </c>
      <c r="J461" s="169">
        <f t="shared" si="36"/>
        <v>-0.69314718055994529</v>
      </c>
      <c r="K461" s="169">
        <f t="shared" si="37"/>
        <v>-4.9473404437239417</v>
      </c>
    </row>
    <row r="462" spans="1:11">
      <c r="A462" s="616">
        <f t="shared" si="38"/>
        <v>456</v>
      </c>
      <c r="B462" s="640">
        <v>36690</v>
      </c>
      <c r="C462" s="604">
        <v>0.66249999999999998</v>
      </c>
      <c r="D462" s="617" t="s">
        <v>132</v>
      </c>
      <c r="E462" s="620" t="s">
        <v>149</v>
      </c>
      <c r="F462" s="621">
        <v>25</v>
      </c>
      <c r="G462" s="789">
        <v>0.1</v>
      </c>
      <c r="H462" s="790">
        <f t="shared" si="39"/>
        <v>1.4204545454545455E-3</v>
      </c>
      <c r="I462" s="169">
        <f t="shared" si="35"/>
        <v>3.2188758248682006</v>
      </c>
      <c r="J462" s="169">
        <f t="shared" si="36"/>
        <v>-2.3025850929940455</v>
      </c>
      <c r="K462" s="169">
        <f t="shared" si="37"/>
        <v>-6.5567783561580422</v>
      </c>
    </row>
    <row r="463" spans="1:11">
      <c r="A463" s="616">
        <f t="shared" si="38"/>
        <v>457</v>
      </c>
      <c r="B463" s="640">
        <v>36690</v>
      </c>
      <c r="C463" s="604">
        <v>0.82361111111111107</v>
      </c>
      <c r="D463" s="617" t="s">
        <v>138</v>
      </c>
      <c r="E463" s="620" t="s">
        <v>149</v>
      </c>
      <c r="F463" s="621">
        <v>25</v>
      </c>
      <c r="G463" s="789">
        <v>0.1</v>
      </c>
      <c r="H463" s="790">
        <f t="shared" si="39"/>
        <v>1.4204545454545455E-3</v>
      </c>
      <c r="I463" s="169">
        <f t="shared" si="35"/>
        <v>3.2188758248682006</v>
      </c>
      <c r="J463" s="169">
        <f t="shared" si="36"/>
        <v>-2.3025850929940455</v>
      </c>
      <c r="K463" s="169">
        <f t="shared" si="37"/>
        <v>-6.5567783561580422</v>
      </c>
    </row>
    <row r="464" spans="1:11">
      <c r="A464" s="616">
        <f t="shared" si="38"/>
        <v>458</v>
      </c>
      <c r="B464" s="640">
        <v>36702</v>
      </c>
      <c r="C464" s="604">
        <v>0.66180555555555554</v>
      </c>
      <c r="D464" s="617" t="s">
        <v>141</v>
      </c>
      <c r="E464" s="620" t="s">
        <v>149</v>
      </c>
      <c r="F464" s="621">
        <v>25</v>
      </c>
      <c r="G464" s="789">
        <v>1.5</v>
      </c>
      <c r="H464" s="790">
        <f t="shared" si="39"/>
        <v>2.130681818181818E-2</v>
      </c>
      <c r="I464" s="169">
        <f t="shared" si="35"/>
        <v>3.2188758248682006</v>
      </c>
      <c r="J464" s="169">
        <f t="shared" si="36"/>
        <v>0.40546510810816438</v>
      </c>
      <c r="K464" s="169">
        <f t="shared" si="37"/>
        <v>-3.8487281550558325</v>
      </c>
    </row>
    <row r="465" spans="1:11">
      <c r="A465" s="616">
        <f t="shared" si="38"/>
        <v>459</v>
      </c>
      <c r="B465" s="640">
        <v>36702</v>
      </c>
      <c r="C465" s="604">
        <v>0.68263888888888891</v>
      </c>
      <c r="D465" s="617" t="s">
        <v>141</v>
      </c>
      <c r="E465" s="620" t="s">
        <v>149</v>
      </c>
      <c r="F465" s="621">
        <v>25</v>
      </c>
      <c r="G465" s="789">
        <v>0.1</v>
      </c>
      <c r="H465" s="790">
        <f t="shared" si="39"/>
        <v>1.4204545454545455E-3</v>
      </c>
      <c r="I465" s="169">
        <f t="shared" si="35"/>
        <v>3.2188758248682006</v>
      </c>
      <c r="J465" s="169">
        <f t="shared" si="36"/>
        <v>-2.3025850929940455</v>
      </c>
      <c r="K465" s="169">
        <f t="shared" si="37"/>
        <v>-6.5567783561580422</v>
      </c>
    </row>
    <row r="466" spans="1:11">
      <c r="A466" s="616">
        <f t="shared" si="38"/>
        <v>460</v>
      </c>
      <c r="B466" s="640">
        <v>36822</v>
      </c>
      <c r="C466" s="604">
        <v>0.54861111111111105</v>
      </c>
      <c r="D466" s="617" t="s">
        <v>145</v>
      </c>
      <c r="E466" s="620" t="s">
        <v>149</v>
      </c>
      <c r="F466" s="621">
        <v>50</v>
      </c>
      <c r="G466" s="789">
        <v>0.4</v>
      </c>
      <c r="H466" s="790">
        <f t="shared" si="39"/>
        <v>1.1363636363636364E-2</v>
      </c>
      <c r="I466" s="169">
        <f t="shared" si="35"/>
        <v>3.912023005428146</v>
      </c>
      <c r="J466" s="169">
        <f t="shared" si="36"/>
        <v>-0.916290731874155</v>
      </c>
      <c r="K466" s="169">
        <f t="shared" si="37"/>
        <v>-4.4773368144782069</v>
      </c>
    </row>
    <row r="467" spans="1:11">
      <c r="A467" s="616">
        <f t="shared" si="38"/>
        <v>461</v>
      </c>
      <c r="B467" s="640">
        <v>36822</v>
      </c>
      <c r="C467" s="604">
        <v>0.55208333333333337</v>
      </c>
      <c r="D467" s="617" t="s">
        <v>140</v>
      </c>
      <c r="E467" s="620" t="s">
        <v>149</v>
      </c>
      <c r="F467" s="621">
        <v>50</v>
      </c>
      <c r="G467" s="789">
        <v>0.1</v>
      </c>
      <c r="H467" s="790">
        <f t="shared" si="39"/>
        <v>2.840909090909091E-3</v>
      </c>
      <c r="I467" s="169">
        <f t="shared" si="35"/>
        <v>3.912023005428146</v>
      </c>
      <c r="J467" s="169">
        <f t="shared" si="36"/>
        <v>-2.3025850929940455</v>
      </c>
      <c r="K467" s="169">
        <f t="shared" si="37"/>
        <v>-5.8636311755980968</v>
      </c>
    </row>
    <row r="468" spans="1:11">
      <c r="A468" s="616">
        <f t="shared" si="38"/>
        <v>462</v>
      </c>
      <c r="B468" s="640">
        <v>36973</v>
      </c>
      <c r="C468" s="604">
        <v>0.625</v>
      </c>
      <c r="D468" s="617" t="s">
        <v>129</v>
      </c>
      <c r="E468" s="620" t="s">
        <v>149</v>
      </c>
      <c r="F468" s="621">
        <v>25</v>
      </c>
      <c r="G468" s="789">
        <v>0.1</v>
      </c>
      <c r="H468" s="790">
        <f t="shared" si="39"/>
        <v>1.4204545454545455E-3</v>
      </c>
      <c r="I468" s="169">
        <f t="shared" si="35"/>
        <v>3.2188758248682006</v>
      </c>
      <c r="J468" s="169">
        <f t="shared" si="36"/>
        <v>-2.3025850929940455</v>
      </c>
      <c r="K468" s="169">
        <f t="shared" si="37"/>
        <v>-6.5567783561580422</v>
      </c>
    </row>
    <row r="469" spans="1:11">
      <c r="A469" s="616">
        <f t="shared" si="38"/>
        <v>463</v>
      </c>
      <c r="B469" s="618">
        <v>36991</v>
      </c>
      <c r="C469" s="604">
        <v>0.96527777777777779</v>
      </c>
      <c r="D469" s="617" t="s">
        <v>128</v>
      </c>
      <c r="E469" s="620" t="s">
        <v>149</v>
      </c>
      <c r="F469" s="621">
        <v>50</v>
      </c>
      <c r="G469" s="789">
        <v>2</v>
      </c>
      <c r="H469" s="790">
        <f t="shared" si="39"/>
        <v>5.6818181818181816E-2</v>
      </c>
      <c r="I469" s="169">
        <f t="shared" si="35"/>
        <v>3.912023005428146</v>
      </c>
      <c r="J469" s="169">
        <f t="shared" si="36"/>
        <v>0.69314718055994529</v>
      </c>
      <c r="K469" s="169">
        <f t="shared" si="37"/>
        <v>-2.8678989020441059</v>
      </c>
    </row>
    <row r="470" spans="1:11">
      <c r="A470" s="616">
        <f t="shared" si="38"/>
        <v>464</v>
      </c>
      <c r="B470" s="618">
        <v>37011</v>
      </c>
      <c r="C470" s="604">
        <v>0.8208333333333333</v>
      </c>
      <c r="D470" s="617" t="s">
        <v>141</v>
      </c>
      <c r="E470" s="620" t="s">
        <v>149</v>
      </c>
      <c r="F470" s="621">
        <v>10</v>
      </c>
      <c r="G470" s="789">
        <v>0.1</v>
      </c>
      <c r="H470" s="790">
        <f t="shared" si="39"/>
        <v>5.6818181818181826E-4</v>
      </c>
      <c r="I470" s="169">
        <f t="shared" si="35"/>
        <v>2.3025850929940459</v>
      </c>
      <c r="J470" s="169">
        <f t="shared" si="36"/>
        <v>-2.3025850929940455</v>
      </c>
      <c r="K470" s="169">
        <f t="shared" si="37"/>
        <v>-7.4730690880321973</v>
      </c>
    </row>
    <row r="471" spans="1:11">
      <c r="A471" s="616">
        <f t="shared" si="38"/>
        <v>465</v>
      </c>
      <c r="B471" s="618">
        <v>37030</v>
      </c>
      <c r="C471" s="604">
        <v>0.40625</v>
      </c>
      <c r="D471" s="617" t="s">
        <v>137</v>
      </c>
      <c r="E471" s="620" t="s">
        <v>149</v>
      </c>
      <c r="F471" s="621">
        <v>25</v>
      </c>
      <c r="G471" s="789">
        <v>0.2</v>
      </c>
      <c r="H471" s="790">
        <f t="shared" si="39"/>
        <v>2.840909090909091E-3</v>
      </c>
      <c r="I471" s="169">
        <f t="shared" si="35"/>
        <v>3.2188758248682006</v>
      </c>
      <c r="J471" s="169">
        <f t="shared" si="36"/>
        <v>-1.6094379124341003</v>
      </c>
      <c r="K471" s="169">
        <f t="shared" si="37"/>
        <v>-5.8636311755980968</v>
      </c>
    </row>
    <row r="472" spans="1:11">
      <c r="A472" s="616">
        <f t="shared" si="38"/>
        <v>466</v>
      </c>
      <c r="B472" s="618">
        <v>37040</v>
      </c>
      <c r="C472" s="604">
        <v>0.69791666666666663</v>
      </c>
      <c r="D472" s="617" t="s">
        <v>145</v>
      </c>
      <c r="E472" s="620" t="s">
        <v>149</v>
      </c>
      <c r="F472" s="621">
        <v>25</v>
      </c>
      <c r="G472" s="789">
        <v>0.1</v>
      </c>
      <c r="H472" s="790">
        <f t="shared" si="39"/>
        <v>1.4204545454545455E-3</v>
      </c>
      <c r="I472" s="169">
        <f t="shared" si="35"/>
        <v>3.2188758248682006</v>
      </c>
      <c r="J472" s="169">
        <f t="shared" si="36"/>
        <v>-2.3025850929940455</v>
      </c>
      <c r="K472" s="169">
        <f t="shared" si="37"/>
        <v>-6.5567783561580422</v>
      </c>
    </row>
    <row r="473" spans="1:11">
      <c r="A473" s="616">
        <f t="shared" si="38"/>
        <v>467</v>
      </c>
      <c r="B473" s="618">
        <v>37040</v>
      </c>
      <c r="C473" s="604">
        <v>0.74652777777777779</v>
      </c>
      <c r="D473" s="617" t="s">
        <v>141</v>
      </c>
      <c r="E473" s="620" t="s">
        <v>149</v>
      </c>
      <c r="F473" s="621">
        <v>25</v>
      </c>
      <c r="G473" s="789">
        <v>0.2</v>
      </c>
      <c r="H473" s="790">
        <f t="shared" si="39"/>
        <v>2.840909090909091E-3</v>
      </c>
      <c r="I473" s="169">
        <f t="shared" si="35"/>
        <v>3.2188758248682006</v>
      </c>
      <c r="J473" s="169">
        <f t="shared" si="36"/>
        <v>-1.6094379124341003</v>
      </c>
      <c r="K473" s="169">
        <f t="shared" si="37"/>
        <v>-5.8636311755980968</v>
      </c>
    </row>
    <row r="474" spans="1:11">
      <c r="A474" s="616">
        <f t="shared" si="38"/>
        <v>468</v>
      </c>
      <c r="B474" s="618">
        <v>37040</v>
      </c>
      <c r="C474" s="604">
        <v>0.75138888888888899</v>
      </c>
      <c r="D474" s="617" t="s">
        <v>141</v>
      </c>
      <c r="E474" s="620" t="s">
        <v>149</v>
      </c>
      <c r="F474" s="621">
        <v>25</v>
      </c>
      <c r="G474" s="789">
        <v>0.1</v>
      </c>
      <c r="H474" s="790">
        <f t="shared" si="39"/>
        <v>1.4204545454545455E-3</v>
      </c>
      <c r="I474" s="169">
        <f t="shared" si="35"/>
        <v>3.2188758248682006</v>
      </c>
      <c r="J474" s="169">
        <f t="shared" si="36"/>
        <v>-2.3025850929940455</v>
      </c>
      <c r="K474" s="169">
        <f t="shared" si="37"/>
        <v>-6.5567783561580422</v>
      </c>
    </row>
    <row r="475" spans="1:11">
      <c r="A475" s="616">
        <f t="shared" si="38"/>
        <v>469</v>
      </c>
      <c r="B475" s="618">
        <v>37040</v>
      </c>
      <c r="C475" s="604">
        <v>0.75347222222222221</v>
      </c>
      <c r="D475" s="617" t="s">
        <v>141</v>
      </c>
      <c r="E475" s="620" t="s">
        <v>149</v>
      </c>
      <c r="F475" s="621">
        <v>25</v>
      </c>
      <c r="G475" s="789">
        <v>0.1</v>
      </c>
      <c r="H475" s="790">
        <f t="shared" si="39"/>
        <v>1.4204545454545455E-3</v>
      </c>
      <c r="I475" s="169">
        <f t="shared" si="35"/>
        <v>3.2188758248682006</v>
      </c>
      <c r="J475" s="169">
        <f t="shared" si="36"/>
        <v>-2.3025850929940455</v>
      </c>
      <c r="K475" s="169">
        <f t="shared" si="37"/>
        <v>-6.5567783561580422</v>
      </c>
    </row>
    <row r="476" spans="1:11">
      <c r="A476" s="616">
        <f t="shared" si="38"/>
        <v>470</v>
      </c>
      <c r="B476" s="618">
        <v>37040</v>
      </c>
      <c r="C476" s="604">
        <v>0.75486111111111109</v>
      </c>
      <c r="D476" s="617" t="s">
        <v>141</v>
      </c>
      <c r="E476" s="620" t="s">
        <v>149</v>
      </c>
      <c r="F476" s="621">
        <v>20</v>
      </c>
      <c r="G476" s="789">
        <v>0.1</v>
      </c>
      <c r="H476" s="790">
        <f t="shared" si="39"/>
        <v>1.1363636363636365E-3</v>
      </c>
      <c r="I476" s="169">
        <f t="shared" si="35"/>
        <v>2.9957322735539909</v>
      </c>
      <c r="J476" s="169">
        <f t="shared" si="36"/>
        <v>-2.3025850929940455</v>
      </c>
      <c r="K476" s="169">
        <f t="shared" si="37"/>
        <v>-6.7799219074722519</v>
      </c>
    </row>
    <row r="477" spans="1:11">
      <c r="A477" s="616">
        <f t="shared" si="38"/>
        <v>471</v>
      </c>
      <c r="B477" s="618">
        <v>37040</v>
      </c>
      <c r="C477" s="604">
        <v>0.76666666666666661</v>
      </c>
      <c r="D477" s="617" t="s">
        <v>141</v>
      </c>
      <c r="E477" s="620" t="s">
        <v>149</v>
      </c>
      <c r="F477" s="621">
        <v>20</v>
      </c>
      <c r="G477" s="789">
        <v>0.1</v>
      </c>
      <c r="H477" s="790">
        <f t="shared" si="39"/>
        <v>1.1363636363636365E-3</v>
      </c>
      <c r="I477" s="169">
        <f t="shared" si="35"/>
        <v>2.9957322735539909</v>
      </c>
      <c r="J477" s="169">
        <f t="shared" si="36"/>
        <v>-2.3025850929940455</v>
      </c>
      <c r="K477" s="169">
        <f t="shared" si="37"/>
        <v>-6.7799219074722519</v>
      </c>
    </row>
    <row r="478" spans="1:11">
      <c r="A478" s="616">
        <f t="shared" si="38"/>
        <v>472</v>
      </c>
      <c r="B478" s="618">
        <v>37151</v>
      </c>
      <c r="C478" s="604">
        <v>0.66180555555555554</v>
      </c>
      <c r="D478" s="617" t="s">
        <v>126</v>
      </c>
      <c r="E478" s="620" t="s">
        <v>149</v>
      </c>
      <c r="F478" s="621">
        <v>25</v>
      </c>
      <c r="G478" s="789">
        <v>0.1</v>
      </c>
      <c r="H478" s="790">
        <f t="shared" si="39"/>
        <v>1.4204545454545455E-3</v>
      </c>
      <c r="I478" s="169">
        <f t="shared" si="35"/>
        <v>3.2188758248682006</v>
      </c>
      <c r="J478" s="169">
        <f t="shared" si="36"/>
        <v>-2.3025850929940455</v>
      </c>
      <c r="K478" s="169">
        <f t="shared" si="37"/>
        <v>-6.5567783561580422</v>
      </c>
    </row>
    <row r="479" spans="1:11">
      <c r="A479" s="616">
        <f t="shared" si="38"/>
        <v>473</v>
      </c>
      <c r="B479" s="618">
        <v>37153</v>
      </c>
      <c r="C479" s="604">
        <v>0.74652777777777779</v>
      </c>
      <c r="D479" s="617" t="s">
        <v>140</v>
      </c>
      <c r="E479" s="620" t="s">
        <v>149</v>
      </c>
      <c r="F479" s="621">
        <v>25</v>
      </c>
      <c r="G479" s="789">
        <v>0.1</v>
      </c>
      <c r="H479" s="790">
        <f t="shared" si="39"/>
        <v>1.4204545454545455E-3</v>
      </c>
      <c r="I479" s="169">
        <f t="shared" si="35"/>
        <v>3.2188758248682006</v>
      </c>
      <c r="J479" s="169">
        <f t="shared" si="36"/>
        <v>-2.3025850929940455</v>
      </c>
      <c r="K479" s="169">
        <f t="shared" si="37"/>
        <v>-6.5567783561580422</v>
      </c>
    </row>
    <row r="480" spans="1:11">
      <c r="A480" s="616">
        <f t="shared" si="38"/>
        <v>474</v>
      </c>
      <c r="B480" s="618">
        <v>37153</v>
      </c>
      <c r="C480" s="604">
        <v>0.74722222222222223</v>
      </c>
      <c r="D480" s="617" t="s">
        <v>141</v>
      </c>
      <c r="E480" s="620" t="s">
        <v>149</v>
      </c>
      <c r="F480" s="621">
        <v>25</v>
      </c>
      <c r="G480" s="789">
        <v>0.1</v>
      </c>
      <c r="H480" s="790">
        <f t="shared" si="39"/>
        <v>1.4204545454545455E-3</v>
      </c>
      <c r="I480" s="169">
        <f t="shared" si="35"/>
        <v>3.2188758248682006</v>
      </c>
      <c r="J480" s="169">
        <f t="shared" si="36"/>
        <v>-2.3025850929940455</v>
      </c>
      <c r="K480" s="169">
        <f t="shared" si="37"/>
        <v>-6.5567783561580422</v>
      </c>
    </row>
    <row r="481" spans="1:11">
      <c r="A481" s="616">
        <f t="shared" si="38"/>
        <v>475</v>
      </c>
      <c r="B481" s="618">
        <v>37153</v>
      </c>
      <c r="C481" s="604">
        <v>0.77083333333333337</v>
      </c>
      <c r="D481" s="617" t="s">
        <v>128</v>
      </c>
      <c r="E481" s="620" t="s">
        <v>149</v>
      </c>
      <c r="F481" s="621">
        <v>25</v>
      </c>
      <c r="G481" s="789">
        <v>0.1</v>
      </c>
      <c r="H481" s="790">
        <f t="shared" si="39"/>
        <v>1.4204545454545455E-3</v>
      </c>
      <c r="I481" s="169">
        <f t="shared" si="35"/>
        <v>3.2188758248682006</v>
      </c>
      <c r="J481" s="169">
        <f t="shared" si="36"/>
        <v>-2.3025850929940455</v>
      </c>
      <c r="K481" s="169">
        <f t="shared" si="37"/>
        <v>-6.5567783561580422</v>
      </c>
    </row>
    <row r="482" spans="1:11">
      <c r="A482" s="616">
        <f t="shared" si="38"/>
        <v>476</v>
      </c>
      <c r="B482" s="618">
        <v>37381</v>
      </c>
      <c r="C482" s="604">
        <v>0.68194444444444446</v>
      </c>
      <c r="D482" s="617" t="s">
        <v>144</v>
      </c>
      <c r="E482" s="620" t="s">
        <v>149</v>
      </c>
      <c r="F482" s="621">
        <v>25</v>
      </c>
      <c r="G482" s="789">
        <v>0.1</v>
      </c>
      <c r="H482" s="790">
        <f t="shared" si="39"/>
        <v>1.4204545454545455E-3</v>
      </c>
      <c r="I482" s="169">
        <f t="shared" si="35"/>
        <v>3.2188758248682006</v>
      </c>
      <c r="J482" s="169">
        <f t="shared" si="36"/>
        <v>-2.3025850929940455</v>
      </c>
      <c r="K482" s="169">
        <f t="shared" si="37"/>
        <v>-6.5567783561580422</v>
      </c>
    </row>
    <row r="483" spans="1:11">
      <c r="A483" s="616">
        <f t="shared" si="38"/>
        <v>477</v>
      </c>
      <c r="B483" s="618">
        <v>37381</v>
      </c>
      <c r="C483" s="604">
        <v>0.68819444444444444</v>
      </c>
      <c r="D483" s="617" t="s">
        <v>144</v>
      </c>
      <c r="E483" s="620" t="s">
        <v>149</v>
      </c>
      <c r="F483" s="621">
        <v>50</v>
      </c>
      <c r="G483" s="789">
        <v>0.5</v>
      </c>
      <c r="H483" s="790">
        <f t="shared" si="39"/>
        <v>1.4204545454545454E-2</v>
      </c>
      <c r="I483" s="169">
        <f t="shared" si="35"/>
        <v>3.912023005428146</v>
      </c>
      <c r="J483" s="169">
        <f t="shared" si="36"/>
        <v>-0.69314718055994529</v>
      </c>
      <c r="K483" s="169">
        <f t="shared" si="37"/>
        <v>-4.2541932631639972</v>
      </c>
    </row>
    <row r="484" spans="1:11">
      <c r="A484" s="616">
        <f t="shared" si="38"/>
        <v>478</v>
      </c>
      <c r="B484" s="618">
        <v>37381</v>
      </c>
      <c r="C484" s="604">
        <v>0.69097222222222221</v>
      </c>
      <c r="D484" s="617" t="s">
        <v>136</v>
      </c>
      <c r="E484" s="620" t="s">
        <v>149</v>
      </c>
      <c r="F484" s="621">
        <v>25</v>
      </c>
      <c r="G484" s="789">
        <v>0.1</v>
      </c>
      <c r="H484" s="790">
        <f t="shared" si="39"/>
        <v>1.4204545454545455E-3</v>
      </c>
      <c r="I484" s="169">
        <f t="shared" si="35"/>
        <v>3.2188758248682006</v>
      </c>
      <c r="J484" s="169">
        <f t="shared" si="36"/>
        <v>-2.3025850929940455</v>
      </c>
      <c r="K484" s="169">
        <f t="shared" si="37"/>
        <v>-6.5567783561580422</v>
      </c>
    </row>
    <row r="485" spans="1:11">
      <c r="A485" s="616">
        <f t="shared" si="38"/>
        <v>479</v>
      </c>
      <c r="B485" s="618">
        <v>37381</v>
      </c>
      <c r="C485" s="604">
        <v>0.74791666666666667</v>
      </c>
      <c r="D485" s="617" t="s">
        <v>145</v>
      </c>
      <c r="E485" s="620" t="s">
        <v>149</v>
      </c>
      <c r="F485" s="621">
        <v>25</v>
      </c>
      <c r="G485" s="789">
        <v>0.1</v>
      </c>
      <c r="H485" s="790">
        <f t="shared" si="39"/>
        <v>1.4204545454545455E-3</v>
      </c>
      <c r="I485" s="169">
        <f t="shared" si="35"/>
        <v>3.2188758248682006</v>
      </c>
      <c r="J485" s="169">
        <f t="shared" si="36"/>
        <v>-2.3025850929940455</v>
      </c>
      <c r="K485" s="169">
        <f t="shared" si="37"/>
        <v>-6.5567783561580422</v>
      </c>
    </row>
    <row r="486" spans="1:11">
      <c r="A486" s="616">
        <f t="shared" si="38"/>
        <v>480</v>
      </c>
      <c r="B486" s="618">
        <v>37381</v>
      </c>
      <c r="C486" s="604">
        <v>0.75763888888888886</v>
      </c>
      <c r="D486" s="617" t="s">
        <v>146</v>
      </c>
      <c r="E486" s="620" t="s">
        <v>149</v>
      </c>
      <c r="F486" s="621">
        <v>50</v>
      </c>
      <c r="G486" s="789">
        <v>0.4</v>
      </c>
      <c r="H486" s="790">
        <f t="shared" si="39"/>
        <v>1.1363636363636364E-2</v>
      </c>
      <c r="I486" s="169">
        <f t="shared" si="35"/>
        <v>3.912023005428146</v>
      </c>
      <c r="J486" s="169">
        <f t="shared" si="36"/>
        <v>-0.916290731874155</v>
      </c>
      <c r="K486" s="169">
        <f t="shared" si="37"/>
        <v>-4.4773368144782069</v>
      </c>
    </row>
    <row r="487" spans="1:11">
      <c r="A487" s="616">
        <f t="shared" si="38"/>
        <v>481</v>
      </c>
      <c r="B487" s="618">
        <v>37381</v>
      </c>
      <c r="C487" s="604">
        <v>0.77083333333333337</v>
      </c>
      <c r="D487" s="617" t="s">
        <v>146</v>
      </c>
      <c r="E487" s="620" t="s">
        <v>149</v>
      </c>
      <c r="F487" s="621">
        <v>25</v>
      </c>
      <c r="G487" s="789">
        <v>0.3</v>
      </c>
      <c r="H487" s="790">
        <f t="shared" si="39"/>
        <v>4.261363636363636E-3</v>
      </c>
      <c r="I487" s="169">
        <f t="shared" si="35"/>
        <v>3.2188758248682006</v>
      </c>
      <c r="J487" s="169">
        <f t="shared" si="36"/>
        <v>-1.2039728043259361</v>
      </c>
      <c r="K487" s="169">
        <f t="shared" si="37"/>
        <v>-5.458166067489933</v>
      </c>
    </row>
    <row r="488" spans="1:11">
      <c r="A488" s="616">
        <f t="shared" si="38"/>
        <v>482</v>
      </c>
      <c r="B488" s="618">
        <v>37381</v>
      </c>
      <c r="C488" s="604">
        <v>0.77430555555555547</v>
      </c>
      <c r="D488" s="617" t="s">
        <v>146</v>
      </c>
      <c r="E488" s="620" t="s">
        <v>149</v>
      </c>
      <c r="F488" s="621">
        <v>25</v>
      </c>
      <c r="G488" s="789">
        <v>0.1</v>
      </c>
      <c r="H488" s="790">
        <f t="shared" si="39"/>
        <v>1.4204545454545455E-3</v>
      </c>
      <c r="I488" s="169">
        <f t="shared" si="35"/>
        <v>3.2188758248682006</v>
      </c>
      <c r="J488" s="169">
        <f t="shared" si="36"/>
        <v>-2.3025850929940455</v>
      </c>
      <c r="K488" s="169">
        <f t="shared" si="37"/>
        <v>-6.5567783561580422</v>
      </c>
    </row>
    <row r="489" spans="1:11">
      <c r="A489" s="616">
        <f t="shared" si="38"/>
        <v>483</v>
      </c>
      <c r="B489" s="618">
        <v>37381</v>
      </c>
      <c r="C489" s="604">
        <v>0.78749999999999998</v>
      </c>
      <c r="D489" s="617" t="s">
        <v>138</v>
      </c>
      <c r="E489" s="620" t="s">
        <v>149</v>
      </c>
      <c r="F489" s="621">
        <v>25</v>
      </c>
      <c r="G489" s="789">
        <v>2.5</v>
      </c>
      <c r="H489" s="790">
        <f t="shared" si="39"/>
        <v>3.5511363636363633E-2</v>
      </c>
      <c r="I489" s="169">
        <f t="shared" si="35"/>
        <v>3.2188758248682006</v>
      </c>
      <c r="J489" s="169">
        <f t="shared" si="36"/>
        <v>0.91629073187415511</v>
      </c>
      <c r="K489" s="169">
        <f t="shared" si="37"/>
        <v>-3.3379025312898416</v>
      </c>
    </row>
    <row r="490" spans="1:11">
      <c r="A490" s="616">
        <f t="shared" si="38"/>
        <v>484</v>
      </c>
      <c r="B490" s="618">
        <v>37381</v>
      </c>
      <c r="C490" s="604">
        <v>0.79027777777777775</v>
      </c>
      <c r="D490" s="617" t="s">
        <v>138</v>
      </c>
      <c r="E490" s="620" t="s">
        <v>149</v>
      </c>
      <c r="F490" s="621">
        <v>25</v>
      </c>
      <c r="G490" s="789">
        <v>0.5</v>
      </c>
      <c r="H490" s="790">
        <f t="shared" si="39"/>
        <v>7.102272727272727E-3</v>
      </c>
      <c r="I490" s="169">
        <f t="shared" si="35"/>
        <v>3.2188758248682006</v>
      </c>
      <c r="J490" s="169">
        <f t="shared" si="36"/>
        <v>-0.69314718055994529</v>
      </c>
      <c r="K490" s="169">
        <f t="shared" si="37"/>
        <v>-4.9473404437239417</v>
      </c>
    </row>
    <row r="491" spans="1:11">
      <c r="A491" s="616">
        <f t="shared" si="38"/>
        <v>485</v>
      </c>
      <c r="B491" s="618">
        <v>37381</v>
      </c>
      <c r="C491" s="604">
        <v>0.79861111111111116</v>
      </c>
      <c r="D491" s="617" t="s">
        <v>146</v>
      </c>
      <c r="E491" s="620" t="s">
        <v>149</v>
      </c>
      <c r="F491" s="621">
        <v>25</v>
      </c>
      <c r="G491" s="789">
        <v>0.2</v>
      </c>
      <c r="H491" s="790">
        <f t="shared" si="39"/>
        <v>2.840909090909091E-3</v>
      </c>
      <c r="I491" s="169">
        <f t="shared" si="35"/>
        <v>3.2188758248682006</v>
      </c>
      <c r="J491" s="169">
        <f t="shared" si="36"/>
        <v>-1.6094379124341003</v>
      </c>
      <c r="K491" s="169">
        <f t="shared" si="37"/>
        <v>-5.8636311755980968</v>
      </c>
    </row>
    <row r="492" spans="1:11">
      <c r="A492" s="616">
        <f t="shared" si="38"/>
        <v>486</v>
      </c>
      <c r="B492" s="618">
        <v>37381</v>
      </c>
      <c r="C492" s="604">
        <v>0.84375</v>
      </c>
      <c r="D492" s="617" t="s">
        <v>148</v>
      </c>
      <c r="E492" s="620" t="s">
        <v>149</v>
      </c>
      <c r="F492" s="621">
        <v>25</v>
      </c>
      <c r="G492" s="789">
        <v>0.1</v>
      </c>
      <c r="H492" s="790">
        <f t="shared" si="39"/>
        <v>1.4204545454545455E-3</v>
      </c>
      <c r="I492" s="169">
        <f t="shared" si="35"/>
        <v>3.2188758248682006</v>
      </c>
      <c r="J492" s="169">
        <f t="shared" si="36"/>
        <v>-2.3025850929940455</v>
      </c>
      <c r="K492" s="169">
        <f t="shared" si="37"/>
        <v>-6.5567783561580422</v>
      </c>
    </row>
    <row r="493" spans="1:11">
      <c r="A493" s="616">
        <f t="shared" si="38"/>
        <v>487</v>
      </c>
      <c r="B493" s="618">
        <v>37381</v>
      </c>
      <c r="C493" s="604">
        <v>0.84375</v>
      </c>
      <c r="D493" s="617" t="s">
        <v>147</v>
      </c>
      <c r="E493" s="620" t="s">
        <v>149</v>
      </c>
      <c r="F493" s="621">
        <v>25</v>
      </c>
      <c r="G493" s="789">
        <v>0.1</v>
      </c>
      <c r="H493" s="790">
        <f t="shared" si="39"/>
        <v>1.4204545454545455E-3</v>
      </c>
      <c r="I493" s="169">
        <f t="shared" si="35"/>
        <v>3.2188758248682006</v>
      </c>
      <c r="J493" s="169">
        <f t="shared" si="36"/>
        <v>-2.3025850929940455</v>
      </c>
      <c r="K493" s="169">
        <f t="shared" si="37"/>
        <v>-6.5567783561580422</v>
      </c>
    </row>
    <row r="494" spans="1:11">
      <c r="A494" s="616">
        <f t="shared" si="38"/>
        <v>488</v>
      </c>
      <c r="B494" s="618">
        <v>37387</v>
      </c>
      <c r="C494" s="604">
        <v>3.5416666666666666E-2</v>
      </c>
      <c r="D494" s="617" t="s">
        <v>135</v>
      </c>
      <c r="E494" s="620" t="s">
        <v>149</v>
      </c>
      <c r="F494" s="621">
        <v>25</v>
      </c>
      <c r="G494" s="789">
        <v>0.1</v>
      </c>
      <c r="H494" s="790">
        <f t="shared" si="39"/>
        <v>1.4204545454545455E-3</v>
      </c>
      <c r="I494" s="169">
        <f t="shared" si="35"/>
        <v>3.2188758248682006</v>
      </c>
      <c r="J494" s="169">
        <f t="shared" si="36"/>
        <v>-2.3025850929940455</v>
      </c>
      <c r="K494" s="169">
        <f t="shared" si="37"/>
        <v>-6.5567783561580422</v>
      </c>
    </row>
    <row r="495" spans="1:11">
      <c r="A495" s="616">
        <f t="shared" si="38"/>
        <v>489</v>
      </c>
      <c r="B495" s="618">
        <v>37392</v>
      </c>
      <c r="C495" s="604">
        <v>0.75</v>
      </c>
      <c r="D495" s="617" t="s">
        <v>127</v>
      </c>
      <c r="E495" s="620" t="s">
        <v>149</v>
      </c>
      <c r="F495" s="621">
        <v>25</v>
      </c>
      <c r="G495" s="789">
        <v>0.1</v>
      </c>
      <c r="H495" s="790">
        <f t="shared" si="39"/>
        <v>1.4204545454545455E-3</v>
      </c>
      <c r="I495" s="169">
        <f t="shared" si="35"/>
        <v>3.2188758248682006</v>
      </c>
      <c r="J495" s="169">
        <f t="shared" si="36"/>
        <v>-2.3025850929940455</v>
      </c>
      <c r="K495" s="169">
        <f t="shared" si="37"/>
        <v>-6.5567783561580422</v>
      </c>
    </row>
    <row r="496" spans="1:11">
      <c r="A496" s="616">
        <f t="shared" si="38"/>
        <v>490</v>
      </c>
      <c r="B496" s="618">
        <v>37392</v>
      </c>
      <c r="C496" s="604">
        <v>0.77777777777777779</v>
      </c>
      <c r="D496" s="617" t="s">
        <v>127</v>
      </c>
      <c r="E496" s="620" t="s">
        <v>149</v>
      </c>
      <c r="F496" s="621">
        <v>25</v>
      </c>
      <c r="G496" s="789">
        <v>0.1</v>
      </c>
      <c r="H496" s="790">
        <f t="shared" si="39"/>
        <v>1.4204545454545455E-3</v>
      </c>
      <c r="I496" s="169">
        <f t="shared" si="35"/>
        <v>3.2188758248682006</v>
      </c>
      <c r="J496" s="169">
        <f t="shared" si="36"/>
        <v>-2.3025850929940455</v>
      </c>
      <c r="K496" s="169">
        <f t="shared" si="37"/>
        <v>-6.5567783561580422</v>
      </c>
    </row>
    <row r="497" spans="1:11">
      <c r="A497" s="616">
        <f t="shared" si="38"/>
        <v>491</v>
      </c>
      <c r="B497" s="618">
        <v>37399</v>
      </c>
      <c r="C497" s="604">
        <v>0.72916666666666663</v>
      </c>
      <c r="D497" s="617" t="s">
        <v>133</v>
      </c>
      <c r="E497" s="620" t="s">
        <v>149</v>
      </c>
      <c r="F497" s="621">
        <v>25</v>
      </c>
      <c r="G497" s="789">
        <v>0.1</v>
      </c>
      <c r="H497" s="790">
        <f t="shared" si="39"/>
        <v>1.4204545454545455E-3</v>
      </c>
      <c r="I497" s="169">
        <f t="shared" si="35"/>
        <v>3.2188758248682006</v>
      </c>
      <c r="J497" s="169">
        <f t="shared" si="36"/>
        <v>-2.3025850929940455</v>
      </c>
      <c r="K497" s="169">
        <f t="shared" si="37"/>
        <v>-6.5567783561580422</v>
      </c>
    </row>
    <row r="498" spans="1:11">
      <c r="A498" s="616">
        <f t="shared" si="38"/>
        <v>492</v>
      </c>
      <c r="B498" s="618">
        <v>37399</v>
      </c>
      <c r="C498" s="604">
        <v>0.82152777777777775</v>
      </c>
      <c r="D498" s="617" t="s">
        <v>136</v>
      </c>
      <c r="E498" s="620" t="s">
        <v>149</v>
      </c>
      <c r="F498" s="621">
        <v>25</v>
      </c>
      <c r="G498" s="789">
        <v>0.1</v>
      </c>
      <c r="H498" s="790">
        <f t="shared" si="39"/>
        <v>1.4204545454545455E-3</v>
      </c>
      <c r="I498" s="169">
        <f t="shared" si="35"/>
        <v>3.2188758248682006</v>
      </c>
      <c r="J498" s="169">
        <f t="shared" si="36"/>
        <v>-2.3025850929940455</v>
      </c>
      <c r="K498" s="169">
        <f t="shared" si="37"/>
        <v>-6.5567783561580422</v>
      </c>
    </row>
    <row r="499" spans="1:11">
      <c r="A499" s="616">
        <f t="shared" si="38"/>
        <v>493</v>
      </c>
      <c r="B499" s="618">
        <v>37399</v>
      </c>
      <c r="C499" s="604">
        <v>0.83680555555555547</v>
      </c>
      <c r="D499" s="617" t="s">
        <v>136</v>
      </c>
      <c r="E499" s="620" t="s">
        <v>149</v>
      </c>
      <c r="F499" s="621">
        <v>25</v>
      </c>
      <c r="G499" s="789">
        <v>0.1</v>
      </c>
      <c r="H499" s="790">
        <f t="shared" si="39"/>
        <v>1.4204545454545455E-3</v>
      </c>
      <c r="I499" s="169">
        <f t="shared" si="35"/>
        <v>3.2188758248682006</v>
      </c>
      <c r="J499" s="169">
        <f t="shared" si="36"/>
        <v>-2.3025850929940455</v>
      </c>
      <c r="K499" s="169">
        <f t="shared" si="37"/>
        <v>-6.5567783561580422</v>
      </c>
    </row>
    <row r="500" spans="1:11">
      <c r="A500" s="616">
        <f t="shared" si="38"/>
        <v>494</v>
      </c>
      <c r="B500" s="618">
        <v>37422</v>
      </c>
      <c r="C500" s="604">
        <v>0.7104166666666667</v>
      </c>
      <c r="D500" s="617" t="s">
        <v>128</v>
      </c>
      <c r="E500" s="620" t="s">
        <v>149</v>
      </c>
      <c r="F500" s="621">
        <v>25</v>
      </c>
      <c r="G500" s="789">
        <v>0.2</v>
      </c>
      <c r="H500" s="790">
        <f t="shared" si="39"/>
        <v>2.840909090909091E-3</v>
      </c>
      <c r="I500" s="169">
        <f t="shared" si="35"/>
        <v>3.2188758248682006</v>
      </c>
      <c r="J500" s="169">
        <f t="shared" si="36"/>
        <v>-1.6094379124341003</v>
      </c>
      <c r="K500" s="169">
        <f t="shared" si="37"/>
        <v>-5.8636311755980968</v>
      </c>
    </row>
    <row r="501" spans="1:11">
      <c r="A501" s="616">
        <f t="shared" si="38"/>
        <v>495</v>
      </c>
      <c r="B501" s="618">
        <v>37498</v>
      </c>
      <c r="C501" s="604">
        <v>0.75486111111111109</v>
      </c>
      <c r="D501" s="617" t="s">
        <v>144</v>
      </c>
      <c r="E501" s="620" t="s">
        <v>149</v>
      </c>
      <c r="F501" s="621">
        <v>25</v>
      </c>
      <c r="G501" s="789">
        <v>0.5</v>
      </c>
      <c r="H501" s="790">
        <f t="shared" si="39"/>
        <v>7.102272727272727E-3</v>
      </c>
      <c r="I501" s="169">
        <f t="shared" si="35"/>
        <v>3.2188758248682006</v>
      </c>
      <c r="J501" s="169">
        <f t="shared" si="36"/>
        <v>-0.69314718055994529</v>
      </c>
      <c r="K501" s="169">
        <f t="shared" si="37"/>
        <v>-4.9473404437239417</v>
      </c>
    </row>
    <row r="502" spans="1:11">
      <c r="A502" s="616">
        <f t="shared" si="38"/>
        <v>496</v>
      </c>
      <c r="B502" s="618">
        <v>37726</v>
      </c>
      <c r="C502" s="604">
        <v>0.67013888888888884</v>
      </c>
      <c r="D502" s="617" t="s">
        <v>143</v>
      </c>
      <c r="E502" s="620" t="s">
        <v>149</v>
      </c>
      <c r="F502" s="621">
        <v>200</v>
      </c>
      <c r="G502" s="789">
        <v>5</v>
      </c>
      <c r="H502" s="790">
        <f t="shared" si="39"/>
        <v>0.56818181818181812</v>
      </c>
      <c r="I502" s="169">
        <f t="shared" si="35"/>
        <v>5.2983173665480363</v>
      </c>
      <c r="J502" s="169">
        <f t="shared" si="36"/>
        <v>1.6094379124341003</v>
      </c>
      <c r="K502" s="169">
        <f t="shared" si="37"/>
        <v>-0.56531380905006057</v>
      </c>
    </row>
    <row r="503" spans="1:11">
      <c r="A503" s="616">
        <f t="shared" si="38"/>
        <v>497</v>
      </c>
      <c r="B503" s="618">
        <v>37756</v>
      </c>
      <c r="C503" s="604">
        <v>0.6333333333333333</v>
      </c>
      <c r="D503" s="617" t="s">
        <v>126</v>
      </c>
      <c r="E503" s="620" t="s">
        <v>149</v>
      </c>
      <c r="F503" s="621">
        <v>100</v>
      </c>
      <c r="G503" s="789">
        <v>0.1</v>
      </c>
      <c r="H503" s="790">
        <f t="shared" si="39"/>
        <v>5.681818181818182E-3</v>
      </c>
      <c r="I503" s="169">
        <f t="shared" si="35"/>
        <v>4.6051701859880918</v>
      </c>
      <c r="J503" s="169">
        <f t="shared" si="36"/>
        <v>-2.3025850929940455</v>
      </c>
      <c r="K503" s="169">
        <f t="shared" si="37"/>
        <v>-5.1704839950381514</v>
      </c>
    </row>
    <row r="504" spans="1:11">
      <c r="A504" s="616">
        <f t="shared" si="38"/>
        <v>498</v>
      </c>
      <c r="B504" s="618">
        <v>37756</v>
      </c>
      <c r="C504" s="604">
        <v>0.65625</v>
      </c>
      <c r="D504" s="617" t="s">
        <v>126</v>
      </c>
      <c r="E504" s="620" t="s">
        <v>149</v>
      </c>
      <c r="F504" s="621">
        <v>50</v>
      </c>
      <c r="G504" s="789">
        <v>0.1</v>
      </c>
      <c r="H504" s="790">
        <f t="shared" si="39"/>
        <v>2.840909090909091E-3</v>
      </c>
      <c r="I504" s="169">
        <f t="shared" si="35"/>
        <v>3.912023005428146</v>
      </c>
      <c r="J504" s="169">
        <f t="shared" si="36"/>
        <v>-2.3025850929940455</v>
      </c>
      <c r="K504" s="169">
        <f t="shared" si="37"/>
        <v>-5.8636311755980968</v>
      </c>
    </row>
    <row r="505" spans="1:11">
      <c r="A505" s="616">
        <f t="shared" si="38"/>
        <v>499</v>
      </c>
      <c r="B505" s="618">
        <v>37756</v>
      </c>
      <c r="C505" s="604">
        <v>0.69513888888888886</v>
      </c>
      <c r="D505" s="617" t="s">
        <v>129</v>
      </c>
      <c r="E505" s="620" t="s">
        <v>149</v>
      </c>
      <c r="F505" s="621">
        <v>500</v>
      </c>
      <c r="G505" s="789">
        <v>1</v>
      </c>
      <c r="H505" s="790">
        <f t="shared" si="39"/>
        <v>0.28409090909090912</v>
      </c>
      <c r="I505" s="169">
        <f t="shared" si="35"/>
        <v>6.2146080984221914</v>
      </c>
      <c r="J505" s="169">
        <f t="shared" si="36"/>
        <v>0</v>
      </c>
      <c r="K505" s="169">
        <f t="shared" si="37"/>
        <v>-1.2584609896100056</v>
      </c>
    </row>
    <row r="506" spans="1:11">
      <c r="A506" s="616">
        <f t="shared" si="38"/>
        <v>500</v>
      </c>
      <c r="B506" s="618">
        <v>37756</v>
      </c>
      <c r="C506" s="604">
        <v>0.7402777777777777</v>
      </c>
      <c r="D506" s="617" t="s">
        <v>127</v>
      </c>
      <c r="E506" s="620" t="s">
        <v>149</v>
      </c>
      <c r="F506" s="621">
        <v>50</v>
      </c>
      <c r="G506" s="789">
        <v>0.1</v>
      </c>
      <c r="H506" s="790">
        <f t="shared" si="39"/>
        <v>2.840909090909091E-3</v>
      </c>
      <c r="I506" s="169">
        <f t="shared" si="35"/>
        <v>3.912023005428146</v>
      </c>
      <c r="J506" s="169">
        <f t="shared" si="36"/>
        <v>-2.3025850929940455</v>
      </c>
      <c r="K506" s="169">
        <f t="shared" si="37"/>
        <v>-5.8636311755980968</v>
      </c>
    </row>
    <row r="507" spans="1:11">
      <c r="A507" s="616">
        <f t="shared" si="38"/>
        <v>501</v>
      </c>
      <c r="B507" s="618">
        <v>37756</v>
      </c>
      <c r="C507" s="604">
        <v>0.76388888888888884</v>
      </c>
      <c r="D507" s="617" t="s">
        <v>127</v>
      </c>
      <c r="E507" s="620" t="s">
        <v>149</v>
      </c>
      <c r="F507" s="621">
        <v>30</v>
      </c>
      <c r="G507" s="789">
        <v>0.5</v>
      </c>
      <c r="H507" s="790">
        <f t="shared" si="39"/>
        <v>8.5227272727272721E-3</v>
      </c>
      <c r="I507" s="169">
        <f t="shared" si="35"/>
        <v>3.4011973816621555</v>
      </c>
      <c r="J507" s="169">
        <f t="shared" si="36"/>
        <v>-0.69314718055994529</v>
      </c>
      <c r="K507" s="169">
        <f t="shared" si="37"/>
        <v>-4.7650188869299877</v>
      </c>
    </row>
    <row r="508" spans="1:11">
      <c r="A508" s="616">
        <f t="shared" si="38"/>
        <v>502</v>
      </c>
      <c r="B508" s="618">
        <v>37756</v>
      </c>
      <c r="C508" s="604">
        <v>0.77430555555555547</v>
      </c>
      <c r="D508" s="617" t="s">
        <v>127</v>
      </c>
      <c r="E508" s="620" t="s">
        <v>149</v>
      </c>
      <c r="F508" s="621">
        <v>20</v>
      </c>
      <c r="G508" s="789">
        <v>0.5</v>
      </c>
      <c r="H508" s="790">
        <f t="shared" si="39"/>
        <v>5.681818181818182E-3</v>
      </c>
      <c r="I508" s="169">
        <f t="shared" si="35"/>
        <v>2.9957322735539909</v>
      </c>
      <c r="J508" s="169">
        <f t="shared" si="36"/>
        <v>-0.69314718055994529</v>
      </c>
      <c r="K508" s="169">
        <f t="shared" si="37"/>
        <v>-5.1704839950381514</v>
      </c>
    </row>
    <row r="509" spans="1:11">
      <c r="A509" s="616">
        <f t="shared" si="38"/>
        <v>503</v>
      </c>
      <c r="B509" s="618">
        <v>37756</v>
      </c>
      <c r="C509" s="604">
        <v>0.77638888888888891</v>
      </c>
      <c r="D509" s="617" t="s">
        <v>130</v>
      </c>
      <c r="E509" s="620" t="s">
        <v>149</v>
      </c>
      <c r="F509" s="621">
        <v>50</v>
      </c>
      <c r="G509" s="789">
        <v>1</v>
      </c>
      <c r="H509" s="790">
        <f t="shared" si="39"/>
        <v>2.8409090909090908E-2</v>
      </c>
      <c r="I509" s="169">
        <f t="shared" si="35"/>
        <v>3.912023005428146</v>
      </c>
      <c r="J509" s="169">
        <f t="shared" si="36"/>
        <v>0</v>
      </c>
      <c r="K509" s="169">
        <f t="shared" si="37"/>
        <v>-3.5610460826040513</v>
      </c>
    </row>
    <row r="510" spans="1:11">
      <c r="A510" s="616">
        <f t="shared" si="38"/>
        <v>504</v>
      </c>
      <c r="B510" s="618">
        <v>37756</v>
      </c>
      <c r="C510" s="604">
        <v>0.78125</v>
      </c>
      <c r="D510" s="617" t="s">
        <v>127</v>
      </c>
      <c r="E510" s="620" t="s">
        <v>149</v>
      </c>
      <c r="F510" s="621">
        <v>100</v>
      </c>
      <c r="G510" s="789">
        <v>0.3</v>
      </c>
      <c r="H510" s="790">
        <f t="shared" si="39"/>
        <v>1.7045454545454544E-2</v>
      </c>
      <c r="I510" s="169">
        <f t="shared" si="35"/>
        <v>4.6051701859880918</v>
      </c>
      <c r="J510" s="169">
        <f t="shared" si="36"/>
        <v>-1.2039728043259361</v>
      </c>
      <c r="K510" s="169">
        <f t="shared" si="37"/>
        <v>-4.0718717063700423</v>
      </c>
    </row>
    <row r="511" spans="1:11">
      <c r="A511" s="616">
        <f t="shared" si="38"/>
        <v>505</v>
      </c>
      <c r="B511" s="618">
        <v>37756</v>
      </c>
      <c r="C511" s="604">
        <v>0.79027777777777775</v>
      </c>
      <c r="D511" s="617" t="s">
        <v>135</v>
      </c>
      <c r="E511" s="620" t="s">
        <v>149</v>
      </c>
      <c r="F511" s="621">
        <v>200</v>
      </c>
      <c r="G511" s="789">
        <v>6</v>
      </c>
      <c r="H511" s="790">
        <f t="shared" si="39"/>
        <v>0.68181818181818177</v>
      </c>
      <c r="I511" s="169">
        <f t="shared" si="35"/>
        <v>5.2983173665480363</v>
      </c>
      <c r="J511" s="169">
        <f t="shared" si="36"/>
        <v>1.791759469228055</v>
      </c>
      <c r="K511" s="169">
        <f t="shared" si="37"/>
        <v>-0.38299225225610584</v>
      </c>
    </row>
    <row r="512" spans="1:11">
      <c r="A512" s="616">
        <f t="shared" si="38"/>
        <v>506</v>
      </c>
      <c r="B512" s="618">
        <v>37756</v>
      </c>
      <c r="C512" s="604">
        <v>0.80208333333333337</v>
      </c>
      <c r="D512" s="617" t="s">
        <v>130</v>
      </c>
      <c r="E512" s="620" t="s">
        <v>149</v>
      </c>
      <c r="F512" s="621">
        <v>20</v>
      </c>
      <c r="G512" s="789">
        <v>0.1</v>
      </c>
      <c r="H512" s="790">
        <f t="shared" si="39"/>
        <v>1.1363636363636365E-3</v>
      </c>
      <c r="I512" s="169">
        <f t="shared" si="35"/>
        <v>2.9957322735539909</v>
      </c>
      <c r="J512" s="169">
        <f t="shared" si="36"/>
        <v>-2.3025850929940455</v>
      </c>
      <c r="K512" s="169">
        <f t="shared" si="37"/>
        <v>-6.7799219074722519</v>
      </c>
    </row>
    <row r="513" spans="1:11">
      <c r="A513" s="616">
        <f t="shared" si="38"/>
        <v>507</v>
      </c>
      <c r="B513" s="618">
        <v>37756</v>
      </c>
      <c r="C513" s="604">
        <v>0.80208333333333337</v>
      </c>
      <c r="D513" s="617" t="s">
        <v>130</v>
      </c>
      <c r="E513" s="620" t="s">
        <v>149</v>
      </c>
      <c r="F513" s="621">
        <v>50</v>
      </c>
      <c r="G513" s="789">
        <v>0.1</v>
      </c>
      <c r="H513" s="790">
        <f t="shared" si="39"/>
        <v>2.840909090909091E-3</v>
      </c>
      <c r="I513" s="169">
        <f t="shared" si="35"/>
        <v>3.912023005428146</v>
      </c>
      <c r="J513" s="169">
        <f t="shared" si="36"/>
        <v>-2.3025850929940455</v>
      </c>
      <c r="K513" s="169">
        <f t="shared" si="37"/>
        <v>-5.8636311755980968</v>
      </c>
    </row>
    <row r="514" spans="1:11">
      <c r="A514" s="616">
        <f t="shared" si="38"/>
        <v>508</v>
      </c>
      <c r="B514" s="618">
        <v>37756</v>
      </c>
      <c r="C514" s="604">
        <v>0.8125</v>
      </c>
      <c r="D514" s="617" t="s">
        <v>142</v>
      </c>
      <c r="E514" s="620" t="s">
        <v>149</v>
      </c>
      <c r="F514" s="621">
        <v>40</v>
      </c>
      <c r="G514" s="789">
        <v>0.1</v>
      </c>
      <c r="H514" s="790">
        <f t="shared" si="39"/>
        <v>2.2727272727272731E-3</v>
      </c>
      <c r="I514" s="169">
        <f t="shared" si="35"/>
        <v>3.6888794541139363</v>
      </c>
      <c r="J514" s="169">
        <f t="shared" si="36"/>
        <v>-2.3025850929940455</v>
      </c>
      <c r="K514" s="169">
        <f t="shared" si="37"/>
        <v>-6.0867747269123065</v>
      </c>
    </row>
    <row r="515" spans="1:11">
      <c r="A515" s="616">
        <f t="shared" si="38"/>
        <v>509</v>
      </c>
      <c r="B515" s="618">
        <v>37756</v>
      </c>
      <c r="C515" s="604">
        <v>0.81319444444444444</v>
      </c>
      <c r="D515" s="617" t="s">
        <v>130</v>
      </c>
      <c r="E515" s="620" t="s">
        <v>149</v>
      </c>
      <c r="F515" s="621">
        <v>50</v>
      </c>
      <c r="G515" s="789">
        <v>0.3</v>
      </c>
      <c r="H515" s="790">
        <f t="shared" si="39"/>
        <v>8.5227272727272721E-3</v>
      </c>
      <c r="I515" s="169">
        <f t="shared" si="35"/>
        <v>3.912023005428146</v>
      </c>
      <c r="J515" s="169">
        <f t="shared" si="36"/>
        <v>-1.2039728043259361</v>
      </c>
      <c r="K515" s="169">
        <f t="shared" si="37"/>
        <v>-4.7650188869299877</v>
      </c>
    </row>
    <row r="516" spans="1:11">
      <c r="A516" s="616">
        <f t="shared" si="38"/>
        <v>510</v>
      </c>
      <c r="B516" s="618">
        <v>37756</v>
      </c>
      <c r="C516" s="604">
        <v>0.81736111111111109</v>
      </c>
      <c r="D516" s="617" t="s">
        <v>147</v>
      </c>
      <c r="E516" s="620" t="s">
        <v>149</v>
      </c>
      <c r="F516" s="621">
        <v>50</v>
      </c>
      <c r="G516" s="789">
        <v>0.5</v>
      </c>
      <c r="H516" s="790">
        <f t="shared" si="39"/>
        <v>1.4204545454545454E-2</v>
      </c>
      <c r="I516" s="169">
        <f t="shared" si="35"/>
        <v>3.912023005428146</v>
      </c>
      <c r="J516" s="169">
        <f t="shared" si="36"/>
        <v>-0.69314718055994529</v>
      </c>
      <c r="K516" s="169">
        <f t="shared" si="37"/>
        <v>-4.2541932631639972</v>
      </c>
    </row>
    <row r="517" spans="1:11">
      <c r="A517" s="616">
        <f t="shared" si="38"/>
        <v>511</v>
      </c>
      <c r="B517" s="618">
        <v>37756</v>
      </c>
      <c r="C517" s="604">
        <v>0.82291666666666663</v>
      </c>
      <c r="D517" s="617" t="s">
        <v>127</v>
      </c>
      <c r="E517" s="620" t="s">
        <v>149</v>
      </c>
      <c r="F517" s="621">
        <v>40</v>
      </c>
      <c r="G517" s="789">
        <v>1</v>
      </c>
      <c r="H517" s="790">
        <f t="shared" si="39"/>
        <v>2.2727272727272728E-2</v>
      </c>
      <c r="I517" s="169">
        <f t="shared" si="35"/>
        <v>3.6888794541139363</v>
      </c>
      <c r="J517" s="169">
        <f t="shared" si="36"/>
        <v>0</v>
      </c>
      <c r="K517" s="169">
        <f t="shared" si="37"/>
        <v>-3.784189633918261</v>
      </c>
    </row>
    <row r="518" spans="1:11">
      <c r="A518" s="616">
        <f t="shared" si="38"/>
        <v>512</v>
      </c>
      <c r="B518" s="618">
        <v>37756</v>
      </c>
      <c r="C518" s="604">
        <v>0.83263888888888893</v>
      </c>
      <c r="D518" s="617" t="s">
        <v>147</v>
      </c>
      <c r="E518" s="620" t="s">
        <v>149</v>
      </c>
      <c r="F518" s="621">
        <v>20</v>
      </c>
      <c r="G518" s="789">
        <v>0.1</v>
      </c>
      <c r="H518" s="790">
        <f t="shared" si="39"/>
        <v>1.1363636363636365E-3</v>
      </c>
      <c r="I518" s="169">
        <f t="shared" si="35"/>
        <v>2.9957322735539909</v>
      </c>
      <c r="J518" s="169">
        <f t="shared" si="36"/>
        <v>-2.3025850929940455</v>
      </c>
      <c r="K518" s="169">
        <f t="shared" si="37"/>
        <v>-6.7799219074722519</v>
      </c>
    </row>
    <row r="519" spans="1:11">
      <c r="A519" s="616">
        <f t="shared" si="38"/>
        <v>513</v>
      </c>
      <c r="B519" s="618">
        <v>37756</v>
      </c>
      <c r="C519" s="604">
        <v>0.83333333333333337</v>
      </c>
      <c r="D519" s="617" t="s">
        <v>128</v>
      </c>
      <c r="E519" s="620" t="s">
        <v>149</v>
      </c>
      <c r="F519" s="621">
        <v>20</v>
      </c>
      <c r="G519" s="789">
        <v>0.8</v>
      </c>
      <c r="H519" s="790">
        <f t="shared" si="39"/>
        <v>9.0909090909090922E-3</v>
      </c>
      <c r="I519" s="169">
        <f t="shared" si="35"/>
        <v>2.9957322735539909</v>
      </c>
      <c r="J519" s="169">
        <f t="shared" si="36"/>
        <v>-0.22314355131420971</v>
      </c>
      <c r="K519" s="169">
        <f t="shared" si="37"/>
        <v>-4.7004803657924157</v>
      </c>
    </row>
    <row r="520" spans="1:11">
      <c r="A520" s="616">
        <f t="shared" si="38"/>
        <v>514</v>
      </c>
      <c r="B520" s="618">
        <v>37756</v>
      </c>
      <c r="C520" s="604">
        <v>0.84930555555555554</v>
      </c>
      <c r="D520" s="617" t="s">
        <v>136</v>
      </c>
      <c r="E520" s="620" t="s">
        <v>149</v>
      </c>
      <c r="F520" s="621">
        <v>30</v>
      </c>
      <c r="G520" s="789">
        <v>2</v>
      </c>
      <c r="H520" s="790">
        <f t="shared" si="39"/>
        <v>3.4090909090909088E-2</v>
      </c>
      <c r="I520" s="169">
        <f t="shared" ref="I520:I583" si="40">LN(F520)</f>
        <v>3.4011973816621555</v>
      </c>
      <c r="J520" s="169">
        <f t="shared" ref="J520:J583" si="41">LN(G520)</f>
        <v>0.69314718055994529</v>
      </c>
      <c r="K520" s="169">
        <f t="shared" ref="K520:K583" si="42">LN(H520)</f>
        <v>-3.3787245258100969</v>
      </c>
    </row>
    <row r="521" spans="1:11">
      <c r="A521" s="616">
        <f t="shared" ref="A521:A584" si="43">+A520+1</f>
        <v>515</v>
      </c>
      <c r="B521" s="618">
        <v>37756</v>
      </c>
      <c r="C521" s="604">
        <v>0.86388888888888893</v>
      </c>
      <c r="D521" s="617" t="s">
        <v>141</v>
      </c>
      <c r="E521" s="620" t="s">
        <v>149</v>
      </c>
      <c r="F521" s="621">
        <v>20</v>
      </c>
      <c r="G521" s="789">
        <v>0.1</v>
      </c>
      <c r="H521" s="790">
        <f t="shared" ref="H521:H584" si="44">+(F521/1760)*G521</f>
        <v>1.1363636363636365E-3</v>
      </c>
      <c r="I521" s="169">
        <f t="shared" si="40"/>
        <v>2.9957322735539909</v>
      </c>
      <c r="J521" s="169">
        <f t="shared" si="41"/>
        <v>-2.3025850929940455</v>
      </c>
      <c r="K521" s="169">
        <f t="shared" si="42"/>
        <v>-6.7799219074722519</v>
      </c>
    </row>
    <row r="522" spans="1:11">
      <c r="A522" s="616">
        <f t="shared" si="43"/>
        <v>516</v>
      </c>
      <c r="B522" s="618">
        <v>37756</v>
      </c>
      <c r="C522" s="604">
        <v>0.89583333333333337</v>
      </c>
      <c r="D522" s="617" t="s">
        <v>143</v>
      </c>
      <c r="E522" s="620" t="s">
        <v>149</v>
      </c>
      <c r="F522" s="621">
        <v>50</v>
      </c>
      <c r="G522" s="789">
        <v>0.5</v>
      </c>
      <c r="H522" s="790">
        <f t="shared" si="44"/>
        <v>1.4204545454545454E-2</v>
      </c>
      <c r="I522" s="169">
        <f t="shared" si="40"/>
        <v>3.912023005428146</v>
      </c>
      <c r="J522" s="169">
        <f t="shared" si="41"/>
        <v>-0.69314718055994529</v>
      </c>
      <c r="K522" s="169">
        <f t="shared" si="42"/>
        <v>-4.2541932631639972</v>
      </c>
    </row>
    <row r="523" spans="1:11">
      <c r="A523" s="616">
        <f t="shared" si="43"/>
        <v>517</v>
      </c>
      <c r="B523" s="618">
        <v>37756</v>
      </c>
      <c r="C523" s="604">
        <v>0.93125000000000002</v>
      </c>
      <c r="D523" s="617" t="s">
        <v>143</v>
      </c>
      <c r="E523" s="620" t="s">
        <v>149</v>
      </c>
      <c r="F523" s="621">
        <v>50</v>
      </c>
      <c r="G523" s="789">
        <v>0.1</v>
      </c>
      <c r="H523" s="790">
        <f t="shared" si="44"/>
        <v>2.840909090909091E-3</v>
      </c>
      <c r="I523" s="169">
        <f t="shared" si="40"/>
        <v>3.912023005428146</v>
      </c>
      <c r="J523" s="169">
        <f t="shared" si="41"/>
        <v>-2.3025850929940455</v>
      </c>
      <c r="K523" s="169">
        <f t="shared" si="42"/>
        <v>-5.8636311755980968</v>
      </c>
    </row>
    <row r="524" spans="1:11">
      <c r="A524" s="616">
        <f t="shared" si="43"/>
        <v>518</v>
      </c>
      <c r="B524" s="618">
        <v>37765</v>
      </c>
      <c r="C524" s="604">
        <v>0.74236111111111114</v>
      </c>
      <c r="D524" s="617" t="s">
        <v>137</v>
      </c>
      <c r="E524" s="620" t="s">
        <v>149</v>
      </c>
      <c r="F524" s="621">
        <v>25</v>
      </c>
      <c r="G524" s="789">
        <v>0.2</v>
      </c>
      <c r="H524" s="790">
        <f t="shared" si="44"/>
        <v>2.840909090909091E-3</v>
      </c>
      <c r="I524" s="169">
        <f t="shared" si="40"/>
        <v>3.2188758248682006</v>
      </c>
      <c r="J524" s="169">
        <f t="shared" si="41"/>
        <v>-1.6094379124341003</v>
      </c>
      <c r="K524" s="169">
        <f t="shared" si="42"/>
        <v>-5.8636311755980968</v>
      </c>
    </row>
    <row r="525" spans="1:11">
      <c r="A525" s="616">
        <f t="shared" si="43"/>
        <v>519</v>
      </c>
      <c r="B525" s="618">
        <v>37765</v>
      </c>
      <c r="C525" s="604">
        <v>0.76249999999999996</v>
      </c>
      <c r="D525" s="617" t="s">
        <v>142</v>
      </c>
      <c r="E525" s="620" t="s">
        <v>149</v>
      </c>
      <c r="F525" s="621">
        <v>50</v>
      </c>
      <c r="G525" s="789">
        <v>0.2</v>
      </c>
      <c r="H525" s="790">
        <f t="shared" si="44"/>
        <v>5.681818181818182E-3</v>
      </c>
      <c r="I525" s="169">
        <f t="shared" si="40"/>
        <v>3.912023005428146</v>
      </c>
      <c r="J525" s="169">
        <f t="shared" si="41"/>
        <v>-1.6094379124341003</v>
      </c>
      <c r="K525" s="169">
        <f t="shared" si="42"/>
        <v>-5.1704839950381514</v>
      </c>
    </row>
    <row r="526" spans="1:11">
      <c r="A526" s="616">
        <f t="shared" si="43"/>
        <v>520</v>
      </c>
      <c r="B526" s="618">
        <v>37775</v>
      </c>
      <c r="C526" s="604">
        <v>0.77569444444444446</v>
      </c>
      <c r="D526" s="617" t="s">
        <v>144</v>
      </c>
      <c r="E526" s="620" t="s">
        <v>149</v>
      </c>
      <c r="F526" s="621">
        <v>50</v>
      </c>
      <c r="G526" s="789">
        <v>0.2</v>
      </c>
      <c r="H526" s="790">
        <f t="shared" si="44"/>
        <v>5.681818181818182E-3</v>
      </c>
      <c r="I526" s="169">
        <f t="shared" si="40"/>
        <v>3.912023005428146</v>
      </c>
      <c r="J526" s="169">
        <f t="shared" si="41"/>
        <v>-1.6094379124341003</v>
      </c>
      <c r="K526" s="169">
        <f t="shared" si="42"/>
        <v>-5.1704839950381514</v>
      </c>
    </row>
    <row r="527" spans="1:11">
      <c r="A527" s="616">
        <f t="shared" si="43"/>
        <v>521</v>
      </c>
      <c r="B527" s="618">
        <v>37775</v>
      </c>
      <c r="C527" s="604">
        <v>0.79722222222222217</v>
      </c>
      <c r="D527" s="617" t="s">
        <v>144</v>
      </c>
      <c r="E527" s="620" t="s">
        <v>149</v>
      </c>
      <c r="F527" s="621">
        <v>25</v>
      </c>
      <c r="G527" s="789">
        <v>0.1</v>
      </c>
      <c r="H527" s="790">
        <f t="shared" si="44"/>
        <v>1.4204545454545455E-3</v>
      </c>
      <c r="I527" s="169">
        <f t="shared" si="40"/>
        <v>3.2188758248682006</v>
      </c>
      <c r="J527" s="169">
        <f t="shared" si="41"/>
        <v>-2.3025850929940455</v>
      </c>
      <c r="K527" s="169">
        <f t="shared" si="42"/>
        <v>-6.5567783561580422</v>
      </c>
    </row>
    <row r="528" spans="1:11">
      <c r="A528" s="616">
        <f t="shared" si="43"/>
        <v>522</v>
      </c>
      <c r="B528" s="618">
        <v>37777</v>
      </c>
      <c r="C528" s="604">
        <v>0.6875</v>
      </c>
      <c r="D528" s="617" t="s">
        <v>131</v>
      </c>
      <c r="E528" s="620" t="s">
        <v>149</v>
      </c>
      <c r="F528" s="621">
        <v>440</v>
      </c>
      <c r="G528" s="789">
        <v>4</v>
      </c>
      <c r="H528" s="790">
        <f t="shared" si="44"/>
        <v>1</v>
      </c>
      <c r="I528" s="169">
        <f t="shared" si="40"/>
        <v>6.0867747269123065</v>
      </c>
      <c r="J528" s="169">
        <f t="shared" si="41"/>
        <v>1.3862943611198906</v>
      </c>
      <c r="K528" s="169">
        <f t="shared" si="42"/>
        <v>0</v>
      </c>
    </row>
    <row r="529" spans="1:11">
      <c r="A529" s="616">
        <f t="shared" si="43"/>
        <v>523</v>
      </c>
      <c r="B529" s="618">
        <v>38096</v>
      </c>
      <c r="C529" s="604">
        <v>0.80694444444444446</v>
      </c>
      <c r="D529" s="617" t="s">
        <v>132</v>
      </c>
      <c r="E529" s="620" t="s">
        <v>149</v>
      </c>
      <c r="F529" s="621">
        <v>440</v>
      </c>
      <c r="G529" s="789">
        <v>1</v>
      </c>
      <c r="H529" s="790">
        <f t="shared" si="44"/>
        <v>0.25</v>
      </c>
      <c r="I529" s="169">
        <f t="shared" si="40"/>
        <v>6.0867747269123065</v>
      </c>
      <c r="J529" s="169">
        <f t="shared" si="41"/>
        <v>0</v>
      </c>
      <c r="K529" s="169">
        <f t="shared" si="42"/>
        <v>-1.3862943611198906</v>
      </c>
    </row>
    <row r="530" spans="1:11">
      <c r="A530" s="616">
        <f t="shared" si="43"/>
        <v>524</v>
      </c>
      <c r="B530" s="618">
        <v>38118</v>
      </c>
      <c r="C530" s="604">
        <v>0.68819444444444444</v>
      </c>
      <c r="D530" s="617" t="s">
        <v>134</v>
      </c>
      <c r="E530" s="620" t="s">
        <v>149</v>
      </c>
      <c r="F530" s="621">
        <v>25</v>
      </c>
      <c r="G530" s="789">
        <v>1</v>
      </c>
      <c r="H530" s="790">
        <f t="shared" si="44"/>
        <v>1.4204545454545454E-2</v>
      </c>
      <c r="I530" s="169">
        <f t="shared" si="40"/>
        <v>3.2188758248682006</v>
      </c>
      <c r="J530" s="169">
        <f t="shared" si="41"/>
        <v>0</v>
      </c>
      <c r="K530" s="169">
        <f t="shared" si="42"/>
        <v>-4.2541932631639972</v>
      </c>
    </row>
    <row r="531" spans="1:11">
      <c r="A531" s="616">
        <f t="shared" si="43"/>
        <v>525</v>
      </c>
      <c r="B531" s="618">
        <v>38118</v>
      </c>
      <c r="C531" s="604">
        <v>0.72152777777777777</v>
      </c>
      <c r="D531" s="617" t="s">
        <v>134</v>
      </c>
      <c r="E531" s="620" t="s">
        <v>149</v>
      </c>
      <c r="F531" s="621">
        <v>25</v>
      </c>
      <c r="G531" s="789">
        <v>0.1</v>
      </c>
      <c r="H531" s="790">
        <f t="shared" si="44"/>
        <v>1.4204545454545455E-3</v>
      </c>
      <c r="I531" s="169">
        <f t="shared" si="40"/>
        <v>3.2188758248682006</v>
      </c>
      <c r="J531" s="169">
        <f t="shared" si="41"/>
        <v>-2.3025850929940455</v>
      </c>
      <c r="K531" s="169">
        <f t="shared" si="42"/>
        <v>-6.5567783561580422</v>
      </c>
    </row>
    <row r="532" spans="1:11">
      <c r="A532" s="616">
        <f t="shared" si="43"/>
        <v>526</v>
      </c>
      <c r="B532" s="618">
        <v>38153</v>
      </c>
      <c r="C532" s="604">
        <v>0.72013888888888899</v>
      </c>
      <c r="D532" s="617" t="s">
        <v>126</v>
      </c>
      <c r="E532" s="620" t="s">
        <v>149</v>
      </c>
      <c r="F532" s="621">
        <v>50</v>
      </c>
      <c r="G532" s="789">
        <v>0.3</v>
      </c>
      <c r="H532" s="790">
        <f t="shared" si="44"/>
        <v>8.5227272727272721E-3</v>
      </c>
      <c r="I532" s="169">
        <f t="shared" si="40"/>
        <v>3.912023005428146</v>
      </c>
      <c r="J532" s="169">
        <f t="shared" si="41"/>
        <v>-1.2039728043259361</v>
      </c>
      <c r="K532" s="169">
        <f t="shared" si="42"/>
        <v>-4.7650188869299877</v>
      </c>
    </row>
    <row r="533" spans="1:11">
      <c r="A533" s="616">
        <f t="shared" si="43"/>
        <v>527</v>
      </c>
      <c r="B533" s="618">
        <v>38155</v>
      </c>
      <c r="C533" s="604">
        <v>0.70625000000000004</v>
      </c>
      <c r="D533" s="617" t="s">
        <v>136</v>
      </c>
      <c r="E533" s="620" t="s">
        <v>149</v>
      </c>
      <c r="F533" s="621">
        <v>25</v>
      </c>
      <c r="G533" s="789">
        <v>0.1</v>
      </c>
      <c r="H533" s="790">
        <f t="shared" si="44"/>
        <v>1.4204545454545455E-3</v>
      </c>
      <c r="I533" s="169">
        <f t="shared" si="40"/>
        <v>3.2188758248682006</v>
      </c>
      <c r="J533" s="169">
        <f t="shared" si="41"/>
        <v>-2.3025850929940455</v>
      </c>
      <c r="K533" s="169">
        <f t="shared" si="42"/>
        <v>-6.5567783561580422</v>
      </c>
    </row>
    <row r="534" spans="1:11">
      <c r="A534" s="616">
        <f t="shared" si="43"/>
        <v>528</v>
      </c>
      <c r="B534" s="618">
        <v>38155</v>
      </c>
      <c r="C534" s="604">
        <v>0.73958333333333337</v>
      </c>
      <c r="D534" s="617" t="s">
        <v>136</v>
      </c>
      <c r="E534" s="620" t="s">
        <v>149</v>
      </c>
      <c r="F534" s="621">
        <v>25</v>
      </c>
      <c r="G534" s="789">
        <v>0.1</v>
      </c>
      <c r="H534" s="790">
        <f t="shared" si="44"/>
        <v>1.4204545454545455E-3</v>
      </c>
      <c r="I534" s="169">
        <f t="shared" si="40"/>
        <v>3.2188758248682006</v>
      </c>
      <c r="J534" s="169">
        <f t="shared" si="41"/>
        <v>-2.3025850929940455</v>
      </c>
      <c r="K534" s="169">
        <f t="shared" si="42"/>
        <v>-6.5567783561580422</v>
      </c>
    </row>
    <row r="535" spans="1:11">
      <c r="A535" s="616">
        <f t="shared" si="43"/>
        <v>529</v>
      </c>
      <c r="B535" s="618">
        <v>38159</v>
      </c>
      <c r="C535" s="604">
        <v>0.75763888888888886</v>
      </c>
      <c r="D535" s="617" t="s">
        <v>140</v>
      </c>
      <c r="E535" s="620" t="s">
        <v>149</v>
      </c>
      <c r="F535" s="621">
        <v>25</v>
      </c>
      <c r="G535" s="789">
        <v>0.1</v>
      </c>
      <c r="H535" s="790">
        <f t="shared" si="44"/>
        <v>1.4204545454545455E-3</v>
      </c>
      <c r="I535" s="169">
        <f t="shared" si="40"/>
        <v>3.2188758248682006</v>
      </c>
      <c r="J535" s="169">
        <f t="shared" si="41"/>
        <v>-2.3025850929940455</v>
      </c>
      <c r="K535" s="169">
        <f t="shared" si="42"/>
        <v>-6.5567783561580422</v>
      </c>
    </row>
    <row r="536" spans="1:11">
      <c r="A536" s="616">
        <f t="shared" si="43"/>
        <v>530</v>
      </c>
      <c r="B536" s="618">
        <v>38159</v>
      </c>
      <c r="C536" s="604">
        <v>0.76111111111111107</v>
      </c>
      <c r="D536" s="617" t="s">
        <v>140</v>
      </c>
      <c r="E536" s="620" t="s">
        <v>149</v>
      </c>
      <c r="F536" s="621">
        <v>25</v>
      </c>
      <c r="G536" s="789">
        <v>0.1</v>
      </c>
      <c r="H536" s="790">
        <f t="shared" si="44"/>
        <v>1.4204545454545455E-3</v>
      </c>
      <c r="I536" s="169">
        <f t="shared" si="40"/>
        <v>3.2188758248682006</v>
      </c>
      <c r="J536" s="169">
        <f t="shared" si="41"/>
        <v>-2.3025850929940455</v>
      </c>
      <c r="K536" s="169">
        <f t="shared" si="42"/>
        <v>-6.5567783561580422</v>
      </c>
    </row>
    <row r="537" spans="1:11">
      <c r="A537" s="616">
        <f t="shared" si="43"/>
        <v>531</v>
      </c>
      <c r="B537" s="618">
        <v>38159</v>
      </c>
      <c r="C537" s="604">
        <v>0.77361111111111114</v>
      </c>
      <c r="D537" s="617" t="s">
        <v>145</v>
      </c>
      <c r="E537" s="620" t="s">
        <v>149</v>
      </c>
      <c r="F537" s="621">
        <v>25</v>
      </c>
      <c r="G537" s="789">
        <v>0.1</v>
      </c>
      <c r="H537" s="790">
        <f t="shared" si="44"/>
        <v>1.4204545454545455E-3</v>
      </c>
      <c r="I537" s="169">
        <f t="shared" si="40"/>
        <v>3.2188758248682006</v>
      </c>
      <c r="J537" s="169">
        <f t="shared" si="41"/>
        <v>-2.3025850929940455</v>
      </c>
      <c r="K537" s="169">
        <f t="shared" si="42"/>
        <v>-6.5567783561580422</v>
      </c>
    </row>
    <row r="538" spans="1:11">
      <c r="A538" s="616">
        <f t="shared" si="43"/>
        <v>532</v>
      </c>
      <c r="B538" s="618">
        <v>38159</v>
      </c>
      <c r="C538" s="604">
        <v>0.78333333333333333</v>
      </c>
      <c r="D538" s="617" t="s">
        <v>145</v>
      </c>
      <c r="E538" s="620" t="s">
        <v>149</v>
      </c>
      <c r="F538" s="621">
        <v>25</v>
      </c>
      <c r="G538" s="789">
        <v>0.1</v>
      </c>
      <c r="H538" s="790">
        <f t="shared" si="44"/>
        <v>1.4204545454545455E-3</v>
      </c>
      <c r="I538" s="169">
        <f t="shared" si="40"/>
        <v>3.2188758248682006</v>
      </c>
      <c r="J538" s="169">
        <f t="shared" si="41"/>
        <v>-2.3025850929940455</v>
      </c>
      <c r="K538" s="169">
        <f t="shared" si="42"/>
        <v>-6.5567783561580422</v>
      </c>
    </row>
    <row r="539" spans="1:11">
      <c r="A539" s="616">
        <f t="shared" si="43"/>
        <v>533</v>
      </c>
      <c r="B539" s="618">
        <v>38159</v>
      </c>
      <c r="C539" s="604">
        <v>0.78541666666666676</v>
      </c>
      <c r="D539" s="617" t="s">
        <v>145</v>
      </c>
      <c r="E539" s="620" t="s">
        <v>149</v>
      </c>
      <c r="F539" s="621">
        <v>25</v>
      </c>
      <c r="G539" s="789">
        <v>0.1</v>
      </c>
      <c r="H539" s="790">
        <f t="shared" si="44"/>
        <v>1.4204545454545455E-3</v>
      </c>
      <c r="I539" s="169">
        <f t="shared" si="40"/>
        <v>3.2188758248682006</v>
      </c>
      <c r="J539" s="169">
        <f t="shared" si="41"/>
        <v>-2.3025850929940455</v>
      </c>
      <c r="K539" s="169">
        <f t="shared" si="42"/>
        <v>-6.5567783561580422</v>
      </c>
    </row>
    <row r="540" spans="1:11">
      <c r="A540" s="616">
        <f t="shared" si="43"/>
        <v>534</v>
      </c>
      <c r="B540" s="618">
        <v>38159</v>
      </c>
      <c r="C540" s="604">
        <v>0.79374999999999996</v>
      </c>
      <c r="D540" s="617" t="s">
        <v>145</v>
      </c>
      <c r="E540" s="620" t="s">
        <v>149</v>
      </c>
      <c r="F540" s="621">
        <v>25</v>
      </c>
      <c r="G540" s="789">
        <v>0.1</v>
      </c>
      <c r="H540" s="790">
        <f t="shared" si="44"/>
        <v>1.4204545454545455E-3</v>
      </c>
      <c r="I540" s="169">
        <f t="shared" si="40"/>
        <v>3.2188758248682006</v>
      </c>
      <c r="J540" s="169">
        <f t="shared" si="41"/>
        <v>-2.3025850929940455</v>
      </c>
      <c r="K540" s="169">
        <f t="shared" si="42"/>
        <v>-6.5567783561580422</v>
      </c>
    </row>
    <row r="541" spans="1:11">
      <c r="A541" s="616">
        <f t="shared" si="43"/>
        <v>535</v>
      </c>
      <c r="B541" s="618">
        <v>38159</v>
      </c>
      <c r="C541" s="604">
        <v>0.80347222222222225</v>
      </c>
      <c r="D541" s="617" t="s">
        <v>145</v>
      </c>
      <c r="E541" s="620" t="s">
        <v>149</v>
      </c>
      <c r="F541" s="621">
        <v>25</v>
      </c>
      <c r="G541" s="789">
        <v>0.1</v>
      </c>
      <c r="H541" s="790">
        <f t="shared" si="44"/>
        <v>1.4204545454545455E-3</v>
      </c>
      <c r="I541" s="169">
        <f t="shared" si="40"/>
        <v>3.2188758248682006</v>
      </c>
      <c r="J541" s="169">
        <f t="shared" si="41"/>
        <v>-2.3025850929940455</v>
      </c>
      <c r="K541" s="169">
        <f t="shared" si="42"/>
        <v>-6.5567783561580422</v>
      </c>
    </row>
    <row r="542" spans="1:11">
      <c r="A542" s="616">
        <f t="shared" si="43"/>
        <v>536</v>
      </c>
      <c r="B542" s="618">
        <v>38460</v>
      </c>
      <c r="C542" s="604">
        <v>0.76736111111111116</v>
      </c>
      <c r="D542" s="617" t="s">
        <v>147</v>
      </c>
      <c r="E542" s="620" t="s">
        <v>149</v>
      </c>
      <c r="F542" s="621">
        <v>25</v>
      </c>
      <c r="G542" s="789">
        <v>0.1</v>
      </c>
      <c r="H542" s="790">
        <f t="shared" si="44"/>
        <v>1.4204545454545455E-3</v>
      </c>
      <c r="I542" s="169">
        <f t="shared" si="40"/>
        <v>3.2188758248682006</v>
      </c>
      <c r="J542" s="169">
        <f t="shared" si="41"/>
        <v>-2.3025850929940455</v>
      </c>
      <c r="K542" s="169">
        <f t="shared" si="42"/>
        <v>-6.5567783561580422</v>
      </c>
    </row>
    <row r="543" spans="1:11">
      <c r="A543" s="616">
        <f t="shared" si="43"/>
        <v>537</v>
      </c>
      <c r="B543" s="618">
        <v>38484</v>
      </c>
      <c r="C543" s="604">
        <v>0.72777777777777775</v>
      </c>
      <c r="D543" s="617" t="s">
        <v>145</v>
      </c>
      <c r="E543" s="620" t="s">
        <v>149</v>
      </c>
      <c r="F543" s="621">
        <v>25</v>
      </c>
      <c r="G543" s="789">
        <v>0.1</v>
      </c>
      <c r="H543" s="790">
        <f t="shared" si="44"/>
        <v>1.4204545454545455E-3</v>
      </c>
      <c r="I543" s="169">
        <f t="shared" si="40"/>
        <v>3.2188758248682006</v>
      </c>
      <c r="J543" s="169">
        <f t="shared" si="41"/>
        <v>-2.3025850929940455</v>
      </c>
      <c r="K543" s="169">
        <f t="shared" si="42"/>
        <v>-6.5567783561580422</v>
      </c>
    </row>
    <row r="544" spans="1:11">
      <c r="A544" s="616">
        <f t="shared" si="43"/>
        <v>538</v>
      </c>
      <c r="B544" s="618">
        <v>38485</v>
      </c>
      <c r="C544" s="604">
        <v>0.78819444444444453</v>
      </c>
      <c r="D544" s="617" t="s">
        <v>138</v>
      </c>
      <c r="E544" s="620" t="s">
        <v>149</v>
      </c>
      <c r="F544" s="621">
        <v>25</v>
      </c>
      <c r="G544" s="789">
        <v>0.3</v>
      </c>
      <c r="H544" s="790">
        <f t="shared" si="44"/>
        <v>4.261363636363636E-3</v>
      </c>
      <c r="I544" s="169">
        <f t="shared" si="40"/>
        <v>3.2188758248682006</v>
      </c>
      <c r="J544" s="169">
        <f t="shared" si="41"/>
        <v>-1.2039728043259361</v>
      </c>
      <c r="K544" s="169">
        <f t="shared" si="42"/>
        <v>-5.458166067489933</v>
      </c>
    </row>
    <row r="545" spans="1:11">
      <c r="A545" s="616">
        <f t="shared" si="43"/>
        <v>539</v>
      </c>
      <c r="B545" s="618">
        <v>38503</v>
      </c>
      <c r="C545" s="604">
        <v>0.58680555555555558</v>
      </c>
      <c r="D545" s="617" t="s">
        <v>145</v>
      </c>
      <c r="E545" s="620" t="s">
        <v>149</v>
      </c>
      <c r="F545" s="621">
        <v>25</v>
      </c>
      <c r="G545" s="789">
        <v>0.1</v>
      </c>
      <c r="H545" s="790">
        <f t="shared" si="44"/>
        <v>1.4204545454545455E-3</v>
      </c>
      <c r="I545" s="169">
        <f t="shared" si="40"/>
        <v>3.2188758248682006</v>
      </c>
      <c r="J545" s="169">
        <f t="shared" si="41"/>
        <v>-2.3025850929940455</v>
      </c>
      <c r="K545" s="169">
        <f t="shared" si="42"/>
        <v>-6.5567783561580422</v>
      </c>
    </row>
    <row r="546" spans="1:11">
      <c r="A546" s="616">
        <f t="shared" si="43"/>
        <v>540</v>
      </c>
      <c r="B546" s="618">
        <v>38512</v>
      </c>
      <c r="C546" s="604">
        <v>0.75138888888888899</v>
      </c>
      <c r="D546" s="617" t="s">
        <v>141</v>
      </c>
      <c r="E546" s="620" t="s">
        <v>149</v>
      </c>
      <c r="F546" s="621">
        <v>25</v>
      </c>
      <c r="G546" s="789">
        <v>0.1</v>
      </c>
      <c r="H546" s="790">
        <f t="shared" si="44"/>
        <v>1.4204545454545455E-3</v>
      </c>
      <c r="I546" s="169">
        <f t="shared" si="40"/>
        <v>3.2188758248682006</v>
      </c>
      <c r="J546" s="169">
        <f t="shared" si="41"/>
        <v>-2.3025850929940455</v>
      </c>
      <c r="K546" s="169">
        <f t="shared" si="42"/>
        <v>-6.5567783561580422</v>
      </c>
    </row>
    <row r="547" spans="1:11">
      <c r="A547" s="616">
        <f t="shared" si="43"/>
        <v>541</v>
      </c>
      <c r="B547" s="618">
        <v>38512</v>
      </c>
      <c r="C547" s="604">
        <v>0.79583333333333339</v>
      </c>
      <c r="D547" s="617" t="s">
        <v>128</v>
      </c>
      <c r="E547" s="620" t="s">
        <v>149</v>
      </c>
      <c r="F547" s="621">
        <v>25</v>
      </c>
      <c r="G547" s="789">
        <v>0.1</v>
      </c>
      <c r="H547" s="790">
        <f t="shared" si="44"/>
        <v>1.4204545454545455E-3</v>
      </c>
      <c r="I547" s="169">
        <f t="shared" si="40"/>
        <v>3.2188758248682006</v>
      </c>
      <c r="J547" s="169">
        <f t="shared" si="41"/>
        <v>-2.3025850929940455</v>
      </c>
      <c r="K547" s="169">
        <f t="shared" si="42"/>
        <v>-6.5567783561580422</v>
      </c>
    </row>
    <row r="548" spans="1:11">
      <c r="A548" s="616">
        <f t="shared" si="43"/>
        <v>542</v>
      </c>
      <c r="B548" s="618">
        <v>38512</v>
      </c>
      <c r="C548" s="604">
        <v>0.8125</v>
      </c>
      <c r="D548" s="617" t="s">
        <v>147</v>
      </c>
      <c r="E548" s="620" t="s">
        <v>149</v>
      </c>
      <c r="F548" s="621">
        <v>30</v>
      </c>
      <c r="G548" s="789">
        <v>0.2</v>
      </c>
      <c r="H548" s="790">
        <f t="shared" si="44"/>
        <v>3.4090909090909089E-3</v>
      </c>
      <c r="I548" s="169">
        <f t="shared" si="40"/>
        <v>3.4011973816621555</v>
      </c>
      <c r="J548" s="169">
        <f t="shared" si="41"/>
        <v>-1.6094379124341003</v>
      </c>
      <c r="K548" s="169">
        <f t="shared" si="42"/>
        <v>-5.6813096188041428</v>
      </c>
    </row>
    <row r="549" spans="1:11">
      <c r="A549" s="616">
        <f t="shared" si="43"/>
        <v>543</v>
      </c>
      <c r="B549" s="618">
        <v>38512</v>
      </c>
      <c r="C549" s="604">
        <v>0.82430555555555562</v>
      </c>
      <c r="D549" s="617" t="s">
        <v>147</v>
      </c>
      <c r="E549" s="620" t="s">
        <v>149</v>
      </c>
      <c r="F549" s="621">
        <v>25</v>
      </c>
      <c r="G549" s="789">
        <v>0.1</v>
      </c>
      <c r="H549" s="790">
        <f t="shared" si="44"/>
        <v>1.4204545454545455E-3</v>
      </c>
      <c r="I549" s="169">
        <f t="shared" si="40"/>
        <v>3.2188758248682006</v>
      </c>
      <c r="J549" s="169">
        <f t="shared" si="41"/>
        <v>-2.3025850929940455</v>
      </c>
      <c r="K549" s="169">
        <f t="shared" si="42"/>
        <v>-6.5567783561580422</v>
      </c>
    </row>
    <row r="550" spans="1:11">
      <c r="A550" s="616">
        <f t="shared" si="43"/>
        <v>544</v>
      </c>
      <c r="B550" s="618">
        <v>38514</v>
      </c>
      <c r="C550" s="604">
        <v>0.73611111111111116</v>
      </c>
      <c r="D550" s="617" t="s">
        <v>144</v>
      </c>
      <c r="E550" s="620" t="s">
        <v>149</v>
      </c>
      <c r="F550" s="621">
        <v>50</v>
      </c>
      <c r="G550" s="789">
        <v>0.5</v>
      </c>
      <c r="H550" s="790">
        <f t="shared" si="44"/>
        <v>1.4204545454545454E-2</v>
      </c>
      <c r="I550" s="169">
        <f t="shared" si="40"/>
        <v>3.912023005428146</v>
      </c>
      <c r="J550" s="169">
        <f t="shared" si="41"/>
        <v>-0.69314718055994529</v>
      </c>
      <c r="K550" s="169">
        <f t="shared" si="42"/>
        <v>-4.2541932631639972</v>
      </c>
    </row>
    <row r="551" spans="1:11">
      <c r="A551" s="616">
        <f t="shared" si="43"/>
        <v>545</v>
      </c>
      <c r="B551" s="618">
        <v>38514</v>
      </c>
      <c r="C551" s="604">
        <v>0.76944444444444438</v>
      </c>
      <c r="D551" s="617" t="s">
        <v>144</v>
      </c>
      <c r="E551" s="620" t="s">
        <v>149</v>
      </c>
      <c r="F551" s="621">
        <v>25</v>
      </c>
      <c r="G551" s="789">
        <v>0.1</v>
      </c>
      <c r="H551" s="790">
        <f t="shared" si="44"/>
        <v>1.4204545454545455E-3</v>
      </c>
      <c r="I551" s="169">
        <f t="shared" si="40"/>
        <v>3.2188758248682006</v>
      </c>
      <c r="J551" s="169">
        <f t="shared" si="41"/>
        <v>-2.3025850929940455</v>
      </c>
      <c r="K551" s="169">
        <f t="shared" si="42"/>
        <v>-6.5567783561580422</v>
      </c>
    </row>
    <row r="552" spans="1:11">
      <c r="A552" s="616">
        <f t="shared" si="43"/>
        <v>546</v>
      </c>
      <c r="B552" s="618">
        <v>38514</v>
      </c>
      <c r="C552" s="604">
        <v>0.77083333333333337</v>
      </c>
      <c r="D552" s="617" t="s">
        <v>146</v>
      </c>
      <c r="E552" s="620" t="s">
        <v>149</v>
      </c>
      <c r="F552" s="621">
        <v>25</v>
      </c>
      <c r="G552" s="789">
        <v>0.2</v>
      </c>
      <c r="H552" s="790">
        <f t="shared" si="44"/>
        <v>2.840909090909091E-3</v>
      </c>
      <c r="I552" s="169">
        <f t="shared" si="40"/>
        <v>3.2188758248682006</v>
      </c>
      <c r="J552" s="169">
        <f t="shared" si="41"/>
        <v>-1.6094379124341003</v>
      </c>
      <c r="K552" s="169">
        <f t="shared" si="42"/>
        <v>-5.8636311755980968</v>
      </c>
    </row>
    <row r="553" spans="1:11">
      <c r="A553" s="616">
        <f t="shared" si="43"/>
        <v>547</v>
      </c>
      <c r="B553" s="618">
        <v>38514</v>
      </c>
      <c r="C553" s="604">
        <v>0.77500000000000002</v>
      </c>
      <c r="D553" s="617" t="s">
        <v>146</v>
      </c>
      <c r="E553" s="620" t="s">
        <v>149</v>
      </c>
      <c r="F553" s="621">
        <v>25</v>
      </c>
      <c r="G553" s="789">
        <v>0.1</v>
      </c>
      <c r="H553" s="790">
        <f t="shared" si="44"/>
        <v>1.4204545454545455E-3</v>
      </c>
      <c r="I553" s="169">
        <f t="shared" si="40"/>
        <v>3.2188758248682006</v>
      </c>
      <c r="J553" s="169">
        <f t="shared" si="41"/>
        <v>-2.3025850929940455</v>
      </c>
      <c r="K553" s="169">
        <f t="shared" si="42"/>
        <v>-6.5567783561580422</v>
      </c>
    </row>
    <row r="554" spans="1:11">
      <c r="A554" s="616">
        <f t="shared" si="43"/>
        <v>548</v>
      </c>
      <c r="B554" s="618">
        <v>38514</v>
      </c>
      <c r="C554" s="604">
        <v>0.7895833333333333</v>
      </c>
      <c r="D554" s="617" t="s">
        <v>146</v>
      </c>
      <c r="E554" s="620" t="s">
        <v>149</v>
      </c>
      <c r="F554" s="621">
        <v>25</v>
      </c>
      <c r="G554" s="789">
        <v>0.1</v>
      </c>
      <c r="H554" s="790">
        <f t="shared" si="44"/>
        <v>1.4204545454545455E-3</v>
      </c>
      <c r="I554" s="169">
        <f t="shared" si="40"/>
        <v>3.2188758248682006</v>
      </c>
      <c r="J554" s="169">
        <f t="shared" si="41"/>
        <v>-2.3025850929940455</v>
      </c>
      <c r="K554" s="169">
        <f t="shared" si="42"/>
        <v>-6.5567783561580422</v>
      </c>
    </row>
    <row r="555" spans="1:11">
      <c r="A555" s="616">
        <f t="shared" si="43"/>
        <v>549</v>
      </c>
      <c r="B555" s="618">
        <v>38514</v>
      </c>
      <c r="C555" s="604">
        <v>0.79305555555555562</v>
      </c>
      <c r="D555" s="617" t="s">
        <v>146</v>
      </c>
      <c r="E555" s="620" t="s">
        <v>149</v>
      </c>
      <c r="F555" s="621">
        <v>25</v>
      </c>
      <c r="G555" s="789">
        <v>0.2</v>
      </c>
      <c r="H555" s="790">
        <f t="shared" si="44"/>
        <v>2.840909090909091E-3</v>
      </c>
      <c r="I555" s="169">
        <f t="shared" si="40"/>
        <v>3.2188758248682006</v>
      </c>
      <c r="J555" s="169">
        <f t="shared" si="41"/>
        <v>-1.6094379124341003</v>
      </c>
      <c r="K555" s="169">
        <f t="shared" si="42"/>
        <v>-5.8636311755980968</v>
      </c>
    </row>
    <row r="556" spans="1:11">
      <c r="A556" s="616">
        <f t="shared" si="43"/>
        <v>550</v>
      </c>
      <c r="B556" s="618">
        <v>38539</v>
      </c>
      <c r="C556" s="604">
        <v>0.82777777777777783</v>
      </c>
      <c r="D556" s="617" t="s">
        <v>134</v>
      </c>
      <c r="E556" s="620" t="s">
        <v>149</v>
      </c>
      <c r="F556" s="621">
        <v>25</v>
      </c>
      <c r="G556" s="789">
        <v>0.1</v>
      </c>
      <c r="H556" s="790">
        <f t="shared" si="44"/>
        <v>1.4204545454545455E-3</v>
      </c>
      <c r="I556" s="169">
        <f t="shared" si="40"/>
        <v>3.2188758248682006</v>
      </c>
      <c r="J556" s="169">
        <f t="shared" si="41"/>
        <v>-2.3025850929940455</v>
      </c>
      <c r="K556" s="169">
        <f t="shared" si="42"/>
        <v>-6.5567783561580422</v>
      </c>
    </row>
    <row r="557" spans="1:11">
      <c r="A557" s="616">
        <f t="shared" si="43"/>
        <v>551</v>
      </c>
      <c r="B557" s="618">
        <v>38886</v>
      </c>
      <c r="C557" s="604">
        <v>0.8125</v>
      </c>
      <c r="D557" s="617" t="s">
        <v>128</v>
      </c>
      <c r="E557" s="620" t="s">
        <v>149</v>
      </c>
      <c r="F557" s="621">
        <v>100</v>
      </c>
      <c r="G557" s="789">
        <v>1</v>
      </c>
      <c r="H557" s="790">
        <f t="shared" si="44"/>
        <v>5.6818181818181816E-2</v>
      </c>
      <c r="I557" s="169">
        <f t="shared" si="40"/>
        <v>4.6051701859880918</v>
      </c>
      <c r="J557" s="169">
        <f t="shared" si="41"/>
        <v>0</v>
      </c>
      <c r="K557" s="169">
        <f t="shared" si="42"/>
        <v>-2.8678989020441059</v>
      </c>
    </row>
    <row r="558" spans="1:11">
      <c r="A558" s="616">
        <f t="shared" si="43"/>
        <v>552</v>
      </c>
      <c r="B558" s="618">
        <v>38889</v>
      </c>
      <c r="C558" s="604">
        <v>0.61458333333333337</v>
      </c>
      <c r="D558" s="617" t="s">
        <v>144</v>
      </c>
      <c r="E558" s="620" t="s">
        <v>149</v>
      </c>
      <c r="F558" s="621">
        <v>25</v>
      </c>
      <c r="G558" s="789">
        <v>0.1</v>
      </c>
      <c r="H558" s="790">
        <f t="shared" si="44"/>
        <v>1.4204545454545455E-3</v>
      </c>
      <c r="I558" s="169">
        <f t="shared" si="40"/>
        <v>3.2188758248682006</v>
      </c>
      <c r="J558" s="169">
        <f t="shared" si="41"/>
        <v>-2.3025850929940455</v>
      </c>
      <c r="K558" s="169">
        <f t="shared" si="42"/>
        <v>-6.5567783561580422</v>
      </c>
    </row>
    <row r="559" spans="1:11">
      <c r="A559" s="616">
        <f t="shared" si="43"/>
        <v>553</v>
      </c>
      <c r="B559" s="618">
        <v>38889</v>
      </c>
      <c r="C559" s="604">
        <v>0.6875</v>
      </c>
      <c r="D559" s="617" t="s">
        <v>131</v>
      </c>
      <c r="E559" s="620" t="s">
        <v>149</v>
      </c>
      <c r="F559" s="621">
        <v>50</v>
      </c>
      <c r="G559" s="789">
        <v>0.2</v>
      </c>
      <c r="H559" s="790">
        <f t="shared" si="44"/>
        <v>5.681818181818182E-3</v>
      </c>
      <c r="I559" s="169">
        <f t="shared" si="40"/>
        <v>3.912023005428146</v>
      </c>
      <c r="J559" s="169">
        <f t="shared" si="41"/>
        <v>-1.6094379124341003</v>
      </c>
      <c r="K559" s="169">
        <f t="shared" si="42"/>
        <v>-5.1704839950381514</v>
      </c>
    </row>
    <row r="560" spans="1:11">
      <c r="A560" s="616">
        <f t="shared" si="43"/>
        <v>554</v>
      </c>
      <c r="B560" s="618">
        <v>38889</v>
      </c>
      <c r="C560" s="604">
        <v>0.69305555555555554</v>
      </c>
      <c r="D560" s="617" t="s">
        <v>131</v>
      </c>
      <c r="E560" s="620" t="s">
        <v>149</v>
      </c>
      <c r="F560" s="621">
        <v>50</v>
      </c>
      <c r="G560" s="789">
        <v>0.2</v>
      </c>
      <c r="H560" s="790">
        <f t="shared" si="44"/>
        <v>5.681818181818182E-3</v>
      </c>
      <c r="I560" s="169">
        <f t="shared" si="40"/>
        <v>3.912023005428146</v>
      </c>
      <c r="J560" s="169">
        <f t="shared" si="41"/>
        <v>-1.6094379124341003</v>
      </c>
      <c r="K560" s="169">
        <f t="shared" si="42"/>
        <v>-5.1704839950381514</v>
      </c>
    </row>
    <row r="561" spans="1:11">
      <c r="A561" s="616">
        <f t="shared" si="43"/>
        <v>555</v>
      </c>
      <c r="B561" s="618">
        <v>38889</v>
      </c>
      <c r="C561" s="604">
        <v>0.72499999999999998</v>
      </c>
      <c r="D561" s="617" t="s">
        <v>127</v>
      </c>
      <c r="E561" s="620" t="s">
        <v>149</v>
      </c>
      <c r="F561" s="621">
        <v>50</v>
      </c>
      <c r="G561" s="789">
        <v>0.2</v>
      </c>
      <c r="H561" s="790">
        <f t="shared" si="44"/>
        <v>5.681818181818182E-3</v>
      </c>
      <c r="I561" s="169">
        <f t="shared" si="40"/>
        <v>3.912023005428146</v>
      </c>
      <c r="J561" s="169">
        <f t="shared" si="41"/>
        <v>-1.6094379124341003</v>
      </c>
      <c r="K561" s="169">
        <f t="shared" si="42"/>
        <v>-5.1704839950381514</v>
      </c>
    </row>
    <row r="562" spans="1:11">
      <c r="A562" s="616">
        <f t="shared" si="43"/>
        <v>556</v>
      </c>
      <c r="B562" s="618">
        <v>38889</v>
      </c>
      <c r="C562" s="604">
        <v>0.7270833333333333</v>
      </c>
      <c r="D562" s="617" t="s">
        <v>128</v>
      </c>
      <c r="E562" s="620" t="s">
        <v>149</v>
      </c>
      <c r="F562" s="621">
        <v>50</v>
      </c>
      <c r="G562" s="789">
        <v>0.1</v>
      </c>
      <c r="H562" s="790">
        <f t="shared" si="44"/>
        <v>2.840909090909091E-3</v>
      </c>
      <c r="I562" s="169">
        <f t="shared" si="40"/>
        <v>3.912023005428146</v>
      </c>
      <c r="J562" s="169">
        <f t="shared" si="41"/>
        <v>-2.3025850929940455</v>
      </c>
      <c r="K562" s="169">
        <f t="shared" si="42"/>
        <v>-5.8636311755980968</v>
      </c>
    </row>
    <row r="563" spans="1:11">
      <c r="A563" s="616">
        <f t="shared" si="43"/>
        <v>557</v>
      </c>
      <c r="B563" s="618">
        <v>38889</v>
      </c>
      <c r="C563" s="604">
        <v>0.7270833333333333</v>
      </c>
      <c r="D563" s="617" t="s">
        <v>128</v>
      </c>
      <c r="E563" s="620" t="s">
        <v>149</v>
      </c>
      <c r="F563" s="621">
        <v>50</v>
      </c>
      <c r="G563" s="789">
        <v>0.1</v>
      </c>
      <c r="H563" s="790">
        <f t="shared" si="44"/>
        <v>2.840909090909091E-3</v>
      </c>
      <c r="I563" s="169">
        <f t="shared" si="40"/>
        <v>3.912023005428146</v>
      </c>
      <c r="J563" s="169">
        <f t="shared" si="41"/>
        <v>-2.3025850929940455</v>
      </c>
      <c r="K563" s="169">
        <f t="shared" si="42"/>
        <v>-5.8636311755980968</v>
      </c>
    </row>
    <row r="564" spans="1:11">
      <c r="A564" s="616">
        <f t="shared" si="43"/>
        <v>558</v>
      </c>
      <c r="B564" s="618">
        <v>38889</v>
      </c>
      <c r="C564" s="604">
        <v>0.75555555555555554</v>
      </c>
      <c r="D564" s="617" t="s">
        <v>130</v>
      </c>
      <c r="E564" s="620" t="s">
        <v>149</v>
      </c>
      <c r="F564" s="621">
        <v>25</v>
      </c>
      <c r="G564" s="789">
        <v>0.1</v>
      </c>
      <c r="H564" s="790">
        <f t="shared" si="44"/>
        <v>1.4204545454545455E-3</v>
      </c>
      <c r="I564" s="169">
        <f t="shared" si="40"/>
        <v>3.2188758248682006</v>
      </c>
      <c r="J564" s="169">
        <f t="shared" si="41"/>
        <v>-2.3025850929940455</v>
      </c>
      <c r="K564" s="169">
        <f t="shared" si="42"/>
        <v>-6.5567783561580422</v>
      </c>
    </row>
    <row r="565" spans="1:11">
      <c r="A565" s="616">
        <f t="shared" si="43"/>
        <v>559</v>
      </c>
      <c r="B565" s="618">
        <v>38889</v>
      </c>
      <c r="C565" s="604">
        <v>0.75694444444444453</v>
      </c>
      <c r="D565" s="617" t="s">
        <v>131</v>
      </c>
      <c r="E565" s="620" t="s">
        <v>149</v>
      </c>
      <c r="F565" s="621">
        <v>50</v>
      </c>
      <c r="G565" s="789">
        <v>0.2</v>
      </c>
      <c r="H565" s="790">
        <f t="shared" si="44"/>
        <v>5.681818181818182E-3</v>
      </c>
      <c r="I565" s="169">
        <f t="shared" si="40"/>
        <v>3.912023005428146</v>
      </c>
      <c r="J565" s="169">
        <f t="shared" si="41"/>
        <v>-1.6094379124341003</v>
      </c>
      <c r="K565" s="169">
        <f t="shared" si="42"/>
        <v>-5.1704839950381514</v>
      </c>
    </row>
    <row r="566" spans="1:11">
      <c r="A566" s="616">
        <f t="shared" si="43"/>
        <v>560</v>
      </c>
      <c r="B566" s="618">
        <v>38893</v>
      </c>
      <c r="C566" s="604">
        <v>0.7</v>
      </c>
      <c r="D566" s="617" t="s">
        <v>129</v>
      </c>
      <c r="E566" s="620" t="s">
        <v>149</v>
      </c>
      <c r="F566" s="621">
        <v>25</v>
      </c>
      <c r="G566" s="789">
        <v>0.1</v>
      </c>
      <c r="H566" s="790">
        <f t="shared" si="44"/>
        <v>1.4204545454545455E-3</v>
      </c>
      <c r="I566" s="169">
        <f t="shared" si="40"/>
        <v>3.2188758248682006</v>
      </c>
      <c r="J566" s="169">
        <f t="shared" si="41"/>
        <v>-2.3025850929940455</v>
      </c>
      <c r="K566" s="169">
        <f t="shared" si="42"/>
        <v>-6.5567783561580422</v>
      </c>
    </row>
    <row r="567" spans="1:11">
      <c r="A567" s="616">
        <f t="shared" si="43"/>
        <v>561</v>
      </c>
      <c r="B567" s="618">
        <v>38926</v>
      </c>
      <c r="C567" s="604">
        <v>0.77569444444444446</v>
      </c>
      <c r="D567" s="617" t="s">
        <v>144</v>
      </c>
      <c r="E567" s="620" t="s">
        <v>149</v>
      </c>
      <c r="F567" s="621">
        <v>25</v>
      </c>
      <c r="G567" s="789">
        <v>3</v>
      </c>
      <c r="H567" s="790">
        <f t="shared" si="44"/>
        <v>4.261363636363636E-2</v>
      </c>
      <c r="I567" s="169">
        <f t="shared" si="40"/>
        <v>3.2188758248682006</v>
      </c>
      <c r="J567" s="169">
        <f t="shared" si="41"/>
        <v>1.0986122886681098</v>
      </c>
      <c r="K567" s="169">
        <f t="shared" si="42"/>
        <v>-3.1555809744958871</v>
      </c>
    </row>
    <row r="568" spans="1:11">
      <c r="A568" s="616">
        <f t="shared" si="43"/>
        <v>562</v>
      </c>
      <c r="B568" s="618">
        <v>38956</v>
      </c>
      <c r="C568" s="604">
        <v>0.8208333333333333</v>
      </c>
      <c r="D568" s="617" t="s">
        <v>136</v>
      </c>
      <c r="E568" s="620" t="s">
        <v>149</v>
      </c>
      <c r="F568" s="621">
        <v>25</v>
      </c>
      <c r="G568" s="789">
        <v>1.5</v>
      </c>
      <c r="H568" s="790">
        <f t="shared" si="44"/>
        <v>2.130681818181818E-2</v>
      </c>
      <c r="I568" s="169">
        <f t="shared" si="40"/>
        <v>3.2188758248682006</v>
      </c>
      <c r="J568" s="169">
        <f t="shared" si="41"/>
        <v>0.40546510810816438</v>
      </c>
      <c r="K568" s="169">
        <f t="shared" si="42"/>
        <v>-3.8487281550558325</v>
      </c>
    </row>
    <row r="569" spans="1:11">
      <c r="A569" s="616">
        <f t="shared" si="43"/>
        <v>563</v>
      </c>
      <c r="B569" s="618">
        <v>39136</v>
      </c>
      <c r="C569" s="604">
        <v>0.75694444444444453</v>
      </c>
      <c r="D569" s="617" t="s">
        <v>142</v>
      </c>
      <c r="E569" s="620" t="s">
        <v>190</v>
      </c>
      <c r="F569" s="621">
        <v>25</v>
      </c>
      <c r="G569" s="789">
        <v>0.1</v>
      </c>
      <c r="H569" s="790">
        <f t="shared" si="44"/>
        <v>1.4204545454545455E-3</v>
      </c>
      <c r="I569" s="169">
        <f t="shared" si="40"/>
        <v>3.2188758248682006</v>
      </c>
      <c r="J569" s="169">
        <f t="shared" si="41"/>
        <v>-2.3025850929940455</v>
      </c>
      <c r="K569" s="169">
        <f t="shared" si="42"/>
        <v>-6.5567783561580422</v>
      </c>
    </row>
    <row r="570" spans="1:11">
      <c r="A570" s="616">
        <f t="shared" si="43"/>
        <v>564</v>
      </c>
      <c r="B570" s="618">
        <v>39164</v>
      </c>
      <c r="C570" s="604">
        <v>0.6743055555555556</v>
      </c>
      <c r="D570" s="617" t="s">
        <v>127</v>
      </c>
      <c r="E570" s="620" t="s">
        <v>190</v>
      </c>
      <c r="F570" s="621">
        <v>440</v>
      </c>
      <c r="G570" s="789">
        <v>1.38</v>
      </c>
      <c r="H570" s="790">
        <f t="shared" si="44"/>
        <v>0.34499999999999997</v>
      </c>
      <c r="I570" s="169">
        <f t="shared" si="40"/>
        <v>6.0867747269123065</v>
      </c>
      <c r="J570" s="169">
        <f t="shared" si="41"/>
        <v>0.32208349916911322</v>
      </c>
      <c r="K570" s="169">
        <f t="shared" si="42"/>
        <v>-1.0642108619507773</v>
      </c>
    </row>
    <row r="571" spans="1:11">
      <c r="A571" s="616">
        <f t="shared" si="43"/>
        <v>565</v>
      </c>
      <c r="B571" s="618">
        <v>39169</v>
      </c>
      <c r="C571" s="604">
        <v>0.73611111111111116</v>
      </c>
      <c r="D571" s="617" t="s">
        <v>147</v>
      </c>
      <c r="E571" s="620" t="s">
        <v>190</v>
      </c>
      <c r="F571" s="621">
        <v>100</v>
      </c>
      <c r="G571" s="792">
        <v>1</v>
      </c>
      <c r="H571" s="790">
        <f t="shared" si="44"/>
        <v>5.6818181818181816E-2</v>
      </c>
      <c r="I571" s="169">
        <f t="shared" si="40"/>
        <v>4.6051701859880918</v>
      </c>
      <c r="J571" s="169">
        <f t="shared" si="41"/>
        <v>0</v>
      </c>
      <c r="K571" s="169">
        <f t="shared" si="42"/>
        <v>-2.8678989020441059</v>
      </c>
    </row>
    <row r="572" spans="1:11">
      <c r="A572" s="616">
        <f t="shared" si="43"/>
        <v>566</v>
      </c>
      <c r="B572" s="618">
        <v>39169</v>
      </c>
      <c r="C572" s="604">
        <v>0.75347222222222221</v>
      </c>
      <c r="D572" s="617" t="s">
        <v>147</v>
      </c>
      <c r="E572" s="620" t="s">
        <v>190</v>
      </c>
      <c r="F572" s="621">
        <v>200</v>
      </c>
      <c r="G572" s="789">
        <v>1</v>
      </c>
      <c r="H572" s="790">
        <f t="shared" si="44"/>
        <v>0.11363636363636363</v>
      </c>
      <c r="I572" s="169">
        <f t="shared" si="40"/>
        <v>5.2983173665480363</v>
      </c>
      <c r="J572" s="169">
        <f t="shared" si="41"/>
        <v>0</v>
      </c>
      <c r="K572" s="169">
        <f t="shared" si="42"/>
        <v>-2.174751721484161</v>
      </c>
    </row>
    <row r="573" spans="1:11">
      <c r="A573" s="616">
        <f t="shared" si="43"/>
        <v>567</v>
      </c>
      <c r="B573" s="618">
        <v>39169</v>
      </c>
      <c r="C573" s="604">
        <v>0.79305555555555562</v>
      </c>
      <c r="D573" s="617" t="s">
        <v>147</v>
      </c>
      <c r="E573" s="620" t="s">
        <v>190</v>
      </c>
      <c r="F573" s="621">
        <v>50</v>
      </c>
      <c r="G573" s="789">
        <v>0.25</v>
      </c>
      <c r="H573" s="790">
        <f t="shared" si="44"/>
        <v>7.102272727272727E-3</v>
      </c>
      <c r="I573" s="169">
        <f t="shared" si="40"/>
        <v>3.912023005428146</v>
      </c>
      <c r="J573" s="169">
        <f t="shared" si="41"/>
        <v>-1.3862943611198906</v>
      </c>
      <c r="K573" s="169">
        <f t="shared" si="42"/>
        <v>-4.9473404437239417</v>
      </c>
    </row>
    <row r="574" spans="1:11">
      <c r="A574" s="616">
        <f t="shared" si="43"/>
        <v>568</v>
      </c>
      <c r="B574" s="618">
        <v>39169</v>
      </c>
      <c r="C574" s="604">
        <v>0.80208333333333337</v>
      </c>
      <c r="D574" s="617" t="s">
        <v>147</v>
      </c>
      <c r="E574" s="620" t="s">
        <v>190</v>
      </c>
      <c r="F574" s="621">
        <v>50</v>
      </c>
      <c r="G574" s="789">
        <v>1</v>
      </c>
      <c r="H574" s="790">
        <f t="shared" si="44"/>
        <v>2.8409090909090908E-2</v>
      </c>
      <c r="I574" s="169">
        <f t="shared" si="40"/>
        <v>3.912023005428146</v>
      </c>
      <c r="J574" s="169">
        <f t="shared" si="41"/>
        <v>0</v>
      </c>
      <c r="K574" s="169">
        <f t="shared" si="42"/>
        <v>-3.5610460826040513</v>
      </c>
    </row>
    <row r="575" spans="1:11">
      <c r="A575" s="616">
        <f t="shared" si="43"/>
        <v>569</v>
      </c>
      <c r="B575" s="618">
        <v>39169</v>
      </c>
      <c r="C575" s="604">
        <v>0.8125</v>
      </c>
      <c r="D575" s="617" t="s">
        <v>142</v>
      </c>
      <c r="E575" s="620" t="s">
        <v>190</v>
      </c>
      <c r="F575" s="621">
        <v>50</v>
      </c>
      <c r="G575" s="789">
        <v>0.25</v>
      </c>
      <c r="H575" s="790">
        <f t="shared" si="44"/>
        <v>7.102272727272727E-3</v>
      </c>
      <c r="I575" s="169">
        <f t="shared" si="40"/>
        <v>3.912023005428146</v>
      </c>
      <c r="J575" s="169">
        <f t="shared" si="41"/>
        <v>-1.3862943611198906</v>
      </c>
      <c r="K575" s="169">
        <f t="shared" si="42"/>
        <v>-4.9473404437239417</v>
      </c>
    </row>
    <row r="576" spans="1:11">
      <c r="A576" s="616">
        <f t="shared" si="43"/>
        <v>570</v>
      </c>
      <c r="B576" s="618">
        <v>39193</v>
      </c>
      <c r="C576" s="604">
        <v>0.79583333333333339</v>
      </c>
      <c r="D576" s="617" t="s">
        <v>135</v>
      </c>
      <c r="E576" s="620" t="s">
        <v>190</v>
      </c>
      <c r="F576" s="621">
        <v>50</v>
      </c>
      <c r="G576" s="789">
        <v>1</v>
      </c>
      <c r="H576" s="790">
        <f t="shared" si="44"/>
        <v>2.8409090909090908E-2</v>
      </c>
      <c r="I576" s="169">
        <f t="shared" si="40"/>
        <v>3.912023005428146</v>
      </c>
      <c r="J576" s="169">
        <f t="shared" si="41"/>
        <v>0</v>
      </c>
      <c r="K576" s="169">
        <f t="shared" si="42"/>
        <v>-3.5610460826040513</v>
      </c>
    </row>
    <row r="577" spans="1:11">
      <c r="A577" s="616">
        <f t="shared" si="43"/>
        <v>571</v>
      </c>
      <c r="B577" s="618">
        <v>39193</v>
      </c>
      <c r="C577" s="604">
        <v>0.80486111111111114</v>
      </c>
      <c r="D577" s="617" t="s">
        <v>135</v>
      </c>
      <c r="E577" s="620" t="s">
        <v>190</v>
      </c>
      <c r="F577" s="621">
        <v>100</v>
      </c>
      <c r="G577" s="789">
        <v>1.53</v>
      </c>
      <c r="H577" s="790">
        <f t="shared" si="44"/>
        <v>8.693181818181818E-2</v>
      </c>
      <c r="I577" s="169">
        <f t="shared" si="40"/>
        <v>4.6051701859880918</v>
      </c>
      <c r="J577" s="169">
        <f t="shared" si="41"/>
        <v>0.42526773540434409</v>
      </c>
      <c r="K577" s="169">
        <f t="shared" si="42"/>
        <v>-2.442631166639762</v>
      </c>
    </row>
    <row r="578" spans="1:11">
      <c r="A578" s="616">
        <f t="shared" si="43"/>
        <v>572</v>
      </c>
      <c r="B578" s="618">
        <v>39193</v>
      </c>
      <c r="C578" s="604">
        <v>0.83194444444444438</v>
      </c>
      <c r="D578" s="617" t="s">
        <v>130</v>
      </c>
      <c r="E578" s="620" t="s">
        <v>190</v>
      </c>
      <c r="F578" s="621">
        <v>700</v>
      </c>
      <c r="G578" s="789">
        <v>7.97</v>
      </c>
      <c r="H578" s="790">
        <f t="shared" si="44"/>
        <v>3.1698863636363632</v>
      </c>
      <c r="I578" s="169">
        <f t="shared" si="40"/>
        <v>6.5510803350434044</v>
      </c>
      <c r="J578" s="169">
        <f t="shared" si="41"/>
        <v>2.0756844928021239</v>
      </c>
      <c r="K578" s="169">
        <f t="shared" si="42"/>
        <v>1.1536957398133307</v>
      </c>
    </row>
    <row r="579" spans="1:11">
      <c r="A579" s="616">
        <f t="shared" si="43"/>
        <v>573</v>
      </c>
      <c r="B579" s="618">
        <v>39193</v>
      </c>
      <c r="C579" s="604">
        <v>0.86111111111111116</v>
      </c>
      <c r="D579" s="617" t="s">
        <v>146</v>
      </c>
      <c r="E579" s="620" t="s">
        <v>190</v>
      </c>
      <c r="F579" s="621">
        <v>50</v>
      </c>
      <c r="G579" s="789">
        <v>4.21</v>
      </c>
      <c r="H579" s="790">
        <f t="shared" si="44"/>
        <v>0.11960227272727272</v>
      </c>
      <c r="I579" s="169">
        <f t="shared" si="40"/>
        <v>3.912023005428146</v>
      </c>
      <c r="J579" s="169">
        <f t="shared" si="41"/>
        <v>1.43746264769429</v>
      </c>
      <c r="K579" s="169">
        <f t="shared" si="42"/>
        <v>-2.1235834349097615</v>
      </c>
    </row>
    <row r="580" spans="1:11">
      <c r="A580" s="616">
        <f t="shared" si="43"/>
        <v>574</v>
      </c>
      <c r="B580" s="642">
        <v>39207</v>
      </c>
      <c r="C580" s="604">
        <v>0.76388888888888884</v>
      </c>
      <c r="D580" s="617" t="s">
        <v>148</v>
      </c>
      <c r="E580" s="620" t="s">
        <v>190</v>
      </c>
      <c r="F580" s="621">
        <v>100</v>
      </c>
      <c r="G580" s="789">
        <v>2.78</v>
      </c>
      <c r="H580" s="790">
        <f t="shared" si="44"/>
        <v>0.15795454545454543</v>
      </c>
      <c r="I580" s="169">
        <f t="shared" si="40"/>
        <v>4.6051701859880918</v>
      </c>
      <c r="J580" s="169">
        <f t="shared" si="41"/>
        <v>1.0224509277025455</v>
      </c>
      <c r="K580" s="169">
        <f t="shared" si="42"/>
        <v>-1.8454479743415606</v>
      </c>
    </row>
    <row r="581" spans="1:11">
      <c r="A581" s="616">
        <f t="shared" si="43"/>
        <v>575</v>
      </c>
      <c r="B581" s="642">
        <v>39207</v>
      </c>
      <c r="C581" s="604">
        <v>0.94444444444444453</v>
      </c>
      <c r="D581" s="617" t="s">
        <v>142</v>
      </c>
      <c r="E581" s="620" t="s">
        <v>190</v>
      </c>
      <c r="F581" s="621">
        <v>300</v>
      </c>
      <c r="G581" s="789">
        <v>2</v>
      </c>
      <c r="H581" s="790">
        <f t="shared" si="44"/>
        <v>0.34090909090909088</v>
      </c>
      <c r="I581" s="169">
        <f t="shared" si="40"/>
        <v>5.7037824746562009</v>
      </c>
      <c r="J581" s="169">
        <f t="shared" si="41"/>
        <v>0.69314718055994529</v>
      </c>
      <c r="K581" s="169">
        <f t="shared" si="42"/>
        <v>-1.0761394328160512</v>
      </c>
    </row>
    <row r="582" spans="1:11">
      <c r="A582" s="616">
        <f t="shared" si="43"/>
        <v>576</v>
      </c>
      <c r="B582" s="618">
        <v>39225</v>
      </c>
      <c r="C582" s="604">
        <v>0.64444444444444449</v>
      </c>
      <c r="D582" s="617" t="s">
        <v>137</v>
      </c>
      <c r="E582" s="620" t="s">
        <v>190</v>
      </c>
      <c r="F582" s="621">
        <v>25</v>
      </c>
      <c r="G582" s="789">
        <v>0.2</v>
      </c>
      <c r="H582" s="790">
        <f t="shared" si="44"/>
        <v>2.840909090909091E-3</v>
      </c>
      <c r="I582" s="169">
        <f t="shared" si="40"/>
        <v>3.2188758248682006</v>
      </c>
      <c r="J582" s="169">
        <f t="shared" si="41"/>
        <v>-1.6094379124341003</v>
      </c>
      <c r="K582" s="169">
        <f t="shared" si="42"/>
        <v>-5.8636311755980968</v>
      </c>
    </row>
    <row r="583" spans="1:11">
      <c r="A583" s="616">
        <f t="shared" si="43"/>
        <v>577</v>
      </c>
      <c r="B583" s="618">
        <v>39225</v>
      </c>
      <c r="C583" s="604">
        <v>0.68402777777777779</v>
      </c>
      <c r="D583" s="617" t="s">
        <v>132</v>
      </c>
      <c r="E583" s="620" t="s">
        <v>190</v>
      </c>
      <c r="F583" s="621">
        <v>50</v>
      </c>
      <c r="G583" s="789">
        <v>1</v>
      </c>
      <c r="H583" s="790">
        <f t="shared" si="44"/>
        <v>2.8409090909090908E-2</v>
      </c>
      <c r="I583" s="169">
        <f t="shared" si="40"/>
        <v>3.912023005428146</v>
      </c>
      <c r="J583" s="169">
        <f t="shared" si="41"/>
        <v>0</v>
      </c>
      <c r="K583" s="169">
        <f t="shared" si="42"/>
        <v>-3.5610460826040513</v>
      </c>
    </row>
    <row r="584" spans="1:11">
      <c r="A584" s="616">
        <f t="shared" si="43"/>
        <v>578</v>
      </c>
      <c r="B584" s="618">
        <v>39225</v>
      </c>
      <c r="C584" s="604">
        <v>0.69374999999999998</v>
      </c>
      <c r="D584" s="617" t="s">
        <v>132</v>
      </c>
      <c r="E584" s="620" t="s">
        <v>190</v>
      </c>
      <c r="F584" s="621">
        <v>50</v>
      </c>
      <c r="G584" s="789">
        <v>1</v>
      </c>
      <c r="H584" s="790">
        <f t="shared" si="44"/>
        <v>2.8409090909090908E-2</v>
      </c>
      <c r="I584" s="169">
        <f t="shared" ref="I584:I647" si="45">LN(F584)</f>
        <v>3.912023005428146</v>
      </c>
      <c r="J584" s="169">
        <f t="shared" ref="J584:J647" si="46">LN(G584)</f>
        <v>0</v>
      </c>
      <c r="K584" s="169">
        <f t="shared" ref="K584:K647" si="47">LN(H584)</f>
        <v>-3.5610460826040513</v>
      </c>
    </row>
    <row r="585" spans="1:11">
      <c r="A585" s="616">
        <f t="shared" ref="A585:A648" si="48">+A584+1</f>
        <v>579</v>
      </c>
      <c r="B585" s="618">
        <v>39225</v>
      </c>
      <c r="C585" s="604">
        <v>0.7055555555555556</v>
      </c>
      <c r="D585" s="617" t="s">
        <v>133</v>
      </c>
      <c r="E585" s="620" t="s">
        <v>190</v>
      </c>
      <c r="F585" s="621">
        <v>50</v>
      </c>
      <c r="G585" s="789">
        <v>1</v>
      </c>
      <c r="H585" s="790">
        <f t="shared" ref="H585:H648" si="49">+(F585/1760)*G585</f>
        <v>2.8409090909090908E-2</v>
      </c>
      <c r="I585" s="169">
        <f t="shared" si="45"/>
        <v>3.912023005428146</v>
      </c>
      <c r="J585" s="169">
        <f t="shared" si="46"/>
        <v>0</v>
      </c>
      <c r="K585" s="169">
        <f t="shared" si="47"/>
        <v>-3.5610460826040513</v>
      </c>
    </row>
    <row r="586" spans="1:11">
      <c r="A586" s="616">
        <f t="shared" si="48"/>
        <v>580</v>
      </c>
      <c r="B586" s="618">
        <v>39225</v>
      </c>
      <c r="C586" s="604">
        <v>0.71805555555555556</v>
      </c>
      <c r="D586" s="617" t="s">
        <v>132</v>
      </c>
      <c r="E586" s="620" t="s">
        <v>190</v>
      </c>
      <c r="F586" s="621">
        <v>50</v>
      </c>
      <c r="G586" s="789">
        <v>2</v>
      </c>
      <c r="H586" s="790">
        <f t="shared" si="49"/>
        <v>5.6818181818181816E-2</v>
      </c>
      <c r="I586" s="169">
        <f t="shared" si="45"/>
        <v>3.912023005428146</v>
      </c>
      <c r="J586" s="169">
        <f t="shared" si="46"/>
        <v>0.69314718055994529</v>
      </c>
      <c r="K586" s="169">
        <f t="shared" si="47"/>
        <v>-2.8678989020441059</v>
      </c>
    </row>
    <row r="587" spans="1:11">
      <c r="A587" s="616">
        <f t="shared" si="48"/>
        <v>581</v>
      </c>
      <c r="B587" s="618">
        <v>39225</v>
      </c>
      <c r="C587" s="604">
        <v>0.73611111111111116</v>
      </c>
      <c r="D587" s="617" t="s">
        <v>132</v>
      </c>
      <c r="E587" s="620" t="s">
        <v>190</v>
      </c>
      <c r="F587" s="621">
        <v>50</v>
      </c>
      <c r="G587" s="789">
        <v>2</v>
      </c>
      <c r="H587" s="790">
        <f t="shared" si="49"/>
        <v>5.6818181818181816E-2</v>
      </c>
      <c r="I587" s="169">
        <f t="shared" si="45"/>
        <v>3.912023005428146</v>
      </c>
      <c r="J587" s="169">
        <f t="shared" si="46"/>
        <v>0.69314718055994529</v>
      </c>
      <c r="K587" s="169">
        <f t="shared" si="47"/>
        <v>-2.8678989020441059</v>
      </c>
    </row>
    <row r="588" spans="1:11">
      <c r="A588" s="616">
        <f t="shared" si="48"/>
        <v>582</v>
      </c>
      <c r="B588" s="618">
        <v>39225</v>
      </c>
      <c r="C588" s="604">
        <v>0.77708333333333324</v>
      </c>
      <c r="D588" s="617" t="s">
        <v>133</v>
      </c>
      <c r="E588" s="620" t="s">
        <v>190</v>
      </c>
      <c r="F588" s="621">
        <v>50</v>
      </c>
      <c r="G588" s="789">
        <v>2</v>
      </c>
      <c r="H588" s="790">
        <f t="shared" si="49"/>
        <v>5.6818181818181816E-2</v>
      </c>
      <c r="I588" s="169">
        <f t="shared" si="45"/>
        <v>3.912023005428146</v>
      </c>
      <c r="J588" s="169">
        <f t="shared" si="46"/>
        <v>0.69314718055994529</v>
      </c>
      <c r="K588" s="169">
        <f t="shared" si="47"/>
        <v>-2.8678989020441059</v>
      </c>
    </row>
    <row r="589" spans="1:11">
      <c r="A589" s="616">
        <f t="shared" si="48"/>
        <v>583</v>
      </c>
      <c r="B589" s="618">
        <v>39225</v>
      </c>
      <c r="C589" s="604">
        <v>0.80208333333333337</v>
      </c>
      <c r="D589" s="617" t="s">
        <v>136</v>
      </c>
      <c r="E589" s="620" t="s">
        <v>190</v>
      </c>
      <c r="F589" s="621">
        <v>25</v>
      </c>
      <c r="G589" s="789">
        <v>0.1</v>
      </c>
      <c r="H589" s="790">
        <f t="shared" si="49"/>
        <v>1.4204545454545455E-3</v>
      </c>
      <c r="I589" s="169">
        <f t="shared" si="45"/>
        <v>3.2188758248682006</v>
      </c>
      <c r="J589" s="169">
        <f t="shared" si="46"/>
        <v>-2.3025850929940455</v>
      </c>
      <c r="K589" s="169">
        <f t="shared" si="47"/>
        <v>-6.5567783561580422</v>
      </c>
    </row>
    <row r="590" spans="1:11">
      <c r="A590" s="616">
        <f t="shared" si="48"/>
        <v>584</v>
      </c>
      <c r="B590" s="618">
        <v>39225</v>
      </c>
      <c r="C590" s="604">
        <v>0.80347222222222225</v>
      </c>
      <c r="D590" s="617" t="s">
        <v>136</v>
      </c>
      <c r="E590" s="620" t="s">
        <v>190</v>
      </c>
      <c r="F590" s="621">
        <v>50</v>
      </c>
      <c r="G590" s="789">
        <v>0.1</v>
      </c>
      <c r="H590" s="790">
        <f t="shared" si="49"/>
        <v>2.840909090909091E-3</v>
      </c>
      <c r="I590" s="169">
        <f t="shared" si="45"/>
        <v>3.912023005428146</v>
      </c>
      <c r="J590" s="169">
        <f t="shared" si="46"/>
        <v>-2.3025850929940455</v>
      </c>
      <c r="K590" s="169">
        <f t="shared" si="47"/>
        <v>-5.8636311755980968</v>
      </c>
    </row>
    <row r="591" spans="1:11">
      <c r="A591" s="616">
        <f t="shared" si="48"/>
        <v>585</v>
      </c>
      <c r="B591" s="618">
        <v>39225</v>
      </c>
      <c r="C591" s="604">
        <v>0.85277777777777775</v>
      </c>
      <c r="D591" s="617" t="s">
        <v>137</v>
      </c>
      <c r="E591" s="620" t="s">
        <v>190</v>
      </c>
      <c r="F591" s="621">
        <v>100</v>
      </c>
      <c r="G591" s="789">
        <v>2</v>
      </c>
      <c r="H591" s="790">
        <f t="shared" si="49"/>
        <v>0.11363636363636363</v>
      </c>
      <c r="I591" s="169">
        <f t="shared" si="45"/>
        <v>4.6051701859880918</v>
      </c>
      <c r="J591" s="169">
        <f t="shared" si="46"/>
        <v>0.69314718055994529</v>
      </c>
      <c r="K591" s="169">
        <f t="shared" si="47"/>
        <v>-2.174751721484161</v>
      </c>
    </row>
    <row r="592" spans="1:11">
      <c r="A592" s="616">
        <f t="shared" si="48"/>
        <v>586</v>
      </c>
      <c r="B592" s="618">
        <v>39233</v>
      </c>
      <c r="C592" s="604">
        <v>0.74652777777777779</v>
      </c>
      <c r="D592" s="617" t="s">
        <v>126</v>
      </c>
      <c r="E592" s="620" t="s">
        <v>190</v>
      </c>
      <c r="F592" s="621">
        <v>100</v>
      </c>
      <c r="G592" s="789">
        <v>0.1</v>
      </c>
      <c r="H592" s="790">
        <f t="shared" si="49"/>
        <v>5.681818181818182E-3</v>
      </c>
      <c r="I592" s="169">
        <f t="shared" si="45"/>
        <v>4.6051701859880918</v>
      </c>
      <c r="J592" s="169">
        <f t="shared" si="46"/>
        <v>-2.3025850929940455</v>
      </c>
      <c r="K592" s="169">
        <f t="shared" si="47"/>
        <v>-5.1704839950381514</v>
      </c>
    </row>
    <row r="593" spans="1:11">
      <c r="A593" s="616">
        <f t="shared" si="48"/>
        <v>587</v>
      </c>
      <c r="B593" s="618">
        <v>39233</v>
      </c>
      <c r="C593" s="604">
        <v>0.75763888888888886</v>
      </c>
      <c r="D593" s="617" t="s">
        <v>126</v>
      </c>
      <c r="E593" s="620" t="s">
        <v>190</v>
      </c>
      <c r="F593" s="621">
        <v>100</v>
      </c>
      <c r="G593" s="789">
        <v>0.3</v>
      </c>
      <c r="H593" s="790">
        <f t="shared" si="49"/>
        <v>1.7045454545454544E-2</v>
      </c>
      <c r="I593" s="169">
        <f t="shared" si="45"/>
        <v>4.6051701859880918</v>
      </c>
      <c r="J593" s="169">
        <f t="shared" si="46"/>
        <v>-1.2039728043259361</v>
      </c>
      <c r="K593" s="169">
        <f t="shared" si="47"/>
        <v>-4.0718717063700423</v>
      </c>
    </row>
    <row r="594" spans="1:11">
      <c r="A594" s="616">
        <f t="shared" si="48"/>
        <v>588</v>
      </c>
      <c r="B594" s="618">
        <v>39233</v>
      </c>
      <c r="C594" s="604">
        <v>0.77916666666666667</v>
      </c>
      <c r="D594" s="617" t="s">
        <v>127</v>
      </c>
      <c r="E594" s="620" t="s">
        <v>190</v>
      </c>
      <c r="F594" s="621">
        <v>50</v>
      </c>
      <c r="G594" s="789">
        <v>0.1</v>
      </c>
      <c r="H594" s="790">
        <f t="shared" si="49"/>
        <v>2.840909090909091E-3</v>
      </c>
      <c r="I594" s="169">
        <f t="shared" si="45"/>
        <v>3.912023005428146</v>
      </c>
      <c r="J594" s="169">
        <f t="shared" si="46"/>
        <v>-2.3025850929940455</v>
      </c>
      <c r="K594" s="169">
        <f t="shared" si="47"/>
        <v>-5.8636311755980968</v>
      </c>
    </row>
    <row r="595" spans="1:11">
      <c r="A595" s="616">
        <f t="shared" si="48"/>
        <v>589</v>
      </c>
      <c r="B595" s="618">
        <v>39233</v>
      </c>
      <c r="C595" s="604">
        <v>0.78402777777777777</v>
      </c>
      <c r="D595" s="617" t="s">
        <v>127</v>
      </c>
      <c r="E595" s="620" t="s">
        <v>190</v>
      </c>
      <c r="F595" s="621">
        <v>75</v>
      </c>
      <c r="G595" s="789">
        <v>0.1</v>
      </c>
      <c r="H595" s="790">
        <f t="shared" si="49"/>
        <v>4.261363636363636E-3</v>
      </c>
      <c r="I595" s="169">
        <f t="shared" si="45"/>
        <v>4.3174881135363101</v>
      </c>
      <c r="J595" s="169">
        <f t="shared" si="46"/>
        <v>-2.3025850929940455</v>
      </c>
      <c r="K595" s="169">
        <f t="shared" si="47"/>
        <v>-5.458166067489933</v>
      </c>
    </row>
    <row r="596" spans="1:11">
      <c r="A596" s="616">
        <f t="shared" si="48"/>
        <v>590</v>
      </c>
      <c r="B596" s="618">
        <v>39233</v>
      </c>
      <c r="C596" s="604">
        <v>0.79027777777777775</v>
      </c>
      <c r="D596" s="617" t="s">
        <v>127</v>
      </c>
      <c r="E596" s="620" t="s">
        <v>190</v>
      </c>
      <c r="F596" s="621">
        <v>150</v>
      </c>
      <c r="G596" s="789">
        <v>0.5</v>
      </c>
      <c r="H596" s="790">
        <f t="shared" si="49"/>
        <v>4.261363636363636E-2</v>
      </c>
      <c r="I596" s="169">
        <f t="shared" si="45"/>
        <v>5.0106352940962555</v>
      </c>
      <c r="J596" s="169">
        <f t="shared" si="46"/>
        <v>-0.69314718055994529</v>
      </c>
      <c r="K596" s="169">
        <f t="shared" si="47"/>
        <v>-3.1555809744958871</v>
      </c>
    </row>
    <row r="597" spans="1:11">
      <c r="A597" s="616">
        <f t="shared" si="48"/>
        <v>591</v>
      </c>
      <c r="B597" s="618">
        <v>39233</v>
      </c>
      <c r="C597" s="604">
        <v>0.80833333333333324</v>
      </c>
      <c r="D597" s="617" t="s">
        <v>127</v>
      </c>
      <c r="E597" s="620" t="s">
        <v>190</v>
      </c>
      <c r="F597" s="621">
        <v>75</v>
      </c>
      <c r="G597" s="789">
        <v>0.1</v>
      </c>
      <c r="H597" s="790">
        <f t="shared" si="49"/>
        <v>4.261363636363636E-3</v>
      </c>
      <c r="I597" s="169">
        <f t="shared" si="45"/>
        <v>4.3174881135363101</v>
      </c>
      <c r="J597" s="169">
        <f t="shared" si="46"/>
        <v>-2.3025850929940455</v>
      </c>
      <c r="K597" s="169">
        <f t="shared" si="47"/>
        <v>-5.458166067489933</v>
      </c>
    </row>
    <row r="598" spans="1:11">
      <c r="A598" s="616">
        <f t="shared" si="48"/>
        <v>592</v>
      </c>
      <c r="B598" s="618">
        <v>39252</v>
      </c>
      <c r="C598" s="604">
        <v>0.85972222222222217</v>
      </c>
      <c r="D598" s="617" t="s">
        <v>127</v>
      </c>
      <c r="E598" s="620" t="s">
        <v>190</v>
      </c>
      <c r="F598" s="621">
        <v>50</v>
      </c>
      <c r="G598" s="789">
        <v>2.2400000000000002</v>
      </c>
      <c r="H598" s="790">
        <f t="shared" si="49"/>
        <v>6.3636363636363644E-2</v>
      </c>
      <c r="I598" s="169">
        <f t="shared" si="45"/>
        <v>3.912023005428146</v>
      </c>
      <c r="J598" s="169">
        <f t="shared" si="46"/>
        <v>0.80647586586694853</v>
      </c>
      <c r="K598" s="169">
        <f t="shared" si="47"/>
        <v>-2.7545702167371027</v>
      </c>
    </row>
    <row r="599" spans="1:11">
      <c r="A599" s="616">
        <f t="shared" si="48"/>
        <v>593</v>
      </c>
      <c r="B599" s="618">
        <v>39564</v>
      </c>
      <c r="C599" s="604">
        <v>0.5625</v>
      </c>
      <c r="D599" s="617" t="s">
        <v>132</v>
      </c>
      <c r="E599" s="620" t="s">
        <v>190</v>
      </c>
      <c r="F599" s="621">
        <v>20</v>
      </c>
      <c r="G599" s="789">
        <v>0.1</v>
      </c>
      <c r="H599" s="790">
        <f t="shared" si="49"/>
        <v>1.1363636363636365E-3</v>
      </c>
      <c r="I599" s="169">
        <f t="shared" si="45"/>
        <v>2.9957322735539909</v>
      </c>
      <c r="J599" s="169">
        <f t="shared" si="46"/>
        <v>-2.3025850929940455</v>
      </c>
      <c r="K599" s="169">
        <f t="shared" si="47"/>
        <v>-6.7799219074722519</v>
      </c>
    </row>
    <row r="600" spans="1:11">
      <c r="A600" s="616">
        <f t="shared" si="48"/>
        <v>594</v>
      </c>
      <c r="B600" s="618">
        <v>39593</v>
      </c>
      <c r="C600" s="604">
        <v>0.60347222222222219</v>
      </c>
      <c r="D600" s="617" t="s">
        <v>134</v>
      </c>
      <c r="E600" s="620" t="s">
        <v>190</v>
      </c>
      <c r="F600" s="621">
        <v>50</v>
      </c>
      <c r="G600" s="789">
        <v>1.73</v>
      </c>
      <c r="H600" s="790">
        <f t="shared" si="49"/>
        <v>4.9147727272727273E-2</v>
      </c>
      <c r="I600" s="169">
        <f t="shared" si="45"/>
        <v>3.912023005428146</v>
      </c>
      <c r="J600" s="169">
        <f t="shared" si="46"/>
        <v>0.5481214085096876</v>
      </c>
      <c r="K600" s="169">
        <f t="shared" si="47"/>
        <v>-3.0129246740943638</v>
      </c>
    </row>
    <row r="601" spans="1:11">
      <c r="A601" s="616">
        <f t="shared" si="48"/>
        <v>595</v>
      </c>
      <c r="B601" s="618">
        <v>39593</v>
      </c>
      <c r="C601" s="604">
        <v>0.60902777777777783</v>
      </c>
      <c r="D601" s="617" t="s">
        <v>134</v>
      </c>
      <c r="E601" s="620" t="s">
        <v>190</v>
      </c>
      <c r="F601" s="621">
        <v>75</v>
      </c>
      <c r="G601" s="789">
        <v>5.31</v>
      </c>
      <c r="H601" s="790">
        <f t="shared" si="49"/>
        <v>0.22627840909090904</v>
      </c>
      <c r="I601" s="169">
        <f t="shared" si="45"/>
        <v>4.3174881135363101</v>
      </c>
      <c r="J601" s="169">
        <f t="shared" si="46"/>
        <v>1.6695918352538475</v>
      </c>
      <c r="K601" s="169">
        <f t="shared" si="47"/>
        <v>-1.4859891392420397</v>
      </c>
    </row>
    <row r="602" spans="1:11">
      <c r="A602" s="616">
        <f t="shared" si="48"/>
        <v>596</v>
      </c>
      <c r="B602" s="618">
        <v>39593</v>
      </c>
      <c r="C602" s="604">
        <v>0.61388888888888882</v>
      </c>
      <c r="D602" s="617" t="s">
        <v>135</v>
      </c>
      <c r="E602" s="620" t="s">
        <v>190</v>
      </c>
      <c r="F602" s="621">
        <v>75</v>
      </c>
      <c r="G602" s="789">
        <v>2.34</v>
      </c>
      <c r="H602" s="790">
        <f t="shared" si="49"/>
        <v>9.9715909090909077E-2</v>
      </c>
      <c r="I602" s="169">
        <f t="shared" si="45"/>
        <v>4.3174881135363101</v>
      </c>
      <c r="J602" s="169">
        <f t="shared" si="46"/>
        <v>0.85015092936961001</v>
      </c>
      <c r="K602" s="169">
        <f t="shared" si="47"/>
        <v>-2.3054300451262772</v>
      </c>
    </row>
    <row r="603" spans="1:11">
      <c r="A603" s="616">
        <f t="shared" si="48"/>
        <v>597</v>
      </c>
      <c r="B603" s="618">
        <v>39593</v>
      </c>
      <c r="C603" s="604">
        <v>0.66180555555555554</v>
      </c>
      <c r="D603" s="617" t="s">
        <v>136</v>
      </c>
      <c r="E603" s="620" t="s">
        <v>190</v>
      </c>
      <c r="F603" s="621">
        <v>50</v>
      </c>
      <c r="G603" s="789">
        <v>0.5</v>
      </c>
      <c r="H603" s="790">
        <f t="shared" si="49"/>
        <v>1.4204545454545454E-2</v>
      </c>
      <c r="I603" s="169">
        <f t="shared" si="45"/>
        <v>3.912023005428146</v>
      </c>
      <c r="J603" s="169">
        <f t="shared" si="46"/>
        <v>-0.69314718055994529</v>
      </c>
      <c r="K603" s="169">
        <f t="shared" si="47"/>
        <v>-4.2541932631639972</v>
      </c>
    </row>
    <row r="604" spans="1:11">
      <c r="A604" s="616">
        <f t="shared" si="48"/>
        <v>598</v>
      </c>
      <c r="B604" s="618">
        <v>39594</v>
      </c>
      <c r="C604" s="604">
        <v>0.72638888888888886</v>
      </c>
      <c r="D604" s="617" t="s">
        <v>148</v>
      </c>
      <c r="E604" s="620" t="s">
        <v>190</v>
      </c>
      <c r="F604" s="621">
        <v>25</v>
      </c>
      <c r="G604" s="789">
        <v>0.05</v>
      </c>
      <c r="H604" s="790">
        <f t="shared" si="49"/>
        <v>7.1022727272727275E-4</v>
      </c>
      <c r="I604" s="169">
        <f t="shared" si="45"/>
        <v>3.2188758248682006</v>
      </c>
      <c r="J604" s="169">
        <f t="shared" si="46"/>
        <v>-2.9957322735539909</v>
      </c>
      <c r="K604" s="169">
        <f t="shared" si="47"/>
        <v>-7.2499255367179876</v>
      </c>
    </row>
    <row r="605" spans="1:11">
      <c r="A605" s="616">
        <f t="shared" si="48"/>
        <v>599</v>
      </c>
      <c r="B605" s="618">
        <v>39594</v>
      </c>
      <c r="C605" s="604">
        <v>0.73819444444444438</v>
      </c>
      <c r="D605" s="617" t="s">
        <v>148</v>
      </c>
      <c r="E605" s="620" t="s">
        <v>190</v>
      </c>
      <c r="F605" s="621">
        <v>25</v>
      </c>
      <c r="G605" s="789">
        <v>0.04</v>
      </c>
      <c r="H605" s="790">
        <f t="shared" si="49"/>
        <v>5.6818181818181815E-4</v>
      </c>
      <c r="I605" s="169">
        <f t="shared" si="45"/>
        <v>3.2188758248682006</v>
      </c>
      <c r="J605" s="169">
        <f t="shared" si="46"/>
        <v>-3.2188758248682006</v>
      </c>
      <c r="K605" s="169">
        <f t="shared" si="47"/>
        <v>-7.4730690880321973</v>
      </c>
    </row>
    <row r="606" spans="1:11">
      <c r="A606" s="616">
        <f t="shared" si="48"/>
        <v>600</v>
      </c>
      <c r="B606" s="643">
        <v>39613</v>
      </c>
      <c r="C606" s="646">
        <v>0.69791666666666663</v>
      </c>
      <c r="D606" s="617" t="s">
        <v>146</v>
      </c>
      <c r="E606" s="645" t="s">
        <v>190</v>
      </c>
      <c r="F606" s="621">
        <v>20</v>
      </c>
      <c r="G606" s="789">
        <v>0.16</v>
      </c>
      <c r="H606" s="790">
        <f t="shared" si="49"/>
        <v>1.8181818181818182E-3</v>
      </c>
      <c r="I606" s="169">
        <f t="shared" si="45"/>
        <v>2.9957322735539909</v>
      </c>
      <c r="J606" s="169">
        <f t="shared" si="46"/>
        <v>-1.8325814637483102</v>
      </c>
      <c r="K606" s="169">
        <f t="shared" si="47"/>
        <v>-6.3099182782265162</v>
      </c>
    </row>
    <row r="607" spans="1:11">
      <c r="A607" s="616">
        <f t="shared" si="48"/>
        <v>601</v>
      </c>
      <c r="B607" s="618">
        <v>39614</v>
      </c>
      <c r="C607" s="604">
        <v>0.73402777777777783</v>
      </c>
      <c r="D607" s="617" t="s">
        <v>128</v>
      </c>
      <c r="E607" s="620" t="s">
        <v>190</v>
      </c>
      <c r="F607" s="621">
        <v>50</v>
      </c>
      <c r="G607" s="789">
        <v>3.2</v>
      </c>
      <c r="H607" s="790">
        <f t="shared" si="49"/>
        <v>9.0909090909090912E-2</v>
      </c>
      <c r="I607" s="169">
        <f t="shared" si="45"/>
        <v>3.912023005428146</v>
      </c>
      <c r="J607" s="169">
        <f t="shared" si="46"/>
        <v>1.1631508098056809</v>
      </c>
      <c r="K607" s="169">
        <f t="shared" si="47"/>
        <v>-2.3978952727983707</v>
      </c>
    </row>
    <row r="608" spans="1:11">
      <c r="A608" s="616">
        <f t="shared" si="48"/>
        <v>602</v>
      </c>
      <c r="B608" s="618">
        <v>39614</v>
      </c>
      <c r="C608" s="604">
        <v>0.75694444444444453</v>
      </c>
      <c r="D608" s="617" t="s">
        <v>132</v>
      </c>
      <c r="E608" s="620" t="s">
        <v>190</v>
      </c>
      <c r="F608" s="621">
        <v>50</v>
      </c>
      <c r="G608" s="789">
        <v>1.28</v>
      </c>
      <c r="H608" s="790">
        <f t="shared" si="49"/>
        <v>3.6363636363636362E-2</v>
      </c>
      <c r="I608" s="169">
        <f t="shared" si="45"/>
        <v>3.912023005428146</v>
      </c>
      <c r="J608" s="169">
        <f t="shared" si="46"/>
        <v>0.24686007793152581</v>
      </c>
      <c r="K608" s="169">
        <f t="shared" si="47"/>
        <v>-3.3141860046725258</v>
      </c>
    </row>
    <row r="609" spans="1:11">
      <c r="A609" s="616">
        <f t="shared" si="48"/>
        <v>603</v>
      </c>
      <c r="B609" s="618">
        <v>39618</v>
      </c>
      <c r="C609" s="604">
        <v>0.72916666666666663</v>
      </c>
      <c r="D609" s="617" t="s">
        <v>126</v>
      </c>
      <c r="E609" s="620" t="s">
        <v>190</v>
      </c>
      <c r="F609" s="621">
        <v>25</v>
      </c>
      <c r="G609" s="789">
        <v>0.27</v>
      </c>
      <c r="H609" s="790">
        <f t="shared" si="49"/>
        <v>3.8352272727272727E-3</v>
      </c>
      <c r="I609" s="169">
        <f t="shared" si="45"/>
        <v>3.2188758248682006</v>
      </c>
      <c r="J609" s="169">
        <f t="shared" si="46"/>
        <v>-1.3093333199837622</v>
      </c>
      <c r="K609" s="169">
        <f t="shared" si="47"/>
        <v>-5.5635265831477589</v>
      </c>
    </row>
    <row r="610" spans="1:11">
      <c r="A610" s="616">
        <f t="shared" si="48"/>
        <v>604</v>
      </c>
      <c r="B610" s="618">
        <v>39932</v>
      </c>
      <c r="C610" s="646">
        <v>0.73333333333333339</v>
      </c>
      <c r="D610" s="724" t="s">
        <v>141</v>
      </c>
      <c r="E610" s="645" t="s">
        <v>190</v>
      </c>
      <c r="F610" s="724">
        <v>25</v>
      </c>
      <c r="G610" s="793">
        <v>0.1</v>
      </c>
      <c r="H610" s="790">
        <f t="shared" si="49"/>
        <v>1.4204545454545455E-3</v>
      </c>
      <c r="I610" s="169">
        <f t="shared" si="45"/>
        <v>3.2188758248682006</v>
      </c>
      <c r="J610" s="169">
        <f t="shared" si="46"/>
        <v>-2.3025850929940455</v>
      </c>
      <c r="K610" s="169">
        <f t="shared" si="47"/>
        <v>-6.5567783561580422</v>
      </c>
    </row>
    <row r="611" spans="1:11">
      <c r="A611" s="616">
        <f t="shared" si="48"/>
        <v>605</v>
      </c>
      <c r="B611" s="618">
        <v>39948</v>
      </c>
      <c r="C611" s="604">
        <v>0.65625</v>
      </c>
      <c r="D611" s="617" t="s">
        <v>137</v>
      </c>
      <c r="E611" s="620" t="s">
        <v>190</v>
      </c>
      <c r="F611" s="621">
        <v>100</v>
      </c>
      <c r="G611" s="789">
        <v>0.25</v>
      </c>
      <c r="H611" s="790">
        <f t="shared" si="49"/>
        <v>1.4204545454545454E-2</v>
      </c>
      <c r="I611" s="169">
        <f t="shared" si="45"/>
        <v>4.6051701859880918</v>
      </c>
      <c r="J611" s="169">
        <f t="shared" si="46"/>
        <v>-1.3862943611198906</v>
      </c>
      <c r="K611" s="169">
        <f t="shared" si="47"/>
        <v>-4.2541932631639972</v>
      </c>
    </row>
    <row r="612" spans="1:11">
      <c r="A612" s="616">
        <f t="shared" si="48"/>
        <v>606</v>
      </c>
      <c r="B612" s="618">
        <v>39948</v>
      </c>
      <c r="C612" s="604">
        <v>0.65763888888888888</v>
      </c>
      <c r="D612" s="617" t="s">
        <v>137</v>
      </c>
      <c r="E612" s="620" t="s">
        <v>190</v>
      </c>
      <c r="F612" s="621">
        <v>100</v>
      </c>
      <c r="G612" s="789">
        <v>0.5</v>
      </c>
      <c r="H612" s="790">
        <f t="shared" si="49"/>
        <v>2.8409090909090908E-2</v>
      </c>
      <c r="I612" s="169">
        <f t="shared" si="45"/>
        <v>4.6051701859880918</v>
      </c>
      <c r="J612" s="169">
        <f t="shared" si="46"/>
        <v>-0.69314718055994529</v>
      </c>
      <c r="K612" s="169">
        <f t="shared" si="47"/>
        <v>-3.5610460826040513</v>
      </c>
    </row>
    <row r="613" spans="1:11">
      <c r="A613" s="616">
        <f t="shared" si="48"/>
        <v>607</v>
      </c>
      <c r="B613" s="618">
        <v>39948</v>
      </c>
      <c r="C613" s="604">
        <v>0.66805555555555562</v>
      </c>
      <c r="D613" s="617" t="s">
        <v>142</v>
      </c>
      <c r="E613" s="620" t="s">
        <v>190</v>
      </c>
      <c r="F613" s="621">
        <v>440</v>
      </c>
      <c r="G613" s="789">
        <v>1</v>
      </c>
      <c r="H613" s="790">
        <f t="shared" si="49"/>
        <v>0.25</v>
      </c>
      <c r="I613" s="169">
        <f t="shared" si="45"/>
        <v>6.0867747269123065</v>
      </c>
      <c r="J613" s="169">
        <f t="shared" si="46"/>
        <v>0</v>
      </c>
      <c r="K613" s="169">
        <f t="shared" si="47"/>
        <v>-1.3862943611198906</v>
      </c>
    </row>
    <row r="614" spans="1:11">
      <c r="A614" s="616">
        <f t="shared" si="48"/>
        <v>608</v>
      </c>
      <c r="B614" s="618">
        <v>39968</v>
      </c>
      <c r="C614" s="604">
        <v>0.63680555555555551</v>
      </c>
      <c r="D614" s="617" t="s">
        <v>134</v>
      </c>
      <c r="E614" s="620" t="s">
        <v>190</v>
      </c>
      <c r="F614" s="621">
        <v>100</v>
      </c>
      <c r="G614" s="789">
        <v>0.52</v>
      </c>
      <c r="H614" s="790">
        <f t="shared" si="49"/>
        <v>2.9545454545454545E-2</v>
      </c>
      <c r="I614" s="169">
        <f t="shared" si="45"/>
        <v>4.6051701859880918</v>
      </c>
      <c r="J614" s="169">
        <f t="shared" si="46"/>
        <v>-0.65392646740666394</v>
      </c>
      <c r="K614" s="169">
        <f t="shared" si="47"/>
        <v>-3.5218253694507702</v>
      </c>
    </row>
    <row r="615" spans="1:11">
      <c r="A615" s="616">
        <f t="shared" si="48"/>
        <v>609</v>
      </c>
      <c r="B615" s="618">
        <v>39968</v>
      </c>
      <c r="C615" s="604">
        <v>0.71388888888888891</v>
      </c>
      <c r="D615" s="617" t="s">
        <v>139</v>
      </c>
      <c r="E615" s="620" t="s">
        <v>190</v>
      </c>
      <c r="F615" s="621">
        <v>100</v>
      </c>
      <c r="G615" s="789">
        <v>1</v>
      </c>
      <c r="H615" s="790">
        <f t="shared" si="49"/>
        <v>5.6818181818181816E-2</v>
      </c>
      <c r="I615" s="169">
        <f t="shared" si="45"/>
        <v>4.6051701859880918</v>
      </c>
      <c r="J615" s="169">
        <f t="shared" si="46"/>
        <v>0</v>
      </c>
      <c r="K615" s="169">
        <f t="shared" si="47"/>
        <v>-2.8678989020441059</v>
      </c>
    </row>
    <row r="616" spans="1:11">
      <c r="A616" s="616">
        <f t="shared" si="48"/>
        <v>610</v>
      </c>
      <c r="B616" s="618">
        <v>39968</v>
      </c>
      <c r="C616" s="604">
        <v>0.73125000000000007</v>
      </c>
      <c r="D616" s="617" t="s">
        <v>145</v>
      </c>
      <c r="E616" s="620" t="s">
        <v>190</v>
      </c>
      <c r="F616" s="621">
        <v>100</v>
      </c>
      <c r="G616" s="789">
        <v>0.13</v>
      </c>
      <c r="H616" s="790">
        <f t="shared" si="49"/>
        <v>7.3863636363636362E-3</v>
      </c>
      <c r="I616" s="169">
        <f t="shared" si="45"/>
        <v>4.6051701859880918</v>
      </c>
      <c r="J616" s="169">
        <f t="shared" si="46"/>
        <v>-2.0402208285265546</v>
      </c>
      <c r="K616" s="169">
        <f t="shared" si="47"/>
        <v>-4.908119730570661</v>
      </c>
    </row>
    <row r="617" spans="1:11">
      <c r="A617" s="616">
        <f t="shared" si="48"/>
        <v>611</v>
      </c>
      <c r="B617" s="618">
        <v>39968</v>
      </c>
      <c r="C617" s="604">
        <v>0.73611111111111116</v>
      </c>
      <c r="D617" s="617" t="s">
        <v>145</v>
      </c>
      <c r="E617" s="620" t="s">
        <v>190</v>
      </c>
      <c r="F617" s="621">
        <v>100</v>
      </c>
      <c r="G617" s="789">
        <v>0.75</v>
      </c>
      <c r="H617" s="790">
        <f t="shared" si="49"/>
        <v>4.261363636363636E-2</v>
      </c>
      <c r="I617" s="169">
        <f t="shared" si="45"/>
        <v>4.6051701859880918</v>
      </c>
      <c r="J617" s="169">
        <f t="shared" si="46"/>
        <v>-0.2876820724517809</v>
      </c>
      <c r="K617" s="169">
        <f t="shared" si="47"/>
        <v>-3.1555809744958871</v>
      </c>
    </row>
    <row r="618" spans="1:11">
      <c r="A618" s="616">
        <f t="shared" si="48"/>
        <v>612</v>
      </c>
      <c r="B618" s="618">
        <v>39969</v>
      </c>
      <c r="C618" s="604">
        <v>0.86041666666666661</v>
      </c>
      <c r="D618" s="617" t="s">
        <v>141</v>
      </c>
      <c r="E618" s="620" t="s">
        <v>190</v>
      </c>
      <c r="F618" s="621">
        <v>25</v>
      </c>
      <c r="G618" s="789">
        <v>1.29</v>
      </c>
      <c r="H618" s="790">
        <f t="shared" si="49"/>
        <v>1.8323863636363635E-2</v>
      </c>
      <c r="I618" s="169">
        <f t="shared" si="45"/>
        <v>3.2188758248682006</v>
      </c>
      <c r="J618" s="169">
        <f t="shared" si="46"/>
        <v>0.25464221837358075</v>
      </c>
      <c r="K618" s="169">
        <f t="shared" si="47"/>
        <v>-3.9995510447904161</v>
      </c>
    </row>
    <row r="619" spans="1:11">
      <c r="A619" s="616">
        <f t="shared" si="48"/>
        <v>613</v>
      </c>
      <c r="B619" s="618">
        <v>39979</v>
      </c>
      <c r="C619" s="604">
        <v>0.72430555555555554</v>
      </c>
      <c r="D619" s="617" t="s">
        <v>132</v>
      </c>
      <c r="E619" s="620" t="s">
        <v>190</v>
      </c>
      <c r="F619" s="621">
        <v>50</v>
      </c>
      <c r="G619" s="789">
        <v>0.25</v>
      </c>
      <c r="H619" s="790">
        <f t="shared" si="49"/>
        <v>7.102272727272727E-3</v>
      </c>
      <c r="I619" s="169">
        <f t="shared" si="45"/>
        <v>3.912023005428146</v>
      </c>
      <c r="J619" s="169">
        <f t="shared" si="46"/>
        <v>-1.3862943611198906</v>
      </c>
      <c r="K619" s="169">
        <f t="shared" si="47"/>
        <v>-4.9473404437239417</v>
      </c>
    </row>
    <row r="620" spans="1:11">
      <c r="A620" s="616">
        <f t="shared" si="48"/>
        <v>614</v>
      </c>
      <c r="B620" s="618">
        <v>40288</v>
      </c>
      <c r="C620" s="604">
        <v>0.75277777777777777</v>
      </c>
      <c r="D620" s="635" t="s">
        <v>140</v>
      </c>
      <c r="E620" s="620" t="s">
        <v>190</v>
      </c>
      <c r="F620" s="621">
        <v>50</v>
      </c>
      <c r="G620" s="621">
        <v>1.05</v>
      </c>
      <c r="H620" s="790">
        <f t="shared" si="49"/>
        <v>2.9829545454545456E-2</v>
      </c>
      <c r="I620" s="169">
        <f t="shared" si="45"/>
        <v>3.912023005428146</v>
      </c>
      <c r="J620" s="169">
        <f t="shared" si="46"/>
        <v>4.8790164169432049E-2</v>
      </c>
      <c r="K620" s="169">
        <f t="shared" si="47"/>
        <v>-3.5122559184346192</v>
      </c>
    </row>
    <row r="621" spans="1:11">
      <c r="A621" s="616">
        <f t="shared" si="48"/>
        <v>615</v>
      </c>
      <c r="B621" s="618">
        <v>40288</v>
      </c>
      <c r="C621" s="604">
        <v>0.78263888888888899</v>
      </c>
      <c r="D621" s="635" t="s">
        <v>145</v>
      </c>
      <c r="E621" s="620" t="s">
        <v>190</v>
      </c>
      <c r="F621" s="621">
        <v>50</v>
      </c>
      <c r="G621" s="621">
        <v>0.9</v>
      </c>
      <c r="H621" s="790">
        <f t="shared" si="49"/>
        <v>2.5568181818181816E-2</v>
      </c>
      <c r="I621" s="169">
        <f t="shared" si="45"/>
        <v>3.912023005428146</v>
      </c>
      <c r="J621" s="169">
        <f t="shared" si="46"/>
        <v>-0.10536051565782628</v>
      </c>
      <c r="K621" s="169">
        <f t="shared" si="47"/>
        <v>-3.6664065982618776</v>
      </c>
    </row>
    <row r="622" spans="1:11">
      <c r="A622" s="616">
        <f t="shared" si="48"/>
        <v>616</v>
      </c>
      <c r="B622" s="618">
        <v>40290</v>
      </c>
      <c r="C622" s="604">
        <v>0.66597222222222219</v>
      </c>
      <c r="D622" s="617" t="s">
        <v>146</v>
      </c>
      <c r="E622" s="620" t="s">
        <v>190</v>
      </c>
      <c r="F622" s="621">
        <v>50</v>
      </c>
      <c r="G622" s="621">
        <v>1.83</v>
      </c>
      <c r="H622" s="790">
        <f t="shared" si="49"/>
        <v>5.1988636363636362E-2</v>
      </c>
      <c r="I622" s="169">
        <f t="shared" si="45"/>
        <v>3.912023005428146</v>
      </c>
      <c r="J622" s="169">
        <f t="shared" si="46"/>
        <v>0.60431596685332956</v>
      </c>
      <c r="K622" s="169">
        <f t="shared" si="47"/>
        <v>-2.9567301157507218</v>
      </c>
    </row>
    <row r="623" spans="1:11">
      <c r="A623" s="616">
        <f t="shared" si="48"/>
        <v>617</v>
      </c>
      <c r="B623" s="618">
        <v>40290</v>
      </c>
      <c r="C623" s="646">
        <v>0.67361111111111116</v>
      </c>
      <c r="D623" s="724" t="s">
        <v>147</v>
      </c>
      <c r="E623" s="620" t="s">
        <v>190</v>
      </c>
      <c r="F623" s="724">
        <v>100</v>
      </c>
      <c r="G623" s="724">
        <v>5.24</v>
      </c>
      <c r="H623" s="790">
        <f t="shared" si="49"/>
        <v>0.29772727272727273</v>
      </c>
      <c r="I623" s="169">
        <f t="shared" si="45"/>
        <v>4.6051701859880918</v>
      </c>
      <c r="J623" s="169">
        <f t="shared" si="46"/>
        <v>1.6563214983329508</v>
      </c>
      <c r="K623" s="169">
        <f t="shared" si="47"/>
        <v>-1.2115774037111553</v>
      </c>
    </row>
    <row r="624" spans="1:11">
      <c r="A624" s="616">
        <f t="shared" si="48"/>
        <v>618</v>
      </c>
      <c r="B624" s="618">
        <v>40290</v>
      </c>
      <c r="C624" s="646">
        <v>0.70208333333333339</v>
      </c>
      <c r="D624" s="724" t="s">
        <v>128</v>
      </c>
      <c r="E624" s="620" t="s">
        <v>190</v>
      </c>
      <c r="F624" s="724">
        <v>25</v>
      </c>
      <c r="G624" s="724">
        <v>0.23</v>
      </c>
      <c r="H624" s="790">
        <f t="shared" si="49"/>
        <v>3.2670454545454548E-3</v>
      </c>
      <c r="I624" s="169">
        <f t="shared" si="45"/>
        <v>3.2188758248682006</v>
      </c>
      <c r="J624" s="169">
        <f t="shared" si="46"/>
        <v>-1.4696759700589417</v>
      </c>
      <c r="K624" s="169">
        <f t="shared" si="47"/>
        <v>-5.7238692332229384</v>
      </c>
    </row>
    <row r="625" spans="1:11">
      <c r="A625" s="616">
        <f t="shared" si="48"/>
        <v>619</v>
      </c>
      <c r="B625" s="618">
        <v>40290</v>
      </c>
      <c r="C625" s="731">
        <v>0.69305555555555554</v>
      </c>
      <c r="D625" s="728" t="s">
        <v>142</v>
      </c>
      <c r="E625" s="620" t="s">
        <v>190</v>
      </c>
      <c r="F625" s="728">
        <v>25</v>
      </c>
      <c r="G625" s="728">
        <v>0.49</v>
      </c>
      <c r="H625" s="790">
        <f t="shared" si="49"/>
        <v>6.9602272727272724E-3</v>
      </c>
      <c r="I625" s="169">
        <f t="shared" si="45"/>
        <v>3.2188758248682006</v>
      </c>
      <c r="J625" s="169">
        <f t="shared" si="46"/>
        <v>-0.71334988787746478</v>
      </c>
      <c r="K625" s="169">
        <f t="shared" si="47"/>
        <v>-4.9675431510414612</v>
      </c>
    </row>
    <row r="626" spans="1:11">
      <c r="A626" s="616">
        <f t="shared" si="48"/>
        <v>620</v>
      </c>
      <c r="B626" s="618">
        <v>40290</v>
      </c>
      <c r="C626" s="731">
        <v>0.71319444444444446</v>
      </c>
      <c r="D626" s="728" t="s">
        <v>147</v>
      </c>
      <c r="E626" s="620" t="s">
        <v>190</v>
      </c>
      <c r="F626" s="728">
        <v>25</v>
      </c>
      <c r="G626" s="728">
        <v>0.59</v>
      </c>
      <c r="H626" s="790">
        <f t="shared" si="49"/>
        <v>8.3806818181818166E-3</v>
      </c>
      <c r="I626" s="169">
        <f t="shared" si="45"/>
        <v>3.2188758248682006</v>
      </c>
      <c r="J626" s="169">
        <f t="shared" si="46"/>
        <v>-0.52763274208237199</v>
      </c>
      <c r="K626" s="169">
        <f t="shared" si="47"/>
        <v>-4.7818260052463692</v>
      </c>
    </row>
    <row r="627" spans="1:11">
      <c r="A627" s="616">
        <f t="shared" si="48"/>
        <v>621</v>
      </c>
      <c r="B627" s="618">
        <v>40290</v>
      </c>
      <c r="C627" s="646">
        <v>0.72916666666666663</v>
      </c>
      <c r="D627" s="724" t="s">
        <v>142</v>
      </c>
      <c r="E627" s="620" t="s">
        <v>190</v>
      </c>
      <c r="F627" s="724">
        <v>440</v>
      </c>
      <c r="G627" s="724">
        <v>4.01</v>
      </c>
      <c r="H627" s="790">
        <f t="shared" si="49"/>
        <v>1.0024999999999999</v>
      </c>
      <c r="I627" s="169">
        <f t="shared" si="45"/>
        <v>6.0867747269123065</v>
      </c>
      <c r="J627" s="169">
        <f t="shared" si="46"/>
        <v>1.3887912413184778</v>
      </c>
      <c r="K627" s="169">
        <f t="shared" si="47"/>
        <v>2.4968801985871458E-3</v>
      </c>
    </row>
    <row r="628" spans="1:11">
      <c r="A628" s="616">
        <f t="shared" si="48"/>
        <v>622</v>
      </c>
      <c r="B628" s="618">
        <v>40290</v>
      </c>
      <c r="C628" s="604">
        <v>0.23611111111111113</v>
      </c>
      <c r="D628" s="617" t="s">
        <v>142</v>
      </c>
      <c r="E628" s="620" t="s">
        <v>190</v>
      </c>
      <c r="F628" s="621">
        <v>100</v>
      </c>
      <c r="G628" s="621">
        <v>4.47</v>
      </c>
      <c r="H628" s="790">
        <f t="shared" si="49"/>
        <v>0.25397727272727272</v>
      </c>
      <c r="I628" s="169">
        <f t="shared" si="45"/>
        <v>4.6051701859880918</v>
      </c>
      <c r="J628" s="169">
        <f t="shared" si="46"/>
        <v>1.4973884086254774</v>
      </c>
      <c r="K628" s="169">
        <f t="shared" si="47"/>
        <v>-1.3705104934186287</v>
      </c>
    </row>
    <row r="629" spans="1:11">
      <c r="A629" s="616">
        <f t="shared" si="48"/>
        <v>623</v>
      </c>
      <c r="B629" s="618">
        <v>40316</v>
      </c>
      <c r="C629" s="604">
        <v>0.68888888888888899</v>
      </c>
      <c r="D629" s="617" t="s">
        <v>134</v>
      </c>
      <c r="E629" s="620" t="s">
        <v>190</v>
      </c>
      <c r="F629" s="621">
        <v>50</v>
      </c>
      <c r="G629" s="621">
        <v>1.0900000000000001</v>
      </c>
      <c r="H629" s="790">
        <f t="shared" si="49"/>
        <v>3.0965909090909093E-2</v>
      </c>
      <c r="I629" s="169">
        <f t="shared" si="45"/>
        <v>3.912023005428146</v>
      </c>
      <c r="J629" s="169">
        <f t="shared" si="46"/>
        <v>8.6177696241052412E-2</v>
      </c>
      <c r="K629" s="169">
        <f t="shared" si="47"/>
        <v>-3.4748683863629992</v>
      </c>
    </row>
    <row r="630" spans="1:11">
      <c r="A630" s="616">
        <f t="shared" si="48"/>
        <v>624</v>
      </c>
      <c r="B630" s="618">
        <v>40316</v>
      </c>
      <c r="C630" s="604">
        <v>0.69513888888888886</v>
      </c>
      <c r="D630" s="617" t="s">
        <v>134</v>
      </c>
      <c r="E630" s="620" t="s">
        <v>190</v>
      </c>
      <c r="F630" s="621">
        <v>100</v>
      </c>
      <c r="G630" s="621">
        <v>1.01</v>
      </c>
      <c r="H630" s="790">
        <f t="shared" si="49"/>
        <v>5.7386363636363638E-2</v>
      </c>
      <c r="I630" s="169">
        <f t="shared" si="45"/>
        <v>4.6051701859880918</v>
      </c>
      <c r="J630" s="169">
        <f t="shared" si="46"/>
        <v>9.950330853168092E-3</v>
      </c>
      <c r="K630" s="169">
        <f t="shared" si="47"/>
        <v>-2.857948571190938</v>
      </c>
    </row>
    <row r="631" spans="1:11">
      <c r="A631" s="616">
        <f t="shared" si="48"/>
        <v>625</v>
      </c>
      <c r="B631" s="618">
        <v>40316</v>
      </c>
      <c r="C631" s="604">
        <v>0.70486111111111116</v>
      </c>
      <c r="D631" s="617" t="s">
        <v>135</v>
      </c>
      <c r="E631" s="620" t="s">
        <v>190</v>
      </c>
      <c r="F631" s="621">
        <v>25</v>
      </c>
      <c r="G631" s="621">
        <v>0.53</v>
      </c>
      <c r="H631" s="790">
        <f t="shared" si="49"/>
        <v>7.5284090909090908E-3</v>
      </c>
      <c r="I631" s="169">
        <f t="shared" si="45"/>
        <v>3.2188758248682006</v>
      </c>
      <c r="J631" s="169">
        <f t="shared" si="46"/>
        <v>-0.6348782724359695</v>
      </c>
      <c r="K631" s="169">
        <f t="shared" si="47"/>
        <v>-4.8890715355999665</v>
      </c>
    </row>
    <row r="632" spans="1:11">
      <c r="A632" s="616">
        <f t="shared" si="48"/>
        <v>626</v>
      </c>
      <c r="B632" s="618">
        <v>40316</v>
      </c>
      <c r="C632" s="604">
        <v>0.72777777777777775</v>
      </c>
      <c r="D632" s="617" t="s">
        <v>135</v>
      </c>
      <c r="E632" s="620" t="s">
        <v>190</v>
      </c>
      <c r="F632" s="621">
        <v>25</v>
      </c>
      <c r="G632" s="621">
        <v>2.2200000000000002</v>
      </c>
      <c r="H632" s="790">
        <f t="shared" si="49"/>
        <v>3.1534090909090907E-2</v>
      </c>
      <c r="I632" s="169">
        <f t="shared" si="45"/>
        <v>3.2188758248682006</v>
      </c>
      <c r="J632" s="169">
        <f t="shared" si="46"/>
        <v>0.79750719588418817</v>
      </c>
      <c r="K632" s="169">
        <f t="shared" si="47"/>
        <v>-3.4566860672798088</v>
      </c>
    </row>
    <row r="633" spans="1:11">
      <c r="A633" s="616">
        <f t="shared" si="48"/>
        <v>627</v>
      </c>
      <c r="B633" s="618">
        <v>40316</v>
      </c>
      <c r="C633" s="604">
        <v>0.73749999999999993</v>
      </c>
      <c r="D633" s="617" t="s">
        <v>135</v>
      </c>
      <c r="E633" s="620" t="s">
        <v>190</v>
      </c>
      <c r="F633" s="621">
        <v>200</v>
      </c>
      <c r="G633" s="621">
        <v>1.23</v>
      </c>
      <c r="H633" s="790">
        <f t="shared" si="49"/>
        <v>0.13977272727272727</v>
      </c>
      <c r="I633" s="169">
        <f t="shared" si="45"/>
        <v>5.2983173665480363</v>
      </c>
      <c r="J633" s="169">
        <f t="shared" si="46"/>
        <v>0.20701416938432612</v>
      </c>
      <c r="K633" s="169">
        <f t="shared" si="47"/>
        <v>-1.9677375520998346</v>
      </c>
    </row>
    <row r="634" spans="1:11">
      <c r="A634" s="616">
        <f t="shared" si="48"/>
        <v>628</v>
      </c>
      <c r="B634" s="618">
        <v>40316</v>
      </c>
      <c r="C634" s="604">
        <v>0.78055555555555556</v>
      </c>
      <c r="D634" s="617" t="s">
        <v>127</v>
      </c>
      <c r="E634" s="620" t="s">
        <v>190</v>
      </c>
      <c r="F634" s="621">
        <v>25</v>
      </c>
      <c r="G634" s="621">
        <v>0.55000000000000004</v>
      </c>
      <c r="H634" s="790">
        <f t="shared" si="49"/>
        <v>7.8125E-3</v>
      </c>
      <c r="I634" s="169">
        <f t="shared" si="45"/>
        <v>3.2188758248682006</v>
      </c>
      <c r="J634" s="169">
        <f t="shared" si="46"/>
        <v>-0.59783700075562041</v>
      </c>
      <c r="K634" s="169">
        <f t="shared" si="47"/>
        <v>-4.8520302639196169</v>
      </c>
    </row>
    <row r="635" spans="1:11">
      <c r="A635" s="616">
        <f t="shared" si="48"/>
        <v>629</v>
      </c>
      <c r="B635" s="618">
        <v>40316</v>
      </c>
      <c r="C635" s="604">
        <v>0.82777777777777783</v>
      </c>
      <c r="D635" s="617" t="s">
        <v>129</v>
      </c>
      <c r="E635" s="620" t="s">
        <v>190</v>
      </c>
      <c r="F635" s="621">
        <v>25</v>
      </c>
      <c r="G635" s="621">
        <v>0.52</v>
      </c>
      <c r="H635" s="790">
        <f t="shared" si="49"/>
        <v>7.3863636363636362E-3</v>
      </c>
      <c r="I635" s="169">
        <f t="shared" si="45"/>
        <v>3.2188758248682006</v>
      </c>
      <c r="J635" s="169">
        <f t="shared" si="46"/>
        <v>-0.65392646740666394</v>
      </c>
      <c r="K635" s="169">
        <f t="shared" si="47"/>
        <v>-4.908119730570661</v>
      </c>
    </row>
    <row r="636" spans="1:11">
      <c r="A636" s="616">
        <f t="shared" si="48"/>
        <v>630</v>
      </c>
      <c r="B636" s="618">
        <v>40316</v>
      </c>
      <c r="C636" s="604">
        <v>0.85416666666666663</v>
      </c>
      <c r="D636" s="617" t="s">
        <v>129</v>
      </c>
      <c r="E636" s="620" t="s">
        <v>190</v>
      </c>
      <c r="F636" s="621">
        <v>25</v>
      </c>
      <c r="G636" s="621">
        <v>4.08</v>
      </c>
      <c r="H636" s="790">
        <f t="shared" si="49"/>
        <v>5.7954545454545453E-2</v>
      </c>
      <c r="I636" s="169">
        <f t="shared" si="45"/>
        <v>3.2188758248682006</v>
      </c>
      <c r="J636" s="169">
        <f t="shared" si="46"/>
        <v>1.4060969884160703</v>
      </c>
      <c r="K636" s="169">
        <f t="shared" si="47"/>
        <v>-2.8480962747479266</v>
      </c>
    </row>
    <row r="637" spans="1:11">
      <c r="A637" s="616">
        <f t="shared" si="48"/>
        <v>631</v>
      </c>
      <c r="B637" s="618">
        <v>40316</v>
      </c>
      <c r="C637" s="604">
        <v>0.90277777777777779</v>
      </c>
      <c r="D637" s="617" t="s">
        <v>130</v>
      </c>
      <c r="E637" s="620" t="s">
        <v>190</v>
      </c>
      <c r="F637" s="621">
        <v>50</v>
      </c>
      <c r="G637" s="621">
        <v>1.06</v>
      </c>
      <c r="H637" s="790">
        <f t="shared" si="49"/>
        <v>3.0113636363636363E-2</v>
      </c>
      <c r="I637" s="169">
        <f t="shared" si="45"/>
        <v>3.912023005428146</v>
      </c>
      <c r="J637" s="169">
        <f t="shared" si="46"/>
        <v>5.8268908123975824E-2</v>
      </c>
      <c r="K637" s="169">
        <f t="shared" si="47"/>
        <v>-3.5027771744800758</v>
      </c>
    </row>
    <row r="638" spans="1:11">
      <c r="A638" s="616">
        <f t="shared" si="48"/>
        <v>632</v>
      </c>
      <c r="B638" s="618">
        <v>40316</v>
      </c>
      <c r="C638" s="604">
        <v>0.93541666666666667</v>
      </c>
      <c r="D638" s="617" t="s">
        <v>130</v>
      </c>
      <c r="E638" s="620" t="s">
        <v>190</v>
      </c>
      <c r="F638" s="621">
        <v>880</v>
      </c>
      <c r="G638" s="621">
        <v>1.4</v>
      </c>
      <c r="H638" s="790">
        <f t="shared" si="49"/>
        <v>0.7</v>
      </c>
      <c r="I638" s="169">
        <f t="shared" si="45"/>
        <v>6.7799219074722519</v>
      </c>
      <c r="J638" s="169">
        <f t="shared" si="46"/>
        <v>0.33647223662121289</v>
      </c>
      <c r="K638" s="169">
        <f t="shared" si="47"/>
        <v>-0.35667494393873245</v>
      </c>
    </row>
    <row r="639" spans="1:11">
      <c r="A639" s="616">
        <f t="shared" si="48"/>
        <v>633</v>
      </c>
      <c r="B639" s="618">
        <v>40316</v>
      </c>
      <c r="C639" s="604">
        <v>0.96666666666666667</v>
      </c>
      <c r="D639" s="617" t="s">
        <v>131</v>
      </c>
      <c r="E639" s="620" t="s">
        <v>190</v>
      </c>
      <c r="F639" s="621">
        <v>25</v>
      </c>
      <c r="G639" s="621">
        <v>0.55000000000000004</v>
      </c>
      <c r="H639" s="790">
        <f t="shared" si="49"/>
        <v>7.8125E-3</v>
      </c>
      <c r="I639" s="169">
        <f t="shared" si="45"/>
        <v>3.2188758248682006</v>
      </c>
      <c r="J639" s="169">
        <f t="shared" si="46"/>
        <v>-0.59783700075562041</v>
      </c>
      <c r="K639" s="169">
        <f t="shared" si="47"/>
        <v>-4.8520302639196169</v>
      </c>
    </row>
    <row r="640" spans="1:11">
      <c r="A640" s="616">
        <f t="shared" si="48"/>
        <v>634</v>
      </c>
      <c r="B640" s="618">
        <v>40317</v>
      </c>
      <c r="C640" s="604">
        <v>0.10555555555555556</v>
      </c>
      <c r="D640" s="617" t="s">
        <v>132</v>
      </c>
      <c r="E640" s="620" t="s">
        <v>190</v>
      </c>
      <c r="F640" s="621">
        <v>50</v>
      </c>
      <c r="G640" s="621">
        <v>1.1200000000000001</v>
      </c>
      <c r="H640" s="790">
        <f t="shared" si="49"/>
        <v>3.1818181818181822E-2</v>
      </c>
      <c r="I640" s="169">
        <f t="shared" si="45"/>
        <v>3.912023005428146</v>
      </c>
      <c r="J640" s="169">
        <f t="shared" si="46"/>
        <v>0.11332868530700327</v>
      </c>
      <c r="K640" s="169">
        <f t="shared" si="47"/>
        <v>-3.4477173972970481</v>
      </c>
    </row>
    <row r="641" spans="1:11">
      <c r="A641" s="616">
        <f t="shared" si="48"/>
        <v>635</v>
      </c>
      <c r="B641" s="618">
        <v>40321</v>
      </c>
      <c r="C641" s="604">
        <v>0.8125</v>
      </c>
      <c r="D641" s="617" t="s">
        <v>126</v>
      </c>
      <c r="E641" s="620" t="s">
        <v>190</v>
      </c>
      <c r="F641" s="621">
        <v>25</v>
      </c>
      <c r="G641" s="621">
        <v>2.0499999999999998</v>
      </c>
      <c r="H641" s="790">
        <f t="shared" si="49"/>
        <v>2.9119318181818177E-2</v>
      </c>
      <c r="I641" s="169">
        <f t="shared" si="45"/>
        <v>3.2188758248682006</v>
      </c>
      <c r="J641" s="169">
        <f t="shared" si="46"/>
        <v>0.71783979315031676</v>
      </c>
      <c r="K641" s="169">
        <f t="shared" si="47"/>
        <v>-3.5363534700136801</v>
      </c>
    </row>
    <row r="642" spans="1:11">
      <c r="A642" s="616">
        <f t="shared" si="48"/>
        <v>636</v>
      </c>
      <c r="B642" s="618">
        <v>40322</v>
      </c>
      <c r="C642" s="604">
        <v>0.81180555555555556</v>
      </c>
      <c r="D642" s="617" t="s">
        <v>131</v>
      </c>
      <c r="E642" s="620" t="s">
        <v>190</v>
      </c>
      <c r="F642" s="621">
        <v>100</v>
      </c>
      <c r="G642" s="621">
        <v>3.06</v>
      </c>
      <c r="H642" s="790">
        <f t="shared" si="49"/>
        <v>0.17386363636363636</v>
      </c>
      <c r="I642" s="169">
        <f t="shared" si="45"/>
        <v>4.6051701859880918</v>
      </c>
      <c r="J642" s="169">
        <f t="shared" si="46"/>
        <v>1.1184149159642893</v>
      </c>
      <c r="K642" s="169">
        <f t="shared" si="47"/>
        <v>-1.7494839860798168</v>
      </c>
    </row>
    <row r="643" spans="1:11">
      <c r="A643" s="616">
        <f t="shared" si="48"/>
        <v>637</v>
      </c>
      <c r="B643" s="618">
        <v>40322</v>
      </c>
      <c r="C643" s="604">
        <v>0.81736111111111109</v>
      </c>
      <c r="D643" s="617" t="s">
        <v>131</v>
      </c>
      <c r="E643" s="620" t="s">
        <v>190</v>
      </c>
      <c r="F643" s="621">
        <v>25</v>
      </c>
      <c r="G643" s="621">
        <v>0.21</v>
      </c>
      <c r="H643" s="790">
        <f t="shared" si="49"/>
        <v>2.9829545454545451E-3</v>
      </c>
      <c r="I643" s="169">
        <f t="shared" si="45"/>
        <v>3.2188758248682006</v>
      </c>
      <c r="J643" s="169">
        <f t="shared" si="46"/>
        <v>-1.5606477482646683</v>
      </c>
      <c r="K643" s="169">
        <f t="shared" si="47"/>
        <v>-5.8148410114286655</v>
      </c>
    </row>
    <row r="644" spans="1:11">
      <c r="A644" s="616">
        <f t="shared" si="48"/>
        <v>638</v>
      </c>
      <c r="B644" s="618">
        <v>40322</v>
      </c>
      <c r="C644" s="604">
        <v>0.82430555555555562</v>
      </c>
      <c r="D644" s="617" t="s">
        <v>131</v>
      </c>
      <c r="E644" s="620" t="s">
        <v>190</v>
      </c>
      <c r="F644" s="621">
        <v>25</v>
      </c>
      <c r="G644" s="621">
        <v>0.38</v>
      </c>
      <c r="H644" s="790">
        <f t="shared" si="49"/>
        <v>5.3977272727272728E-3</v>
      </c>
      <c r="I644" s="169">
        <f t="shared" si="45"/>
        <v>3.2188758248682006</v>
      </c>
      <c r="J644" s="169">
        <f t="shared" si="46"/>
        <v>-0.96758402626170559</v>
      </c>
      <c r="K644" s="169">
        <f t="shared" si="47"/>
        <v>-5.2217772894257024</v>
      </c>
    </row>
    <row r="645" spans="1:11">
      <c r="A645" s="616">
        <f t="shared" si="48"/>
        <v>639</v>
      </c>
      <c r="B645" s="618">
        <v>40322</v>
      </c>
      <c r="C645" s="604">
        <v>0.8305555555555556</v>
      </c>
      <c r="D645" s="617" t="s">
        <v>131</v>
      </c>
      <c r="E645" s="620" t="s">
        <v>190</v>
      </c>
      <c r="F645" s="621">
        <v>25</v>
      </c>
      <c r="G645" s="621">
        <v>0.14000000000000001</v>
      </c>
      <c r="H645" s="790">
        <f t="shared" si="49"/>
        <v>1.9886363636363639E-3</v>
      </c>
      <c r="I645" s="169">
        <f t="shared" si="45"/>
        <v>3.2188758248682006</v>
      </c>
      <c r="J645" s="169">
        <f t="shared" si="46"/>
        <v>-1.9661128563728327</v>
      </c>
      <c r="K645" s="169">
        <f t="shared" si="47"/>
        <v>-6.2203061195368292</v>
      </c>
    </row>
    <row r="646" spans="1:11">
      <c r="A646" s="616">
        <f t="shared" si="48"/>
        <v>640</v>
      </c>
      <c r="B646" s="618">
        <v>40329</v>
      </c>
      <c r="C646" s="604">
        <v>0.79027777777777775</v>
      </c>
      <c r="D646" s="617" t="s">
        <v>126</v>
      </c>
      <c r="E646" s="620" t="s">
        <v>190</v>
      </c>
      <c r="F646" s="621">
        <v>25</v>
      </c>
      <c r="G646" s="621">
        <v>1.75</v>
      </c>
      <c r="H646" s="790">
        <f t="shared" si="49"/>
        <v>2.4857954545454544E-2</v>
      </c>
      <c r="I646" s="169">
        <f t="shared" si="45"/>
        <v>3.2188758248682006</v>
      </c>
      <c r="J646" s="169">
        <f t="shared" si="46"/>
        <v>0.55961578793542266</v>
      </c>
      <c r="K646" s="169">
        <f t="shared" si="47"/>
        <v>-3.694577475228574</v>
      </c>
    </row>
    <row r="647" spans="1:11">
      <c r="A647" s="616">
        <f t="shared" si="48"/>
        <v>641</v>
      </c>
      <c r="B647" s="618">
        <v>40329</v>
      </c>
      <c r="C647" s="604">
        <v>0.82708333333333339</v>
      </c>
      <c r="D647" s="617" t="s">
        <v>127</v>
      </c>
      <c r="E647" s="620" t="s">
        <v>190</v>
      </c>
      <c r="F647" s="621">
        <v>25</v>
      </c>
      <c r="G647" s="621">
        <v>1.7</v>
      </c>
      <c r="H647" s="790">
        <f t="shared" si="49"/>
        <v>2.4147727272727272E-2</v>
      </c>
      <c r="I647" s="169">
        <f t="shared" si="45"/>
        <v>3.2188758248682006</v>
      </c>
      <c r="J647" s="169">
        <f t="shared" si="46"/>
        <v>0.53062825106217038</v>
      </c>
      <c r="K647" s="169">
        <f t="shared" si="47"/>
        <v>-3.7235650121018264</v>
      </c>
    </row>
    <row r="648" spans="1:11">
      <c r="A648" s="616">
        <f t="shared" si="48"/>
        <v>642</v>
      </c>
      <c r="B648" s="618">
        <v>40341</v>
      </c>
      <c r="C648" s="604">
        <v>0.59305555555555556</v>
      </c>
      <c r="D648" s="617" t="s">
        <v>135</v>
      </c>
      <c r="E648" s="620" t="s">
        <v>190</v>
      </c>
      <c r="F648" s="621">
        <v>25</v>
      </c>
      <c r="G648" s="621">
        <v>0.56000000000000005</v>
      </c>
      <c r="H648" s="790">
        <f t="shared" si="49"/>
        <v>7.9545454545454555E-3</v>
      </c>
      <c r="I648" s="169">
        <f t="shared" ref="I648:I711" si="50">LN(F648)</f>
        <v>3.2188758248682006</v>
      </c>
      <c r="J648" s="169">
        <f t="shared" ref="J648:J711" si="51">LN(G648)</f>
        <v>-0.57981849525294205</v>
      </c>
      <c r="K648" s="169">
        <f t="shared" ref="K648:K711" si="52">LN(H648)</f>
        <v>-4.8340117584169384</v>
      </c>
    </row>
    <row r="649" spans="1:11">
      <c r="A649" s="616">
        <f t="shared" ref="A649:A712" si="53">+A648+1</f>
        <v>643</v>
      </c>
      <c r="B649" s="618">
        <v>40342</v>
      </c>
      <c r="C649" s="604">
        <v>0.61944444444444446</v>
      </c>
      <c r="D649" s="617" t="s">
        <v>128</v>
      </c>
      <c r="E649" s="620" t="s">
        <v>190</v>
      </c>
      <c r="F649" s="621">
        <v>25</v>
      </c>
      <c r="G649" s="621">
        <v>5.1100000000000003</v>
      </c>
      <c r="H649" s="790">
        <f t="shared" ref="H649:H712" si="54">+(F649/1760)*G649</f>
        <v>7.2585227272727273E-2</v>
      </c>
      <c r="I649" s="169">
        <f t="shared" si="50"/>
        <v>3.2188758248682006</v>
      </c>
      <c r="J649" s="169">
        <f t="shared" si="51"/>
        <v>1.631199404215613</v>
      </c>
      <c r="K649" s="169">
        <f t="shared" si="52"/>
        <v>-2.6229938589483837</v>
      </c>
    </row>
    <row r="650" spans="1:11">
      <c r="A650" s="616">
        <f t="shared" si="53"/>
        <v>644</v>
      </c>
      <c r="B650" s="618">
        <v>40342</v>
      </c>
      <c r="C650" s="604">
        <v>0.63680555555555551</v>
      </c>
      <c r="D650" s="617" t="s">
        <v>128</v>
      </c>
      <c r="E650" s="620" t="s">
        <v>190</v>
      </c>
      <c r="F650" s="621">
        <v>25</v>
      </c>
      <c r="G650" s="621">
        <v>3.07</v>
      </c>
      <c r="H650" s="790">
        <f t="shared" si="54"/>
        <v>4.360795454545454E-2</v>
      </c>
      <c r="I650" s="169">
        <f t="shared" si="50"/>
        <v>3.2188758248682006</v>
      </c>
      <c r="J650" s="169">
        <f t="shared" si="51"/>
        <v>1.1216775615991057</v>
      </c>
      <c r="K650" s="169">
        <f t="shared" si="52"/>
        <v>-3.1325157015648912</v>
      </c>
    </row>
    <row r="651" spans="1:11">
      <c r="A651" s="616">
        <f t="shared" si="53"/>
        <v>645</v>
      </c>
      <c r="B651" s="618">
        <v>40342</v>
      </c>
      <c r="C651" s="604">
        <v>0.64027777777777783</v>
      </c>
      <c r="D651" s="617" t="s">
        <v>128</v>
      </c>
      <c r="E651" s="620" t="s">
        <v>190</v>
      </c>
      <c r="F651" s="621">
        <v>25</v>
      </c>
      <c r="G651" s="621">
        <v>2.5099999999999998</v>
      </c>
      <c r="H651" s="790">
        <f t="shared" si="54"/>
        <v>3.565340909090909E-2</v>
      </c>
      <c r="I651" s="169">
        <f t="shared" si="50"/>
        <v>3.2188758248682006</v>
      </c>
      <c r="J651" s="169">
        <f t="shared" si="51"/>
        <v>0.92028275314369246</v>
      </c>
      <c r="K651" s="169">
        <f t="shared" si="52"/>
        <v>-3.3339105100203041</v>
      </c>
    </row>
    <row r="652" spans="1:11">
      <c r="A652" s="616">
        <f t="shared" si="53"/>
        <v>646</v>
      </c>
      <c r="B652" s="618">
        <v>40342</v>
      </c>
      <c r="C652" s="604">
        <v>0.65347222222222223</v>
      </c>
      <c r="D652" s="617" t="s">
        <v>128</v>
      </c>
      <c r="E652" s="620" t="s">
        <v>190</v>
      </c>
      <c r="F652" s="621">
        <v>25</v>
      </c>
      <c r="G652" s="621">
        <v>2.79</v>
      </c>
      <c r="H652" s="790">
        <f t="shared" si="54"/>
        <v>3.9630681818181815E-2</v>
      </c>
      <c r="I652" s="169">
        <f t="shared" si="50"/>
        <v>3.2188758248682006</v>
      </c>
      <c r="J652" s="169">
        <f t="shared" si="51"/>
        <v>1.0260415958332743</v>
      </c>
      <c r="K652" s="169">
        <f t="shared" si="52"/>
        <v>-3.2281516673307227</v>
      </c>
    </row>
    <row r="653" spans="1:11">
      <c r="A653" s="616">
        <f t="shared" si="53"/>
        <v>647</v>
      </c>
      <c r="B653" s="618">
        <v>40342</v>
      </c>
      <c r="C653" s="604">
        <v>0.68333333333333324</v>
      </c>
      <c r="D653" s="617" t="s">
        <v>133</v>
      </c>
      <c r="E653" s="620" t="s">
        <v>190</v>
      </c>
      <c r="F653" s="617">
        <v>25</v>
      </c>
      <c r="G653" s="617">
        <v>0.32</v>
      </c>
      <c r="H653" s="790">
        <f t="shared" si="54"/>
        <v>4.5454545454545452E-3</v>
      </c>
      <c r="I653" s="169">
        <f t="shared" si="50"/>
        <v>3.2188758248682006</v>
      </c>
      <c r="J653" s="169">
        <f t="shared" si="51"/>
        <v>-1.1394342831883648</v>
      </c>
      <c r="K653" s="169">
        <f t="shared" si="52"/>
        <v>-5.393627546352362</v>
      </c>
    </row>
    <row r="654" spans="1:11">
      <c r="A654" s="616">
        <f t="shared" si="53"/>
        <v>648</v>
      </c>
      <c r="B654" s="618">
        <v>40705</v>
      </c>
      <c r="C654" s="604">
        <v>0.74236111111111114</v>
      </c>
      <c r="D654" s="617" t="s">
        <v>133</v>
      </c>
      <c r="E654" s="620" t="s">
        <v>190</v>
      </c>
      <c r="F654" s="617">
        <v>50</v>
      </c>
      <c r="G654" s="617">
        <v>0.51</v>
      </c>
      <c r="H654" s="790">
        <f t="shared" si="54"/>
        <v>1.4488636363636363E-2</v>
      </c>
      <c r="I654" s="169">
        <f t="shared" si="50"/>
        <v>3.912023005428146</v>
      </c>
      <c r="J654" s="169">
        <f t="shared" si="51"/>
        <v>-0.67334455326376563</v>
      </c>
      <c r="K654" s="169">
        <f t="shared" si="52"/>
        <v>-4.2343906358678174</v>
      </c>
    </row>
    <row r="655" spans="1:11">
      <c r="A655" s="616">
        <f t="shared" si="53"/>
        <v>649</v>
      </c>
      <c r="B655" s="618">
        <v>40705</v>
      </c>
      <c r="C655" s="604">
        <v>0.75763888888888886</v>
      </c>
      <c r="D655" s="617" t="s">
        <v>127</v>
      </c>
      <c r="E655" s="620" t="s">
        <v>190</v>
      </c>
      <c r="F655" s="617">
        <v>50</v>
      </c>
      <c r="G655" s="617">
        <v>2.1</v>
      </c>
      <c r="H655" s="790">
        <f t="shared" si="54"/>
        <v>5.9659090909090912E-2</v>
      </c>
      <c r="I655" s="169">
        <f t="shared" si="50"/>
        <v>3.912023005428146</v>
      </c>
      <c r="J655" s="169">
        <f t="shared" si="51"/>
        <v>0.74193734472937733</v>
      </c>
      <c r="K655" s="169">
        <f t="shared" si="52"/>
        <v>-2.8191087378746742</v>
      </c>
    </row>
    <row r="656" spans="1:11">
      <c r="A656" s="616">
        <f t="shared" si="53"/>
        <v>650</v>
      </c>
      <c r="B656" s="618">
        <v>40705</v>
      </c>
      <c r="C656" s="604">
        <v>0.78472222222222221</v>
      </c>
      <c r="D656" s="617" t="s">
        <v>128</v>
      </c>
      <c r="E656" s="620" t="s">
        <v>190</v>
      </c>
      <c r="F656" s="617">
        <v>25</v>
      </c>
      <c r="G656" s="617">
        <v>0.1</v>
      </c>
      <c r="H656" s="790">
        <f t="shared" si="54"/>
        <v>1.4204545454545455E-3</v>
      </c>
      <c r="I656" s="169">
        <f t="shared" si="50"/>
        <v>3.2188758248682006</v>
      </c>
      <c r="J656" s="169">
        <f t="shared" si="51"/>
        <v>-2.3025850929940455</v>
      </c>
      <c r="K656" s="169">
        <f t="shared" si="52"/>
        <v>-6.5567783561580422</v>
      </c>
    </row>
    <row r="657" spans="1:11">
      <c r="A657" s="616">
        <f t="shared" si="53"/>
        <v>651</v>
      </c>
      <c r="B657" s="618">
        <v>40705</v>
      </c>
      <c r="C657" s="604">
        <v>0.78472222222222221</v>
      </c>
      <c r="D657" s="617" t="s">
        <v>133</v>
      </c>
      <c r="E657" s="620" t="s">
        <v>190</v>
      </c>
      <c r="F657" s="617">
        <v>50</v>
      </c>
      <c r="G657" s="617">
        <v>0.17</v>
      </c>
      <c r="H657" s="790">
        <f t="shared" si="54"/>
        <v>4.8295454545454544E-3</v>
      </c>
      <c r="I657" s="169">
        <f t="shared" si="50"/>
        <v>3.912023005428146</v>
      </c>
      <c r="J657" s="169">
        <f t="shared" si="51"/>
        <v>-1.7719568419318752</v>
      </c>
      <c r="K657" s="169">
        <f t="shared" si="52"/>
        <v>-5.3330029245359265</v>
      </c>
    </row>
    <row r="658" spans="1:11">
      <c r="A658" s="853">
        <f t="shared" si="53"/>
        <v>652</v>
      </c>
      <c r="B658" s="855">
        <v>40942</v>
      </c>
      <c r="C658" s="859">
        <v>3.8194444444444441E-2</v>
      </c>
      <c r="D658" s="854" t="s">
        <v>137</v>
      </c>
      <c r="E658" s="858" t="s">
        <v>190</v>
      </c>
      <c r="F658" s="854">
        <v>100</v>
      </c>
      <c r="G658" s="854">
        <v>2.5499999999999998</v>
      </c>
      <c r="H658" s="790">
        <f t="shared" si="54"/>
        <v>0.14488636363636362</v>
      </c>
      <c r="I658" s="169">
        <f t="shared" si="50"/>
        <v>4.6051701859880918</v>
      </c>
      <c r="J658" s="169">
        <f t="shared" si="51"/>
        <v>0.93609335917033476</v>
      </c>
      <c r="K658" s="169">
        <f t="shared" si="52"/>
        <v>-1.9318055428737715</v>
      </c>
    </row>
    <row r="659" spans="1:11">
      <c r="A659" s="853">
        <f t="shared" si="53"/>
        <v>653</v>
      </c>
      <c r="B659" s="855">
        <v>40942</v>
      </c>
      <c r="C659" s="859">
        <v>4.1666666666666664E-2</v>
      </c>
      <c r="D659" s="854" t="s">
        <v>138</v>
      </c>
      <c r="E659" s="858" t="s">
        <v>190</v>
      </c>
      <c r="F659" s="854">
        <v>100</v>
      </c>
      <c r="G659" s="854">
        <v>1.82</v>
      </c>
      <c r="H659" s="790">
        <f t="shared" si="54"/>
        <v>0.10340909090909091</v>
      </c>
      <c r="I659" s="169">
        <f t="shared" si="50"/>
        <v>4.6051701859880918</v>
      </c>
      <c r="J659" s="169">
        <f t="shared" si="51"/>
        <v>0.59883650108870401</v>
      </c>
      <c r="K659" s="169">
        <f t="shared" si="52"/>
        <v>-2.2690624009554021</v>
      </c>
    </row>
    <row r="660" spans="1:11">
      <c r="A660" s="853">
        <f t="shared" si="53"/>
        <v>654</v>
      </c>
      <c r="B660" s="862">
        <v>41029</v>
      </c>
      <c r="C660" s="859">
        <v>0.8125</v>
      </c>
      <c r="D660" s="861" t="s">
        <v>148</v>
      </c>
      <c r="E660" s="858" t="s">
        <v>190</v>
      </c>
      <c r="F660" s="861">
        <v>150</v>
      </c>
      <c r="G660" s="861">
        <v>1.26</v>
      </c>
      <c r="H660" s="790">
        <f t="shared" si="54"/>
        <v>0.10738636363636363</v>
      </c>
      <c r="I660" s="169">
        <f t="shared" si="50"/>
        <v>5.0106352940962555</v>
      </c>
      <c r="J660" s="169">
        <f t="shared" si="51"/>
        <v>0.23111172096338664</v>
      </c>
      <c r="K660" s="169">
        <f t="shared" si="52"/>
        <v>-2.2313220729725551</v>
      </c>
    </row>
    <row r="661" spans="1:11">
      <c r="A661" s="853">
        <f t="shared" si="53"/>
        <v>655</v>
      </c>
      <c r="B661" s="862">
        <v>41050</v>
      </c>
      <c r="C661" s="859">
        <v>0.81736111111111109</v>
      </c>
      <c r="D661" s="861" t="s">
        <v>139</v>
      </c>
      <c r="E661" s="858" t="s">
        <v>190</v>
      </c>
      <c r="F661" s="861">
        <v>100</v>
      </c>
      <c r="G661" s="861">
        <v>0.56999999999999995</v>
      </c>
      <c r="H661" s="790">
        <f t="shared" si="54"/>
        <v>3.238636363636363E-2</v>
      </c>
      <c r="I661" s="169">
        <f t="shared" si="50"/>
        <v>4.6051701859880918</v>
      </c>
      <c r="J661" s="169">
        <f t="shared" si="51"/>
        <v>-0.56211891815354131</v>
      </c>
      <c r="K661" s="169">
        <f t="shared" si="52"/>
        <v>-3.4300178201976474</v>
      </c>
    </row>
    <row r="662" spans="1:11">
      <c r="A662" s="853">
        <f t="shared" si="53"/>
        <v>656</v>
      </c>
      <c r="B662" s="862">
        <v>41257</v>
      </c>
      <c r="C662" s="859">
        <v>0.67847222222222225</v>
      </c>
      <c r="D662" s="861" t="s">
        <v>141</v>
      </c>
      <c r="E662" s="858" t="s">
        <v>190</v>
      </c>
      <c r="F662" s="861">
        <v>200</v>
      </c>
      <c r="G662" s="861">
        <v>3</v>
      </c>
      <c r="H662" s="790">
        <f t="shared" si="54"/>
        <v>0.34090909090909088</v>
      </c>
      <c r="I662" s="169">
        <f t="shared" si="50"/>
        <v>5.2983173665480363</v>
      </c>
      <c r="J662" s="169">
        <f t="shared" si="51"/>
        <v>1.0986122886681098</v>
      </c>
      <c r="K662" s="169">
        <f t="shared" si="52"/>
        <v>-1.0761394328160512</v>
      </c>
    </row>
    <row r="663" spans="1:11">
      <c r="A663" s="853">
        <f t="shared" si="53"/>
        <v>657</v>
      </c>
      <c r="B663" s="862">
        <v>41257</v>
      </c>
      <c r="C663" s="859">
        <v>0.70347222222222217</v>
      </c>
      <c r="D663" s="861" t="s">
        <v>147</v>
      </c>
      <c r="E663" s="858" t="s">
        <v>190</v>
      </c>
      <c r="F663" s="861">
        <v>50</v>
      </c>
      <c r="G663" s="861">
        <v>0.75</v>
      </c>
      <c r="H663" s="790">
        <f t="shared" si="54"/>
        <v>2.130681818181818E-2</v>
      </c>
      <c r="I663" s="169">
        <f t="shared" si="50"/>
        <v>3.912023005428146</v>
      </c>
      <c r="J663" s="169">
        <f t="shared" si="51"/>
        <v>-0.2876820724517809</v>
      </c>
      <c r="K663" s="169">
        <f t="shared" si="52"/>
        <v>-3.8487281550558325</v>
      </c>
    </row>
    <row r="664" spans="1:11">
      <c r="A664" s="853">
        <f t="shared" si="53"/>
        <v>658</v>
      </c>
      <c r="B664" s="862">
        <v>41257</v>
      </c>
      <c r="C664" s="859">
        <v>0.70694444444444438</v>
      </c>
      <c r="D664" s="861" t="s">
        <v>147</v>
      </c>
      <c r="E664" s="858" t="s">
        <v>190</v>
      </c>
      <c r="F664" s="861">
        <v>50</v>
      </c>
      <c r="G664" s="861">
        <v>0.3</v>
      </c>
      <c r="H664" s="790">
        <f t="shared" si="54"/>
        <v>8.5227272727272721E-3</v>
      </c>
      <c r="I664" s="169">
        <f t="shared" si="50"/>
        <v>3.912023005428146</v>
      </c>
      <c r="J664" s="169">
        <f t="shared" si="51"/>
        <v>-1.2039728043259361</v>
      </c>
      <c r="K664" s="169">
        <f t="shared" si="52"/>
        <v>-4.7650188869299877</v>
      </c>
    </row>
    <row r="665" spans="1:11">
      <c r="A665" s="616">
        <f t="shared" si="53"/>
        <v>659</v>
      </c>
      <c r="B665" s="903">
        <v>41422</v>
      </c>
      <c r="C665" s="604">
        <v>0.58888888888888891</v>
      </c>
      <c r="D665" s="724" t="s">
        <v>128</v>
      </c>
      <c r="E665" s="620" t="s">
        <v>190</v>
      </c>
      <c r="F665" s="724">
        <v>25</v>
      </c>
      <c r="G665" s="724">
        <v>0.82</v>
      </c>
      <c r="H665" s="790">
        <f t="shared" si="54"/>
        <v>1.1647727272727271E-2</v>
      </c>
      <c r="I665" s="169">
        <f t="shared" si="50"/>
        <v>3.2188758248682006</v>
      </c>
      <c r="J665" s="169">
        <f t="shared" si="51"/>
        <v>-0.19845093872383832</v>
      </c>
      <c r="K665" s="169">
        <f t="shared" si="52"/>
        <v>-4.4526442018878347</v>
      </c>
    </row>
    <row r="666" spans="1:11">
      <c r="A666" s="616">
        <f t="shared" si="53"/>
        <v>660</v>
      </c>
      <c r="B666" s="903">
        <v>41422</v>
      </c>
      <c r="C666" s="604">
        <v>0.60347222222222219</v>
      </c>
      <c r="D666" s="724" t="s">
        <v>128</v>
      </c>
      <c r="E666" s="620" t="s">
        <v>190</v>
      </c>
      <c r="F666" s="724">
        <v>25</v>
      </c>
      <c r="G666" s="724">
        <v>1.77</v>
      </c>
      <c r="H666" s="790">
        <f t="shared" si="54"/>
        <v>2.5142045454545455E-2</v>
      </c>
      <c r="I666" s="169">
        <f t="shared" si="50"/>
        <v>3.2188758248682006</v>
      </c>
      <c r="J666" s="169">
        <f t="shared" si="51"/>
        <v>0.5709795465857378</v>
      </c>
      <c r="K666" s="169">
        <f t="shared" si="52"/>
        <v>-3.6832137165782588</v>
      </c>
    </row>
    <row r="667" spans="1:11">
      <c r="A667" s="616">
        <f t="shared" si="53"/>
        <v>661</v>
      </c>
      <c r="B667" s="903">
        <v>41422</v>
      </c>
      <c r="C667" s="604">
        <v>0.73958333333333337</v>
      </c>
      <c r="D667" s="724" t="s">
        <v>144</v>
      </c>
      <c r="E667" s="620" t="s">
        <v>190</v>
      </c>
      <c r="F667" s="724">
        <v>75</v>
      </c>
      <c r="G667" s="724">
        <v>2.14</v>
      </c>
      <c r="H667" s="790">
        <f t="shared" si="54"/>
        <v>9.1193181818181812E-2</v>
      </c>
      <c r="I667" s="169">
        <f t="shared" si="50"/>
        <v>4.3174881135363101</v>
      </c>
      <c r="J667" s="169">
        <f t="shared" si="51"/>
        <v>0.76080582903376015</v>
      </c>
      <c r="K667" s="169">
        <f t="shared" si="52"/>
        <v>-2.3947751454621269</v>
      </c>
    </row>
    <row r="668" spans="1:11">
      <c r="A668" s="616">
        <f t="shared" si="53"/>
        <v>662</v>
      </c>
      <c r="B668" s="903">
        <v>41422</v>
      </c>
      <c r="C668" s="604">
        <v>0.83750000000000002</v>
      </c>
      <c r="D668" s="724" t="s">
        <v>144</v>
      </c>
      <c r="E668" s="620" t="s">
        <v>190</v>
      </c>
      <c r="F668" s="724">
        <v>150</v>
      </c>
      <c r="G668" s="724">
        <v>2.06</v>
      </c>
      <c r="H668" s="790">
        <f t="shared" si="54"/>
        <v>0.17556818181818182</v>
      </c>
      <c r="I668" s="169">
        <f t="shared" si="50"/>
        <v>5.0106352940962555</v>
      </c>
      <c r="J668" s="169">
        <f t="shared" si="51"/>
        <v>0.72270598280148979</v>
      </c>
      <c r="K668" s="169">
        <f t="shared" si="52"/>
        <v>-1.7397278111344521</v>
      </c>
    </row>
    <row r="669" spans="1:11">
      <c r="A669" s="616">
        <f t="shared" si="53"/>
        <v>663</v>
      </c>
      <c r="B669" s="903">
        <v>41493</v>
      </c>
      <c r="C669" s="604">
        <v>0.77500000000000002</v>
      </c>
      <c r="D669" s="724" t="s">
        <v>128</v>
      </c>
      <c r="E669" s="620" t="s">
        <v>190</v>
      </c>
      <c r="F669" s="724">
        <v>25</v>
      </c>
      <c r="G669" s="724">
        <v>0.11</v>
      </c>
      <c r="H669" s="790">
        <f t="shared" si="54"/>
        <v>1.5624999999999999E-3</v>
      </c>
      <c r="I669" s="169">
        <f t="shared" si="50"/>
        <v>3.2188758248682006</v>
      </c>
      <c r="J669" s="169">
        <f t="shared" si="51"/>
        <v>-2.2072749131897207</v>
      </c>
      <c r="K669" s="169">
        <f t="shared" si="52"/>
        <v>-6.4614681763537174</v>
      </c>
    </row>
    <row r="670" spans="1:11">
      <c r="A670" s="616">
        <f t="shared" si="53"/>
        <v>664</v>
      </c>
      <c r="B670" s="903">
        <v>41500</v>
      </c>
      <c r="C670" s="604">
        <v>0.69791666666666663</v>
      </c>
      <c r="D670" s="724" t="s">
        <v>130</v>
      </c>
      <c r="E670" s="620" t="s">
        <v>190</v>
      </c>
      <c r="F670" s="724">
        <v>50</v>
      </c>
      <c r="G670" s="724">
        <v>1</v>
      </c>
      <c r="H670" s="790">
        <f t="shared" si="54"/>
        <v>2.8409090909090908E-2</v>
      </c>
      <c r="I670" s="169">
        <f t="shared" si="50"/>
        <v>3.912023005428146</v>
      </c>
      <c r="J670" s="169">
        <f t="shared" si="51"/>
        <v>0</v>
      </c>
      <c r="K670" s="169">
        <f t="shared" si="52"/>
        <v>-3.5610460826040513</v>
      </c>
    </row>
    <row r="671" spans="1:11">
      <c r="A671" s="616">
        <f t="shared" si="53"/>
        <v>665</v>
      </c>
      <c r="B671" s="903">
        <v>41500</v>
      </c>
      <c r="C671" s="604">
        <v>0.73611111111111116</v>
      </c>
      <c r="D671" s="724" t="s">
        <v>136</v>
      </c>
      <c r="E671" s="620" t="s">
        <v>190</v>
      </c>
      <c r="F671" s="724">
        <v>40</v>
      </c>
      <c r="G671" s="724">
        <v>0.11</v>
      </c>
      <c r="H671" s="790">
        <f t="shared" si="54"/>
        <v>2.5000000000000001E-3</v>
      </c>
      <c r="I671" s="169">
        <f t="shared" si="50"/>
        <v>3.6888794541139363</v>
      </c>
      <c r="J671" s="169">
        <f t="shared" si="51"/>
        <v>-2.2072749131897207</v>
      </c>
      <c r="K671" s="169">
        <f t="shared" si="52"/>
        <v>-5.9914645471079817</v>
      </c>
    </row>
    <row r="672" spans="1:11">
      <c r="A672" s="616">
        <f t="shared" si="53"/>
        <v>666</v>
      </c>
      <c r="B672" s="618">
        <v>41796</v>
      </c>
      <c r="C672" s="604">
        <v>0.76041666666666663</v>
      </c>
      <c r="D672" s="635" t="s">
        <v>134</v>
      </c>
      <c r="E672" s="620" t="s">
        <v>190</v>
      </c>
      <c r="F672" s="621">
        <v>25</v>
      </c>
      <c r="G672" s="789">
        <v>2.46</v>
      </c>
      <c r="H672" s="790">
        <f t="shared" si="54"/>
        <v>3.4943181818181818E-2</v>
      </c>
      <c r="I672" s="169">
        <f t="shared" si="50"/>
        <v>3.2188758248682006</v>
      </c>
      <c r="J672" s="169">
        <f t="shared" si="51"/>
        <v>0.90016134994427144</v>
      </c>
      <c r="K672" s="169">
        <f t="shared" si="52"/>
        <v>-3.3540319132197252</v>
      </c>
    </row>
    <row r="673" spans="1:11">
      <c r="A673" s="616">
        <f t="shared" si="53"/>
        <v>667</v>
      </c>
      <c r="B673" s="618">
        <v>41796</v>
      </c>
      <c r="C673" s="604">
        <v>0.78611111111111109</v>
      </c>
      <c r="D673" s="635" t="s">
        <v>132</v>
      </c>
      <c r="E673" s="620" t="s">
        <v>190</v>
      </c>
      <c r="F673" s="621">
        <v>70</v>
      </c>
      <c r="G673" s="789">
        <v>1.65</v>
      </c>
      <c r="H673" s="790">
        <f t="shared" si="54"/>
        <v>6.5624999999999989E-2</v>
      </c>
      <c r="I673" s="169">
        <f t="shared" si="50"/>
        <v>4.2484952420493594</v>
      </c>
      <c r="J673" s="169">
        <f t="shared" si="51"/>
        <v>0.50077528791248915</v>
      </c>
      <c r="K673" s="169">
        <f t="shared" si="52"/>
        <v>-2.7237985580703494</v>
      </c>
    </row>
    <row r="674" spans="1:11">
      <c r="A674" s="616">
        <f t="shared" si="53"/>
        <v>668</v>
      </c>
      <c r="B674" s="618">
        <v>41812</v>
      </c>
      <c r="C674" s="604">
        <v>0.6958333333333333</v>
      </c>
      <c r="D674" s="635" t="s">
        <v>128</v>
      </c>
      <c r="E674" s="620" t="s">
        <v>190</v>
      </c>
      <c r="F674" s="621">
        <v>100</v>
      </c>
      <c r="G674" s="789">
        <v>2.0099999999999998</v>
      </c>
      <c r="H674" s="790">
        <f t="shared" si="54"/>
        <v>0.11420454545454543</v>
      </c>
      <c r="I674" s="169">
        <f t="shared" si="50"/>
        <v>4.6051701859880918</v>
      </c>
      <c r="J674" s="169">
        <f t="shared" si="51"/>
        <v>0.69813472207098426</v>
      </c>
      <c r="K674" s="169">
        <f t="shared" si="52"/>
        <v>-2.169764179973122</v>
      </c>
    </row>
    <row r="675" spans="1:11">
      <c r="A675" s="616">
        <f t="shared" si="53"/>
        <v>669</v>
      </c>
      <c r="B675" s="618">
        <v>41812</v>
      </c>
      <c r="C675" s="604">
        <v>0.72986111111111107</v>
      </c>
      <c r="D675" s="635" t="s">
        <v>128</v>
      </c>
      <c r="E675" s="620" t="s">
        <v>190</v>
      </c>
      <c r="F675" s="621">
        <v>50</v>
      </c>
      <c r="G675" s="789">
        <v>0.44</v>
      </c>
      <c r="H675" s="790">
        <f t="shared" si="54"/>
        <v>1.2499999999999999E-2</v>
      </c>
      <c r="I675" s="169">
        <f t="shared" si="50"/>
        <v>3.912023005428146</v>
      </c>
      <c r="J675" s="169">
        <f t="shared" si="51"/>
        <v>-0.82098055206983023</v>
      </c>
      <c r="K675" s="169">
        <f t="shared" si="52"/>
        <v>-4.3820266346738821</v>
      </c>
    </row>
    <row r="676" spans="1:11">
      <c r="A676" s="616">
        <f t="shared" si="53"/>
        <v>670</v>
      </c>
      <c r="B676" s="618">
        <v>41812</v>
      </c>
      <c r="C676" s="604">
        <v>0.74791666666666667</v>
      </c>
      <c r="D676" s="635" t="s">
        <v>133</v>
      </c>
      <c r="E676" s="620" t="s">
        <v>190</v>
      </c>
      <c r="F676" s="621">
        <v>50</v>
      </c>
      <c r="G676" s="789">
        <v>2</v>
      </c>
      <c r="H676" s="790">
        <f t="shared" si="54"/>
        <v>5.6818181818181816E-2</v>
      </c>
      <c r="I676" s="169">
        <f t="shared" si="50"/>
        <v>3.912023005428146</v>
      </c>
      <c r="J676" s="169">
        <f t="shared" si="51"/>
        <v>0.69314718055994529</v>
      </c>
      <c r="K676" s="169">
        <f t="shared" si="52"/>
        <v>-2.8678989020441059</v>
      </c>
    </row>
    <row r="677" spans="1:11">
      <c r="A677" s="616">
        <f t="shared" si="53"/>
        <v>671</v>
      </c>
      <c r="B677" s="618">
        <v>41812</v>
      </c>
      <c r="C677" s="604">
        <v>0.76527777777777783</v>
      </c>
      <c r="D677" s="635" t="s">
        <v>133</v>
      </c>
      <c r="E677" s="620" t="s">
        <v>190</v>
      </c>
      <c r="F677" s="621">
        <v>75</v>
      </c>
      <c r="G677" s="789">
        <v>1</v>
      </c>
      <c r="H677" s="790">
        <f t="shared" si="54"/>
        <v>4.261363636363636E-2</v>
      </c>
      <c r="I677" s="169">
        <f t="shared" si="50"/>
        <v>4.3174881135363101</v>
      </c>
      <c r="J677" s="169">
        <f t="shared" si="51"/>
        <v>0</v>
      </c>
      <c r="K677" s="169">
        <f t="shared" si="52"/>
        <v>-3.1555809744958871</v>
      </c>
    </row>
    <row r="678" spans="1:11">
      <c r="A678" s="616">
        <f t="shared" si="53"/>
        <v>672</v>
      </c>
      <c r="B678" s="618">
        <v>41836</v>
      </c>
      <c r="C678" s="604">
        <v>0.75555555555555554</v>
      </c>
      <c r="D678" s="635" t="s">
        <v>130</v>
      </c>
      <c r="E678" s="620" t="s">
        <v>190</v>
      </c>
      <c r="F678" s="621">
        <v>50</v>
      </c>
      <c r="G678" s="789">
        <v>0.01</v>
      </c>
      <c r="H678" s="790">
        <f t="shared" si="54"/>
        <v>2.8409090909090908E-4</v>
      </c>
      <c r="I678" s="169">
        <f t="shared" si="50"/>
        <v>3.912023005428146</v>
      </c>
      <c r="J678" s="169">
        <f t="shared" si="51"/>
        <v>-4.6051701859880909</v>
      </c>
      <c r="K678" s="169">
        <f t="shared" si="52"/>
        <v>-8.1662162685921427</v>
      </c>
    </row>
    <row r="679" spans="1:11">
      <c r="A679" s="616">
        <f t="shared" si="53"/>
        <v>673</v>
      </c>
      <c r="B679" s="618">
        <v>41836</v>
      </c>
      <c r="C679" s="604">
        <v>0.7680555555555556</v>
      </c>
      <c r="D679" s="635" t="s">
        <v>130</v>
      </c>
      <c r="E679" s="620" t="s">
        <v>190</v>
      </c>
      <c r="F679" s="621">
        <v>100</v>
      </c>
      <c r="G679" s="789">
        <v>1.34</v>
      </c>
      <c r="H679" s="790">
        <f t="shared" si="54"/>
        <v>7.6136363636363641E-2</v>
      </c>
      <c r="I679" s="169">
        <f t="shared" si="50"/>
        <v>4.6051701859880918</v>
      </c>
      <c r="J679" s="169">
        <f t="shared" si="51"/>
        <v>0.29266961396282004</v>
      </c>
      <c r="K679" s="169">
        <f t="shared" si="52"/>
        <v>-2.5752292880812861</v>
      </c>
    </row>
    <row r="680" spans="1:11">
      <c r="A680" s="616">
        <f t="shared" si="53"/>
        <v>674</v>
      </c>
      <c r="B680" s="618">
        <v>41836</v>
      </c>
      <c r="C680" s="604">
        <v>0.80763888888888891</v>
      </c>
      <c r="D680" s="635" t="s">
        <v>135</v>
      </c>
      <c r="E680" s="620" t="s">
        <v>190</v>
      </c>
      <c r="F680" s="621">
        <v>100</v>
      </c>
      <c r="G680" s="789">
        <v>3.07</v>
      </c>
      <c r="H680" s="790">
        <f t="shared" si="54"/>
        <v>0.17443181818181816</v>
      </c>
      <c r="I680" s="169">
        <f t="shared" si="50"/>
        <v>4.6051701859880918</v>
      </c>
      <c r="J680" s="169">
        <f t="shared" si="51"/>
        <v>1.1216775615991057</v>
      </c>
      <c r="K680" s="169">
        <f t="shared" si="52"/>
        <v>-1.7462213404450004</v>
      </c>
    </row>
    <row r="681" spans="1:11">
      <c r="A681" s="616">
        <f t="shared" si="53"/>
        <v>675</v>
      </c>
      <c r="B681" s="949">
        <v>42105</v>
      </c>
      <c r="C681" s="935">
        <v>0.73333333333333339</v>
      </c>
      <c r="D681" s="964" t="s">
        <v>140</v>
      </c>
      <c r="E681" s="965" t="s">
        <v>190</v>
      </c>
      <c r="F681" s="948">
        <v>30</v>
      </c>
      <c r="G681" s="948">
        <v>2.84</v>
      </c>
      <c r="H681" s="790">
        <f t="shared" si="54"/>
        <v>4.8409090909090902E-2</v>
      </c>
      <c r="I681" s="169">
        <f t="shared" si="50"/>
        <v>3.4011973816621555</v>
      </c>
      <c r="J681" s="169">
        <f t="shared" si="51"/>
        <v>1.0438040521731147</v>
      </c>
      <c r="K681" s="169">
        <f t="shared" si="52"/>
        <v>-3.0280676541969274</v>
      </c>
    </row>
    <row r="682" spans="1:11">
      <c r="A682" s="616">
        <f t="shared" si="53"/>
        <v>676</v>
      </c>
      <c r="B682" s="949">
        <v>42110</v>
      </c>
      <c r="C682" s="935">
        <v>0.62361111111111112</v>
      </c>
      <c r="D682" s="948" t="s">
        <v>141</v>
      </c>
      <c r="E682" s="645" t="s">
        <v>190</v>
      </c>
      <c r="F682" s="948">
        <v>50</v>
      </c>
      <c r="G682" s="948">
        <v>2.25</v>
      </c>
      <c r="H682" s="790">
        <f t="shared" si="54"/>
        <v>6.3920454545454544E-2</v>
      </c>
      <c r="I682" s="169">
        <f t="shared" si="50"/>
        <v>3.912023005428146</v>
      </c>
      <c r="J682" s="169">
        <f t="shared" si="51"/>
        <v>0.81093021621632877</v>
      </c>
      <c r="K682" s="169">
        <f t="shared" si="52"/>
        <v>-2.7501158663877225</v>
      </c>
    </row>
    <row r="683" spans="1:11">
      <c r="A683" s="616">
        <f t="shared" si="53"/>
        <v>677</v>
      </c>
      <c r="B683" s="949">
        <v>42110</v>
      </c>
      <c r="C683" s="935">
        <v>0.66527777777777775</v>
      </c>
      <c r="D683" s="948" t="s">
        <v>142</v>
      </c>
      <c r="E683" s="645" t="s">
        <v>190</v>
      </c>
      <c r="F683" s="948">
        <v>30</v>
      </c>
      <c r="G683" s="948">
        <v>2.34</v>
      </c>
      <c r="H683" s="790">
        <f t="shared" si="54"/>
        <v>3.988636363636363E-2</v>
      </c>
      <c r="I683" s="169">
        <f t="shared" si="50"/>
        <v>3.4011973816621555</v>
      </c>
      <c r="J683" s="169">
        <f t="shared" si="51"/>
        <v>0.85015092936961001</v>
      </c>
      <c r="K683" s="169">
        <f t="shared" si="52"/>
        <v>-3.2217207770004324</v>
      </c>
    </row>
    <row r="684" spans="1:11">
      <c r="A684" s="616">
        <f t="shared" si="53"/>
        <v>678</v>
      </c>
      <c r="B684" s="949">
        <v>42110</v>
      </c>
      <c r="C684" s="935">
        <v>0.68055555555555547</v>
      </c>
      <c r="D684" s="948" t="s">
        <v>138</v>
      </c>
      <c r="E684" s="645" t="s">
        <v>190</v>
      </c>
      <c r="F684" s="948">
        <v>75</v>
      </c>
      <c r="G684" s="948">
        <v>7.17</v>
      </c>
      <c r="H684" s="790">
        <f t="shared" si="54"/>
        <v>0.30553977272727273</v>
      </c>
      <c r="I684" s="169">
        <f t="shared" si="50"/>
        <v>4.3174881135363101</v>
      </c>
      <c r="J684" s="169">
        <f t="shared" si="51"/>
        <v>1.969905654611529</v>
      </c>
      <c r="K684" s="169">
        <f t="shared" si="52"/>
        <v>-1.1856753198843579</v>
      </c>
    </row>
    <row r="685" spans="1:11">
      <c r="A685" s="616">
        <f t="shared" si="53"/>
        <v>679</v>
      </c>
      <c r="B685" s="949">
        <v>42110</v>
      </c>
      <c r="C685" s="935">
        <v>0.69097222222222221</v>
      </c>
      <c r="D685" s="948" t="s">
        <v>137</v>
      </c>
      <c r="E685" s="645" t="s">
        <v>190</v>
      </c>
      <c r="F685" s="948">
        <v>50</v>
      </c>
      <c r="G685" s="948">
        <v>4.38</v>
      </c>
      <c r="H685" s="790">
        <f t="shared" si="54"/>
        <v>0.12443181818181817</v>
      </c>
      <c r="I685" s="169">
        <f t="shared" si="50"/>
        <v>3.912023005428146</v>
      </c>
      <c r="J685" s="169">
        <f t="shared" si="51"/>
        <v>1.4770487243883548</v>
      </c>
      <c r="K685" s="169">
        <f t="shared" si="52"/>
        <v>-2.0839973582156968</v>
      </c>
    </row>
    <row r="686" spans="1:11">
      <c r="A686" s="616">
        <f t="shared" si="53"/>
        <v>680</v>
      </c>
      <c r="B686" s="949">
        <v>42110</v>
      </c>
      <c r="C686" s="935">
        <v>0.72222222222222221</v>
      </c>
      <c r="D686" s="948" t="s">
        <v>143</v>
      </c>
      <c r="E686" s="645" t="s">
        <v>190</v>
      </c>
      <c r="F686" s="948">
        <v>50</v>
      </c>
      <c r="G686" s="948">
        <v>14.05</v>
      </c>
      <c r="H686" s="790">
        <f t="shared" si="54"/>
        <v>0.39914772727272729</v>
      </c>
      <c r="I686" s="169">
        <f t="shared" si="50"/>
        <v>3.912023005428146</v>
      </c>
      <c r="J686" s="169">
        <f t="shared" si="51"/>
        <v>2.642622395779755</v>
      </c>
      <c r="K686" s="169">
        <f t="shared" si="52"/>
        <v>-0.91842368682429654</v>
      </c>
    </row>
    <row r="687" spans="1:11">
      <c r="A687" s="616">
        <f t="shared" si="53"/>
        <v>681</v>
      </c>
      <c r="B687" s="949">
        <v>42110</v>
      </c>
      <c r="C687" s="935">
        <v>0.72361111111111109</v>
      </c>
      <c r="D687" s="948" t="s">
        <v>143</v>
      </c>
      <c r="E687" s="645" t="s">
        <v>190</v>
      </c>
      <c r="F687" s="948">
        <v>70</v>
      </c>
      <c r="G687" s="948">
        <v>4.92</v>
      </c>
      <c r="H687" s="790">
        <f t="shared" si="54"/>
        <v>0.19568181818181818</v>
      </c>
      <c r="I687" s="169">
        <f t="shared" si="50"/>
        <v>4.2484952420493594</v>
      </c>
      <c r="J687" s="169">
        <f t="shared" si="51"/>
        <v>1.5933085305042167</v>
      </c>
      <c r="K687" s="169">
        <f t="shared" si="52"/>
        <v>-1.6312653154786216</v>
      </c>
    </row>
    <row r="688" spans="1:11">
      <c r="A688" s="616">
        <f t="shared" si="53"/>
        <v>682</v>
      </c>
      <c r="B688" s="949">
        <v>42140</v>
      </c>
      <c r="C688" s="604">
        <v>0.59305555555555556</v>
      </c>
      <c r="D688" s="617" t="s">
        <v>143</v>
      </c>
      <c r="E688" s="858" t="s">
        <v>190</v>
      </c>
      <c r="F688" s="948">
        <v>30</v>
      </c>
      <c r="G688" s="948">
        <v>5.49</v>
      </c>
      <c r="H688" s="790">
        <f t="shared" si="54"/>
        <v>9.3579545454545457E-2</v>
      </c>
      <c r="I688" s="169">
        <f t="shared" si="50"/>
        <v>3.4011973816621555</v>
      </c>
      <c r="J688" s="169">
        <f t="shared" si="51"/>
        <v>1.7029282555214393</v>
      </c>
      <c r="K688" s="169">
        <f t="shared" si="52"/>
        <v>-2.3689434508486027</v>
      </c>
    </row>
    <row r="689" spans="1:11">
      <c r="A689" s="616">
        <f t="shared" si="53"/>
        <v>683</v>
      </c>
      <c r="B689" s="949">
        <v>42151</v>
      </c>
      <c r="C689" s="1016">
        <v>0.71180555555555547</v>
      </c>
      <c r="D689" s="964" t="s">
        <v>138</v>
      </c>
      <c r="E689" s="858" t="s">
        <v>190</v>
      </c>
      <c r="F689" s="1015">
        <v>600</v>
      </c>
      <c r="G689" s="1015">
        <v>1.1200000000000001</v>
      </c>
      <c r="H689" s="790">
        <f t="shared" si="54"/>
        <v>0.38181818181818183</v>
      </c>
      <c r="I689" s="169">
        <f t="shared" si="50"/>
        <v>6.3969296552161463</v>
      </c>
      <c r="J689" s="169">
        <f t="shared" si="51"/>
        <v>0.11332868530700327</v>
      </c>
      <c r="K689" s="169">
        <f t="shared" si="52"/>
        <v>-0.96281074750904783</v>
      </c>
    </row>
    <row r="690" spans="1:11">
      <c r="A690" s="616">
        <f t="shared" si="53"/>
        <v>684</v>
      </c>
      <c r="B690" s="949">
        <v>42151</v>
      </c>
      <c r="C690" s="1016">
        <v>0.71180555555555547</v>
      </c>
      <c r="D690" s="964" t="s">
        <v>138</v>
      </c>
      <c r="E690" s="858" t="s">
        <v>190</v>
      </c>
      <c r="F690" s="1015">
        <v>400</v>
      </c>
      <c r="G690" s="1015">
        <v>0.53</v>
      </c>
      <c r="H690" s="790">
        <f t="shared" si="54"/>
        <v>0.12045454545454545</v>
      </c>
      <c r="I690" s="169">
        <f t="shared" si="50"/>
        <v>5.9914645471079817</v>
      </c>
      <c r="J690" s="169">
        <f t="shared" si="51"/>
        <v>-0.6348782724359695</v>
      </c>
      <c r="K690" s="169">
        <f t="shared" si="52"/>
        <v>-2.116482813360185</v>
      </c>
    </row>
    <row r="691" spans="1:11">
      <c r="A691" s="616">
        <f t="shared" si="53"/>
        <v>685</v>
      </c>
      <c r="B691" s="949">
        <v>42167</v>
      </c>
      <c r="C691" s="1016">
        <v>0.59583333333333333</v>
      </c>
      <c r="D691" s="1015" t="s">
        <v>144</v>
      </c>
      <c r="E691" s="858" t="s">
        <v>190</v>
      </c>
      <c r="F691" s="1015">
        <v>50</v>
      </c>
      <c r="G691" s="1015">
        <v>0.2</v>
      </c>
      <c r="H691" s="790">
        <f t="shared" si="54"/>
        <v>5.681818181818182E-3</v>
      </c>
      <c r="I691" s="169">
        <f t="shared" si="50"/>
        <v>3.912023005428146</v>
      </c>
      <c r="J691" s="169">
        <f t="shared" si="51"/>
        <v>-1.6094379124341003</v>
      </c>
      <c r="K691" s="169">
        <f t="shared" si="52"/>
        <v>-5.1704839950381514</v>
      </c>
    </row>
    <row r="692" spans="1:11">
      <c r="A692" s="616">
        <f t="shared" si="53"/>
        <v>686</v>
      </c>
      <c r="B692" s="949">
        <v>42324</v>
      </c>
      <c r="C692" s="1016">
        <v>0.73888888888888893</v>
      </c>
      <c r="D692" s="1015" t="s">
        <v>146</v>
      </c>
      <c r="E692" s="858" t="s">
        <v>190</v>
      </c>
      <c r="F692" s="1015">
        <v>50</v>
      </c>
      <c r="G692" s="1015">
        <v>0.4</v>
      </c>
      <c r="H692" s="790">
        <f t="shared" si="54"/>
        <v>1.1363636363636364E-2</v>
      </c>
      <c r="I692" s="169">
        <f t="shared" si="50"/>
        <v>3.912023005428146</v>
      </c>
      <c r="J692" s="169">
        <f t="shared" si="51"/>
        <v>-0.916290731874155</v>
      </c>
      <c r="K692" s="169">
        <f t="shared" si="52"/>
        <v>-4.4773368144782069</v>
      </c>
    </row>
    <row r="693" spans="1:11">
      <c r="A693" s="616">
        <f t="shared" si="53"/>
        <v>687</v>
      </c>
      <c r="B693" s="949">
        <v>42324</v>
      </c>
      <c r="C693" s="1016">
        <v>0.73888888888888893</v>
      </c>
      <c r="D693" s="1015" t="s">
        <v>137</v>
      </c>
      <c r="E693" s="858" t="s">
        <v>190</v>
      </c>
      <c r="F693" s="1015">
        <v>50</v>
      </c>
      <c r="G693" s="1015">
        <v>0.11</v>
      </c>
      <c r="H693" s="790">
        <f t="shared" si="54"/>
        <v>3.1249999999999997E-3</v>
      </c>
      <c r="I693" s="169">
        <f t="shared" si="50"/>
        <v>3.912023005428146</v>
      </c>
      <c r="J693" s="169">
        <f t="shared" si="51"/>
        <v>-2.2072749131897207</v>
      </c>
      <c r="K693" s="169">
        <f t="shared" si="52"/>
        <v>-5.768320995793772</v>
      </c>
    </row>
    <row r="694" spans="1:11">
      <c r="A694" s="616">
        <f t="shared" si="53"/>
        <v>688</v>
      </c>
      <c r="B694" s="949">
        <v>42324</v>
      </c>
      <c r="C694" s="1016">
        <v>0.75347222222222221</v>
      </c>
      <c r="D694" s="1015" t="s">
        <v>137</v>
      </c>
      <c r="E694" s="858" t="s">
        <v>190</v>
      </c>
      <c r="F694" s="1015">
        <v>50</v>
      </c>
      <c r="G694" s="1015">
        <v>0.26</v>
      </c>
      <c r="H694" s="790">
        <f t="shared" si="54"/>
        <v>7.3863636363636362E-3</v>
      </c>
      <c r="I694" s="169">
        <f t="shared" si="50"/>
        <v>3.912023005428146</v>
      </c>
      <c r="J694" s="169">
        <f t="shared" si="51"/>
        <v>-1.3470736479666092</v>
      </c>
      <c r="K694" s="169">
        <f t="shared" si="52"/>
        <v>-4.908119730570661</v>
      </c>
    </row>
    <row r="695" spans="1:11">
      <c r="A695" s="616">
        <f t="shared" si="53"/>
        <v>689</v>
      </c>
      <c r="B695" s="949">
        <v>42324</v>
      </c>
      <c r="C695" s="1016">
        <v>0.75624999999999998</v>
      </c>
      <c r="D695" s="1015" t="s">
        <v>141</v>
      </c>
      <c r="E695" s="858" t="s">
        <v>190</v>
      </c>
      <c r="F695" s="1015">
        <v>50</v>
      </c>
      <c r="G695" s="1015">
        <v>0.22</v>
      </c>
      <c r="H695" s="790">
        <f t="shared" si="54"/>
        <v>6.2499999999999995E-3</v>
      </c>
      <c r="I695" s="169">
        <f t="shared" si="50"/>
        <v>3.912023005428146</v>
      </c>
      <c r="J695" s="169">
        <f t="shared" si="51"/>
        <v>-1.5141277326297755</v>
      </c>
      <c r="K695" s="169">
        <f t="shared" si="52"/>
        <v>-5.0751738152338266</v>
      </c>
    </row>
    <row r="696" spans="1:11">
      <c r="A696" s="616">
        <f t="shared" si="53"/>
        <v>690</v>
      </c>
      <c r="B696" s="949">
        <v>42324</v>
      </c>
      <c r="C696" s="604">
        <v>0.78055555555555556</v>
      </c>
      <c r="D696" s="617" t="s">
        <v>132</v>
      </c>
      <c r="E696" s="858" t="s">
        <v>190</v>
      </c>
      <c r="F696" s="1015">
        <v>100</v>
      </c>
      <c r="G696" s="1015">
        <v>3.66</v>
      </c>
      <c r="H696" s="790">
        <f t="shared" si="54"/>
        <v>0.20795454545454545</v>
      </c>
      <c r="I696" s="169">
        <f t="shared" si="50"/>
        <v>4.6051701859880918</v>
      </c>
      <c r="J696" s="169">
        <f t="shared" si="51"/>
        <v>1.297463147413275</v>
      </c>
      <c r="K696" s="169">
        <f t="shared" si="52"/>
        <v>-1.5704357546308312</v>
      </c>
    </row>
    <row r="697" spans="1:11">
      <c r="A697" s="616">
        <f t="shared" si="53"/>
        <v>691</v>
      </c>
      <c r="B697" s="949">
        <v>42324</v>
      </c>
      <c r="C697" s="604">
        <v>0.79861111111111116</v>
      </c>
      <c r="D697" s="617" t="s">
        <v>128</v>
      </c>
      <c r="E697" s="858" t="s">
        <v>190</v>
      </c>
      <c r="F697" s="1015">
        <v>100</v>
      </c>
      <c r="G697" s="1015">
        <v>4.22</v>
      </c>
      <c r="H697" s="790">
        <f t="shared" si="54"/>
        <v>0.23977272727272725</v>
      </c>
      <c r="I697" s="169">
        <f t="shared" si="50"/>
        <v>4.6051701859880918</v>
      </c>
      <c r="J697" s="169">
        <f t="shared" si="51"/>
        <v>1.4398351280479205</v>
      </c>
      <c r="K697" s="169">
        <f t="shared" si="52"/>
        <v>-1.4280637739961857</v>
      </c>
    </row>
    <row r="698" spans="1:11">
      <c r="A698" s="616">
        <f t="shared" si="53"/>
        <v>692</v>
      </c>
      <c r="B698" s="949">
        <v>42324</v>
      </c>
      <c r="C698" s="1016">
        <v>0.82152777777777775</v>
      </c>
      <c r="D698" s="1015" t="s">
        <v>136</v>
      </c>
      <c r="E698" s="858" t="s">
        <v>190</v>
      </c>
      <c r="F698" s="1015">
        <v>50</v>
      </c>
      <c r="G698" s="1015">
        <v>0.56000000000000005</v>
      </c>
      <c r="H698" s="790">
        <f t="shared" si="54"/>
        <v>1.5909090909090911E-2</v>
      </c>
      <c r="I698" s="169">
        <f t="shared" si="50"/>
        <v>3.912023005428146</v>
      </c>
      <c r="J698" s="169">
        <f t="shared" si="51"/>
        <v>-0.57981849525294205</v>
      </c>
      <c r="K698" s="169">
        <f t="shared" si="52"/>
        <v>-4.140864577856993</v>
      </c>
    </row>
    <row r="699" spans="1:11">
      <c r="A699" s="616">
        <f t="shared" si="53"/>
        <v>693</v>
      </c>
      <c r="B699" s="949">
        <v>42324</v>
      </c>
      <c r="C699" s="1016">
        <v>0.82291666666666663</v>
      </c>
      <c r="D699" s="1015" t="s">
        <v>137</v>
      </c>
      <c r="E699" s="858" t="s">
        <v>190</v>
      </c>
      <c r="F699" s="1015">
        <v>50</v>
      </c>
      <c r="G699" s="1015">
        <v>5.72</v>
      </c>
      <c r="H699" s="790">
        <f t="shared" si="54"/>
        <v>0.16249999999999998</v>
      </c>
      <c r="I699" s="169">
        <f t="shared" si="50"/>
        <v>3.912023005428146</v>
      </c>
      <c r="J699" s="169">
        <f t="shared" si="51"/>
        <v>1.7439688053917064</v>
      </c>
      <c r="K699" s="169">
        <f t="shared" si="52"/>
        <v>-1.8170772772123449</v>
      </c>
    </row>
    <row r="700" spans="1:11">
      <c r="A700" s="616">
        <f t="shared" si="53"/>
        <v>694</v>
      </c>
      <c r="B700" s="949">
        <v>42324</v>
      </c>
      <c r="C700" s="1016">
        <v>0.82777777777777783</v>
      </c>
      <c r="D700" s="1015" t="s">
        <v>138</v>
      </c>
      <c r="E700" s="858" t="s">
        <v>190</v>
      </c>
      <c r="F700" s="1015">
        <v>50</v>
      </c>
      <c r="G700" s="1015">
        <v>1.49</v>
      </c>
      <c r="H700" s="790">
        <f t="shared" si="54"/>
        <v>4.2329545454545453E-2</v>
      </c>
      <c r="I700" s="169">
        <f t="shared" si="50"/>
        <v>3.912023005428146</v>
      </c>
      <c r="J700" s="169">
        <f t="shared" si="51"/>
        <v>0.39877611995736778</v>
      </c>
      <c r="K700" s="169">
        <f t="shared" si="52"/>
        <v>-3.1622699626466835</v>
      </c>
    </row>
    <row r="701" spans="1:11">
      <c r="A701" s="616">
        <f t="shared" si="53"/>
        <v>695</v>
      </c>
      <c r="B701" s="949">
        <v>42324</v>
      </c>
      <c r="C701" s="1016">
        <v>0.83194444444444438</v>
      </c>
      <c r="D701" s="1015" t="s">
        <v>140</v>
      </c>
      <c r="E701" s="858" t="s">
        <v>190</v>
      </c>
      <c r="F701" s="1015">
        <v>50</v>
      </c>
      <c r="G701" s="1015">
        <v>0.38</v>
      </c>
      <c r="H701" s="790">
        <f t="shared" si="54"/>
        <v>1.0795454545454546E-2</v>
      </c>
      <c r="I701" s="169">
        <f t="shared" si="50"/>
        <v>3.912023005428146</v>
      </c>
      <c r="J701" s="169">
        <f t="shared" si="51"/>
        <v>-0.96758402626170559</v>
      </c>
      <c r="K701" s="169">
        <f t="shared" si="52"/>
        <v>-4.528630108865757</v>
      </c>
    </row>
    <row r="702" spans="1:11">
      <c r="A702" s="616">
        <f t="shared" si="53"/>
        <v>696</v>
      </c>
      <c r="B702" s="949">
        <v>42324</v>
      </c>
      <c r="C702" s="604">
        <v>0.87430555555555556</v>
      </c>
      <c r="D702" s="617" t="s">
        <v>133</v>
      </c>
      <c r="E702" s="858" t="s">
        <v>190</v>
      </c>
      <c r="F702" s="1015">
        <v>100</v>
      </c>
      <c r="G702" s="1015">
        <v>4.6900000000000004</v>
      </c>
      <c r="H702" s="790">
        <f t="shared" si="54"/>
        <v>0.26647727272727273</v>
      </c>
      <c r="I702" s="169">
        <f t="shared" si="50"/>
        <v>4.6051701859880918</v>
      </c>
      <c r="J702" s="169">
        <f t="shared" si="51"/>
        <v>1.545432582458188</v>
      </c>
      <c r="K702" s="169">
        <f t="shared" si="52"/>
        <v>-1.3224663195859181</v>
      </c>
    </row>
    <row r="703" spans="1:11">
      <c r="A703" s="616">
        <f t="shared" si="53"/>
        <v>697</v>
      </c>
      <c r="B703" s="618">
        <v>42350</v>
      </c>
      <c r="C703" s="604">
        <v>0.74513888888888891</v>
      </c>
      <c r="D703" s="617" t="s">
        <v>142</v>
      </c>
      <c r="E703" s="858" t="s">
        <v>190</v>
      </c>
      <c r="F703" s="1015">
        <v>50</v>
      </c>
      <c r="G703" s="1015">
        <v>0.04</v>
      </c>
      <c r="H703" s="790">
        <f t="shared" si="54"/>
        <v>1.1363636363636363E-3</v>
      </c>
      <c r="I703" s="169">
        <f t="shared" ref="I703:I704" si="55">LN(F703)</f>
        <v>3.912023005428146</v>
      </c>
      <c r="J703" s="169">
        <f t="shared" ref="J703:J704" si="56">LN(G703)</f>
        <v>-3.2188758248682006</v>
      </c>
      <c r="K703" s="169">
        <f t="shared" ref="K703:K704" si="57">LN(H703)</f>
        <v>-6.7799219074722519</v>
      </c>
    </row>
    <row r="704" spans="1:11">
      <c r="A704" s="97">
        <f t="shared" si="53"/>
        <v>698</v>
      </c>
      <c r="B704" s="98"/>
      <c r="C704" s="99"/>
      <c r="D704" s="100"/>
      <c r="E704" s="858" t="s">
        <v>190</v>
      </c>
      <c r="F704" s="100"/>
      <c r="G704" s="100"/>
      <c r="H704" s="263">
        <f t="shared" si="54"/>
        <v>0</v>
      </c>
      <c r="I704" s="169" t="e">
        <f t="shared" si="55"/>
        <v>#NUM!</v>
      </c>
      <c r="J704" s="169" t="e">
        <f t="shared" si="56"/>
        <v>#NUM!</v>
      </c>
      <c r="K704" s="169" t="e">
        <f t="shared" si="57"/>
        <v>#NUM!</v>
      </c>
    </row>
    <row r="705" spans="1:11">
      <c r="A705" s="97">
        <f t="shared" si="53"/>
        <v>699</v>
      </c>
      <c r="B705" s="98"/>
      <c r="C705" s="99"/>
      <c r="D705" s="100"/>
      <c r="E705" s="858" t="s">
        <v>190</v>
      </c>
      <c r="F705" s="101"/>
      <c r="G705" s="259"/>
      <c r="H705" s="263">
        <f t="shared" si="54"/>
        <v>0</v>
      </c>
      <c r="I705" s="169" t="e">
        <f t="shared" si="50"/>
        <v>#NUM!</v>
      </c>
      <c r="J705" s="169" t="e">
        <f t="shared" si="51"/>
        <v>#NUM!</v>
      </c>
      <c r="K705" s="169" t="e">
        <f t="shared" si="52"/>
        <v>#NUM!</v>
      </c>
    </row>
    <row r="706" spans="1:11">
      <c r="A706" s="97">
        <f t="shared" si="53"/>
        <v>700</v>
      </c>
      <c r="B706" s="98"/>
      <c r="C706" s="99"/>
      <c r="D706" s="100"/>
      <c r="E706" s="858" t="s">
        <v>190</v>
      </c>
      <c r="F706" s="101"/>
      <c r="G706" s="259"/>
      <c r="H706" s="263">
        <f t="shared" si="54"/>
        <v>0</v>
      </c>
      <c r="I706" s="169" t="e">
        <f t="shared" si="50"/>
        <v>#NUM!</v>
      </c>
      <c r="J706" s="169" t="e">
        <f t="shared" si="51"/>
        <v>#NUM!</v>
      </c>
      <c r="K706" s="169" t="e">
        <f t="shared" si="52"/>
        <v>#NUM!</v>
      </c>
    </row>
    <row r="707" spans="1:11">
      <c r="A707" s="97">
        <f t="shared" si="53"/>
        <v>701</v>
      </c>
      <c r="B707" s="98"/>
      <c r="C707" s="99"/>
      <c r="D707" s="100"/>
      <c r="E707" s="858" t="s">
        <v>190</v>
      </c>
      <c r="F707" s="101"/>
      <c r="G707" s="259"/>
      <c r="H707" s="263">
        <f t="shared" si="54"/>
        <v>0</v>
      </c>
      <c r="I707" s="169" t="e">
        <f t="shared" si="50"/>
        <v>#NUM!</v>
      </c>
      <c r="J707" s="169" t="e">
        <f t="shared" si="51"/>
        <v>#NUM!</v>
      </c>
      <c r="K707" s="169" t="e">
        <f t="shared" si="52"/>
        <v>#NUM!</v>
      </c>
    </row>
    <row r="708" spans="1:11">
      <c r="A708" s="97">
        <f t="shared" si="53"/>
        <v>702</v>
      </c>
      <c r="B708" s="98"/>
      <c r="C708" s="99"/>
      <c r="D708" s="100"/>
      <c r="E708" s="858" t="s">
        <v>190</v>
      </c>
      <c r="F708" s="101"/>
      <c r="G708" s="259"/>
      <c r="H708" s="263">
        <f t="shared" si="54"/>
        <v>0</v>
      </c>
      <c r="I708" s="169" t="e">
        <f t="shared" si="50"/>
        <v>#NUM!</v>
      </c>
      <c r="J708" s="169" t="e">
        <f t="shared" si="51"/>
        <v>#NUM!</v>
      </c>
      <c r="K708" s="169" t="e">
        <f t="shared" si="52"/>
        <v>#NUM!</v>
      </c>
    </row>
    <row r="709" spans="1:11">
      <c r="A709" s="97">
        <f t="shared" si="53"/>
        <v>703</v>
      </c>
      <c r="B709" s="98"/>
      <c r="C709" s="99"/>
      <c r="D709" s="100"/>
      <c r="E709" s="858" t="s">
        <v>190</v>
      </c>
      <c r="F709" s="101"/>
      <c r="G709" s="259"/>
      <c r="H709" s="263">
        <f t="shared" si="54"/>
        <v>0</v>
      </c>
      <c r="I709" s="169" t="e">
        <f t="shared" si="50"/>
        <v>#NUM!</v>
      </c>
      <c r="J709" s="169" t="e">
        <f t="shared" si="51"/>
        <v>#NUM!</v>
      </c>
      <c r="K709" s="169" t="e">
        <f t="shared" si="52"/>
        <v>#NUM!</v>
      </c>
    </row>
    <row r="710" spans="1:11">
      <c r="A710" s="97">
        <f t="shared" si="53"/>
        <v>704</v>
      </c>
      <c r="B710" s="98"/>
      <c r="C710" s="99"/>
      <c r="D710" s="100"/>
      <c r="E710" s="858" t="s">
        <v>190</v>
      </c>
      <c r="F710" s="101"/>
      <c r="G710" s="259"/>
      <c r="H710" s="263">
        <f t="shared" si="54"/>
        <v>0</v>
      </c>
      <c r="I710" s="169" t="e">
        <f t="shared" si="50"/>
        <v>#NUM!</v>
      </c>
      <c r="J710" s="169" t="e">
        <f t="shared" si="51"/>
        <v>#NUM!</v>
      </c>
      <c r="K710" s="169" t="e">
        <f t="shared" si="52"/>
        <v>#NUM!</v>
      </c>
    </row>
    <row r="711" spans="1:11">
      <c r="A711" s="97">
        <f t="shared" si="53"/>
        <v>705</v>
      </c>
      <c r="B711" s="98"/>
      <c r="C711" s="99"/>
      <c r="D711" s="100"/>
      <c r="E711" s="858" t="s">
        <v>190</v>
      </c>
      <c r="F711" s="101"/>
      <c r="G711" s="259"/>
      <c r="H711" s="263">
        <f t="shared" si="54"/>
        <v>0</v>
      </c>
      <c r="I711" s="169" t="e">
        <f t="shared" si="50"/>
        <v>#NUM!</v>
      </c>
      <c r="J711" s="169" t="e">
        <f t="shared" si="51"/>
        <v>#NUM!</v>
      </c>
      <c r="K711" s="169" t="e">
        <f t="shared" si="52"/>
        <v>#NUM!</v>
      </c>
    </row>
    <row r="712" spans="1:11">
      <c r="A712" s="97">
        <f t="shared" si="53"/>
        <v>706</v>
      </c>
      <c r="B712" s="98"/>
      <c r="C712" s="99"/>
      <c r="D712" s="100"/>
      <c r="E712" s="858" t="s">
        <v>190</v>
      </c>
      <c r="F712" s="101"/>
      <c r="G712" s="259"/>
      <c r="H712" s="263">
        <f t="shared" si="54"/>
        <v>0</v>
      </c>
      <c r="I712" s="169" t="e">
        <f t="shared" ref="I712:I718" si="58">LN(F712)</f>
        <v>#NUM!</v>
      </c>
      <c r="J712" s="169" t="e">
        <f t="shared" ref="J712:J718" si="59">LN(G712)</f>
        <v>#NUM!</v>
      </c>
      <c r="K712" s="169" t="e">
        <f t="shared" ref="K712:K718" si="60">LN(H712)</f>
        <v>#NUM!</v>
      </c>
    </row>
    <row r="713" spans="1:11">
      <c r="A713" s="97">
        <f t="shared" ref="A713:A776" si="61">+A712+1</f>
        <v>707</v>
      </c>
      <c r="B713" s="98"/>
      <c r="C713" s="99"/>
      <c r="D713" s="100"/>
      <c r="E713" s="858" t="s">
        <v>190</v>
      </c>
      <c r="F713" s="101"/>
      <c r="G713" s="259"/>
      <c r="H713" s="263">
        <f t="shared" ref="H713:H718" si="62">+(F713/1760)*G713</f>
        <v>0</v>
      </c>
      <c r="I713" s="169" t="e">
        <f t="shared" si="58"/>
        <v>#NUM!</v>
      </c>
      <c r="J713" s="169" t="e">
        <f t="shared" si="59"/>
        <v>#NUM!</v>
      </c>
      <c r="K713" s="169" t="e">
        <f t="shared" si="60"/>
        <v>#NUM!</v>
      </c>
    </row>
    <row r="714" spans="1:11">
      <c r="A714" s="97">
        <f t="shared" si="61"/>
        <v>708</v>
      </c>
      <c r="B714" s="98"/>
      <c r="C714" s="99"/>
      <c r="D714" s="100"/>
      <c r="E714" s="858" t="s">
        <v>190</v>
      </c>
      <c r="F714" s="101"/>
      <c r="G714" s="259"/>
      <c r="H714" s="263">
        <f t="shared" si="62"/>
        <v>0</v>
      </c>
      <c r="I714" s="169" t="e">
        <f t="shared" si="58"/>
        <v>#NUM!</v>
      </c>
      <c r="J714" s="169" t="e">
        <f t="shared" si="59"/>
        <v>#NUM!</v>
      </c>
      <c r="K714" s="169" t="e">
        <f t="shared" si="60"/>
        <v>#NUM!</v>
      </c>
    </row>
    <row r="715" spans="1:11">
      <c r="A715" s="97">
        <f t="shared" si="61"/>
        <v>709</v>
      </c>
      <c r="B715" s="98"/>
      <c r="C715" s="99"/>
      <c r="D715" s="100"/>
      <c r="E715" s="858" t="s">
        <v>190</v>
      </c>
      <c r="F715" s="101"/>
      <c r="G715" s="259"/>
      <c r="H715" s="263">
        <f t="shared" si="62"/>
        <v>0</v>
      </c>
      <c r="I715" s="169" t="e">
        <f t="shared" si="58"/>
        <v>#NUM!</v>
      </c>
      <c r="J715" s="169" t="e">
        <f t="shared" si="59"/>
        <v>#NUM!</v>
      </c>
      <c r="K715" s="169" t="e">
        <f t="shared" si="60"/>
        <v>#NUM!</v>
      </c>
    </row>
    <row r="716" spans="1:11">
      <c r="A716" s="97">
        <f t="shared" si="61"/>
        <v>710</v>
      </c>
      <c r="B716" s="98"/>
      <c r="C716" s="99"/>
      <c r="D716" s="100"/>
      <c r="E716" s="858" t="s">
        <v>190</v>
      </c>
      <c r="F716" s="101"/>
      <c r="G716" s="259"/>
      <c r="H716" s="263">
        <f t="shared" si="62"/>
        <v>0</v>
      </c>
      <c r="I716" s="169" t="e">
        <f t="shared" si="58"/>
        <v>#NUM!</v>
      </c>
      <c r="J716" s="169" t="e">
        <f t="shared" si="59"/>
        <v>#NUM!</v>
      </c>
      <c r="K716" s="169" t="e">
        <f t="shared" si="60"/>
        <v>#NUM!</v>
      </c>
    </row>
    <row r="717" spans="1:11">
      <c r="A717" s="97">
        <f t="shared" si="61"/>
        <v>711</v>
      </c>
      <c r="B717" s="98"/>
      <c r="C717" s="99"/>
      <c r="D717" s="100"/>
      <c r="E717" s="858" t="s">
        <v>190</v>
      </c>
      <c r="F717" s="101"/>
      <c r="G717" s="259"/>
      <c r="H717" s="263">
        <f t="shared" si="62"/>
        <v>0</v>
      </c>
      <c r="I717" s="169" t="e">
        <f t="shared" si="58"/>
        <v>#NUM!</v>
      </c>
      <c r="J717" s="169" t="e">
        <f t="shared" si="59"/>
        <v>#NUM!</v>
      </c>
      <c r="K717" s="169" t="e">
        <f t="shared" si="60"/>
        <v>#NUM!</v>
      </c>
    </row>
    <row r="718" spans="1:11">
      <c r="A718" s="97">
        <f t="shared" si="61"/>
        <v>712</v>
      </c>
      <c r="B718" s="98"/>
      <c r="C718" s="99"/>
      <c r="D718" s="100"/>
      <c r="E718" s="858" t="s">
        <v>190</v>
      </c>
      <c r="F718" s="101"/>
      <c r="G718" s="259"/>
      <c r="H718" s="263">
        <f t="shared" si="62"/>
        <v>0</v>
      </c>
      <c r="I718" s="169" t="e">
        <f t="shared" si="58"/>
        <v>#NUM!</v>
      </c>
      <c r="J718" s="169" t="e">
        <f t="shared" si="59"/>
        <v>#NUM!</v>
      </c>
      <c r="K718" s="169" t="e">
        <f t="shared" si="60"/>
        <v>#NUM!</v>
      </c>
    </row>
    <row r="719" spans="1:11">
      <c r="A719" s="97">
        <f t="shared" si="61"/>
        <v>713</v>
      </c>
      <c r="B719" s="98"/>
      <c r="C719" s="99"/>
      <c r="D719" s="100"/>
      <c r="E719" s="858" t="s">
        <v>190</v>
      </c>
      <c r="F719" s="101"/>
      <c r="G719" s="259"/>
      <c r="H719" s="263">
        <f t="shared" ref="H719:H782" si="63">+(F719/1760)*G719</f>
        <v>0</v>
      </c>
      <c r="I719" s="169" t="e">
        <f t="shared" ref="I719:I782" si="64">LN(F719)</f>
        <v>#NUM!</v>
      </c>
      <c r="J719" s="169" t="e">
        <f t="shared" ref="J719:J782" si="65">LN(G719)</f>
        <v>#NUM!</v>
      </c>
      <c r="K719" s="169" t="e">
        <f t="shared" ref="K719:K782" si="66">LN(H719)</f>
        <v>#NUM!</v>
      </c>
    </row>
    <row r="720" spans="1:11">
      <c r="A720" s="97">
        <f t="shared" si="61"/>
        <v>714</v>
      </c>
      <c r="B720" s="98"/>
      <c r="C720" s="99"/>
      <c r="D720" s="100"/>
      <c r="E720" s="858" t="s">
        <v>190</v>
      </c>
      <c r="F720" s="101"/>
      <c r="G720" s="259"/>
      <c r="H720" s="263">
        <f t="shared" si="63"/>
        <v>0</v>
      </c>
      <c r="I720" s="169" t="e">
        <f t="shared" si="64"/>
        <v>#NUM!</v>
      </c>
      <c r="J720" s="169" t="e">
        <f t="shared" si="65"/>
        <v>#NUM!</v>
      </c>
      <c r="K720" s="169" t="e">
        <f t="shared" si="66"/>
        <v>#NUM!</v>
      </c>
    </row>
    <row r="721" spans="1:13">
      <c r="A721" s="97">
        <f t="shared" si="61"/>
        <v>715</v>
      </c>
      <c r="B721" s="98"/>
      <c r="C721" s="99"/>
      <c r="D721" s="100"/>
      <c r="E721" s="858" t="s">
        <v>190</v>
      </c>
      <c r="F721" s="101"/>
      <c r="G721" s="259"/>
      <c r="H721" s="263">
        <f t="shared" si="63"/>
        <v>0</v>
      </c>
      <c r="I721" s="169" t="e">
        <f t="shared" si="64"/>
        <v>#NUM!</v>
      </c>
      <c r="J721" s="169" t="e">
        <f t="shared" si="65"/>
        <v>#NUM!</v>
      </c>
      <c r="K721" s="169" t="e">
        <f t="shared" si="66"/>
        <v>#NUM!</v>
      </c>
      <c r="L721" s="389"/>
      <c r="M721" s="32"/>
    </row>
    <row r="722" spans="1:13">
      <c r="A722" s="97">
        <f t="shared" si="61"/>
        <v>716</v>
      </c>
      <c r="B722" s="98"/>
      <c r="C722" s="99"/>
      <c r="D722" s="100"/>
      <c r="E722" s="858" t="s">
        <v>190</v>
      </c>
      <c r="F722" s="101"/>
      <c r="G722" s="259"/>
      <c r="H722" s="263">
        <f t="shared" si="63"/>
        <v>0</v>
      </c>
      <c r="I722" s="169" t="e">
        <f t="shared" si="64"/>
        <v>#NUM!</v>
      </c>
      <c r="J722" s="169" t="e">
        <f t="shared" si="65"/>
        <v>#NUM!</v>
      </c>
      <c r="K722" s="169" t="e">
        <f t="shared" si="66"/>
        <v>#NUM!</v>
      </c>
      <c r="L722" s="389"/>
      <c r="M722" s="32"/>
    </row>
    <row r="723" spans="1:13">
      <c r="A723" s="97">
        <f t="shared" si="61"/>
        <v>717</v>
      </c>
      <c r="B723" s="98"/>
      <c r="C723" s="99"/>
      <c r="D723" s="100"/>
      <c r="E723" s="858" t="s">
        <v>190</v>
      </c>
      <c r="F723" s="101"/>
      <c r="G723" s="259"/>
      <c r="H723" s="263">
        <f t="shared" si="63"/>
        <v>0</v>
      </c>
      <c r="I723" s="169" t="e">
        <f t="shared" si="64"/>
        <v>#NUM!</v>
      </c>
      <c r="J723" s="169" t="e">
        <f t="shared" si="65"/>
        <v>#NUM!</v>
      </c>
      <c r="K723" s="169" t="e">
        <f t="shared" si="66"/>
        <v>#NUM!</v>
      </c>
    </row>
    <row r="724" spans="1:13">
      <c r="A724" s="97">
        <f t="shared" si="61"/>
        <v>718</v>
      </c>
      <c r="B724" s="98"/>
      <c r="C724" s="99"/>
      <c r="D724" s="100"/>
      <c r="E724" s="858" t="s">
        <v>190</v>
      </c>
      <c r="F724" s="101"/>
      <c r="G724" s="259"/>
      <c r="H724" s="263">
        <f t="shared" si="63"/>
        <v>0</v>
      </c>
      <c r="I724" s="169" t="e">
        <f t="shared" si="64"/>
        <v>#NUM!</v>
      </c>
      <c r="J724" s="169" t="e">
        <f t="shared" si="65"/>
        <v>#NUM!</v>
      </c>
      <c r="K724" s="169" t="e">
        <f t="shared" si="66"/>
        <v>#NUM!</v>
      </c>
    </row>
    <row r="725" spans="1:13">
      <c r="A725" s="97">
        <f t="shared" si="61"/>
        <v>719</v>
      </c>
      <c r="B725" s="98"/>
      <c r="C725" s="99"/>
      <c r="D725" s="100"/>
      <c r="E725" s="858" t="s">
        <v>190</v>
      </c>
      <c r="F725" s="101"/>
      <c r="G725" s="259"/>
      <c r="H725" s="263">
        <f t="shared" si="63"/>
        <v>0</v>
      </c>
      <c r="I725" s="169" t="e">
        <f t="shared" si="64"/>
        <v>#NUM!</v>
      </c>
      <c r="J725" s="169" t="e">
        <f t="shared" si="65"/>
        <v>#NUM!</v>
      </c>
      <c r="K725" s="169" t="e">
        <f t="shared" si="66"/>
        <v>#NUM!</v>
      </c>
      <c r="L725" s="383"/>
    </row>
    <row r="726" spans="1:13">
      <c r="A726" s="97">
        <f t="shared" si="61"/>
        <v>720</v>
      </c>
      <c r="B726" s="98"/>
      <c r="C726" s="99"/>
      <c r="D726" s="100"/>
      <c r="E726" s="858" t="s">
        <v>190</v>
      </c>
      <c r="F726" s="101"/>
      <c r="G726" s="259"/>
      <c r="H726" s="263">
        <f t="shared" si="63"/>
        <v>0</v>
      </c>
      <c r="I726" s="169" t="e">
        <f t="shared" si="64"/>
        <v>#NUM!</v>
      </c>
      <c r="J726" s="169" t="e">
        <f t="shared" si="65"/>
        <v>#NUM!</v>
      </c>
      <c r="K726" s="169" t="e">
        <f t="shared" si="66"/>
        <v>#NUM!</v>
      </c>
      <c r="L726" s="169"/>
    </row>
    <row r="727" spans="1:13">
      <c r="A727" s="97">
        <f t="shared" si="61"/>
        <v>721</v>
      </c>
      <c r="B727" s="98"/>
      <c r="C727" s="99"/>
      <c r="D727" s="100"/>
      <c r="E727" s="858" t="s">
        <v>190</v>
      </c>
      <c r="F727" s="101"/>
      <c r="G727" s="259"/>
      <c r="H727" s="263">
        <f t="shared" si="63"/>
        <v>0</v>
      </c>
      <c r="I727" s="169" t="e">
        <f t="shared" si="64"/>
        <v>#NUM!</v>
      </c>
      <c r="J727" s="169" t="e">
        <f t="shared" si="65"/>
        <v>#NUM!</v>
      </c>
      <c r="K727" s="169" t="e">
        <f t="shared" si="66"/>
        <v>#NUM!</v>
      </c>
      <c r="L727" s="383"/>
    </row>
    <row r="728" spans="1:13">
      <c r="A728" s="97">
        <f t="shared" si="61"/>
        <v>722</v>
      </c>
      <c r="B728" s="98"/>
      <c r="C728" s="99"/>
      <c r="D728" s="100"/>
      <c r="E728" s="858" t="s">
        <v>190</v>
      </c>
      <c r="F728" s="101"/>
      <c r="G728" s="259"/>
      <c r="H728" s="263">
        <f t="shared" si="63"/>
        <v>0</v>
      </c>
      <c r="I728" s="169" t="e">
        <f t="shared" si="64"/>
        <v>#NUM!</v>
      </c>
      <c r="J728" s="169" t="e">
        <f t="shared" si="65"/>
        <v>#NUM!</v>
      </c>
      <c r="K728" s="169" t="e">
        <f t="shared" si="66"/>
        <v>#NUM!</v>
      </c>
    </row>
    <row r="729" spans="1:13">
      <c r="A729" s="97">
        <f t="shared" si="61"/>
        <v>723</v>
      </c>
      <c r="B729" s="98"/>
      <c r="C729" s="99"/>
      <c r="D729" s="100"/>
      <c r="E729" s="858" t="s">
        <v>190</v>
      </c>
      <c r="F729" s="101"/>
      <c r="G729" s="259"/>
      <c r="H729" s="263">
        <f t="shared" si="63"/>
        <v>0</v>
      </c>
      <c r="I729" s="169" t="e">
        <f t="shared" si="64"/>
        <v>#NUM!</v>
      </c>
      <c r="J729" s="169" t="e">
        <f t="shared" si="65"/>
        <v>#NUM!</v>
      </c>
      <c r="K729" s="169" t="e">
        <f t="shared" si="66"/>
        <v>#NUM!</v>
      </c>
    </row>
    <row r="730" spans="1:13">
      <c r="A730" s="97">
        <f t="shared" si="61"/>
        <v>724</v>
      </c>
      <c r="B730" s="98"/>
      <c r="C730" s="99"/>
      <c r="D730" s="100"/>
      <c r="E730" s="858" t="s">
        <v>190</v>
      </c>
      <c r="F730" s="101"/>
      <c r="G730" s="259"/>
      <c r="H730" s="263">
        <f t="shared" si="63"/>
        <v>0</v>
      </c>
      <c r="I730" s="169" t="e">
        <f t="shared" si="64"/>
        <v>#NUM!</v>
      </c>
      <c r="J730" s="169" t="e">
        <f t="shared" si="65"/>
        <v>#NUM!</v>
      </c>
      <c r="K730" s="169" t="e">
        <f t="shared" si="66"/>
        <v>#NUM!</v>
      </c>
    </row>
    <row r="731" spans="1:13">
      <c r="A731" s="97">
        <f t="shared" si="61"/>
        <v>725</v>
      </c>
      <c r="B731" s="98"/>
      <c r="C731" s="99"/>
      <c r="D731" s="100"/>
      <c r="E731" s="858" t="s">
        <v>190</v>
      </c>
      <c r="F731" s="101"/>
      <c r="G731" s="259"/>
      <c r="H731" s="263">
        <f t="shared" si="63"/>
        <v>0</v>
      </c>
      <c r="I731" s="169" t="e">
        <f t="shared" si="64"/>
        <v>#NUM!</v>
      </c>
      <c r="J731" s="169" t="e">
        <f t="shared" si="65"/>
        <v>#NUM!</v>
      </c>
      <c r="K731" s="169" t="e">
        <f t="shared" si="66"/>
        <v>#NUM!</v>
      </c>
    </row>
    <row r="732" spans="1:13">
      <c r="A732" s="97">
        <f t="shared" si="61"/>
        <v>726</v>
      </c>
      <c r="B732" s="98"/>
      <c r="C732" s="99"/>
      <c r="D732" s="100"/>
      <c r="E732" s="858" t="s">
        <v>190</v>
      </c>
      <c r="F732" s="101"/>
      <c r="G732" s="259"/>
      <c r="H732" s="263">
        <f t="shared" si="63"/>
        <v>0</v>
      </c>
      <c r="I732" s="169" t="e">
        <f t="shared" si="64"/>
        <v>#NUM!</v>
      </c>
      <c r="J732" s="169" t="e">
        <f t="shared" si="65"/>
        <v>#NUM!</v>
      </c>
      <c r="K732" s="169" t="e">
        <f t="shared" si="66"/>
        <v>#NUM!</v>
      </c>
    </row>
    <row r="733" spans="1:13">
      <c r="A733" s="97">
        <f t="shared" si="61"/>
        <v>727</v>
      </c>
      <c r="B733" s="98"/>
      <c r="C733" s="99"/>
      <c r="D733" s="100"/>
      <c r="E733" s="858" t="s">
        <v>190</v>
      </c>
      <c r="F733" s="101"/>
      <c r="G733" s="259"/>
      <c r="H733" s="263">
        <f t="shared" si="63"/>
        <v>0</v>
      </c>
      <c r="I733" s="169" t="e">
        <f t="shared" si="64"/>
        <v>#NUM!</v>
      </c>
      <c r="J733" s="169" t="e">
        <f t="shared" si="65"/>
        <v>#NUM!</v>
      </c>
      <c r="K733" s="169" t="e">
        <f t="shared" si="66"/>
        <v>#NUM!</v>
      </c>
    </row>
    <row r="734" spans="1:13">
      <c r="A734" s="97">
        <f t="shared" si="61"/>
        <v>728</v>
      </c>
      <c r="B734" s="98"/>
      <c r="C734" s="99"/>
      <c r="D734" s="100"/>
      <c r="E734" s="858" t="s">
        <v>190</v>
      </c>
      <c r="F734" s="101"/>
      <c r="G734" s="259"/>
      <c r="H734" s="263">
        <f t="shared" si="63"/>
        <v>0</v>
      </c>
      <c r="I734" s="169" t="e">
        <f t="shared" si="64"/>
        <v>#NUM!</v>
      </c>
      <c r="J734" s="169" t="e">
        <f t="shared" si="65"/>
        <v>#NUM!</v>
      </c>
      <c r="K734" s="169" t="e">
        <f t="shared" si="66"/>
        <v>#NUM!</v>
      </c>
    </row>
    <row r="735" spans="1:13">
      <c r="A735" s="97">
        <f t="shared" si="61"/>
        <v>729</v>
      </c>
      <c r="B735" s="98"/>
      <c r="C735" s="99"/>
      <c r="D735" s="100"/>
      <c r="E735" s="858" t="s">
        <v>190</v>
      </c>
      <c r="F735" s="101"/>
      <c r="G735" s="259"/>
      <c r="H735" s="263">
        <f t="shared" si="63"/>
        <v>0</v>
      </c>
      <c r="I735" s="169" t="e">
        <f t="shared" si="64"/>
        <v>#NUM!</v>
      </c>
      <c r="J735" s="169" t="e">
        <f t="shared" si="65"/>
        <v>#NUM!</v>
      </c>
      <c r="K735" s="169" t="e">
        <f t="shared" si="66"/>
        <v>#NUM!</v>
      </c>
    </row>
    <row r="736" spans="1:13">
      <c r="A736" s="97">
        <f t="shared" si="61"/>
        <v>730</v>
      </c>
      <c r="B736" s="98"/>
      <c r="C736" s="99"/>
      <c r="D736" s="100"/>
      <c r="E736" s="858" t="s">
        <v>190</v>
      </c>
      <c r="F736" s="101"/>
      <c r="G736" s="259"/>
      <c r="H736" s="263">
        <f t="shared" si="63"/>
        <v>0</v>
      </c>
      <c r="I736" s="169" t="e">
        <f t="shared" si="64"/>
        <v>#NUM!</v>
      </c>
      <c r="J736" s="169" t="e">
        <f t="shared" si="65"/>
        <v>#NUM!</v>
      </c>
      <c r="K736" s="169" t="e">
        <f t="shared" si="66"/>
        <v>#NUM!</v>
      </c>
    </row>
    <row r="737" spans="1:11">
      <c r="A737" s="97">
        <f t="shared" si="61"/>
        <v>731</v>
      </c>
      <c r="B737" s="98"/>
      <c r="C737" s="99"/>
      <c r="D737" s="100"/>
      <c r="E737" s="858" t="s">
        <v>190</v>
      </c>
      <c r="F737" s="101"/>
      <c r="G737" s="259"/>
      <c r="H737" s="263">
        <f t="shared" si="63"/>
        <v>0</v>
      </c>
      <c r="I737" s="169" t="e">
        <f t="shared" si="64"/>
        <v>#NUM!</v>
      </c>
      <c r="J737" s="169" t="e">
        <f t="shared" si="65"/>
        <v>#NUM!</v>
      </c>
      <c r="K737" s="169" t="e">
        <f t="shared" si="66"/>
        <v>#NUM!</v>
      </c>
    </row>
    <row r="738" spans="1:11">
      <c r="A738" s="97">
        <f t="shared" si="61"/>
        <v>732</v>
      </c>
      <c r="B738" s="98"/>
      <c r="C738" s="99"/>
      <c r="D738" s="100"/>
      <c r="E738" s="858" t="s">
        <v>190</v>
      </c>
      <c r="F738" s="101"/>
      <c r="G738" s="259"/>
      <c r="H738" s="263">
        <f t="shared" si="63"/>
        <v>0</v>
      </c>
      <c r="I738" s="169" t="e">
        <f t="shared" si="64"/>
        <v>#NUM!</v>
      </c>
      <c r="J738" s="169" t="e">
        <f t="shared" si="65"/>
        <v>#NUM!</v>
      </c>
      <c r="K738" s="169" t="e">
        <f t="shared" si="66"/>
        <v>#NUM!</v>
      </c>
    </row>
    <row r="739" spans="1:11">
      <c r="A739" s="97">
        <f t="shared" si="61"/>
        <v>733</v>
      </c>
      <c r="B739" s="98"/>
      <c r="C739" s="99"/>
      <c r="D739" s="100"/>
      <c r="E739" s="858" t="s">
        <v>190</v>
      </c>
      <c r="F739" s="101"/>
      <c r="G739" s="259"/>
      <c r="H739" s="263">
        <f t="shared" si="63"/>
        <v>0</v>
      </c>
      <c r="I739" s="169" t="e">
        <f t="shared" si="64"/>
        <v>#NUM!</v>
      </c>
      <c r="J739" s="169" t="e">
        <f t="shared" si="65"/>
        <v>#NUM!</v>
      </c>
      <c r="K739" s="169" t="e">
        <f t="shared" si="66"/>
        <v>#NUM!</v>
      </c>
    </row>
    <row r="740" spans="1:11">
      <c r="A740" s="97">
        <f t="shared" si="61"/>
        <v>734</v>
      </c>
      <c r="B740" s="98"/>
      <c r="C740" s="99"/>
      <c r="D740" s="100"/>
      <c r="E740" s="858" t="s">
        <v>190</v>
      </c>
      <c r="F740" s="101"/>
      <c r="G740" s="259"/>
      <c r="H740" s="263">
        <f t="shared" si="63"/>
        <v>0</v>
      </c>
      <c r="I740" s="169" t="e">
        <f t="shared" si="64"/>
        <v>#NUM!</v>
      </c>
      <c r="J740" s="169" t="e">
        <f t="shared" si="65"/>
        <v>#NUM!</v>
      </c>
      <c r="K740" s="169" t="e">
        <f t="shared" si="66"/>
        <v>#NUM!</v>
      </c>
    </row>
    <row r="741" spans="1:11">
      <c r="A741" s="97">
        <f t="shared" si="61"/>
        <v>735</v>
      </c>
      <c r="B741" s="98"/>
      <c r="C741" s="99"/>
      <c r="D741" s="100"/>
      <c r="E741" s="858" t="s">
        <v>190</v>
      </c>
      <c r="F741" s="101"/>
      <c r="G741" s="259"/>
      <c r="H741" s="263">
        <f t="shared" si="63"/>
        <v>0</v>
      </c>
      <c r="I741" s="169" t="e">
        <f t="shared" si="64"/>
        <v>#NUM!</v>
      </c>
      <c r="J741" s="169" t="e">
        <f t="shared" si="65"/>
        <v>#NUM!</v>
      </c>
      <c r="K741" s="169" t="e">
        <f t="shared" si="66"/>
        <v>#NUM!</v>
      </c>
    </row>
    <row r="742" spans="1:11">
      <c r="A742" s="97">
        <f t="shared" si="61"/>
        <v>736</v>
      </c>
      <c r="B742" s="98"/>
      <c r="C742" s="99"/>
      <c r="D742" s="100"/>
      <c r="E742" s="858" t="s">
        <v>190</v>
      </c>
      <c r="F742" s="101"/>
      <c r="G742" s="259"/>
      <c r="H742" s="263">
        <f t="shared" si="63"/>
        <v>0</v>
      </c>
      <c r="I742" s="169" t="e">
        <f t="shared" si="64"/>
        <v>#NUM!</v>
      </c>
      <c r="J742" s="169" t="e">
        <f t="shared" si="65"/>
        <v>#NUM!</v>
      </c>
      <c r="K742" s="169" t="e">
        <f t="shared" si="66"/>
        <v>#NUM!</v>
      </c>
    </row>
    <row r="743" spans="1:11">
      <c r="A743" s="97">
        <f t="shared" si="61"/>
        <v>737</v>
      </c>
      <c r="B743" s="98"/>
      <c r="C743" s="99"/>
      <c r="D743" s="100"/>
      <c r="E743" s="858" t="s">
        <v>190</v>
      </c>
      <c r="F743" s="101"/>
      <c r="G743" s="259"/>
      <c r="H743" s="263">
        <f t="shared" si="63"/>
        <v>0</v>
      </c>
      <c r="I743" s="169" t="e">
        <f t="shared" si="64"/>
        <v>#NUM!</v>
      </c>
      <c r="J743" s="169" t="e">
        <f t="shared" si="65"/>
        <v>#NUM!</v>
      </c>
      <c r="K743" s="169" t="e">
        <f t="shared" si="66"/>
        <v>#NUM!</v>
      </c>
    </row>
    <row r="744" spans="1:11">
      <c r="A744" s="97">
        <f t="shared" si="61"/>
        <v>738</v>
      </c>
      <c r="B744" s="98"/>
      <c r="C744" s="99"/>
      <c r="D744" s="100"/>
      <c r="E744" s="858" t="s">
        <v>190</v>
      </c>
      <c r="F744" s="101"/>
      <c r="G744" s="259"/>
      <c r="H744" s="263">
        <f t="shared" si="63"/>
        <v>0</v>
      </c>
      <c r="I744" s="169" t="e">
        <f t="shared" si="64"/>
        <v>#NUM!</v>
      </c>
      <c r="J744" s="169" t="e">
        <f t="shared" si="65"/>
        <v>#NUM!</v>
      </c>
      <c r="K744" s="169" t="e">
        <f t="shared" si="66"/>
        <v>#NUM!</v>
      </c>
    </row>
    <row r="745" spans="1:11">
      <c r="A745" s="97">
        <f t="shared" si="61"/>
        <v>739</v>
      </c>
      <c r="B745" s="98"/>
      <c r="C745" s="99"/>
      <c r="D745" s="100"/>
      <c r="E745" s="858" t="s">
        <v>190</v>
      </c>
      <c r="F745" s="101"/>
      <c r="G745" s="259"/>
      <c r="H745" s="263">
        <f t="shared" si="63"/>
        <v>0</v>
      </c>
      <c r="I745" s="169" t="e">
        <f t="shared" si="64"/>
        <v>#NUM!</v>
      </c>
      <c r="J745" s="169" t="e">
        <f t="shared" si="65"/>
        <v>#NUM!</v>
      </c>
      <c r="K745" s="169" t="e">
        <f t="shared" si="66"/>
        <v>#NUM!</v>
      </c>
    </row>
    <row r="746" spans="1:11">
      <c r="A746" s="97">
        <f t="shared" si="61"/>
        <v>740</v>
      </c>
      <c r="B746" s="98"/>
      <c r="C746" s="99"/>
      <c r="D746" s="100"/>
      <c r="E746" s="858" t="s">
        <v>190</v>
      </c>
      <c r="F746" s="101"/>
      <c r="G746" s="259"/>
      <c r="H746" s="263">
        <f t="shared" si="63"/>
        <v>0</v>
      </c>
      <c r="I746" s="169" t="e">
        <f t="shared" si="64"/>
        <v>#NUM!</v>
      </c>
      <c r="J746" s="169" t="e">
        <f t="shared" si="65"/>
        <v>#NUM!</v>
      </c>
      <c r="K746" s="169" t="e">
        <f t="shared" si="66"/>
        <v>#NUM!</v>
      </c>
    </row>
    <row r="747" spans="1:11">
      <c r="A747" s="97">
        <f t="shared" si="61"/>
        <v>741</v>
      </c>
      <c r="B747" s="98"/>
      <c r="C747" s="99"/>
      <c r="D747" s="100"/>
      <c r="E747" s="858" t="s">
        <v>190</v>
      </c>
      <c r="F747" s="101"/>
      <c r="G747" s="259"/>
      <c r="H747" s="263">
        <f t="shared" si="63"/>
        <v>0</v>
      </c>
      <c r="I747" s="169" t="e">
        <f t="shared" si="64"/>
        <v>#NUM!</v>
      </c>
      <c r="J747" s="169" t="e">
        <f t="shared" si="65"/>
        <v>#NUM!</v>
      </c>
      <c r="K747" s="169" t="e">
        <f t="shared" si="66"/>
        <v>#NUM!</v>
      </c>
    </row>
    <row r="748" spans="1:11">
      <c r="A748" s="97">
        <f t="shared" si="61"/>
        <v>742</v>
      </c>
      <c r="B748" s="98"/>
      <c r="C748" s="99"/>
      <c r="D748" s="100"/>
      <c r="E748" s="858" t="s">
        <v>190</v>
      </c>
      <c r="F748" s="101"/>
      <c r="G748" s="259"/>
      <c r="H748" s="263">
        <f t="shared" si="63"/>
        <v>0</v>
      </c>
      <c r="I748" s="169" t="e">
        <f t="shared" si="64"/>
        <v>#NUM!</v>
      </c>
      <c r="J748" s="169" t="e">
        <f t="shared" si="65"/>
        <v>#NUM!</v>
      </c>
      <c r="K748" s="169" t="e">
        <f t="shared" si="66"/>
        <v>#NUM!</v>
      </c>
    </row>
    <row r="749" spans="1:11">
      <c r="A749" s="97">
        <f t="shared" si="61"/>
        <v>743</v>
      </c>
      <c r="B749" s="98"/>
      <c r="C749" s="99"/>
      <c r="D749" s="100"/>
      <c r="E749" s="858" t="s">
        <v>190</v>
      </c>
      <c r="F749" s="101"/>
      <c r="G749" s="259"/>
      <c r="H749" s="263">
        <f t="shared" si="63"/>
        <v>0</v>
      </c>
      <c r="I749" s="169" t="e">
        <f t="shared" si="64"/>
        <v>#NUM!</v>
      </c>
      <c r="J749" s="169" t="e">
        <f t="shared" si="65"/>
        <v>#NUM!</v>
      </c>
      <c r="K749" s="169" t="e">
        <f t="shared" si="66"/>
        <v>#NUM!</v>
      </c>
    </row>
    <row r="750" spans="1:11">
      <c r="A750" s="97">
        <f t="shared" si="61"/>
        <v>744</v>
      </c>
      <c r="B750" s="98"/>
      <c r="C750" s="99"/>
      <c r="D750" s="100"/>
      <c r="E750" s="858" t="s">
        <v>190</v>
      </c>
      <c r="F750" s="101"/>
      <c r="G750" s="259"/>
      <c r="H750" s="263">
        <f t="shared" si="63"/>
        <v>0</v>
      </c>
      <c r="I750" s="169" t="e">
        <f t="shared" si="64"/>
        <v>#NUM!</v>
      </c>
      <c r="J750" s="169" t="e">
        <f t="shared" si="65"/>
        <v>#NUM!</v>
      </c>
      <c r="K750" s="169" t="e">
        <f t="shared" si="66"/>
        <v>#NUM!</v>
      </c>
    </row>
    <row r="751" spans="1:11">
      <c r="A751" s="97">
        <f t="shared" si="61"/>
        <v>745</v>
      </c>
      <c r="B751" s="98"/>
      <c r="C751" s="99"/>
      <c r="D751" s="100"/>
      <c r="E751" s="858" t="s">
        <v>190</v>
      </c>
      <c r="F751" s="101"/>
      <c r="G751" s="259"/>
      <c r="H751" s="263">
        <f t="shared" si="63"/>
        <v>0</v>
      </c>
      <c r="I751" s="169" t="e">
        <f t="shared" si="64"/>
        <v>#NUM!</v>
      </c>
      <c r="J751" s="169" t="e">
        <f t="shared" si="65"/>
        <v>#NUM!</v>
      </c>
      <c r="K751" s="169" t="e">
        <f t="shared" si="66"/>
        <v>#NUM!</v>
      </c>
    </row>
    <row r="752" spans="1:11">
      <c r="A752" s="97">
        <f t="shared" si="61"/>
        <v>746</v>
      </c>
      <c r="B752" s="98"/>
      <c r="C752" s="99"/>
      <c r="D752" s="100"/>
      <c r="E752" s="858" t="s">
        <v>190</v>
      </c>
      <c r="F752" s="101"/>
      <c r="G752" s="259"/>
      <c r="H752" s="263">
        <f t="shared" si="63"/>
        <v>0</v>
      </c>
      <c r="I752" s="169" t="e">
        <f t="shared" si="64"/>
        <v>#NUM!</v>
      </c>
      <c r="J752" s="169" t="e">
        <f t="shared" si="65"/>
        <v>#NUM!</v>
      </c>
      <c r="K752" s="169" t="e">
        <f t="shared" si="66"/>
        <v>#NUM!</v>
      </c>
    </row>
    <row r="753" spans="1:11">
      <c r="A753" s="97">
        <f t="shared" si="61"/>
        <v>747</v>
      </c>
      <c r="B753" s="98"/>
      <c r="C753" s="99"/>
      <c r="D753" s="100"/>
      <c r="E753" s="858" t="s">
        <v>190</v>
      </c>
      <c r="F753" s="101"/>
      <c r="G753" s="259"/>
      <c r="H753" s="263">
        <f t="shared" si="63"/>
        <v>0</v>
      </c>
      <c r="I753" s="169" t="e">
        <f t="shared" si="64"/>
        <v>#NUM!</v>
      </c>
      <c r="J753" s="169" t="e">
        <f t="shared" si="65"/>
        <v>#NUM!</v>
      </c>
      <c r="K753" s="169" t="e">
        <f t="shared" si="66"/>
        <v>#NUM!</v>
      </c>
    </row>
    <row r="754" spans="1:11">
      <c r="A754" s="97">
        <f t="shared" si="61"/>
        <v>748</v>
      </c>
      <c r="B754" s="98"/>
      <c r="C754" s="99"/>
      <c r="D754" s="100"/>
      <c r="E754" s="858" t="s">
        <v>190</v>
      </c>
      <c r="F754" s="101"/>
      <c r="G754" s="259"/>
      <c r="H754" s="263">
        <f t="shared" si="63"/>
        <v>0</v>
      </c>
      <c r="I754" s="169" t="e">
        <f t="shared" si="64"/>
        <v>#NUM!</v>
      </c>
      <c r="J754" s="169" t="e">
        <f t="shared" si="65"/>
        <v>#NUM!</v>
      </c>
      <c r="K754" s="169" t="e">
        <f t="shared" si="66"/>
        <v>#NUM!</v>
      </c>
    </row>
    <row r="755" spans="1:11">
      <c r="A755" s="97">
        <f t="shared" si="61"/>
        <v>749</v>
      </c>
      <c r="B755" s="98"/>
      <c r="C755" s="99"/>
      <c r="D755" s="100"/>
      <c r="E755" s="858" t="s">
        <v>190</v>
      </c>
      <c r="F755" s="101"/>
      <c r="G755" s="259"/>
      <c r="H755" s="263">
        <f t="shared" si="63"/>
        <v>0</v>
      </c>
      <c r="I755" s="169" t="e">
        <f t="shared" si="64"/>
        <v>#NUM!</v>
      </c>
      <c r="J755" s="169" t="e">
        <f t="shared" si="65"/>
        <v>#NUM!</v>
      </c>
      <c r="K755" s="169" t="e">
        <f t="shared" si="66"/>
        <v>#NUM!</v>
      </c>
    </row>
    <row r="756" spans="1:11">
      <c r="A756" s="97">
        <f t="shared" si="61"/>
        <v>750</v>
      </c>
      <c r="B756" s="98"/>
      <c r="C756" s="99"/>
      <c r="D756" s="100"/>
      <c r="E756" s="858" t="s">
        <v>190</v>
      </c>
      <c r="F756" s="101"/>
      <c r="G756" s="259"/>
      <c r="H756" s="263">
        <f t="shared" si="63"/>
        <v>0</v>
      </c>
      <c r="I756" s="169" t="e">
        <f t="shared" si="64"/>
        <v>#NUM!</v>
      </c>
      <c r="J756" s="169" t="e">
        <f t="shared" si="65"/>
        <v>#NUM!</v>
      </c>
      <c r="K756" s="169" t="e">
        <f t="shared" si="66"/>
        <v>#NUM!</v>
      </c>
    </row>
    <row r="757" spans="1:11">
      <c r="A757" s="97">
        <f t="shared" si="61"/>
        <v>751</v>
      </c>
      <c r="B757" s="98"/>
      <c r="C757" s="99"/>
      <c r="D757" s="100"/>
      <c r="E757" s="858" t="s">
        <v>190</v>
      </c>
      <c r="F757" s="101"/>
      <c r="G757" s="259"/>
      <c r="H757" s="263">
        <f t="shared" si="63"/>
        <v>0</v>
      </c>
      <c r="I757" s="169" t="e">
        <f t="shared" si="64"/>
        <v>#NUM!</v>
      </c>
      <c r="J757" s="169" t="e">
        <f t="shared" si="65"/>
        <v>#NUM!</v>
      </c>
      <c r="K757" s="169" t="e">
        <f t="shared" si="66"/>
        <v>#NUM!</v>
      </c>
    </row>
    <row r="758" spans="1:11">
      <c r="A758" s="97">
        <f t="shared" si="61"/>
        <v>752</v>
      </c>
      <c r="B758" s="98"/>
      <c r="C758" s="99"/>
      <c r="D758" s="100"/>
      <c r="E758" s="858" t="s">
        <v>190</v>
      </c>
      <c r="F758" s="101"/>
      <c r="G758" s="259"/>
      <c r="H758" s="263">
        <f t="shared" si="63"/>
        <v>0</v>
      </c>
      <c r="I758" s="169" t="e">
        <f t="shared" si="64"/>
        <v>#NUM!</v>
      </c>
      <c r="J758" s="169" t="e">
        <f t="shared" si="65"/>
        <v>#NUM!</v>
      </c>
      <c r="K758" s="169" t="e">
        <f t="shared" si="66"/>
        <v>#NUM!</v>
      </c>
    </row>
    <row r="759" spans="1:11">
      <c r="A759" s="97">
        <f t="shared" si="61"/>
        <v>753</v>
      </c>
      <c r="B759" s="98"/>
      <c r="C759" s="99"/>
      <c r="D759" s="100"/>
      <c r="E759" s="858" t="s">
        <v>190</v>
      </c>
      <c r="F759" s="101"/>
      <c r="G759" s="259"/>
      <c r="H759" s="263">
        <f t="shared" si="63"/>
        <v>0</v>
      </c>
      <c r="I759" s="169" t="e">
        <f t="shared" si="64"/>
        <v>#NUM!</v>
      </c>
      <c r="J759" s="169" t="e">
        <f t="shared" si="65"/>
        <v>#NUM!</v>
      </c>
      <c r="K759" s="169" t="e">
        <f t="shared" si="66"/>
        <v>#NUM!</v>
      </c>
    </row>
    <row r="760" spans="1:11">
      <c r="A760" s="97">
        <f t="shared" si="61"/>
        <v>754</v>
      </c>
      <c r="B760" s="98"/>
      <c r="C760" s="99"/>
      <c r="D760" s="100"/>
      <c r="E760" s="858" t="s">
        <v>190</v>
      </c>
      <c r="F760" s="101"/>
      <c r="G760" s="259"/>
      <c r="H760" s="263">
        <f t="shared" si="63"/>
        <v>0</v>
      </c>
      <c r="I760" s="169" t="e">
        <f t="shared" si="64"/>
        <v>#NUM!</v>
      </c>
      <c r="J760" s="169" t="e">
        <f t="shared" si="65"/>
        <v>#NUM!</v>
      </c>
      <c r="K760" s="169" t="e">
        <f t="shared" si="66"/>
        <v>#NUM!</v>
      </c>
    </row>
    <row r="761" spans="1:11">
      <c r="A761" s="97">
        <f t="shared" si="61"/>
        <v>755</v>
      </c>
      <c r="B761" s="98"/>
      <c r="C761" s="99"/>
      <c r="D761" s="100"/>
      <c r="E761" s="858" t="s">
        <v>190</v>
      </c>
      <c r="F761" s="101"/>
      <c r="G761" s="259"/>
      <c r="H761" s="263">
        <f t="shared" si="63"/>
        <v>0</v>
      </c>
      <c r="I761" s="169" t="e">
        <f t="shared" si="64"/>
        <v>#NUM!</v>
      </c>
      <c r="J761" s="169" t="e">
        <f t="shared" si="65"/>
        <v>#NUM!</v>
      </c>
      <c r="K761" s="169" t="e">
        <f t="shared" si="66"/>
        <v>#NUM!</v>
      </c>
    </row>
    <row r="762" spans="1:11">
      <c r="A762" s="97">
        <f t="shared" si="61"/>
        <v>756</v>
      </c>
      <c r="B762" s="98"/>
      <c r="C762" s="99"/>
      <c r="D762" s="100"/>
      <c r="E762" s="858" t="s">
        <v>190</v>
      </c>
      <c r="F762" s="101"/>
      <c r="G762" s="259"/>
      <c r="H762" s="263">
        <f t="shared" si="63"/>
        <v>0</v>
      </c>
      <c r="I762" s="169" t="e">
        <f t="shared" si="64"/>
        <v>#NUM!</v>
      </c>
      <c r="J762" s="169" t="e">
        <f t="shared" si="65"/>
        <v>#NUM!</v>
      </c>
      <c r="K762" s="169" t="e">
        <f t="shared" si="66"/>
        <v>#NUM!</v>
      </c>
    </row>
    <row r="763" spans="1:11">
      <c r="A763" s="97">
        <f t="shared" si="61"/>
        <v>757</v>
      </c>
      <c r="B763" s="98"/>
      <c r="C763" s="99"/>
      <c r="D763" s="100"/>
      <c r="E763" s="858" t="s">
        <v>190</v>
      </c>
      <c r="F763" s="101"/>
      <c r="G763" s="259"/>
      <c r="H763" s="263">
        <f t="shared" si="63"/>
        <v>0</v>
      </c>
      <c r="I763" s="169" t="e">
        <f t="shared" si="64"/>
        <v>#NUM!</v>
      </c>
      <c r="J763" s="169" t="e">
        <f t="shared" si="65"/>
        <v>#NUM!</v>
      </c>
      <c r="K763" s="169" t="e">
        <f t="shared" si="66"/>
        <v>#NUM!</v>
      </c>
    </row>
    <row r="764" spans="1:11">
      <c r="A764" s="97">
        <f t="shared" si="61"/>
        <v>758</v>
      </c>
      <c r="B764" s="98"/>
      <c r="C764" s="99"/>
      <c r="D764" s="100"/>
      <c r="E764" s="858" t="s">
        <v>190</v>
      </c>
      <c r="F764" s="101"/>
      <c r="G764" s="259"/>
      <c r="H764" s="263">
        <f t="shared" si="63"/>
        <v>0</v>
      </c>
      <c r="I764" s="169" t="e">
        <f t="shared" si="64"/>
        <v>#NUM!</v>
      </c>
      <c r="J764" s="169" t="e">
        <f t="shared" si="65"/>
        <v>#NUM!</v>
      </c>
      <c r="K764" s="169" t="e">
        <f t="shared" si="66"/>
        <v>#NUM!</v>
      </c>
    </row>
    <row r="765" spans="1:11">
      <c r="A765" s="97">
        <f t="shared" si="61"/>
        <v>759</v>
      </c>
      <c r="B765" s="98"/>
      <c r="C765" s="99"/>
      <c r="D765" s="100"/>
      <c r="E765" s="858" t="s">
        <v>190</v>
      </c>
      <c r="F765" s="101"/>
      <c r="G765" s="259"/>
      <c r="H765" s="263">
        <f t="shared" si="63"/>
        <v>0</v>
      </c>
      <c r="I765" s="169" t="e">
        <f t="shared" si="64"/>
        <v>#NUM!</v>
      </c>
      <c r="J765" s="169" t="e">
        <f t="shared" si="65"/>
        <v>#NUM!</v>
      </c>
      <c r="K765" s="169" t="e">
        <f t="shared" si="66"/>
        <v>#NUM!</v>
      </c>
    </row>
    <row r="766" spans="1:11">
      <c r="A766" s="97">
        <f t="shared" si="61"/>
        <v>760</v>
      </c>
      <c r="B766" s="98"/>
      <c r="C766" s="99"/>
      <c r="D766" s="100"/>
      <c r="E766" s="858" t="s">
        <v>190</v>
      </c>
      <c r="F766" s="101"/>
      <c r="G766" s="259"/>
      <c r="H766" s="263">
        <f t="shared" si="63"/>
        <v>0</v>
      </c>
      <c r="I766" s="169" t="e">
        <f t="shared" si="64"/>
        <v>#NUM!</v>
      </c>
      <c r="J766" s="169" t="e">
        <f t="shared" si="65"/>
        <v>#NUM!</v>
      </c>
      <c r="K766" s="169" t="e">
        <f t="shared" si="66"/>
        <v>#NUM!</v>
      </c>
    </row>
    <row r="767" spans="1:11">
      <c r="A767" s="97">
        <f t="shared" si="61"/>
        <v>761</v>
      </c>
      <c r="B767" s="98"/>
      <c r="C767" s="99"/>
      <c r="D767" s="100"/>
      <c r="E767" s="858" t="s">
        <v>190</v>
      </c>
      <c r="F767" s="101"/>
      <c r="G767" s="259"/>
      <c r="H767" s="263">
        <f t="shared" si="63"/>
        <v>0</v>
      </c>
      <c r="I767" s="169" t="e">
        <f t="shared" si="64"/>
        <v>#NUM!</v>
      </c>
      <c r="J767" s="169" t="e">
        <f t="shared" si="65"/>
        <v>#NUM!</v>
      </c>
      <c r="K767" s="169" t="e">
        <f t="shared" si="66"/>
        <v>#NUM!</v>
      </c>
    </row>
    <row r="768" spans="1:11">
      <c r="A768" s="97">
        <f t="shared" si="61"/>
        <v>762</v>
      </c>
      <c r="B768" s="98"/>
      <c r="C768" s="99"/>
      <c r="D768" s="100"/>
      <c r="E768" s="858" t="s">
        <v>190</v>
      </c>
      <c r="F768" s="101"/>
      <c r="G768" s="259"/>
      <c r="H768" s="263">
        <f t="shared" si="63"/>
        <v>0</v>
      </c>
      <c r="I768" s="169" t="e">
        <f t="shared" si="64"/>
        <v>#NUM!</v>
      </c>
      <c r="J768" s="169" t="e">
        <f t="shared" si="65"/>
        <v>#NUM!</v>
      </c>
      <c r="K768" s="169" t="e">
        <f t="shared" si="66"/>
        <v>#NUM!</v>
      </c>
    </row>
    <row r="769" spans="1:11">
      <c r="A769" s="97">
        <f t="shared" si="61"/>
        <v>763</v>
      </c>
      <c r="B769" s="98"/>
      <c r="C769" s="99"/>
      <c r="D769" s="100"/>
      <c r="E769" s="858" t="s">
        <v>190</v>
      </c>
      <c r="F769" s="101"/>
      <c r="G769" s="259"/>
      <c r="H769" s="263">
        <f t="shared" si="63"/>
        <v>0</v>
      </c>
      <c r="I769" s="169" t="e">
        <f t="shared" si="64"/>
        <v>#NUM!</v>
      </c>
      <c r="J769" s="169" t="e">
        <f t="shared" si="65"/>
        <v>#NUM!</v>
      </c>
      <c r="K769" s="169" t="e">
        <f t="shared" si="66"/>
        <v>#NUM!</v>
      </c>
    </row>
    <row r="770" spans="1:11">
      <c r="A770" s="97">
        <f t="shared" si="61"/>
        <v>764</v>
      </c>
      <c r="B770" s="98"/>
      <c r="C770" s="99"/>
      <c r="D770" s="100"/>
      <c r="E770" s="858" t="s">
        <v>190</v>
      </c>
      <c r="F770" s="101"/>
      <c r="G770" s="259"/>
      <c r="H770" s="263">
        <f t="shared" si="63"/>
        <v>0</v>
      </c>
      <c r="I770" s="169" t="e">
        <f t="shared" si="64"/>
        <v>#NUM!</v>
      </c>
      <c r="J770" s="169" t="e">
        <f t="shared" si="65"/>
        <v>#NUM!</v>
      </c>
      <c r="K770" s="169" t="e">
        <f t="shared" si="66"/>
        <v>#NUM!</v>
      </c>
    </row>
    <row r="771" spans="1:11">
      <c r="A771" s="97">
        <f t="shared" si="61"/>
        <v>765</v>
      </c>
      <c r="B771" s="98"/>
      <c r="C771" s="99"/>
      <c r="D771" s="100"/>
      <c r="E771" s="858" t="s">
        <v>190</v>
      </c>
      <c r="F771" s="101"/>
      <c r="G771" s="259"/>
      <c r="H771" s="263">
        <f t="shared" si="63"/>
        <v>0</v>
      </c>
      <c r="I771" s="169" t="e">
        <f t="shared" si="64"/>
        <v>#NUM!</v>
      </c>
      <c r="J771" s="169" t="e">
        <f t="shared" si="65"/>
        <v>#NUM!</v>
      </c>
      <c r="K771" s="169" t="e">
        <f t="shared" si="66"/>
        <v>#NUM!</v>
      </c>
    </row>
    <row r="772" spans="1:11">
      <c r="A772" s="97">
        <f t="shared" si="61"/>
        <v>766</v>
      </c>
      <c r="B772" s="98"/>
      <c r="C772" s="99"/>
      <c r="D772" s="100"/>
      <c r="E772" s="858" t="s">
        <v>190</v>
      </c>
      <c r="F772" s="101"/>
      <c r="G772" s="259"/>
      <c r="H772" s="263">
        <f t="shared" si="63"/>
        <v>0</v>
      </c>
      <c r="I772" s="169" t="e">
        <f t="shared" si="64"/>
        <v>#NUM!</v>
      </c>
      <c r="J772" s="169" t="e">
        <f t="shared" si="65"/>
        <v>#NUM!</v>
      </c>
      <c r="K772" s="169" t="e">
        <f t="shared" si="66"/>
        <v>#NUM!</v>
      </c>
    </row>
    <row r="773" spans="1:11">
      <c r="A773" s="97">
        <f t="shared" si="61"/>
        <v>767</v>
      </c>
      <c r="B773" s="98"/>
      <c r="C773" s="99"/>
      <c r="D773" s="100"/>
      <c r="E773" s="858" t="s">
        <v>190</v>
      </c>
      <c r="F773" s="101"/>
      <c r="G773" s="259"/>
      <c r="H773" s="263">
        <f t="shared" si="63"/>
        <v>0</v>
      </c>
      <c r="I773" s="169" t="e">
        <f t="shared" si="64"/>
        <v>#NUM!</v>
      </c>
      <c r="J773" s="169" t="e">
        <f t="shared" si="65"/>
        <v>#NUM!</v>
      </c>
      <c r="K773" s="169" t="e">
        <f t="shared" si="66"/>
        <v>#NUM!</v>
      </c>
    </row>
    <row r="774" spans="1:11">
      <c r="A774" s="97">
        <f t="shared" si="61"/>
        <v>768</v>
      </c>
      <c r="B774" s="98"/>
      <c r="C774" s="99"/>
      <c r="D774" s="100"/>
      <c r="E774" s="858" t="s">
        <v>190</v>
      </c>
      <c r="F774" s="101"/>
      <c r="G774" s="259"/>
      <c r="H774" s="263">
        <f t="shared" si="63"/>
        <v>0</v>
      </c>
      <c r="I774" s="169" t="e">
        <f t="shared" si="64"/>
        <v>#NUM!</v>
      </c>
      <c r="J774" s="169" t="e">
        <f t="shared" si="65"/>
        <v>#NUM!</v>
      </c>
      <c r="K774" s="169" t="e">
        <f t="shared" si="66"/>
        <v>#NUM!</v>
      </c>
    </row>
    <row r="775" spans="1:11">
      <c r="A775" s="97">
        <f t="shared" si="61"/>
        <v>769</v>
      </c>
      <c r="B775" s="98"/>
      <c r="C775" s="99"/>
      <c r="D775" s="100"/>
      <c r="E775" s="858" t="s">
        <v>190</v>
      </c>
      <c r="F775" s="101"/>
      <c r="G775" s="259"/>
      <c r="H775" s="263">
        <f t="shared" si="63"/>
        <v>0</v>
      </c>
      <c r="I775" s="169" t="e">
        <f t="shared" si="64"/>
        <v>#NUM!</v>
      </c>
      <c r="J775" s="169" t="e">
        <f t="shared" si="65"/>
        <v>#NUM!</v>
      </c>
      <c r="K775" s="169" t="e">
        <f t="shared" si="66"/>
        <v>#NUM!</v>
      </c>
    </row>
    <row r="776" spans="1:11">
      <c r="A776" s="97">
        <f t="shared" si="61"/>
        <v>770</v>
      </c>
      <c r="B776" s="98"/>
      <c r="C776" s="99"/>
      <c r="D776" s="100"/>
      <c r="E776" s="858" t="s">
        <v>190</v>
      </c>
      <c r="F776" s="101"/>
      <c r="G776" s="259"/>
      <c r="H776" s="263">
        <f t="shared" si="63"/>
        <v>0</v>
      </c>
      <c r="I776" s="169" t="e">
        <f t="shared" si="64"/>
        <v>#NUM!</v>
      </c>
      <c r="J776" s="169" t="e">
        <f t="shared" si="65"/>
        <v>#NUM!</v>
      </c>
      <c r="K776" s="169" t="e">
        <f t="shared" si="66"/>
        <v>#NUM!</v>
      </c>
    </row>
    <row r="777" spans="1:11">
      <c r="A777" s="97">
        <f t="shared" ref="A777:A800" si="67">+A776+1</f>
        <v>771</v>
      </c>
      <c r="B777" s="98"/>
      <c r="C777" s="99"/>
      <c r="D777" s="100"/>
      <c r="E777" s="858" t="s">
        <v>190</v>
      </c>
      <c r="F777" s="101"/>
      <c r="G777" s="259"/>
      <c r="H777" s="263">
        <f t="shared" si="63"/>
        <v>0</v>
      </c>
      <c r="I777" s="169" t="e">
        <f t="shared" si="64"/>
        <v>#NUM!</v>
      </c>
      <c r="J777" s="169" t="e">
        <f t="shared" si="65"/>
        <v>#NUM!</v>
      </c>
      <c r="K777" s="169" t="e">
        <f t="shared" si="66"/>
        <v>#NUM!</v>
      </c>
    </row>
    <row r="778" spans="1:11">
      <c r="A778" s="97">
        <f t="shared" si="67"/>
        <v>772</v>
      </c>
      <c r="B778" s="98"/>
      <c r="C778" s="99"/>
      <c r="D778" s="100"/>
      <c r="E778" s="858" t="s">
        <v>190</v>
      </c>
      <c r="F778" s="101"/>
      <c r="G778" s="259"/>
      <c r="H778" s="263">
        <f t="shared" si="63"/>
        <v>0</v>
      </c>
      <c r="I778" s="169" t="e">
        <f t="shared" si="64"/>
        <v>#NUM!</v>
      </c>
      <c r="J778" s="169" t="e">
        <f t="shared" si="65"/>
        <v>#NUM!</v>
      </c>
      <c r="K778" s="169" t="e">
        <f t="shared" si="66"/>
        <v>#NUM!</v>
      </c>
    </row>
    <row r="779" spans="1:11">
      <c r="A779" s="97">
        <f t="shared" si="67"/>
        <v>773</v>
      </c>
      <c r="B779" s="98"/>
      <c r="C779" s="99"/>
      <c r="D779" s="100"/>
      <c r="E779" s="858" t="s">
        <v>190</v>
      </c>
      <c r="F779" s="101"/>
      <c r="G779" s="259"/>
      <c r="H779" s="263">
        <f t="shared" si="63"/>
        <v>0</v>
      </c>
      <c r="I779" s="169" t="e">
        <f t="shared" si="64"/>
        <v>#NUM!</v>
      </c>
      <c r="J779" s="169" t="e">
        <f t="shared" si="65"/>
        <v>#NUM!</v>
      </c>
      <c r="K779" s="169" t="e">
        <f t="shared" si="66"/>
        <v>#NUM!</v>
      </c>
    </row>
    <row r="780" spans="1:11">
      <c r="A780" s="97">
        <f t="shared" si="67"/>
        <v>774</v>
      </c>
      <c r="B780" s="98"/>
      <c r="C780" s="99"/>
      <c r="D780" s="100"/>
      <c r="E780" s="858" t="s">
        <v>190</v>
      </c>
      <c r="F780" s="101"/>
      <c r="G780" s="259"/>
      <c r="H780" s="263">
        <f t="shared" si="63"/>
        <v>0</v>
      </c>
      <c r="I780" s="169" t="e">
        <f t="shared" si="64"/>
        <v>#NUM!</v>
      </c>
      <c r="J780" s="169" t="e">
        <f t="shared" si="65"/>
        <v>#NUM!</v>
      </c>
      <c r="K780" s="169" t="e">
        <f t="shared" si="66"/>
        <v>#NUM!</v>
      </c>
    </row>
    <row r="781" spans="1:11">
      <c r="A781" s="97">
        <f t="shared" si="67"/>
        <v>775</v>
      </c>
      <c r="B781" s="98"/>
      <c r="C781" s="99"/>
      <c r="D781" s="100"/>
      <c r="E781" s="858" t="s">
        <v>190</v>
      </c>
      <c r="F781" s="101"/>
      <c r="G781" s="259"/>
      <c r="H781" s="263">
        <f t="shared" si="63"/>
        <v>0</v>
      </c>
      <c r="I781" s="169" t="e">
        <f t="shared" si="64"/>
        <v>#NUM!</v>
      </c>
      <c r="J781" s="169" t="e">
        <f t="shared" si="65"/>
        <v>#NUM!</v>
      </c>
      <c r="K781" s="169" t="e">
        <f t="shared" si="66"/>
        <v>#NUM!</v>
      </c>
    </row>
    <row r="782" spans="1:11">
      <c r="A782" s="97">
        <f t="shared" si="67"/>
        <v>776</v>
      </c>
      <c r="B782" s="98"/>
      <c r="C782" s="99"/>
      <c r="D782" s="100"/>
      <c r="E782" s="858" t="s">
        <v>190</v>
      </c>
      <c r="F782" s="101"/>
      <c r="G782" s="259"/>
      <c r="H782" s="263">
        <f t="shared" si="63"/>
        <v>0</v>
      </c>
      <c r="I782" s="169" t="e">
        <f t="shared" si="64"/>
        <v>#NUM!</v>
      </c>
      <c r="J782" s="169" t="e">
        <f t="shared" si="65"/>
        <v>#NUM!</v>
      </c>
      <c r="K782" s="169" t="e">
        <f t="shared" si="66"/>
        <v>#NUM!</v>
      </c>
    </row>
    <row r="783" spans="1:11">
      <c r="A783" s="97">
        <f t="shared" si="67"/>
        <v>777</v>
      </c>
      <c r="B783" s="98"/>
      <c r="C783" s="99"/>
      <c r="D783" s="100"/>
      <c r="E783" s="858" t="s">
        <v>190</v>
      </c>
      <c r="F783" s="101"/>
      <c r="G783" s="259"/>
      <c r="H783" s="263">
        <f t="shared" ref="H783:H800" si="68">+(F783/1760)*G783</f>
        <v>0</v>
      </c>
      <c r="I783" s="169" t="e">
        <f t="shared" ref="I783:I800" si="69">LN(F783)</f>
        <v>#NUM!</v>
      </c>
      <c r="J783" s="169" t="e">
        <f t="shared" ref="J783:J800" si="70">LN(G783)</f>
        <v>#NUM!</v>
      </c>
      <c r="K783" s="169" t="e">
        <f t="shared" ref="K783:K800" si="71">LN(H783)</f>
        <v>#NUM!</v>
      </c>
    </row>
    <row r="784" spans="1:11">
      <c r="A784" s="97">
        <f t="shared" si="67"/>
        <v>778</v>
      </c>
      <c r="B784" s="98"/>
      <c r="C784" s="99"/>
      <c r="D784" s="100"/>
      <c r="E784" s="858" t="s">
        <v>190</v>
      </c>
      <c r="F784" s="101"/>
      <c r="G784" s="259"/>
      <c r="H784" s="263">
        <f t="shared" si="68"/>
        <v>0</v>
      </c>
      <c r="I784" s="169" t="e">
        <f t="shared" si="69"/>
        <v>#NUM!</v>
      </c>
      <c r="J784" s="169" t="e">
        <f t="shared" si="70"/>
        <v>#NUM!</v>
      </c>
      <c r="K784" s="169" t="e">
        <f t="shared" si="71"/>
        <v>#NUM!</v>
      </c>
    </row>
    <row r="785" spans="1:11">
      <c r="A785" s="97">
        <f t="shared" si="67"/>
        <v>779</v>
      </c>
      <c r="B785" s="98"/>
      <c r="C785" s="99"/>
      <c r="D785" s="100"/>
      <c r="E785" s="858" t="s">
        <v>190</v>
      </c>
      <c r="F785" s="101"/>
      <c r="G785" s="259"/>
      <c r="H785" s="263">
        <f t="shared" si="68"/>
        <v>0</v>
      </c>
      <c r="I785" s="169" t="e">
        <f t="shared" si="69"/>
        <v>#NUM!</v>
      </c>
      <c r="J785" s="169" t="e">
        <f t="shared" si="70"/>
        <v>#NUM!</v>
      </c>
      <c r="K785" s="169" t="e">
        <f t="shared" si="71"/>
        <v>#NUM!</v>
      </c>
    </row>
    <row r="786" spans="1:11">
      <c r="A786" s="97">
        <f t="shared" si="67"/>
        <v>780</v>
      </c>
      <c r="B786" s="98"/>
      <c r="C786" s="99"/>
      <c r="D786" s="100"/>
      <c r="E786" s="858" t="s">
        <v>190</v>
      </c>
      <c r="F786" s="101"/>
      <c r="G786" s="259"/>
      <c r="H786" s="263">
        <f t="shared" si="68"/>
        <v>0</v>
      </c>
      <c r="I786" s="169" t="e">
        <f t="shared" si="69"/>
        <v>#NUM!</v>
      </c>
      <c r="J786" s="169" t="e">
        <f t="shared" si="70"/>
        <v>#NUM!</v>
      </c>
      <c r="K786" s="169" t="e">
        <f t="shared" si="71"/>
        <v>#NUM!</v>
      </c>
    </row>
    <row r="787" spans="1:11">
      <c r="A787" s="97">
        <f t="shared" si="67"/>
        <v>781</v>
      </c>
      <c r="B787" s="98"/>
      <c r="C787" s="99"/>
      <c r="D787" s="100"/>
      <c r="E787" s="858" t="s">
        <v>190</v>
      </c>
      <c r="F787" s="101"/>
      <c r="G787" s="259"/>
      <c r="H787" s="263">
        <f t="shared" si="68"/>
        <v>0</v>
      </c>
      <c r="I787" s="169" t="e">
        <f t="shared" si="69"/>
        <v>#NUM!</v>
      </c>
      <c r="J787" s="169" t="e">
        <f t="shared" si="70"/>
        <v>#NUM!</v>
      </c>
      <c r="K787" s="169" t="e">
        <f t="shared" si="71"/>
        <v>#NUM!</v>
      </c>
    </row>
    <row r="788" spans="1:11">
      <c r="A788" s="97">
        <f t="shared" si="67"/>
        <v>782</v>
      </c>
      <c r="B788" s="98"/>
      <c r="C788" s="99"/>
      <c r="D788" s="100"/>
      <c r="E788" s="858" t="s">
        <v>190</v>
      </c>
      <c r="F788" s="101"/>
      <c r="G788" s="259"/>
      <c r="H788" s="263">
        <f t="shared" si="68"/>
        <v>0</v>
      </c>
      <c r="I788" s="169" t="e">
        <f t="shared" si="69"/>
        <v>#NUM!</v>
      </c>
      <c r="J788" s="169" t="e">
        <f t="shared" si="70"/>
        <v>#NUM!</v>
      </c>
      <c r="K788" s="169" t="e">
        <f t="shared" si="71"/>
        <v>#NUM!</v>
      </c>
    </row>
    <row r="789" spans="1:11">
      <c r="A789" s="97">
        <f t="shared" si="67"/>
        <v>783</v>
      </c>
      <c r="B789" s="98"/>
      <c r="C789" s="99"/>
      <c r="D789" s="100"/>
      <c r="E789" s="858" t="s">
        <v>190</v>
      </c>
      <c r="F789" s="101"/>
      <c r="G789" s="259"/>
      <c r="H789" s="263">
        <f t="shared" si="68"/>
        <v>0</v>
      </c>
      <c r="I789" s="169" t="e">
        <f t="shared" si="69"/>
        <v>#NUM!</v>
      </c>
      <c r="J789" s="169" t="e">
        <f t="shared" si="70"/>
        <v>#NUM!</v>
      </c>
      <c r="K789" s="169" t="e">
        <f t="shared" si="71"/>
        <v>#NUM!</v>
      </c>
    </row>
    <row r="790" spans="1:11">
      <c r="A790" s="97">
        <f t="shared" si="67"/>
        <v>784</v>
      </c>
      <c r="B790" s="98"/>
      <c r="C790" s="99"/>
      <c r="D790" s="100"/>
      <c r="E790" s="858" t="s">
        <v>190</v>
      </c>
      <c r="F790" s="101"/>
      <c r="G790" s="259"/>
      <c r="H790" s="263">
        <f t="shared" si="68"/>
        <v>0</v>
      </c>
      <c r="I790" s="169" t="e">
        <f t="shared" si="69"/>
        <v>#NUM!</v>
      </c>
      <c r="J790" s="169" t="e">
        <f t="shared" si="70"/>
        <v>#NUM!</v>
      </c>
      <c r="K790" s="169" t="e">
        <f t="shared" si="71"/>
        <v>#NUM!</v>
      </c>
    </row>
    <row r="791" spans="1:11">
      <c r="A791" s="97">
        <f t="shared" si="67"/>
        <v>785</v>
      </c>
      <c r="B791" s="98"/>
      <c r="C791" s="99"/>
      <c r="D791" s="100"/>
      <c r="E791" s="858" t="s">
        <v>190</v>
      </c>
      <c r="F791" s="101"/>
      <c r="G791" s="259"/>
      <c r="H791" s="263">
        <f t="shared" si="68"/>
        <v>0</v>
      </c>
      <c r="I791" s="169" t="e">
        <f t="shared" si="69"/>
        <v>#NUM!</v>
      </c>
      <c r="J791" s="169" t="e">
        <f t="shared" si="70"/>
        <v>#NUM!</v>
      </c>
      <c r="K791" s="169" t="e">
        <f t="shared" si="71"/>
        <v>#NUM!</v>
      </c>
    </row>
    <row r="792" spans="1:11">
      <c r="A792" s="97">
        <f t="shared" si="67"/>
        <v>786</v>
      </c>
      <c r="B792" s="98"/>
      <c r="C792" s="99"/>
      <c r="D792" s="100"/>
      <c r="E792" s="858" t="s">
        <v>190</v>
      </c>
      <c r="F792" s="101"/>
      <c r="G792" s="259"/>
      <c r="H792" s="263">
        <f t="shared" si="68"/>
        <v>0</v>
      </c>
      <c r="I792" s="169" t="e">
        <f t="shared" si="69"/>
        <v>#NUM!</v>
      </c>
      <c r="J792" s="169" t="e">
        <f t="shared" si="70"/>
        <v>#NUM!</v>
      </c>
      <c r="K792" s="169" t="e">
        <f t="shared" si="71"/>
        <v>#NUM!</v>
      </c>
    </row>
    <row r="793" spans="1:11">
      <c r="A793" s="97">
        <f t="shared" si="67"/>
        <v>787</v>
      </c>
      <c r="B793" s="98"/>
      <c r="C793" s="99"/>
      <c r="D793" s="100"/>
      <c r="E793" s="858" t="s">
        <v>190</v>
      </c>
      <c r="F793" s="101"/>
      <c r="G793" s="259"/>
      <c r="H793" s="263">
        <f t="shared" si="68"/>
        <v>0</v>
      </c>
      <c r="I793" s="169" t="e">
        <f t="shared" si="69"/>
        <v>#NUM!</v>
      </c>
      <c r="J793" s="169" t="e">
        <f t="shared" si="70"/>
        <v>#NUM!</v>
      </c>
      <c r="K793" s="169" t="e">
        <f t="shared" si="71"/>
        <v>#NUM!</v>
      </c>
    </row>
    <row r="794" spans="1:11">
      <c r="A794" s="97">
        <f t="shared" si="67"/>
        <v>788</v>
      </c>
      <c r="B794" s="98"/>
      <c r="C794" s="99"/>
      <c r="D794" s="100"/>
      <c r="E794" s="858" t="s">
        <v>190</v>
      </c>
      <c r="F794" s="101"/>
      <c r="G794" s="259"/>
      <c r="H794" s="263">
        <f t="shared" si="68"/>
        <v>0</v>
      </c>
      <c r="I794" s="169" t="e">
        <f t="shared" si="69"/>
        <v>#NUM!</v>
      </c>
      <c r="J794" s="169" t="e">
        <f t="shared" si="70"/>
        <v>#NUM!</v>
      </c>
      <c r="K794" s="169" t="e">
        <f t="shared" si="71"/>
        <v>#NUM!</v>
      </c>
    </row>
    <row r="795" spans="1:11">
      <c r="A795" s="97">
        <f t="shared" si="67"/>
        <v>789</v>
      </c>
      <c r="B795" s="98"/>
      <c r="C795" s="99"/>
      <c r="D795" s="100"/>
      <c r="E795" s="858" t="s">
        <v>190</v>
      </c>
      <c r="F795" s="101"/>
      <c r="G795" s="259"/>
      <c r="H795" s="263">
        <f t="shared" si="68"/>
        <v>0</v>
      </c>
      <c r="I795" s="169" t="e">
        <f t="shared" si="69"/>
        <v>#NUM!</v>
      </c>
      <c r="J795" s="169" t="e">
        <f t="shared" si="70"/>
        <v>#NUM!</v>
      </c>
      <c r="K795" s="169" t="e">
        <f t="shared" si="71"/>
        <v>#NUM!</v>
      </c>
    </row>
    <row r="796" spans="1:11">
      <c r="A796" s="97">
        <f t="shared" si="67"/>
        <v>790</v>
      </c>
      <c r="B796" s="98"/>
      <c r="C796" s="99"/>
      <c r="D796" s="100"/>
      <c r="E796" s="858" t="s">
        <v>190</v>
      </c>
      <c r="F796" s="101"/>
      <c r="G796" s="259"/>
      <c r="H796" s="263">
        <f t="shared" si="68"/>
        <v>0</v>
      </c>
      <c r="I796" s="169" t="e">
        <f t="shared" si="69"/>
        <v>#NUM!</v>
      </c>
      <c r="J796" s="169" t="e">
        <f t="shared" si="70"/>
        <v>#NUM!</v>
      </c>
      <c r="K796" s="169" t="e">
        <f t="shared" si="71"/>
        <v>#NUM!</v>
      </c>
    </row>
    <row r="797" spans="1:11">
      <c r="A797" s="97">
        <f t="shared" si="67"/>
        <v>791</v>
      </c>
      <c r="B797" s="98"/>
      <c r="C797" s="99"/>
      <c r="D797" s="100"/>
      <c r="E797" s="858" t="s">
        <v>190</v>
      </c>
      <c r="F797" s="101"/>
      <c r="G797" s="259"/>
      <c r="H797" s="263">
        <f t="shared" si="68"/>
        <v>0</v>
      </c>
      <c r="I797" s="169" t="e">
        <f t="shared" si="69"/>
        <v>#NUM!</v>
      </c>
      <c r="J797" s="169" t="e">
        <f t="shared" si="70"/>
        <v>#NUM!</v>
      </c>
      <c r="K797" s="169" t="e">
        <f t="shared" si="71"/>
        <v>#NUM!</v>
      </c>
    </row>
    <row r="798" spans="1:11">
      <c r="A798" s="97">
        <f t="shared" si="67"/>
        <v>792</v>
      </c>
      <c r="B798" s="98"/>
      <c r="C798" s="99"/>
      <c r="D798" s="100"/>
      <c r="E798" s="858" t="s">
        <v>190</v>
      </c>
      <c r="F798" s="101"/>
      <c r="G798" s="259"/>
      <c r="H798" s="263">
        <f t="shared" si="68"/>
        <v>0</v>
      </c>
      <c r="I798" s="169" t="e">
        <f t="shared" si="69"/>
        <v>#NUM!</v>
      </c>
      <c r="J798" s="169" t="e">
        <f t="shared" si="70"/>
        <v>#NUM!</v>
      </c>
      <c r="K798" s="169" t="e">
        <f t="shared" si="71"/>
        <v>#NUM!</v>
      </c>
    </row>
    <row r="799" spans="1:11">
      <c r="A799" s="97">
        <f t="shared" si="67"/>
        <v>793</v>
      </c>
      <c r="B799" s="98"/>
      <c r="C799" s="99"/>
      <c r="D799" s="100"/>
      <c r="E799" s="858" t="s">
        <v>190</v>
      </c>
      <c r="F799" s="101"/>
      <c r="G799" s="259"/>
      <c r="H799" s="263">
        <f t="shared" si="68"/>
        <v>0</v>
      </c>
      <c r="I799" s="169" t="e">
        <f t="shared" si="69"/>
        <v>#NUM!</v>
      </c>
      <c r="J799" s="169" t="e">
        <f t="shared" si="70"/>
        <v>#NUM!</v>
      </c>
      <c r="K799" s="169" t="e">
        <f t="shared" si="71"/>
        <v>#NUM!</v>
      </c>
    </row>
    <row r="800" spans="1:11">
      <c r="A800" s="97">
        <f t="shared" si="67"/>
        <v>794</v>
      </c>
      <c r="B800" s="98"/>
      <c r="C800" s="99"/>
      <c r="D800" s="100"/>
      <c r="E800" s="858" t="s">
        <v>190</v>
      </c>
      <c r="F800" s="101"/>
      <c r="G800" s="259"/>
      <c r="H800" s="263">
        <f t="shared" si="68"/>
        <v>0</v>
      </c>
      <c r="I800" s="169" t="e">
        <f t="shared" si="69"/>
        <v>#NUM!</v>
      </c>
      <c r="J800" s="169" t="e">
        <f t="shared" si="70"/>
        <v>#NUM!</v>
      </c>
      <c r="K800" s="169" t="e">
        <f t="shared" si="71"/>
        <v>#NUM!</v>
      </c>
    </row>
  </sheetData>
  <customSheetViews>
    <customSheetView guid="{CFA9FB8A-52FF-44B9-AE70-27339693E196}" scale="90" topLeftCell="G1">
      <pane ySplit="6" topLeftCell="A7" activePane="bottomLeft" state="frozen"/>
      <selection pane="bottomLeft" activeCell="P7" sqref="P7"/>
      <pageMargins left="0.75" right="0.75" top="1" bottom="1" header="0.5" footer="0.5"/>
      <pageSetup orientation="portrait" r:id="rId1"/>
      <headerFooter alignWithMargins="0"/>
    </customSheetView>
  </customSheetViews>
  <mergeCells count="1">
    <mergeCell ref="A1:H3"/>
  </mergeCells>
  <phoneticPr fontId="18" type="noConversion"/>
  <dataValidations count="2">
    <dataValidation type="list" allowBlank="1" showInputMessage="1" showErrorMessage="1" sqref="D658:D800">
      <formula1>counties</formula1>
    </dataValidation>
    <dataValidation type="list" allowBlank="1" showInputMessage="1" showErrorMessage="1" sqref="E681:E687">
      <formula1>rating</formula1>
    </dataValidation>
  </dataValidations>
  <printOptions horizontalCentered="1"/>
  <pageMargins left="0.75" right="0.75" top="1.25" bottom="0.5" header="0.5" footer="0"/>
  <pageSetup scale="74" fitToHeight="34" orientation="landscape" r:id="rId2"/>
  <headerFooter scaleWithDoc="0">
    <oddFoote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0"/>
  <sheetViews>
    <sheetView workbookViewId="0">
      <pane ySplit="11" topLeftCell="A36" activePane="bottomLeft" state="frozen"/>
      <selection pane="bottomLeft" activeCell="J4" sqref="J4"/>
    </sheetView>
    <sheetView workbookViewId="1">
      <pane ySplit="11" topLeftCell="A12" activePane="bottomLeft" state="frozen"/>
      <selection pane="bottomLeft" activeCell="J4" sqref="J4"/>
    </sheetView>
  </sheetViews>
  <sheetFormatPr defaultRowHeight="15"/>
  <cols>
    <col min="5" max="5" width="8.109375" customWidth="1"/>
    <col min="11" max="11" width="7.88671875" bestFit="1" customWidth="1"/>
  </cols>
  <sheetData>
    <row r="1" spans="1:16" s="918" customFormat="1" ht="30" customHeight="1" thickTop="1" thickBot="1">
      <c r="A1" s="1212" t="s">
        <v>1275</v>
      </c>
      <c r="B1" s="1213"/>
      <c r="C1" s="1213"/>
      <c r="D1" s="1213"/>
      <c r="E1" s="1213"/>
      <c r="F1" s="1213"/>
      <c r="G1" s="1213"/>
      <c r="H1" s="1213"/>
      <c r="I1" s="1214"/>
    </row>
    <row r="2" spans="1:16" s="918" customFormat="1" ht="16.5" thickTop="1">
      <c r="A2" s="987"/>
      <c r="B2" s="36"/>
      <c r="C2" s="842" t="s">
        <v>213</v>
      </c>
      <c r="D2" s="842" t="s">
        <v>214</v>
      </c>
      <c r="E2" s="842" t="s">
        <v>571</v>
      </c>
      <c r="F2" s="36"/>
      <c r="G2" s="36"/>
      <c r="H2" s="36"/>
      <c r="I2" s="988"/>
    </row>
    <row r="3" spans="1:16" s="918" customFormat="1">
      <c r="A3" s="987"/>
      <c r="B3" s="40" t="s">
        <v>1030</v>
      </c>
      <c r="C3" s="40">
        <f>COUNT(G12:G810)</f>
        <v>697</v>
      </c>
      <c r="D3" s="40">
        <f>COUNT(H12:H810)</f>
        <v>697</v>
      </c>
      <c r="E3" s="40">
        <f>COUNT(I12:I810)</f>
        <v>697</v>
      </c>
      <c r="F3" s="36"/>
      <c r="G3" s="36"/>
      <c r="H3" s="36"/>
      <c r="I3" s="988"/>
    </row>
    <row r="4" spans="1:16" s="918" customFormat="1">
      <c r="A4" s="987"/>
      <c r="B4" s="40">
        <v>0.05</v>
      </c>
      <c r="C4" s="872">
        <f>EXP(INDEX(G12:G708,C3*$B$4)+(INDEX(G12:G708,C3*$B$4+1)-INDEX(G12:G708,C3*$B$4))*(C3*$B$4-INT(C3*$B$4)))</f>
        <v>10.000000000000002</v>
      </c>
      <c r="D4" s="872">
        <f>EXP(INDEX(H12:H708,D3*$B$4)+(INDEX(H12:H708,D3*$B$4+1)-INDEX(H12:H708,D3*$B$4))*(D3*$B$4-INT(D3*$B$4)))</f>
        <v>0.10000000000000002</v>
      </c>
      <c r="E4" s="872">
        <f>EXP(INDEX(I12:I708,E3*$B$4)+(INDEX(I12:I708,E3*$B$4+1)-INDEX(I12:I708,E3*$B$4))*(E3*$B$4-INT(E3*$B$4)))</f>
        <v>5.6818181818181826E-4</v>
      </c>
      <c r="F4" s="36"/>
      <c r="G4" s="36"/>
      <c r="H4" s="36"/>
      <c r="I4" s="988"/>
    </row>
    <row r="5" spans="1:16" s="918" customFormat="1">
      <c r="A5" s="987"/>
      <c r="B5" s="40" t="s">
        <v>1031</v>
      </c>
      <c r="C5" s="872">
        <f>EXP(MODE(G12:G708))</f>
        <v>24.999999999999996</v>
      </c>
      <c r="D5" s="872">
        <f>EXP(MODE(H12:H708))</f>
        <v>0.10000000000000002</v>
      </c>
      <c r="E5" s="872">
        <f>EXP(MODE(I12:I708))</f>
        <v>1.4204545454545457E-3</v>
      </c>
      <c r="F5" s="36"/>
      <c r="G5" s="36"/>
      <c r="H5" s="36"/>
      <c r="I5" s="988"/>
    </row>
    <row r="6" spans="1:16" s="918" customFormat="1">
      <c r="A6" s="987"/>
      <c r="B6" s="40" t="s">
        <v>1032</v>
      </c>
      <c r="C6" s="872">
        <f>EXP(MEDIAN(G12:G708))</f>
        <v>30.000000000000004</v>
      </c>
      <c r="D6" s="872">
        <f>EXP(MEDIAN(H12:H708))</f>
        <v>0.5</v>
      </c>
      <c r="E6" s="872">
        <f>EXP(MEDIAN(I12:I708))</f>
        <v>7.1022727272727296E-3</v>
      </c>
      <c r="F6" s="36"/>
      <c r="G6" s="36"/>
      <c r="H6" s="36"/>
      <c r="I6" s="988"/>
    </row>
    <row r="7" spans="1:16" s="918" customFormat="1">
      <c r="A7" s="987"/>
      <c r="B7" s="40" t="s">
        <v>1033</v>
      </c>
      <c r="C7" s="872">
        <f>EXP(AVERAGE(G12:G708))</f>
        <v>33.697801820313586</v>
      </c>
      <c r="D7" s="872">
        <f>EXP(AVERAGE(H12:H708))</f>
        <v>0.41010762237457743</v>
      </c>
      <c r="E7" s="872">
        <f>EXP(AVERAGE(I12:I708))</f>
        <v>7.8521166953286325E-3</v>
      </c>
      <c r="F7" s="36"/>
      <c r="G7" s="36"/>
      <c r="H7" s="36"/>
      <c r="I7" s="988"/>
    </row>
    <row r="8" spans="1:16" s="918" customFormat="1">
      <c r="A8" s="987"/>
      <c r="B8" s="40" t="s">
        <v>158</v>
      </c>
      <c r="C8" s="872">
        <f>AVERAGE(B12:B708)</f>
        <v>50.268292682926827</v>
      </c>
      <c r="D8" s="872">
        <f>AVERAGE(C12:C708)</f>
        <v>1.0421233859397414</v>
      </c>
      <c r="E8" s="872">
        <f>AVERAGE(D12:D708)</f>
        <v>4.8325045650189129E-2</v>
      </c>
      <c r="F8" s="36"/>
      <c r="G8" s="36"/>
      <c r="H8" s="36"/>
      <c r="I8" s="988"/>
    </row>
    <row r="9" spans="1:16" s="918" customFormat="1">
      <c r="A9" s="987"/>
      <c r="B9" s="40">
        <v>0.95</v>
      </c>
      <c r="C9" s="872">
        <f>EXP(INDEX(G12:G708,C3*$B$9)+(INDEX(G12:G708,C3*$B$9+1)-INDEX(G12:G708,C3*$B$9))*(C3*$B$9-INT(C3*$B$9)))</f>
        <v>100.00000000000004</v>
      </c>
      <c r="D9" s="872">
        <f>EXP(INDEX(H12:H708,D3*$B$9)+(INDEX(H12:H708,D3*$B$9+1)-INDEX(H12:H708,D3*$B$9))*(D3*$B$9-INT(D3*$B$9)))</f>
        <v>4.2319044327417155</v>
      </c>
      <c r="E9" s="872">
        <f>EXP(INDEX(I12:I708,E3*$B$9)+(INDEX(I12:I708,E3*$B$9+1)-INDEX(I12:I708,E3*$B$9))*(E3*$B$9-INT(E3*$B$9)))</f>
        <v>0.17844792861079908</v>
      </c>
      <c r="F9" s="36"/>
      <c r="G9" s="36"/>
      <c r="H9" s="36"/>
      <c r="I9" s="988"/>
    </row>
    <row r="10" spans="1:16" s="918" customFormat="1" ht="15.75" thickBot="1">
      <c r="A10" s="987"/>
      <c r="B10" s="36"/>
      <c r="C10" s="36"/>
      <c r="D10" s="36"/>
      <c r="E10" s="36"/>
      <c r="F10" s="36"/>
      <c r="G10" s="36"/>
      <c r="H10" s="36"/>
      <c r="I10" s="988"/>
    </row>
    <row r="11" spans="1:16" s="315" customFormat="1" ht="17.25" thickTop="1" thickBot="1">
      <c r="A11" s="989" t="s">
        <v>1024</v>
      </c>
      <c r="B11" s="989" t="s">
        <v>213</v>
      </c>
      <c r="C11" s="989" t="s">
        <v>214</v>
      </c>
      <c r="D11" s="989" t="s">
        <v>571</v>
      </c>
      <c r="E11" s="990" t="s">
        <v>1025</v>
      </c>
      <c r="F11" s="989" t="s">
        <v>1026</v>
      </c>
      <c r="G11" s="989" t="s">
        <v>1027</v>
      </c>
      <c r="H11" s="989" t="s">
        <v>1028</v>
      </c>
      <c r="I11" s="989" t="s">
        <v>1029</v>
      </c>
      <c r="J11" s="842"/>
      <c r="K11" s="842"/>
      <c r="O11" s="842"/>
      <c r="P11" s="842"/>
    </row>
    <row r="12" spans="1:16" ht="15.75" thickTop="1">
      <c r="A12" s="729">
        <v>1</v>
      </c>
      <c r="B12" s="729">
        <v>3</v>
      </c>
      <c r="C12" s="729">
        <v>0.01</v>
      </c>
      <c r="D12" s="729">
        <v>1.7045454545454547E-4</v>
      </c>
      <c r="E12" s="729">
        <f>(A12-0.5)/697</f>
        <v>7.173601147776184E-4</v>
      </c>
      <c r="F12" s="729">
        <f t="shared" ref="F12:F75" si="0">NORMSINV(E12)</f>
        <v>-3.1875734310256396</v>
      </c>
      <c r="G12" s="729">
        <f t="shared" ref="G12:G75" si="1">LN(B12)</f>
        <v>1.0986122886681098</v>
      </c>
      <c r="H12" s="729">
        <f t="shared" ref="H12:H75" si="2">LN(C12)</f>
        <v>-4.6051701859880909</v>
      </c>
      <c r="I12" s="729">
        <f t="shared" ref="I12:I75" si="3">LN(D12)</f>
        <v>-8.6770418923581332</v>
      </c>
      <c r="J12" s="40"/>
      <c r="O12" s="40"/>
      <c r="P12" s="40"/>
    </row>
    <row r="13" spans="1:16">
      <c r="A13" s="729">
        <v>2</v>
      </c>
      <c r="B13" s="729">
        <v>3</v>
      </c>
      <c r="C13" s="729">
        <v>0.04</v>
      </c>
      <c r="D13" s="729">
        <v>1.7045454545454547E-4</v>
      </c>
      <c r="E13" s="729">
        <f t="shared" ref="E13:E76" si="4">(A13-0.5)/697</f>
        <v>2.152080344332855E-3</v>
      </c>
      <c r="F13" s="729">
        <f t="shared" si="0"/>
        <v>-2.8549647423990137</v>
      </c>
      <c r="G13" s="729">
        <f t="shared" si="1"/>
        <v>1.0986122886681098</v>
      </c>
      <c r="H13" s="729">
        <f t="shared" si="2"/>
        <v>-3.2188758248682006</v>
      </c>
      <c r="I13" s="729">
        <f t="shared" si="3"/>
        <v>-8.6770418923581332</v>
      </c>
      <c r="J13" s="40"/>
      <c r="O13" s="40"/>
      <c r="P13" s="40"/>
    </row>
    <row r="14" spans="1:16">
      <c r="A14" s="729">
        <v>3</v>
      </c>
      <c r="B14" s="729">
        <v>3</v>
      </c>
      <c r="C14" s="729">
        <v>0.04</v>
      </c>
      <c r="D14" s="729">
        <v>1.7045454545454547E-4</v>
      </c>
      <c r="E14" s="729">
        <f t="shared" si="4"/>
        <v>3.5868005738880918E-3</v>
      </c>
      <c r="F14" s="729">
        <f t="shared" si="0"/>
        <v>-2.6886759866657117</v>
      </c>
      <c r="G14" s="729">
        <f t="shared" si="1"/>
        <v>1.0986122886681098</v>
      </c>
      <c r="H14" s="729">
        <f t="shared" si="2"/>
        <v>-3.2188758248682006</v>
      </c>
      <c r="I14" s="729">
        <f t="shared" si="3"/>
        <v>-8.6770418923581332</v>
      </c>
      <c r="J14" s="40"/>
      <c r="O14" s="40"/>
      <c r="P14" s="40"/>
    </row>
    <row r="15" spans="1:16">
      <c r="A15" s="729">
        <v>4</v>
      </c>
      <c r="B15" s="729">
        <v>3</v>
      </c>
      <c r="C15" s="729">
        <v>0.05</v>
      </c>
      <c r="D15" s="729">
        <v>1.7045454545454547E-4</v>
      </c>
      <c r="E15" s="729">
        <f t="shared" si="4"/>
        <v>5.0215208034433282E-3</v>
      </c>
      <c r="F15" s="729">
        <f t="shared" si="0"/>
        <v>-2.5743438231658744</v>
      </c>
      <c r="G15" s="729">
        <f t="shared" si="1"/>
        <v>1.0986122886681098</v>
      </c>
      <c r="H15" s="729">
        <f t="shared" si="2"/>
        <v>-2.9957322735539909</v>
      </c>
      <c r="I15" s="729">
        <f t="shared" si="3"/>
        <v>-8.6770418923581332</v>
      </c>
      <c r="J15" s="40"/>
      <c r="O15" s="40"/>
      <c r="P15" s="40"/>
    </row>
    <row r="16" spans="1:16">
      <c r="A16" s="729">
        <v>5</v>
      </c>
      <c r="B16" s="729">
        <v>3</v>
      </c>
      <c r="C16" s="729">
        <v>0.1</v>
      </c>
      <c r="D16" s="729">
        <v>1.7045454545454547E-4</v>
      </c>
      <c r="E16" s="729">
        <f t="shared" si="4"/>
        <v>6.4562410329985654E-3</v>
      </c>
      <c r="F16" s="729">
        <f t="shared" si="0"/>
        <v>-2.4861739822460107</v>
      </c>
      <c r="G16" s="729">
        <f t="shared" si="1"/>
        <v>1.0986122886681098</v>
      </c>
      <c r="H16" s="729">
        <f t="shared" si="2"/>
        <v>-2.3025850929940455</v>
      </c>
      <c r="I16" s="729">
        <f t="shared" si="3"/>
        <v>-8.6770418923581332</v>
      </c>
      <c r="J16" s="40"/>
      <c r="O16" s="40"/>
      <c r="P16" s="40"/>
    </row>
    <row r="17" spans="1:16">
      <c r="A17" s="729">
        <v>6</v>
      </c>
      <c r="B17" s="729">
        <v>3</v>
      </c>
      <c r="C17" s="729">
        <v>0.1</v>
      </c>
      <c r="D17" s="729">
        <v>1.7045454545454547E-4</v>
      </c>
      <c r="E17" s="729">
        <f t="shared" si="4"/>
        <v>7.8909612625538018E-3</v>
      </c>
      <c r="F17" s="729">
        <f t="shared" si="0"/>
        <v>-2.4139201053449368</v>
      </c>
      <c r="G17" s="729">
        <f t="shared" si="1"/>
        <v>1.0986122886681098</v>
      </c>
      <c r="H17" s="729">
        <f t="shared" si="2"/>
        <v>-2.3025850929940455</v>
      </c>
      <c r="I17" s="729">
        <f t="shared" si="3"/>
        <v>-8.6770418923581332</v>
      </c>
      <c r="J17" s="40"/>
      <c r="O17" s="40"/>
      <c r="P17" s="40"/>
    </row>
    <row r="18" spans="1:16">
      <c r="A18" s="729">
        <v>7</v>
      </c>
      <c r="B18" s="729">
        <v>3</v>
      </c>
      <c r="C18" s="729">
        <v>0.1</v>
      </c>
      <c r="D18" s="729">
        <v>1.7045454545454547E-4</v>
      </c>
      <c r="E18" s="729">
        <f t="shared" si="4"/>
        <v>9.3256814921090381E-3</v>
      </c>
      <c r="F18" s="729">
        <f t="shared" si="0"/>
        <v>-2.3524267483609087</v>
      </c>
      <c r="G18" s="729">
        <f t="shared" si="1"/>
        <v>1.0986122886681098</v>
      </c>
      <c r="H18" s="729">
        <f t="shared" si="2"/>
        <v>-2.3025850929940455</v>
      </c>
      <c r="I18" s="729">
        <f t="shared" si="3"/>
        <v>-8.6770418923581332</v>
      </c>
      <c r="J18" s="40"/>
      <c r="O18" s="40"/>
      <c r="P18" s="40"/>
    </row>
    <row r="19" spans="1:16">
      <c r="A19" s="729">
        <v>8</v>
      </c>
      <c r="B19" s="729">
        <v>3</v>
      </c>
      <c r="C19" s="729">
        <v>0.1</v>
      </c>
      <c r="D19" s="729">
        <v>1.7045454545454547E-4</v>
      </c>
      <c r="E19" s="729">
        <f t="shared" si="4"/>
        <v>1.0760401721664276E-2</v>
      </c>
      <c r="F19" s="729">
        <f t="shared" si="0"/>
        <v>-2.2987207153509432</v>
      </c>
      <c r="G19" s="729">
        <f t="shared" si="1"/>
        <v>1.0986122886681098</v>
      </c>
      <c r="H19" s="729">
        <f t="shared" si="2"/>
        <v>-2.3025850929940455</v>
      </c>
      <c r="I19" s="729">
        <f t="shared" si="3"/>
        <v>-8.6770418923581332</v>
      </c>
      <c r="J19" s="40"/>
      <c r="O19" s="40"/>
      <c r="P19" s="40"/>
    </row>
    <row r="20" spans="1:16">
      <c r="A20" s="729">
        <v>9</v>
      </c>
      <c r="B20" s="729">
        <v>5</v>
      </c>
      <c r="C20" s="729">
        <v>0.1</v>
      </c>
      <c r="D20" s="32">
        <v>2.8409090909090908E-4</v>
      </c>
      <c r="E20" s="729">
        <f t="shared" si="4"/>
        <v>1.2195121951219513E-2</v>
      </c>
      <c r="F20" s="729">
        <f t="shared" si="0"/>
        <v>-2.2509256965027937</v>
      </c>
      <c r="G20" s="729">
        <f t="shared" si="1"/>
        <v>1.6094379124341003</v>
      </c>
      <c r="H20" s="729">
        <f t="shared" si="2"/>
        <v>-2.3025850929940455</v>
      </c>
      <c r="I20" s="729">
        <f t="shared" si="3"/>
        <v>-8.1662162685921427</v>
      </c>
      <c r="J20" s="40"/>
      <c r="K20" s="843"/>
      <c r="N20" s="40"/>
      <c r="O20" s="40"/>
      <c r="P20" s="40"/>
    </row>
    <row r="21" spans="1:16">
      <c r="A21" s="729">
        <v>10</v>
      </c>
      <c r="B21" s="729">
        <v>7</v>
      </c>
      <c r="C21" s="729">
        <v>0.1</v>
      </c>
      <c r="D21" s="729">
        <v>2.8409090909090913E-4</v>
      </c>
      <c r="E21" s="729">
        <f t="shared" si="4"/>
        <v>1.3629842180774749E-2</v>
      </c>
      <c r="F21" s="729">
        <f t="shared" si="0"/>
        <v>-2.2077789754764168</v>
      </c>
      <c r="G21" s="729">
        <f t="shared" si="1"/>
        <v>1.9459101490553132</v>
      </c>
      <c r="H21" s="729">
        <f t="shared" si="2"/>
        <v>-2.3025850929940455</v>
      </c>
      <c r="I21" s="729">
        <f t="shared" si="3"/>
        <v>-8.1662162685921427</v>
      </c>
      <c r="J21" s="40"/>
      <c r="N21" s="40"/>
      <c r="O21" s="40"/>
      <c r="P21" s="40"/>
    </row>
    <row r="22" spans="1:16">
      <c r="A22" s="729">
        <v>11</v>
      </c>
      <c r="B22" s="729">
        <v>7</v>
      </c>
      <c r="C22" s="729">
        <v>0.1</v>
      </c>
      <c r="D22" s="729">
        <v>3.9772727272727269E-4</v>
      </c>
      <c r="E22" s="729">
        <f t="shared" si="4"/>
        <v>1.5064562410329985E-2</v>
      </c>
      <c r="F22" s="729">
        <f t="shared" si="0"/>
        <v>-2.1683886988543013</v>
      </c>
      <c r="G22" s="729">
        <f t="shared" si="1"/>
        <v>1.9459101490553132</v>
      </c>
      <c r="H22" s="729">
        <f t="shared" si="2"/>
        <v>-2.3025850929940455</v>
      </c>
      <c r="I22" s="729">
        <f t="shared" si="3"/>
        <v>-7.8297440319709297</v>
      </c>
      <c r="J22" s="40"/>
      <c r="N22" s="40"/>
      <c r="O22" s="40"/>
      <c r="P22" s="40"/>
    </row>
    <row r="23" spans="1:16">
      <c r="A23" s="729">
        <v>12</v>
      </c>
      <c r="B23" s="729">
        <v>7</v>
      </c>
      <c r="C23" s="729">
        <v>0.1</v>
      </c>
      <c r="D23" s="729">
        <v>3.9772727272727269E-4</v>
      </c>
      <c r="E23" s="729">
        <f t="shared" si="4"/>
        <v>1.6499282639885222E-2</v>
      </c>
      <c r="F23" s="729">
        <f t="shared" si="0"/>
        <v>-2.1321007465617647</v>
      </c>
      <c r="G23" s="729">
        <f t="shared" si="1"/>
        <v>1.9459101490553132</v>
      </c>
      <c r="H23" s="729">
        <f t="shared" si="2"/>
        <v>-2.3025850929940455</v>
      </c>
      <c r="I23" s="729">
        <f t="shared" si="3"/>
        <v>-7.8297440319709297</v>
      </c>
      <c r="J23" s="40"/>
      <c r="N23" s="40"/>
      <c r="O23" s="40"/>
      <c r="P23" s="40"/>
    </row>
    <row r="24" spans="1:16">
      <c r="A24" s="729">
        <v>13</v>
      </c>
      <c r="B24" s="729">
        <v>7</v>
      </c>
      <c r="C24" s="729">
        <v>0.1</v>
      </c>
      <c r="D24" s="729">
        <v>5.6818181818181815E-4</v>
      </c>
      <c r="E24" s="729">
        <f t="shared" si="4"/>
        <v>1.7934002869440458E-2</v>
      </c>
      <c r="F24" s="729">
        <f t="shared" si="0"/>
        <v>-2.0984206155569258</v>
      </c>
      <c r="G24" s="729">
        <f t="shared" si="1"/>
        <v>1.9459101490553132</v>
      </c>
      <c r="H24" s="729">
        <f t="shared" si="2"/>
        <v>-2.3025850929940455</v>
      </c>
      <c r="I24" s="729">
        <f t="shared" si="3"/>
        <v>-7.4730690880321973</v>
      </c>
      <c r="J24" s="40"/>
      <c r="M24" s="40"/>
      <c r="N24" s="40"/>
      <c r="O24" s="40"/>
      <c r="P24" s="40"/>
    </row>
    <row r="25" spans="1:16">
      <c r="A25" s="729">
        <v>14</v>
      </c>
      <c r="B25" s="729">
        <v>7</v>
      </c>
      <c r="C25" s="729">
        <v>0.1</v>
      </c>
      <c r="D25" s="729">
        <v>5.6818181818181826E-4</v>
      </c>
      <c r="E25" s="729">
        <f t="shared" si="4"/>
        <v>1.9368723098995694E-2</v>
      </c>
      <c r="F25" s="729">
        <f t="shared" si="0"/>
        <v>-2.0669650622440634</v>
      </c>
      <c r="G25" s="729">
        <f t="shared" si="1"/>
        <v>1.9459101490553132</v>
      </c>
      <c r="H25" s="729">
        <f t="shared" si="2"/>
        <v>-2.3025850929940455</v>
      </c>
      <c r="I25" s="729">
        <f t="shared" si="3"/>
        <v>-7.4730690880321973</v>
      </c>
      <c r="J25" s="40"/>
      <c r="M25" s="40"/>
      <c r="N25" s="40"/>
      <c r="O25" s="40"/>
      <c r="P25" s="40"/>
    </row>
    <row r="26" spans="1:16">
      <c r="A26" s="729">
        <v>15</v>
      </c>
      <c r="B26" s="729">
        <v>7</v>
      </c>
      <c r="C26" s="729">
        <v>0.1</v>
      </c>
      <c r="D26" s="729">
        <v>5.6818181818181826E-4</v>
      </c>
      <c r="E26" s="729">
        <f t="shared" si="4"/>
        <v>2.0803443328550931E-2</v>
      </c>
      <c r="F26" s="729">
        <f t="shared" si="0"/>
        <v>-2.0374308332073285</v>
      </c>
      <c r="G26" s="729">
        <f t="shared" si="1"/>
        <v>1.9459101490553132</v>
      </c>
      <c r="H26" s="729">
        <f t="shared" si="2"/>
        <v>-2.3025850929940455</v>
      </c>
      <c r="I26" s="729">
        <f t="shared" si="3"/>
        <v>-7.4730690880321973</v>
      </c>
      <c r="J26" s="40"/>
      <c r="M26" s="40"/>
      <c r="N26" s="40"/>
      <c r="O26" s="40"/>
      <c r="P26" s="40"/>
    </row>
    <row r="27" spans="1:16">
      <c r="A27" s="729">
        <v>16</v>
      </c>
      <c r="B27" s="729">
        <v>10</v>
      </c>
      <c r="C27" s="729">
        <v>0.1</v>
      </c>
      <c r="D27" s="729">
        <v>5.6818181818181826E-4</v>
      </c>
      <c r="E27" s="729">
        <f t="shared" si="4"/>
        <v>2.2238163558106171E-2</v>
      </c>
      <c r="F27" s="729">
        <f t="shared" si="0"/>
        <v>-2.0095737001013063</v>
      </c>
      <c r="G27" s="729">
        <f t="shared" si="1"/>
        <v>2.3025850929940459</v>
      </c>
      <c r="H27" s="729">
        <f t="shared" si="2"/>
        <v>-2.3025850929940455</v>
      </c>
      <c r="I27" s="729">
        <f t="shared" si="3"/>
        <v>-7.4730690880321973</v>
      </c>
      <c r="J27" s="40"/>
      <c r="M27" s="40"/>
      <c r="N27" s="40"/>
      <c r="O27" s="40"/>
      <c r="P27" s="40"/>
    </row>
    <row r="28" spans="1:16">
      <c r="A28" s="729">
        <v>17</v>
      </c>
      <c r="B28" s="729">
        <v>10</v>
      </c>
      <c r="C28" s="729">
        <v>0.1</v>
      </c>
      <c r="D28" s="729">
        <v>5.6818181818181826E-4</v>
      </c>
      <c r="E28" s="729">
        <f t="shared" si="4"/>
        <v>2.3672883787661407E-2</v>
      </c>
      <c r="F28" s="729">
        <f t="shared" si="0"/>
        <v>-1.9831939666186722</v>
      </c>
      <c r="G28" s="729">
        <f t="shared" si="1"/>
        <v>2.3025850929940459</v>
      </c>
      <c r="H28" s="729">
        <f t="shared" si="2"/>
        <v>-2.3025850929940455</v>
      </c>
      <c r="I28" s="729">
        <f t="shared" si="3"/>
        <v>-7.4730690880321973</v>
      </c>
      <c r="J28" s="40"/>
      <c r="M28" s="40"/>
      <c r="N28" s="40"/>
      <c r="O28" s="40"/>
      <c r="P28" s="40"/>
    </row>
    <row r="29" spans="1:16">
      <c r="A29" s="729">
        <v>18</v>
      </c>
      <c r="B29" s="729">
        <v>10</v>
      </c>
      <c r="C29" s="729">
        <v>0.1</v>
      </c>
      <c r="D29" s="729">
        <v>5.6818181818181826E-4</v>
      </c>
      <c r="E29" s="729">
        <f t="shared" si="4"/>
        <v>2.5107604017216643E-2</v>
      </c>
      <c r="F29" s="729">
        <f t="shared" si="0"/>
        <v>-1.9581261837069068</v>
      </c>
      <c r="G29" s="729">
        <f t="shared" si="1"/>
        <v>2.3025850929940459</v>
      </c>
      <c r="H29" s="729">
        <f t="shared" si="2"/>
        <v>-2.3025850929940455</v>
      </c>
      <c r="I29" s="729">
        <f t="shared" si="3"/>
        <v>-7.4730690880321973</v>
      </c>
      <c r="J29" s="40"/>
      <c r="M29" s="40"/>
      <c r="N29" s="40"/>
      <c r="O29" s="40"/>
      <c r="P29" s="40"/>
    </row>
    <row r="30" spans="1:16">
      <c r="A30" s="729">
        <v>19</v>
      </c>
      <c r="B30" s="729">
        <v>10</v>
      </c>
      <c r="C30" s="729">
        <v>0.1</v>
      </c>
      <c r="D30" s="729">
        <v>5.6818181818181826E-4</v>
      </c>
      <c r="E30" s="729">
        <f t="shared" si="4"/>
        <v>2.654232424677188E-2</v>
      </c>
      <c r="F30" s="729">
        <f t="shared" si="0"/>
        <v>-1.9342316836414377</v>
      </c>
      <c r="G30" s="729">
        <f t="shared" si="1"/>
        <v>2.3025850929940459</v>
      </c>
      <c r="H30" s="729">
        <f t="shared" si="2"/>
        <v>-2.3025850929940455</v>
      </c>
      <c r="I30" s="729">
        <f t="shared" si="3"/>
        <v>-7.4730690880321973</v>
      </c>
      <c r="J30" s="40"/>
      <c r="M30" s="40"/>
      <c r="N30" s="40"/>
      <c r="O30" s="40"/>
      <c r="P30" s="40"/>
    </row>
    <row r="31" spans="1:16">
      <c r="A31" s="729">
        <v>20</v>
      </c>
      <c r="B31" s="729">
        <v>10</v>
      </c>
      <c r="C31" s="729">
        <v>0.1</v>
      </c>
      <c r="D31" s="729">
        <v>5.6818181818181826E-4</v>
      </c>
      <c r="E31" s="729">
        <f t="shared" si="4"/>
        <v>2.7977044476327116E-2</v>
      </c>
      <c r="F31" s="729">
        <f t="shared" si="0"/>
        <v>-1.9113930517135458</v>
      </c>
      <c r="G31" s="729">
        <f t="shared" si="1"/>
        <v>2.3025850929940459</v>
      </c>
      <c r="H31" s="729">
        <f t="shared" si="2"/>
        <v>-2.3025850929940455</v>
      </c>
      <c r="I31" s="729">
        <f t="shared" si="3"/>
        <v>-7.4730690880321973</v>
      </c>
      <c r="J31" s="40"/>
    </row>
    <row r="32" spans="1:16">
      <c r="A32" s="729">
        <v>21</v>
      </c>
      <c r="B32" s="729">
        <v>10</v>
      </c>
      <c r="C32" s="729">
        <v>0.1</v>
      </c>
      <c r="D32" s="729">
        <v>5.6818181818181826E-4</v>
      </c>
      <c r="E32" s="729">
        <f t="shared" si="4"/>
        <v>2.9411764705882353E-2</v>
      </c>
      <c r="F32" s="729">
        <f t="shared" si="0"/>
        <v>-1.8895099603334302</v>
      </c>
      <c r="G32" s="729">
        <f t="shared" si="1"/>
        <v>2.3025850929940459</v>
      </c>
      <c r="H32" s="729">
        <f t="shared" si="2"/>
        <v>-2.3025850929940455</v>
      </c>
      <c r="I32" s="729">
        <f t="shared" si="3"/>
        <v>-7.4730690880321973</v>
      </c>
      <c r="J32" s="40"/>
      <c r="M32" s="835"/>
    </row>
    <row r="33" spans="1:16">
      <c r="A33" s="729">
        <v>22</v>
      </c>
      <c r="B33" s="729">
        <v>10</v>
      </c>
      <c r="C33" s="729">
        <v>0.1</v>
      </c>
      <c r="D33" s="729">
        <v>5.6818181818181826E-4</v>
      </c>
      <c r="E33" s="729">
        <f t="shared" si="4"/>
        <v>3.0846484935437589E-2</v>
      </c>
      <c r="F33" s="729">
        <f t="shared" si="0"/>
        <v>-1.8684959805154611</v>
      </c>
      <c r="G33" s="729">
        <f t="shared" si="1"/>
        <v>2.3025850929940459</v>
      </c>
      <c r="H33" s="729">
        <f t="shared" si="2"/>
        <v>-2.3025850929940455</v>
      </c>
      <c r="I33" s="729">
        <f t="shared" si="3"/>
        <v>-7.4730690880321973</v>
      </c>
      <c r="J33" s="40"/>
    </row>
    <row r="34" spans="1:16">
      <c r="A34" s="729">
        <v>23</v>
      </c>
      <c r="B34" s="729">
        <v>10</v>
      </c>
      <c r="C34" s="729">
        <v>0.1</v>
      </c>
      <c r="D34" s="729">
        <v>5.6818181818181826E-4</v>
      </c>
      <c r="E34" s="729">
        <f t="shared" si="4"/>
        <v>3.2281205164992825E-2</v>
      </c>
      <c r="F34" s="729">
        <f t="shared" si="0"/>
        <v>-1.848276107177099</v>
      </c>
      <c r="G34" s="729">
        <f t="shared" si="1"/>
        <v>2.3025850929940459</v>
      </c>
      <c r="H34" s="729">
        <f t="shared" si="2"/>
        <v>-2.3025850929940455</v>
      </c>
      <c r="I34" s="729">
        <f t="shared" si="3"/>
        <v>-7.4730690880321973</v>
      </c>
      <c r="J34" s="40"/>
      <c r="K34" s="40"/>
      <c r="N34" s="40"/>
      <c r="O34" s="40"/>
      <c r="P34" s="40"/>
    </row>
    <row r="35" spans="1:16">
      <c r="A35" s="729">
        <v>24</v>
      </c>
      <c r="B35" s="729">
        <v>10</v>
      </c>
      <c r="C35" s="729">
        <v>0.1</v>
      </c>
      <c r="D35" s="729">
        <v>5.6818181818181826E-4</v>
      </c>
      <c r="E35" s="729">
        <f t="shared" si="4"/>
        <v>3.3715925394548062E-2</v>
      </c>
      <c r="F35" s="729">
        <f t="shared" si="0"/>
        <v>-1.8287848141880285</v>
      </c>
      <c r="G35" s="729">
        <f t="shared" si="1"/>
        <v>2.3025850929940459</v>
      </c>
      <c r="H35" s="729">
        <f t="shared" si="2"/>
        <v>-2.3025850929940455</v>
      </c>
      <c r="I35" s="729">
        <f t="shared" si="3"/>
        <v>-7.4730690880321973</v>
      </c>
      <c r="J35" s="40"/>
      <c r="K35" s="40"/>
      <c r="N35" s="40"/>
      <c r="O35" s="40"/>
      <c r="P35" s="40"/>
    </row>
    <row r="36" spans="1:16">
      <c r="A36" s="729">
        <v>25</v>
      </c>
      <c r="B36" s="729">
        <v>10</v>
      </c>
      <c r="C36" s="729">
        <v>0.1</v>
      </c>
      <c r="D36" s="729">
        <v>5.6818181818181826E-4</v>
      </c>
      <c r="E36" s="729">
        <f t="shared" si="4"/>
        <v>3.5150645624103298E-2</v>
      </c>
      <c r="F36" s="729">
        <f t="shared" si="0"/>
        <v>-1.8099645082991047</v>
      </c>
      <c r="G36" s="729">
        <f t="shared" si="1"/>
        <v>2.3025850929940459</v>
      </c>
      <c r="H36" s="729">
        <f t="shared" si="2"/>
        <v>-2.3025850929940455</v>
      </c>
      <c r="I36" s="729">
        <f t="shared" si="3"/>
        <v>-7.4730690880321973</v>
      </c>
      <c r="J36" s="40"/>
      <c r="K36" s="40"/>
      <c r="N36" s="40"/>
      <c r="O36" s="40"/>
      <c r="P36" s="40"/>
    </row>
    <row r="37" spans="1:16">
      <c r="A37" s="729">
        <v>26</v>
      </c>
      <c r="B37" s="729">
        <v>10</v>
      </c>
      <c r="C37" s="729">
        <v>0.1</v>
      </c>
      <c r="D37" s="729">
        <v>5.6818181818181826E-4</v>
      </c>
      <c r="E37" s="729">
        <f t="shared" si="4"/>
        <v>3.6585365853658534E-2</v>
      </c>
      <c r="F37" s="729">
        <f t="shared" si="0"/>
        <v>-1.7917642873785156</v>
      </c>
      <c r="G37" s="729">
        <f t="shared" si="1"/>
        <v>2.3025850929940459</v>
      </c>
      <c r="H37" s="729">
        <f t="shared" si="2"/>
        <v>-2.3025850929940455</v>
      </c>
      <c r="I37" s="729">
        <f t="shared" si="3"/>
        <v>-7.4730690880321973</v>
      </c>
      <c r="J37" s="40"/>
      <c r="K37" s="40"/>
      <c r="N37" s="40"/>
      <c r="O37" s="40"/>
      <c r="P37" s="40"/>
    </row>
    <row r="38" spans="1:16">
      <c r="A38" s="729">
        <v>27</v>
      </c>
      <c r="B38" s="729">
        <v>10</v>
      </c>
      <c r="C38" s="729">
        <v>0.1</v>
      </c>
      <c r="D38" s="729">
        <v>5.6818181818181826E-4</v>
      </c>
      <c r="E38" s="729">
        <f t="shared" si="4"/>
        <v>3.8020086083213771E-2</v>
      </c>
      <c r="F38" s="729">
        <f t="shared" si="0"/>
        <v>-1.7741389335977533</v>
      </c>
      <c r="G38" s="729">
        <f t="shared" si="1"/>
        <v>2.3025850929940459</v>
      </c>
      <c r="H38" s="729">
        <f t="shared" si="2"/>
        <v>-2.3025850929940455</v>
      </c>
      <c r="I38" s="729">
        <f t="shared" si="3"/>
        <v>-7.4730690880321973</v>
      </c>
      <c r="J38" s="40"/>
      <c r="K38" s="40"/>
      <c r="N38" s="40"/>
      <c r="O38" s="40"/>
      <c r="P38" s="40"/>
    </row>
    <row r="39" spans="1:16">
      <c r="A39" s="729">
        <v>28</v>
      </c>
      <c r="B39" s="729">
        <v>10</v>
      </c>
      <c r="C39" s="729">
        <v>0.1</v>
      </c>
      <c r="D39" s="729">
        <v>5.6818181818181826E-4</v>
      </c>
      <c r="E39" s="729">
        <f t="shared" si="4"/>
        <v>3.9454806312769007E-2</v>
      </c>
      <c r="F39" s="729">
        <f t="shared" si="0"/>
        <v>-1.7570480900132046</v>
      </c>
      <c r="G39" s="729">
        <f t="shared" si="1"/>
        <v>2.3025850929940459</v>
      </c>
      <c r="H39" s="729">
        <f t="shared" si="2"/>
        <v>-2.3025850929940455</v>
      </c>
      <c r="I39" s="729">
        <f t="shared" si="3"/>
        <v>-7.4730690880321973</v>
      </c>
      <c r="J39" s="40"/>
      <c r="K39" s="40"/>
      <c r="N39" s="40"/>
      <c r="O39" s="40"/>
      <c r="P39" s="40"/>
    </row>
    <row r="40" spans="1:16">
      <c r="A40" s="729">
        <v>29</v>
      </c>
      <c r="B40" s="729">
        <v>10</v>
      </c>
      <c r="C40" s="729">
        <v>0.1</v>
      </c>
      <c r="D40" s="729">
        <v>5.6818181818181826E-4</v>
      </c>
      <c r="E40" s="729">
        <f t="shared" si="4"/>
        <v>4.0889526542324243E-2</v>
      </c>
      <c r="F40" s="729">
        <f t="shared" si="0"/>
        <v>-1.7404555817471701</v>
      </c>
      <c r="G40" s="729">
        <f t="shared" si="1"/>
        <v>2.3025850929940459</v>
      </c>
      <c r="H40" s="729">
        <f t="shared" si="2"/>
        <v>-2.3025850929940455</v>
      </c>
      <c r="I40" s="729">
        <f t="shared" si="3"/>
        <v>-7.4730690880321973</v>
      </c>
      <c r="J40" s="40"/>
      <c r="K40" s="40"/>
      <c r="N40" s="40"/>
      <c r="O40" s="40"/>
      <c r="P40" s="40"/>
    </row>
    <row r="41" spans="1:16">
      <c r="A41" s="729">
        <v>30</v>
      </c>
      <c r="B41" s="729">
        <v>10</v>
      </c>
      <c r="C41" s="729">
        <v>0.1</v>
      </c>
      <c r="D41" s="729">
        <v>5.6818181818181826E-4</v>
      </c>
      <c r="E41" s="729">
        <f t="shared" si="4"/>
        <v>4.2324246771879487E-2</v>
      </c>
      <c r="F41" s="729">
        <f t="shared" si="0"/>
        <v>-1.7243288522400049</v>
      </c>
      <c r="G41" s="729">
        <f t="shared" si="1"/>
        <v>2.3025850929940459</v>
      </c>
      <c r="H41" s="729">
        <f t="shared" si="2"/>
        <v>-2.3025850929940455</v>
      </c>
      <c r="I41" s="729">
        <f t="shared" si="3"/>
        <v>-7.4730690880321973</v>
      </c>
      <c r="J41" s="40"/>
      <c r="K41" s="40"/>
      <c r="N41" s="40"/>
      <c r="O41" s="40"/>
      <c r="P41" s="40"/>
    </row>
    <row r="42" spans="1:16">
      <c r="A42" s="729">
        <v>31</v>
      </c>
      <c r="B42" s="729">
        <v>10</v>
      </c>
      <c r="C42" s="729">
        <v>0.1</v>
      </c>
      <c r="D42" s="729">
        <v>5.6818181818181826E-4</v>
      </c>
      <c r="E42" s="729">
        <f t="shared" si="4"/>
        <v>4.3758967001434723E-2</v>
      </c>
      <c r="F42" s="729">
        <f t="shared" si="0"/>
        <v>-1.7086384918626099</v>
      </c>
      <c r="G42" s="729">
        <f t="shared" si="1"/>
        <v>2.3025850929940459</v>
      </c>
      <c r="H42" s="729">
        <f t="shared" si="2"/>
        <v>-2.3025850929940455</v>
      </c>
      <c r="I42" s="729">
        <f t="shared" si="3"/>
        <v>-7.4730690880321973</v>
      </c>
      <c r="J42" s="40"/>
      <c r="K42" s="40"/>
      <c r="N42" s="40"/>
      <c r="O42" s="40"/>
      <c r="P42" s="40"/>
    </row>
    <row r="43" spans="1:16">
      <c r="A43" s="729">
        <v>32</v>
      </c>
      <c r="B43" s="729">
        <v>10</v>
      </c>
      <c r="C43" s="729">
        <v>0.1</v>
      </c>
      <c r="D43" s="729">
        <v>5.6818181818181826E-4</v>
      </c>
      <c r="E43" s="729">
        <f t="shared" si="4"/>
        <v>4.519368723098996E-2</v>
      </c>
      <c r="F43" s="729">
        <f t="shared" si="0"/>
        <v>-1.6933578412519459</v>
      </c>
      <c r="G43" s="729">
        <f t="shared" si="1"/>
        <v>2.3025850929940459</v>
      </c>
      <c r="H43" s="729">
        <f t="shared" si="2"/>
        <v>-2.3025850929940455</v>
      </c>
      <c r="I43" s="729">
        <f t="shared" si="3"/>
        <v>-7.4730690880321973</v>
      </c>
      <c r="J43" s="40"/>
      <c r="K43" s="40"/>
      <c r="N43" s="40"/>
      <c r="O43" s="40"/>
      <c r="P43" s="40"/>
    </row>
    <row r="44" spans="1:16">
      <c r="A44" s="729">
        <v>33</v>
      </c>
      <c r="B44" s="729">
        <v>10</v>
      </c>
      <c r="C44" s="729">
        <v>0.1</v>
      </c>
      <c r="D44" s="729">
        <v>5.6818181818181826E-4</v>
      </c>
      <c r="E44" s="729">
        <f t="shared" si="4"/>
        <v>4.6628407460545196E-2</v>
      </c>
      <c r="F44" s="729">
        <f t="shared" si="0"/>
        <v>-1.6784626555485749</v>
      </c>
      <c r="G44" s="729">
        <f t="shared" si="1"/>
        <v>2.3025850929940459</v>
      </c>
      <c r="H44" s="729">
        <f t="shared" si="2"/>
        <v>-2.3025850929940455</v>
      </c>
      <c r="I44" s="729">
        <f t="shared" si="3"/>
        <v>-7.4730690880321973</v>
      </c>
      <c r="J44" s="40"/>
      <c r="K44" s="40"/>
      <c r="N44" s="40"/>
      <c r="O44" s="40"/>
      <c r="P44" s="40"/>
    </row>
    <row r="45" spans="1:16">
      <c r="A45" s="729">
        <v>34</v>
      </c>
      <c r="B45" s="729">
        <v>10</v>
      </c>
      <c r="C45" s="729">
        <v>0.1</v>
      </c>
      <c r="D45" s="729">
        <v>5.6818181818181826E-4</v>
      </c>
      <c r="E45" s="729">
        <f t="shared" si="4"/>
        <v>4.8063127690100432E-2</v>
      </c>
      <c r="F45" s="729">
        <f t="shared" si="0"/>
        <v>-1.6639308186147159</v>
      </c>
      <c r="G45" s="729">
        <f t="shared" si="1"/>
        <v>2.3025850929940459</v>
      </c>
      <c r="H45" s="729">
        <f t="shared" si="2"/>
        <v>-2.3025850929940455</v>
      </c>
      <c r="I45" s="729">
        <f t="shared" si="3"/>
        <v>-7.4730690880321973</v>
      </c>
      <c r="J45" s="40"/>
      <c r="K45" s="40"/>
      <c r="N45" s="40"/>
      <c r="O45" s="40"/>
      <c r="P45" s="40"/>
    </row>
    <row r="46" spans="1:16">
      <c r="A46" s="729">
        <v>35</v>
      </c>
      <c r="B46" s="729">
        <v>10</v>
      </c>
      <c r="C46" s="729">
        <v>0.1</v>
      </c>
      <c r="D46" s="729">
        <v>5.6818181818181826E-4</v>
      </c>
      <c r="E46" s="729">
        <f t="shared" si="4"/>
        <v>4.9497847919655669E-2</v>
      </c>
      <c r="F46" s="729">
        <f t="shared" si="0"/>
        <v>-1.6497420985347986</v>
      </c>
      <c r="G46" s="729">
        <f t="shared" si="1"/>
        <v>2.3025850929940459</v>
      </c>
      <c r="H46" s="729">
        <f t="shared" si="2"/>
        <v>-2.3025850929940455</v>
      </c>
      <c r="I46" s="729">
        <f t="shared" si="3"/>
        <v>-7.4730690880321973</v>
      </c>
      <c r="J46" s="40"/>
      <c r="K46" s="40"/>
      <c r="N46" s="40"/>
      <c r="O46" s="40"/>
      <c r="P46" s="40"/>
    </row>
    <row r="47" spans="1:16">
      <c r="A47" s="729">
        <v>36</v>
      </c>
      <c r="B47" s="729">
        <v>10</v>
      </c>
      <c r="C47" s="729">
        <v>0.1</v>
      </c>
      <c r="D47" s="729">
        <v>5.6818181818181826E-4</v>
      </c>
      <c r="E47" s="729">
        <f t="shared" si="4"/>
        <v>5.0932568149210905E-2</v>
      </c>
      <c r="F47" s="729">
        <f t="shared" si="0"/>
        <v>-1.6358779374204708</v>
      </c>
      <c r="G47" s="729">
        <f t="shared" si="1"/>
        <v>2.3025850929940459</v>
      </c>
      <c r="H47" s="729">
        <f t="shared" si="2"/>
        <v>-2.3025850929940455</v>
      </c>
      <c r="I47" s="729">
        <f t="shared" si="3"/>
        <v>-7.4730690880321973</v>
      </c>
      <c r="J47" s="40"/>
      <c r="K47" s="40"/>
      <c r="N47" s="40"/>
      <c r="O47" s="40"/>
      <c r="P47" s="40"/>
    </row>
    <row r="48" spans="1:16">
      <c r="A48" s="729">
        <v>37</v>
      </c>
      <c r="B48" s="729">
        <v>10</v>
      </c>
      <c r="C48" s="729">
        <v>0.1</v>
      </c>
      <c r="D48" s="729">
        <v>5.6818181818181826E-4</v>
      </c>
      <c r="E48" s="729">
        <f t="shared" si="4"/>
        <v>5.2367288378766141E-2</v>
      </c>
      <c r="F48" s="729">
        <f t="shared" si="0"/>
        <v>-1.6223212698834055</v>
      </c>
      <c r="G48" s="729">
        <f t="shared" si="1"/>
        <v>2.3025850929940459</v>
      </c>
      <c r="H48" s="729">
        <f t="shared" si="2"/>
        <v>-2.3025850929940455</v>
      </c>
      <c r="I48" s="729">
        <f t="shared" si="3"/>
        <v>-7.4730690880321973</v>
      </c>
      <c r="J48" s="40"/>
      <c r="K48" s="40"/>
      <c r="N48" s="40"/>
      <c r="O48" s="40"/>
      <c r="P48" s="40"/>
    </row>
    <row r="49" spans="1:16">
      <c r="A49" s="729">
        <v>38</v>
      </c>
      <c r="B49" s="729">
        <v>10</v>
      </c>
      <c r="C49" s="729">
        <v>0.1</v>
      </c>
      <c r="D49" s="729">
        <v>5.6818181818181826E-4</v>
      </c>
      <c r="E49" s="729">
        <f t="shared" si="4"/>
        <v>5.3802008608321378E-2</v>
      </c>
      <c r="F49" s="729">
        <f t="shared" si="0"/>
        <v>-1.6090563655933106</v>
      </c>
      <c r="G49" s="729">
        <f t="shared" si="1"/>
        <v>2.3025850929940459</v>
      </c>
      <c r="H49" s="729">
        <f t="shared" si="2"/>
        <v>-2.3025850929940455</v>
      </c>
      <c r="I49" s="729">
        <f t="shared" si="3"/>
        <v>-7.4730690880321973</v>
      </c>
      <c r="J49" s="40"/>
      <c r="K49" s="40"/>
      <c r="N49" s="40"/>
      <c r="O49" s="40"/>
      <c r="P49" s="40"/>
    </row>
    <row r="50" spans="1:16">
      <c r="A50" s="729">
        <v>39</v>
      </c>
      <c r="B50" s="729">
        <v>10</v>
      </c>
      <c r="C50" s="729">
        <v>0.1</v>
      </c>
      <c r="D50" s="729">
        <v>5.6818181818181826E-4</v>
      </c>
      <c r="E50" s="729">
        <f t="shared" si="4"/>
        <v>5.5236728837876614E-2</v>
      </c>
      <c r="F50" s="729">
        <f t="shared" si="0"/>
        <v>-1.5960686921729099</v>
      </c>
      <c r="G50" s="729">
        <f t="shared" si="1"/>
        <v>2.3025850929940459</v>
      </c>
      <c r="H50" s="729">
        <f t="shared" si="2"/>
        <v>-2.3025850929940455</v>
      </c>
      <c r="I50" s="729">
        <f t="shared" si="3"/>
        <v>-7.4730690880321973</v>
      </c>
      <c r="J50" s="40"/>
      <c r="K50" s="40"/>
      <c r="N50" s="40"/>
      <c r="O50" s="40"/>
      <c r="P50" s="40"/>
    </row>
    <row r="51" spans="1:16">
      <c r="A51" s="729">
        <v>40</v>
      </c>
      <c r="B51" s="729">
        <v>10</v>
      </c>
      <c r="C51" s="729">
        <v>0.1</v>
      </c>
      <c r="D51" s="729">
        <v>5.6818181818181826E-4</v>
      </c>
      <c r="E51" s="729">
        <f t="shared" si="4"/>
        <v>5.6671449067431851E-2</v>
      </c>
      <c r="F51" s="729">
        <f t="shared" si="0"/>
        <v>-1.5833447953464825</v>
      </c>
      <c r="G51" s="729">
        <f t="shared" si="1"/>
        <v>2.3025850929940459</v>
      </c>
      <c r="H51" s="729">
        <f t="shared" si="2"/>
        <v>-2.3025850929940455</v>
      </c>
      <c r="I51" s="729">
        <f t="shared" si="3"/>
        <v>-7.4730690880321973</v>
      </c>
      <c r="J51" s="40"/>
      <c r="K51" s="40"/>
      <c r="N51" s="40"/>
      <c r="O51" s="40"/>
      <c r="P51" s="40"/>
    </row>
    <row r="52" spans="1:16">
      <c r="A52" s="729">
        <v>41</v>
      </c>
      <c r="B52" s="729">
        <v>10</v>
      </c>
      <c r="C52" s="729">
        <v>0.1</v>
      </c>
      <c r="D52" s="729">
        <v>5.6818181818181826E-4</v>
      </c>
      <c r="E52" s="729">
        <f t="shared" si="4"/>
        <v>5.8106169296987087E-2</v>
      </c>
      <c r="F52" s="729">
        <f t="shared" si="0"/>
        <v>-1.5708721937917547</v>
      </c>
      <c r="G52" s="729">
        <f t="shared" si="1"/>
        <v>2.3025850929940459</v>
      </c>
      <c r="H52" s="729">
        <f t="shared" si="2"/>
        <v>-2.3025850929940455</v>
      </c>
      <c r="I52" s="729">
        <f t="shared" si="3"/>
        <v>-7.4730690880321973</v>
      </c>
      <c r="J52" s="40"/>
      <c r="K52" s="40"/>
      <c r="N52" s="40"/>
      <c r="O52" s="40"/>
      <c r="P52" s="40"/>
    </row>
    <row r="53" spans="1:16">
      <c r="A53" s="729">
        <v>42</v>
      </c>
      <c r="B53" s="729">
        <v>10</v>
      </c>
      <c r="C53" s="729">
        <v>0.1</v>
      </c>
      <c r="D53" s="729">
        <v>5.6818181818181826E-4</v>
      </c>
      <c r="E53" s="729">
        <f t="shared" si="4"/>
        <v>5.9540889526542323E-2</v>
      </c>
      <c r="F53" s="729">
        <f t="shared" si="0"/>
        <v>-1.5586392865751206</v>
      </c>
      <c r="G53" s="729">
        <f t="shared" si="1"/>
        <v>2.3025850929940459</v>
      </c>
      <c r="H53" s="729">
        <f t="shared" si="2"/>
        <v>-2.3025850929940455</v>
      </c>
      <c r="I53" s="729">
        <f t="shared" si="3"/>
        <v>-7.4730690880321973</v>
      </c>
      <c r="J53" s="40"/>
    </row>
    <row r="54" spans="1:16">
      <c r="A54" s="729">
        <v>43</v>
      </c>
      <c r="B54" s="729">
        <v>10</v>
      </c>
      <c r="C54" s="729">
        <v>0.1</v>
      </c>
      <c r="D54" s="729">
        <v>5.6818181818181826E-4</v>
      </c>
      <c r="E54" s="729">
        <f t="shared" si="4"/>
        <v>6.097560975609756E-2</v>
      </c>
      <c r="F54" s="729">
        <f t="shared" si="0"/>
        <v>-1.54663527139923</v>
      </c>
      <c r="G54" s="729">
        <f t="shared" si="1"/>
        <v>2.3025850929940459</v>
      </c>
      <c r="H54" s="729">
        <f t="shared" si="2"/>
        <v>-2.3025850929940455</v>
      </c>
      <c r="I54" s="729">
        <f t="shared" si="3"/>
        <v>-7.4730690880321973</v>
      </c>
      <c r="J54" s="40"/>
    </row>
    <row r="55" spans="1:16">
      <c r="A55" s="729">
        <v>44</v>
      </c>
      <c r="B55" s="729">
        <v>10</v>
      </c>
      <c r="C55" s="729">
        <v>0.1</v>
      </c>
      <c r="D55" s="729">
        <v>5.6818181818181826E-4</v>
      </c>
      <c r="E55" s="729">
        <f t="shared" si="4"/>
        <v>6.2410329985652796E-2</v>
      </c>
      <c r="F55" s="729">
        <f t="shared" si="0"/>
        <v>-1.5348500721767944</v>
      </c>
      <c r="G55" s="729">
        <f t="shared" si="1"/>
        <v>2.3025850929940459</v>
      </c>
      <c r="H55" s="729">
        <f t="shared" si="2"/>
        <v>-2.3025850929940455</v>
      </c>
      <c r="I55" s="729">
        <f t="shared" si="3"/>
        <v>-7.4730690880321973</v>
      </c>
      <c r="J55" s="40"/>
    </row>
    <row r="56" spans="1:16">
      <c r="A56" s="729">
        <v>45</v>
      </c>
      <c r="B56" s="729">
        <v>10</v>
      </c>
      <c r="C56" s="729">
        <v>0.1</v>
      </c>
      <c r="D56" s="729">
        <v>5.6818181818181826E-4</v>
      </c>
      <c r="E56" s="729">
        <f t="shared" si="4"/>
        <v>6.3845050215208032E-2</v>
      </c>
      <c r="F56" s="729">
        <f t="shared" si="0"/>
        <v>-1.5232742746779584</v>
      </c>
      <c r="G56" s="729">
        <f t="shared" si="1"/>
        <v>2.3025850929940459</v>
      </c>
      <c r="H56" s="729">
        <f t="shared" si="2"/>
        <v>-2.3025850929940455</v>
      </c>
      <c r="I56" s="729">
        <f t="shared" si="3"/>
        <v>-7.4730690880321973</v>
      </c>
      <c r="J56" s="40"/>
    </row>
    <row r="57" spans="1:16">
      <c r="A57" s="729">
        <v>46</v>
      </c>
      <c r="B57" s="729">
        <v>10</v>
      </c>
      <c r="C57" s="729">
        <v>0.1</v>
      </c>
      <c r="D57" s="729">
        <v>5.6818181818181826E-4</v>
      </c>
      <c r="E57" s="729">
        <f t="shared" si="4"/>
        <v>6.5279770444763269E-2</v>
      </c>
      <c r="F57" s="729">
        <f t="shared" si="0"/>
        <v>-1.511899069191067</v>
      </c>
      <c r="G57" s="729">
        <f t="shared" si="1"/>
        <v>2.3025850929940459</v>
      </c>
      <c r="H57" s="729">
        <f t="shared" si="2"/>
        <v>-2.3025850929940455</v>
      </c>
      <c r="I57" s="729">
        <f t="shared" si="3"/>
        <v>-7.4730690880321973</v>
      </c>
      <c r="J57" s="40"/>
    </row>
    <row r="58" spans="1:16">
      <c r="A58" s="729">
        <v>47</v>
      </c>
      <c r="B58" s="729">
        <v>10</v>
      </c>
      <c r="C58" s="729">
        <v>0.1</v>
      </c>
      <c r="D58" s="729">
        <v>5.6818181818181826E-4</v>
      </c>
      <c r="E58" s="729">
        <f t="shared" si="4"/>
        <v>6.6714490674318505E-2</v>
      </c>
      <c r="F58" s="729">
        <f t="shared" si="0"/>
        <v>-1.5007161992959652</v>
      </c>
      <c r="G58" s="729">
        <f t="shared" si="1"/>
        <v>2.3025850929940459</v>
      </c>
      <c r="H58" s="729">
        <f t="shared" si="2"/>
        <v>-2.3025850929940455</v>
      </c>
      <c r="I58" s="729">
        <f t="shared" si="3"/>
        <v>-7.4730690880321973</v>
      </c>
      <c r="J58" s="40"/>
    </row>
    <row r="59" spans="1:16">
      <c r="A59" s="729">
        <v>48</v>
      </c>
      <c r="B59" s="729">
        <v>10</v>
      </c>
      <c r="C59" s="729">
        <v>0.1</v>
      </c>
      <c r="D59" s="729">
        <v>5.6818181818181826E-4</v>
      </c>
      <c r="E59" s="729">
        <f t="shared" si="4"/>
        <v>6.8149210903873741E-2</v>
      </c>
      <c r="F59" s="729">
        <f t="shared" si="0"/>
        <v>-1.4897179159814617</v>
      </c>
      <c r="G59" s="729">
        <f t="shared" si="1"/>
        <v>2.3025850929940459</v>
      </c>
      <c r="H59" s="729">
        <f t="shared" si="2"/>
        <v>-2.3025850929940455</v>
      </c>
      <c r="I59" s="729">
        <f t="shared" si="3"/>
        <v>-7.4730690880321973</v>
      </c>
      <c r="J59" s="40"/>
    </row>
    <row r="60" spans="1:16">
      <c r="A60" s="729">
        <v>49</v>
      </c>
      <c r="B60" s="729">
        <v>10</v>
      </c>
      <c r="C60" s="729">
        <v>0.1</v>
      </c>
      <c r="D60" s="729">
        <v>5.6818181818181826E-4</v>
      </c>
      <c r="E60" s="729">
        <f t="shared" si="4"/>
        <v>6.9583931133428978E-2</v>
      </c>
      <c r="F60" s="729">
        <f t="shared" si="0"/>
        <v>-1.4788969364492288</v>
      </c>
      <c r="G60" s="729">
        <f t="shared" si="1"/>
        <v>2.3025850929940459</v>
      </c>
      <c r="H60" s="729">
        <f t="shared" si="2"/>
        <v>-2.3025850929940455</v>
      </c>
      <c r="I60" s="729">
        <f t="shared" si="3"/>
        <v>-7.4730690880321973</v>
      </c>
      <c r="J60" s="40"/>
    </row>
    <row r="61" spans="1:16">
      <c r="A61" s="729">
        <v>50</v>
      </c>
      <c r="B61" s="729">
        <v>10</v>
      </c>
      <c r="C61" s="729">
        <v>0.1</v>
      </c>
      <c r="D61" s="729">
        <v>5.6818181818181826E-4</v>
      </c>
      <c r="E61" s="729">
        <f t="shared" si="4"/>
        <v>7.1018651362984214E-2</v>
      </c>
      <c r="F61" s="729">
        <f t="shared" si="0"/>
        <v>-1.4682464070391821</v>
      </c>
      <c r="G61" s="729">
        <f t="shared" si="1"/>
        <v>2.3025850929940459</v>
      </c>
      <c r="H61" s="729">
        <f t="shared" si="2"/>
        <v>-2.3025850929940455</v>
      </c>
      <c r="I61" s="729">
        <f t="shared" si="3"/>
        <v>-7.4730690880321973</v>
      </c>
      <c r="J61" s="40"/>
    </row>
    <row r="62" spans="1:16">
      <c r="A62" s="729">
        <v>51</v>
      </c>
      <c r="B62" s="729">
        <v>10</v>
      </c>
      <c r="C62" s="729">
        <v>0.1</v>
      </c>
      <c r="D62" s="729">
        <v>5.6818181818181826E-4</v>
      </c>
      <c r="E62" s="729">
        <f t="shared" si="4"/>
        <v>7.2453371592539451E-2</v>
      </c>
      <c r="F62" s="729">
        <f t="shared" si="0"/>
        <v>-1.457759869789466</v>
      </c>
      <c r="G62" s="729">
        <f t="shared" si="1"/>
        <v>2.3025850929940459</v>
      </c>
      <c r="H62" s="729">
        <f t="shared" si="2"/>
        <v>-2.3025850929940455</v>
      </c>
      <c r="I62" s="729">
        <f t="shared" si="3"/>
        <v>-7.4730690880321973</v>
      </c>
      <c r="J62" s="40"/>
    </row>
    <row r="63" spans="1:16">
      <c r="A63" s="729">
        <v>52</v>
      </c>
      <c r="B63" s="729">
        <v>10</v>
      </c>
      <c r="C63" s="729">
        <v>0.1</v>
      </c>
      <c r="D63" s="729">
        <v>5.6818181818181826E-4</v>
      </c>
      <c r="E63" s="729">
        <f t="shared" si="4"/>
        <v>7.3888091822094687E-2</v>
      </c>
      <c r="F63" s="729">
        <f t="shared" si="0"/>
        <v>-1.4474312322101401</v>
      </c>
      <c r="G63" s="729">
        <f t="shared" si="1"/>
        <v>2.3025850929940459</v>
      </c>
      <c r="H63" s="729">
        <f t="shared" si="2"/>
        <v>-2.3025850929940455</v>
      </c>
      <c r="I63" s="729">
        <f t="shared" si="3"/>
        <v>-7.4730690880321973</v>
      </c>
      <c r="J63" s="40"/>
    </row>
    <row r="64" spans="1:16">
      <c r="A64" s="729">
        <v>53</v>
      </c>
      <c r="B64" s="729">
        <v>10</v>
      </c>
      <c r="C64" s="729">
        <v>0.1</v>
      </c>
      <c r="D64" s="729">
        <v>5.6818181818181826E-4</v>
      </c>
      <c r="E64" s="729">
        <f t="shared" si="4"/>
        <v>7.5322812051649923E-2</v>
      </c>
      <c r="F64" s="729">
        <f t="shared" si="0"/>
        <v>-1.4372547399055966</v>
      </c>
      <c r="G64" s="729">
        <f t="shared" si="1"/>
        <v>2.3025850929940459</v>
      </c>
      <c r="H64" s="729">
        <f t="shared" si="2"/>
        <v>-2.3025850929940455</v>
      </c>
      <c r="I64" s="729">
        <f t="shared" si="3"/>
        <v>-7.4730690880321973</v>
      </c>
      <c r="J64" s="40"/>
    </row>
    <row r="65" spans="1:10">
      <c r="A65" s="729">
        <v>54</v>
      </c>
      <c r="B65" s="729">
        <v>10</v>
      </c>
      <c r="C65" s="729">
        <v>0.1</v>
      </c>
      <c r="D65" s="729">
        <v>5.6818181818181826E-4</v>
      </c>
      <c r="E65" s="729">
        <f t="shared" si="4"/>
        <v>7.675753228120516E-2</v>
      </c>
      <c r="F65" s="729">
        <f t="shared" si="0"/>
        <v>-1.4272249517282989</v>
      </c>
      <c r="G65" s="729">
        <f t="shared" si="1"/>
        <v>2.3025850929940459</v>
      </c>
      <c r="H65" s="729">
        <f t="shared" si="2"/>
        <v>-2.3025850929940455</v>
      </c>
      <c r="I65" s="729">
        <f t="shared" si="3"/>
        <v>-7.4730690880321973</v>
      </c>
      <c r="J65" s="40"/>
    </row>
    <row r="66" spans="1:10">
      <c r="A66" s="729">
        <v>55</v>
      </c>
      <c r="B66" s="729">
        <v>10</v>
      </c>
      <c r="C66" s="729">
        <v>0.1</v>
      </c>
      <c r="D66" s="729">
        <v>5.6818181818181826E-4</v>
      </c>
      <c r="E66" s="729">
        <f t="shared" si="4"/>
        <v>7.8192252510760396E-2</v>
      </c>
      <c r="F66" s="729">
        <f t="shared" si="0"/>
        <v>-1.4173367171870725</v>
      </c>
      <c r="G66" s="729">
        <f t="shared" si="1"/>
        <v>2.3025850929940459</v>
      </c>
      <c r="H66" s="729">
        <f t="shared" si="2"/>
        <v>-2.3025850929940455</v>
      </c>
      <c r="I66" s="729">
        <f t="shared" si="3"/>
        <v>-7.4730690880321973</v>
      </c>
      <c r="J66" s="40"/>
    </row>
    <row r="67" spans="1:10">
      <c r="A67" s="729">
        <v>56</v>
      </c>
      <c r="B67" s="729">
        <v>10</v>
      </c>
      <c r="C67" s="729">
        <v>0.1</v>
      </c>
      <c r="D67" s="729">
        <v>5.6818181818181826E-4</v>
      </c>
      <c r="E67" s="729">
        <f t="shared" si="4"/>
        <v>7.9626972740315632E-2</v>
      </c>
      <c r="F67" s="729">
        <f t="shared" si="0"/>
        <v>-1.4075851558679084</v>
      </c>
      <c r="G67" s="729">
        <f t="shared" si="1"/>
        <v>2.3025850929940459</v>
      </c>
      <c r="H67" s="729">
        <f t="shared" si="2"/>
        <v>-2.3025850929940455</v>
      </c>
      <c r="I67" s="729">
        <f t="shared" si="3"/>
        <v>-7.4730690880321973</v>
      </c>
      <c r="J67" s="40"/>
    </row>
    <row r="68" spans="1:10">
      <c r="A68" s="729">
        <v>57</v>
      </c>
      <c r="B68" s="729">
        <v>10</v>
      </c>
      <c r="C68" s="729">
        <v>0.1</v>
      </c>
      <c r="D68" s="729">
        <v>5.6818181818181826E-4</v>
      </c>
      <c r="E68" s="729">
        <f t="shared" si="4"/>
        <v>8.1061692969870869E-2</v>
      </c>
      <c r="F68" s="729">
        <f t="shared" si="0"/>
        <v>-1.3979656386550985</v>
      </c>
      <c r="G68" s="729">
        <f t="shared" si="1"/>
        <v>2.3025850929940459</v>
      </c>
      <c r="H68" s="729">
        <f t="shared" si="2"/>
        <v>-2.3025850929940455</v>
      </c>
      <c r="I68" s="729">
        <f t="shared" si="3"/>
        <v>-7.4730690880321973</v>
      </c>
      <c r="J68" s="40"/>
    </row>
    <row r="69" spans="1:10">
      <c r="A69" s="729">
        <v>58</v>
      </c>
      <c r="B69" s="729">
        <v>10</v>
      </c>
      <c r="C69" s="729">
        <v>0.1</v>
      </c>
      <c r="D69" s="729">
        <v>5.6818181818181826E-4</v>
      </c>
      <c r="E69" s="729">
        <f t="shared" si="4"/>
        <v>8.2496413199426105E-2</v>
      </c>
      <c r="F69" s="729">
        <f t="shared" si="0"/>
        <v>-1.3884737705662995</v>
      </c>
      <c r="G69" s="729">
        <f t="shared" si="1"/>
        <v>2.3025850929940459</v>
      </c>
      <c r="H69" s="729">
        <f t="shared" si="2"/>
        <v>-2.3025850929940455</v>
      </c>
      <c r="I69" s="729">
        <f t="shared" si="3"/>
        <v>-7.4730690880321973</v>
      </c>
      <c r="J69" s="40"/>
    </row>
    <row r="70" spans="1:10">
      <c r="A70" s="729">
        <v>59</v>
      </c>
      <c r="B70" s="729">
        <v>10</v>
      </c>
      <c r="C70" s="729">
        <v>0.1</v>
      </c>
      <c r="D70" s="729">
        <v>5.6818181818181826E-4</v>
      </c>
      <c r="E70" s="729">
        <f t="shared" si="4"/>
        <v>8.3931133428981355E-2</v>
      </c>
      <c r="F70" s="729">
        <f t="shared" si="0"/>
        <v>-1.3791053750371944</v>
      </c>
      <c r="G70" s="729">
        <f t="shared" si="1"/>
        <v>2.3025850929940459</v>
      </c>
      <c r="H70" s="729">
        <f t="shared" si="2"/>
        <v>-2.3025850929940455</v>
      </c>
      <c r="I70" s="729">
        <f t="shared" si="3"/>
        <v>-7.4730690880321973</v>
      </c>
      <c r="J70" s="40"/>
    </row>
    <row r="71" spans="1:10">
      <c r="A71" s="729">
        <v>60</v>
      </c>
      <c r="B71" s="729">
        <v>10</v>
      </c>
      <c r="C71" s="729">
        <v>0.1</v>
      </c>
      <c r="D71" s="729">
        <v>5.6818181818181826E-4</v>
      </c>
      <c r="E71" s="729">
        <f t="shared" si="4"/>
        <v>8.5365853658536592E-2</v>
      </c>
      <c r="F71" s="729">
        <f t="shared" si="0"/>
        <v>-1.3698564795107979</v>
      </c>
      <c r="G71" s="729">
        <f t="shared" si="1"/>
        <v>2.3025850929940459</v>
      </c>
      <c r="H71" s="729">
        <f t="shared" si="2"/>
        <v>-2.3025850929940455</v>
      </c>
      <c r="I71" s="729">
        <f t="shared" si="3"/>
        <v>-7.4730690880321973</v>
      </c>
      <c r="J71" s="40"/>
    </row>
    <row r="72" spans="1:10">
      <c r="A72" s="729">
        <v>61</v>
      </c>
      <c r="B72" s="729">
        <v>10</v>
      </c>
      <c r="C72" s="729">
        <v>0.1</v>
      </c>
      <c r="D72" s="729">
        <v>5.6818181818181826E-4</v>
      </c>
      <c r="E72" s="729">
        <f t="shared" si="4"/>
        <v>8.6800573888091828E-2</v>
      </c>
      <c r="F72" s="729">
        <f t="shared" si="0"/>
        <v>-1.3607233022030081</v>
      </c>
      <c r="G72" s="729">
        <f t="shared" si="1"/>
        <v>2.3025850929940459</v>
      </c>
      <c r="H72" s="729">
        <f t="shared" si="2"/>
        <v>-2.3025850929940455</v>
      </c>
      <c r="I72" s="729">
        <f t="shared" si="3"/>
        <v>-7.4730690880321973</v>
      </c>
      <c r="J72" s="40"/>
    </row>
    <row r="73" spans="1:10">
      <c r="A73" s="729">
        <v>62</v>
      </c>
      <c r="B73" s="729">
        <v>10</v>
      </c>
      <c r="C73" s="729">
        <v>0.1</v>
      </c>
      <c r="D73" s="729">
        <v>5.6818181818181826E-4</v>
      </c>
      <c r="E73" s="729">
        <f t="shared" si="4"/>
        <v>8.8235294117647065E-2</v>
      </c>
      <c r="F73" s="729">
        <f t="shared" si="0"/>
        <v>-1.3517022399306602</v>
      </c>
      <c r="G73" s="729">
        <f t="shared" si="1"/>
        <v>2.3025850929940459</v>
      </c>
      <c r="H73" s="729">
        <f t="shared" si="2"/>
        <v>-2.3025850929940455</v>
      </c>
      <c r="I73" s="729">
        <f t="shared" si="3"/>
        <v>-7.4730690880321973</v>
      </c>
      <c r="J73" s="40"/>
    </row>
    <row r="74" spans="1:10">
      <c r="A74" s="729">
        <v>63</v>
      </c>
      <c r="B74" s="729">
        <v>10</v>
      </c>
      <c r="C74" s="729">
        <v>0.1</v>
      </c>
      <c r="D74" s="729">
        <v>5.6818181818181826E-4</v>
      </c>
      <c r="E74" s="729">
        <f t="shared" si="4"/>
        <v>8.9670014347202301E-2</v>
      </c>
      <c r="F74" s="729">
        <f t="shared" si="0"/>
        <v>-1.3427898569009069</v>
      </c>
      <c r="G74" s="729">
        <f t="shared" si="1"/>
        <v>2.3025850929940459</v>
      </c>
      <c r="H74" s="729">
        <f t="shared" si="2"/>
        <v>-2.3025850929940455</v>
      </c>
      <c r="I74" s="729">
        <f t="shared" si="3"/>
        <v>-7.4730690880321973</v>
      </c>
      <c r="J74" s="40"/>
    </row>
    <row r="75" spans="1:10">
      <c r="A75" s="729">
        <v>64</v>
      </c>
      <c r="B75" s="729">
        <v>10</v>
      </c>
      <c r="C75" s="729">
        <v>0.1</v>
      </c>
      <c r="D75" s="729">
        <v>5.6818181818181826E-4</v>
      </c>
      <c r="E75" s="729">
        <f t="shared" si="4"/>
        <v>9.1104734576757537E-2</v>
      </c>
      <c r="F75" s="729">
        <f t="shared" si="0"/>
        <v>-1.3339828743718865</v>
      </c>
      <c r="G75" s="729">
        <f t="shared" si="1"/>
        <v>2.3025850929940459</v>
      </c>
      <c r="H75" s="729">
        <f t="shared" si="2"/>
        <v>-2.3025850929940455</v>
      </c>
      <c r="I75" s="729">
        <f t="shared" si="3"/>
        <v>-7.4730690880321973</v>
      </c>
      <c r="J75" s="40"/>
    </row>
    <row r="76" spans="1:10">
      <c r="A76" s="729">
        <v>65</v>
      </c>
      <c r="B76" s="729">
        <v>10</v>
      </c>
      <c r="C76" s="729">
        <v>0.1</v>
      </c>
      <c r="D76" s="729">
        <v>5.6818181818181826E-4</v>
      </c>
      <c r="E76" s="729">
        <f t="shared" si="4"/>
        <v>9.2539454806312774E-2</v>
      </c>
      <c r="F76" s="729">
        <f t="shared" ref="F76:F139" si="5">NORMSINV(E76)</f>
        <v>-1.3252781611043922</v>
      </c>
      <c r="G76" s="729">
        <f t="shared" ref="G76:G139" si="6">LN(B76)</f>
        <v>2.3025850929940459</v>
      </c>
      <c r="H76" s="729">
        <f t="shared" ref="H76:H139" si="7">LN(C76)</f>
        <v>-2.3025850929940455</v>
      </c>
      <c r="I76" s="729">
        <f t="shared" ref="I76:I139" si="8">LN(D76)</f>
        <v>-7.4730690880321973</v>
      </c>
      <c r="J76" s="40"/>
    </row>
    <row r="77" spans="1:10">
      <c r="A77" s="729">
        <v>66</v>
      </c>
      <c r="B77" s="729">
        <v>10</v>
      </c>
      <c r="C77" s="729">
        <v>0.1</v>
      </c>
      <c r="D77" s="729">
        <v>5.6818181818181826E-4</v>
      </c>
      <c r="E77" s="729">
        <f t="shared" ref="E77:E140" si="9">(A77-0.5)/697</f>
        <v>9.397417503586801E-2</v>
      </c>
      <c r="F77" s="729">
        <f t="shared" si="5"/>
        <v>-1.3166727245326566</v>
      </c>
      <c r="G77" s="729">
        <f t="shared" si="6"/>
        <v>2.3025850929940459</v>
      </c>
      <c r="H77" s="729">
        <f t="shared" si="7"/>
        <v>-2.3025850929940455</v>
      </c>
      <c r="I77" s="729">
        <f t="shared" si="8"/>
        <v>-7.4730690880321973</v>
      </c>
      <c r="J77" s="40"/>
    </row>
    <row r="78" spans="1:10">
      <c r="A78" s="729">
        <v>67</v>
      </c>
      <c r="B78" s="729">
        <v>10</v>
      </c>
      <c r="C78" s="729">
        <v>0.1</v>
      </c>
      <c r="D78" s="729">
        <v>5.6818181818181826E-4</v>
      </c>
      <c r="E78" s="729">
        <f t="shared" si="9"/>
        <v>9.5408895265423246E-2</v>
      </c>
      <c r="F78" s="729">
        <f t="shared" si="5"/>
        <v>-1.3081637025900652</v>
      </c>
      <c r="G78" s="729">
        <f t="shared" si="6"/>
        <v>2.3025850929940459</v>
      </c>
      <c r="H78" s="729">
        <f t="shared" si="7"/>
        <v>-2.3025850929940455</v>
      </c>
      <c r="I78" s="729">
        <f t="shared" si="8"/>
        <v>-7.4730690880321973</v>
      </c>
      <c r="J78" s="40"/>
    </row>
    <row r="79" spans="1:10">
      <c r="A79" s="729">
        <v>68</v>
      </c>
      <c r="B79" s="729">
        <v>10</v>
      </c>
      <c r="C79" s="729">
        <v>0.1</v>
      </c>
      <c r="D79" s="729">
        <v>5.6818181818181826E-4</v>
      </c>
      <c r="E79" s="729">
        <f t="shared" si="9"/>
        <v>9.6843615494978483E-2</v>
      </c>
      <c r="F79" s="729">
        <f t="shared" si="5"/>
        <v>-1.2997483561320435</v>
      </c>
      <c r="G79" s="729">
        <f t="shared" si="6"/>
        <v>2.3025850929940459</v>
      </c>
      <c r="H79" s="729">
        <f t="shared" si="7"/>
        <v>-2.3025850929940455</v>
      </c>
      <c r="I79" s="729">
        <f t="shared" si="8"/>
        <v>-7.4730690880321973</v>
      </c>
      <c r="J79" s="40"/>
    </row>
    <row r="80" spans="1:10">
      <c r="A80" s="729">
        <v>69</v>
      </c>
      <c r="B80" s="729">
        <v>10</v>
      </c>
      <c r="C80" s="729">
        <v>0.1</v>
      </c>
      <c r="D80" s="729">
        <v>5.6818181818181826E-4</v>
      </c>
      <c r="E80" s="729">
        <f t="shared" si="9"/>
        <v>9.8278335724533719E-2</v>
      </c>
      <c r="F80" s="729">
        <f t="shared" si="5"/>
        <v>-1.2914240619043673</v>
      </c>
      <c r="G80" s="729">
        <f t="shared" si="6"/>
        <v>2.3025850929940459</v>
      </c>
      <c r="H80" s="729">
        <f t="shared" si="7"/>
        <v>-2.3025850929940455</v>
      </c>
      <c r="I80" s="729">
        <f t="shared" si="8"/>
        <v>-7.4730690880321973</v>
      </c>
      <c r="J80" s="40"/>
    </row>
    <row r="81" spans="1:10">
      <c r="A81" s="729">
        <v>70</v>
      </c>
      <c r="B81" s="729">
        <v>10</v>
      </c>
      <c r="C81" s="729">
        <v>0.1</v>
      </c>
      <c r="D81" s="729">
        <v>5.6818181818181826E-4</v>
      </c>
      <c r="E81" s="729">
        <f t="shared" si="9"/>
        <v>9.9713055954088956E-2</v>
      </c>
      <c r="F81" s="729">
        <f t="shared" si="5"/>
        <v>-1.2831883060102467</v>
      </c>
      <c r="G81" s="729">
        <f t="shared" si="6"/>
        <v>2.3025850929940459</v>
      </c>
      <c r="H81" s="729">
        <f t="shared" si="7"/>
        <v>-2.3025850929940455</v>
      </c>
      <c r="I81" s="729">
        <f t="shared" si="8"/>
        <v>-7.4730690880321973</v>
      </c>
      <c r="J81" s="40"/>
    </row>
    <row r="82" spans="1:10">
      <c r="A82" s="729">
        <v>71</v>
      </c>
      <c r="B82" s="729">
        <v>10</v>
      </c>
      <c r="C82" s="729">
        <v>0.1</v>
      </c>
      <c r="D82" s="729">
        <v>5.6818181818181826E-4</v>
      </c>
      <c r="E82" s="729">
        <f t="shared" si="9"/>
        <v>0.10114777618364419</v>
      </c>
      <c r="F82" s="729">
        <f t="shared" si="5"/>
        <v>-1.2750386778341529</v>
      </c>
      <c r="G82" s="729">
        <f t="shared" si="6"/>
        <v>2.3025850929940459</v>
      </c>
      <c r="H82" s="729">
        <f t="shared" si="7"/>
        <v>-2.3025850929940455</v>
      </c>
      <c r="I82" s="729">
        <f t="shared" si="8"/>
        <v>-7.4730690880321973</v>
      </c>
      <c r="J82" s="40"/>
    </row>
    <row r="83" spans="1:10">
      <c r="A83" s="729">
        <v>72</v>
      </c>
      <c r="B83" s="729">
        <v>10</v>
      </c>
      <c r="C83" s="729">
        <v>0.1</v>
      </c>
      <c r="D83" s="729">
        <v>5.6818181818181826E-4</v>
      </c>
      <c r="E83" s="729">
        <f t="shared" si="9"/>
        <v>0.10258249641319943</v>
      </c>
      <c r="F83" s="729">
        <f t="shared" si="5"/>
        <v>-1.2669728643844393</v>
      </c>
      <c r="G83" s="729">
        <f t="shared" si="6"/>
        <v>2.3025850929940459</v>
      </c>
      <c r="H83" s="729">
        <f t="shared" si="7"/>
        <v>-2.3025850929940455</v>
      </c>
      <c r="I83" s="729">
        <f t="shared" si="8"/>
        <v>-7.4730690880321973</v>
      </c>
      <c r="J83" s="40"/>
    </row>
    <row r="84" spans="1:10">
      <c r="A84" s="729">
        <v>73</v>
      </c>
      <c r="B84" s="729">
        <v>10</v>
      </c>
      <c r="C84" s="729">
        <v>0.1</v>
      </c>
      <c r="D84" s="729">
        <v>5.6818181818181826E-4</v>
      </c>
      <c r="E84" s="729">
        <f t="shared" si="9"/>
        <v>0.10401721664275466</v>
      </c>
      <c r="F84" s="729">
        <f t="shared" si="5"/>
        <v>-1.2589886450204808</v>
      </c>
      <c r="G84" s="729">
        <f t="shared" si="6"/>
        <v>2.3025850929940459</v>
      </c>
      <c r="H84" s="729">
        <f t="shared" si="7"/>
        <v>-2.3025850929940455</v>
      </c>
      <c r="I84" s="729">
        <f t="shared" si="8"/>
        <v>-7.4730690880321973</v>
      </c>
      <c r="J84" s="40"/>
    </row>
    <row r="85" spans="1:10">
      <c r="A85" s="729">
        <v>74</v>
      </c>
      <c r="B85" s="729">
        <v>10</v>
      </c>
      <c r="C85" s="729">
        <v>0.1</v>
      </c>
      <c r="D85" s="729">
        <v>5.6818181818181826E-4</v>
      </c>
      <c r="E85" s="729">
        <f t="shared" si="9"/>
        <v>0.1054519368723099</v>
      </c>
      <c r="F85" s="729">
        <f t="shared" si="5"/>
        <v>-1.2510838865332123</v>
      </c>
      <c r="G85" s="729">
        <f t="shared" si="6"/>
        <v>2.3025850929940459</v>
      </c>
      <c r="H85" s="729">
        <f t="shared" si="7"/>
        <v>-2.3025850929940455</v>
      </c>
      <c r="I85" s="729">
        <f t="shared" si="8"/>
        <v>-7.4730690880321973</v>
      </c>
      <c r="J85" s="40"/>
    </row>
    <row r="86" spans="1:10">
      <c r="A86" s="729">
        <v>75</v>
      </c>
      <c r="B86" s="729">
        <v>10</v>
      </c>
      <c r="C86" s="729">
        <v>0.1</v>
      </c>
      <c r="D86" s="729">
        <v>5.6818181818181826E-4</v>
      </c>
      <c r="E86" s="729">
        <f t="shared" si="9"/>
        <v>0.10688665710186514</v>
      </c>
      <c r="F86" s="729">
        <f t="shared" si="5"/>
        <v>-1.243256538550962</v>
      </c>
      <c r="G86" s="729">
        <f t="shared" si="6"/>
        <v>2.3025850929940459</v>
      </c>
      <c r="H86" s="729">
        <f t="shared" si="7"/>
        <v>-2.3025850929940455</v>
      </c>
      <c r="I86" s="729">
        <f t="shared" si="8"/>
        <v>-7.4730690880321973</v>
      </c>
      <c r="J86" s="40"/>
    </row>
    <row r="87" spans="1:10">
      <c r="A87" s="729">
        <v>76</v>
      </c>
      <c r="B87" s="729">
        <v>10</v>
      </c>
      <c r="C87" s="729">
        <v>0.1</v>
      </c>
      <c r="D87" s="729">
        <v>5.6818181818181826E-4</v>
      </c>
      <c r="E87" s="729">
        <f t="shared" si="9"/>
        <v>0.10832137733142037</v>
      </c>
      <c r="F87" s="729">
        <f t="shared" si="5"/>
        <v>-1.2355046292449556</v>
      </c>
      <c r="G87" s="729">
        <f t="shared" si="6"/>
        <v>2.3025850929940459</v>
      </c>
      <c r="H87" s="729">
        <f t="shared" si="7"/>
        <v>-2.3025850929940455</v>
      </c>
      <c r="I87" s="729">
        <f t="shared" si="8"/>
        <v>-7.4730690880321973</v>
      </c>
      <c r="J87" s="40"/>
    </row>
    <row r="88" spans="1:10">
      <c r="A88" s="729">
        <v>77</v>
      </c>
      <c r="B88" s="729">
        <v>10</v>
      </c>
      <c r="C88" s="729">
        <v>0.1</v>
      </c>
      <c r="D88" s="729">
        <v>5.6818181818181826E-4</v>
      </c>
      <c r="E88" s="729">
        <f t="shared" si="9"/>
        <v>0.10975609756097561</v>
      </c>
      <c r="F88" s="729">
        <f t="shared" si="5"/>
        <v>-1.2278262613112725</v>
      </c>
      <c r="G88" s="729">
        <f t="shared" si="6"/>
        <v>2.3025850929940459</v>
      </c>
      <c r="H88" s="729">
        <f t="shared" si="7"/>
        <v>-2.3025850929940455</v>
      </c>
      <c r="I88" s="729">
        <f t="shared" si="8"/>
        <v>-7.4730690880321973</v>
      </c>
      <c r="J88" s="40"/>
    </row>
    <row r="89" spans="1:10">
      <c r="A89" s="729">
        <v>78</v>
      </c>
      <c r="B89" s="729">
        <v>10</v>
      </c>
      <c r="C89" s="729">
        <v>0.1</v>
      </c>
      <c r="D89" s="729">
        <v>5.6818181818181826E-4</v>
      </c>
      <c r="E89" s="729">
        <f t="shared" si="9"/>
        <v>0.11119081779053085</v>
      </c>
      <c r="F89" s="729">
        <f t="shared" si="5"/>
        <v>-1.2202196082080596</v>
      </c>
      <c r="G89" s="729">
        <f t="shared" si="6"/>
        <v>2.3025850929940459</v>
      </c>
      <c r="H89" s="729">
        <f t="shared" si="7"/>
        <v>-2.3025850929940455</v>
      </c>
      <c r="I89" s="729">
        <f t="shared" si="8"/>
        <v>-7.4730690880321973</v>
      </c>
      <c r="J89" s="40"/>
    </row>
    <row r="90" spans="1:10">
      <c r="A90" s="729">
        <v>79</v>
      </c>
      <c r="B90" s="729">
        <v>10</v>
      </c>
      <c r="C90" s="729">
        <v>0.1</v>
      </c>
      <c r="D90" s="729">
        <v>5.6818181818181826E-4</v>
      </c>
      <c r="E90" s="729">
        <f t="shared" si="9"/>
        <v>0.11262553802008608</v>
      </c>
      <c r="F90" s="729">
        <f t="shared" si="5"/>
        <v>-1.2126829106287236</v>
      </c>
      <c r="G90" s="729">
        <f t="shared" si="6"/>
        <v>2.3025850929940459</v>
      </c>
      <c r="H90" s="729">
        <f t="shared" si="7"/>
        <v>-2.3025850929940455</v>
      </c>
      <c r="I90" s="729">
        <f t="shared" si="8"/>
        <v>-7.4730690880321973</v>
      </c>
      <c r="J90" s="40"/>
    </row>
    <row r="91" spans="1:10">
      <c r="A91" s="729">
        <v>80</v>
      </c>
      <c r="B91" s="729">
        <v>10</v>
      </c>
      <c r="C91" s="729">
        <v>0.1</v>
      </c>
      <c r="D91" s="729">
        <v>5.6818181818181826E-4</v>
      </c>
      <c r="E91" s="729">
        <f t="shared" si="9"/>
        <v>0.11406025824964132</v>
      </c>
      <c r="F91" s="729">
        <f t="shared" si="5"/>
        <v>-1.2052144731934824</v>
      </c>
      <c r="G91" s="729">
        <f t="shared" si="6"/>
        <v>2.3025850929940459</v>
      </c>
      <c r="H91" s="729">
        <f t="shared" si="7"/>
        <v>-2.3025850929940455</v>
      </c>
      <c r="I91" s="729">
        <f t="shared" si="8"/>
        <v>-7.4730690880321973</v>
      </c>
      <c r="J91" s="40"/>
    </row>
    <row r="92" spans="1:10">
      <c r="A92" s="729">
        <v>81</v>
      </c>
      <c r="B92" s="729">
        <v>10</v>
      </c>
      <c r="C92" s="729">
        <v>0.1</v>
      </c>
      <c r="D92" s="729">
        <v>5.6818181818181826E-4</v>
      </c>
      <c r="E92" s="729">
        <f t="shared" si="9"/>
        <v>0.11549497847919656</v>
      </c>
      <c r="F92" s="729">
        <f t="shared" si="5"/>
        <v>-1.1978126613431899</v>
      </c>
      <c r="G92" s="729">
        <f t="shared" si="6"/>
        <v>2.3025850929940459</v>
      </c>
      <c r="H92" s="729">
        <f t="shared" si="7"/>
        <v>-2.3025850929940455</v>
      </c>
      <c r="I92" s="729">
        <f t="shared" si="8"/>
        <v>-7.4730690880321973</v>
      </c>
      <c r="J92" s="40"/>
    </row>
    <row r="93" spans="1:10">
      <c r="A93" s="729">
        <v>82</v>
      </c>
      <c r="B93" s="729">
        <v>10</v>
      </c>
      <c r="C93" s="729">
        <v>0.1</v>
      </c>
      <c r="D93" s="729">
        <v>5.6818181818181826E-4</v>
      </c>
      <c r="E93" s="729">
        <f t="shared" si="9"/>
        <v>0.11692969870875179</v>
      </c>
      <c r="F93" s="729">
        <f t="shared" si="5"/>
        <v>-1.1904758984207013</v>
      </c>
      <c r="G93" s="729">
        <f t="shared" si="6"/>
        <v>2.3025850929940459</v>
      </c>
      <c r="H93" s="729">
        <f t="shared" si="7"/>
        <v>-2.3025850929940455</v>
      </c>
      <c r="I93" s="729">
        <f t="shared" si="8"/>
        <v>-7.4730690880321973</v>
      </c>
      <c r="J93" s="40"/>
    </row>
    <row r="94" spans="1:10">
      <c r="A94" s="729">
        <v>83</v>
      </c>
      <c r="B94" s="729">
        <v>10</v>
      </c>
      <c r="C94" s="729">
        <v>0.1</v>
      </c>
      <c r="D94" s="729">
        <v>7.1022727272727275E-4</v>
      </c>
      <c r="E94" s="729">
        <f t="shared" si="9"/>
        <v>0.11836441893830703</v>
      </c>
      <c r="F94" s="729">
        <f t="shared" si="5"/>
        <v>-1.1832026629263122</v>
      </c>
      <c r="G94" s="729">
        <f t="shared" si="6"/>
        <v>2.3025850929940459</v>
      </c>
      <c r="H94" s="729">
        <f t="shared" si="7"/>
        <v>-2.3025850929940455</v>
      </c>
      <c r="I94" s="729">
        <f t="shared" si="8"/>
        <v>-7.2499255367179876</v>
      </c>
      <c r="J94" s="40"/>
    </row>
    <row r="95" spans="1:10">
      <c r="A95" s="729">
        <v>84</v>
      </c>
      <c r="B95" s="729">
        <v>10</v>
      </c>
      <c r="C95" s="729">
        <v>0.1</v>
      </c>
      <c r="D95" s="729">
        <v>7.3863636363636362E-4</v>
      </c>
      <c r="E95" s="729">
        <f t="shared" si="9"/>
        <v>0.11979913916786226</v>
      </c>
      <c r="F95" s="729">
        <f t="shared" si="5"/>
        <v>-1.1759914859348912</v>
      </c>
      <c r="G95" s="729">
        <f t="shared" si="6"/>
        <v>2.3025850929940459</v>
      </c>
      <c r="H95" s="729">
        <f t="shared" si="7"/>
        <v>-2.3025850929940455</v>
      </c>
      <c r="I95" s="729">
        <f t="shared" si="8"/>
        <v>-7.210704823564706</v>
      </c>
      <c r="J95" s="40"/>
    </row>
    <row r="96" spans="1:10">
      <c r="A96" s="729">
        <v>85</v>
      </c>
      <c r="B96" s="729">
        <v>10</v>
      </c>
      <c r="C96" s="729">
        <v>0.1</v>
      </c>
      <c r="D96" s="729">
        <v>8.5227272727272723E-4</v>
      </c>
      <c r="E96" s="729">
        <f t="shared" si="9"/>
        <v>0.1212338593974175</v>
      </c>
      <c r="F96" s="729">
        <f t="shared" si="5"/>
        <v>-1.1688409486633706</v>
      </c>
      <c r="G96" s="729">
        <f t="shared" si="6"/>
        <v>2.3025850929940459</v>
      </c>
      <c r="H96" s="729">
        <f t="shared" si="7"/>
        <v>-2.3025850929940455</v>
      </c>
      <c r="I96" s="729">
        <f t="shared" si="8"/>
        <v>-7.0676039799240336</v>
      </c>
      <c r="J96" s="40"/>
    </row>
    <row r="97" spans="1:10">
      <c r="A97" s="729">
        <v>86</v>
      </c>
      <c r="B97" s="729">
        <v>10</v>
      </c>
      <c r="C97" s="729">
        <v>0.1</v>
      </c>
      <c r="D97" s="729">
        <v>9.6590909090909095E-4</v>
      </c>
      <c r="E97" s="729">
        <f t="shared" si="9"/>
        <v>0.12266857962697274</v>
      </c>
      <c r="F97" s="729">
        <f t="shared" si="5"/>
        <v>-1.1617496801781668</v>
      </c>
      <c r="G97" s="729">
        <f t="shared" si="6"/>
        <v>2.3025850929940459</v>
      </c>
      <c r="H97" s="729">
        <f t="shared" si="7"/>
        <v>-2.3025850929940455</v>
      </c>
      <c r="I97" s="729">
        <f t="shared" si="8"/>
        <v>-6.942440836970027</v>
      </c>
      <c r="J97" s="40"/>
    </row>
    <row r="98" spans="1:10">
      <c r="A98" s="729">
        <v>87</v>
      </c>
      <c r="B98" s="729">
        <v>10</v>
      </c>
      <c r="C98" s="729">
        <v>0.1</v>
      </c>
      <c r="D98" s="729">
        <v>9.6590909090909095E-4</v>
      </c>
      <c r="E98" s="729">
        <f t="shared" si="9"/>
        <v>0.12410329985652797</v>
      </c>
      <c r="F98" s="729">
        <f t="shared" si="5"/>
        <v>-1.1547163552329431</v>
      </c>
      <c r="G98" s="729">
        <f t="shared" si="6"/>
        <v>2.3025850929940459</v>
      </c>
      <c r="H98" s="729">
        <f t="shared" si="7"/>
        <v>-2.3025850929940455</v>
      </c>
      <c r="I98" s="729">
        <f t="shared" si="8"/>
        <v>-6.942440836970027</v>
      </c>
      <c r="J98" s="40"/>
    </row>
    <row r="99" spans="1:10">
      <c r="A99" s="729">
        <v>88</v>
      </c>
      <c r="B99" s="729">
        <v>10</v>
      </c>
      <c r="C99" s="729">
        <v>0.1</v>
      </c>
      <c r="D99" s="729">
        <v>9.6590909090909095E-4</v>
      </c>
      <c r="E99" s="729">
        <f t="shared" si="9"/>
        <v>0.12553802008608322</v>
      </c>
      <c r="F99" s="729">
        <f t="shared" si="5"/>
        <v>-1.1477396922278675</v>
      </c>
      <c r="G99" s="729">
        <f t="shared" si="6"/>
        <v>2.3025850929940459</v>
      </c>
      <c r="H99" s="729">
        <f t="shared" si="7"/>
        <v>-2.3025850929940455</v>
      </c>
      <c r="I99" s="729">
        <f t="shared" si="8"/>
        <v>-6.942440836970027</v>
      </c>
      <c r="J99" s="40"/>
    </row>
    <row r="100" spans="1:10">
      <c r="A100" s="729">
        <v>89</v>
      </c>
      <c r="B100" s="729">
        <v>10</v>
      </c>
      <c r="C100" s="729">
        <v>0.1</v>
      </c>
      <c r="D100" s="729">
        <v>9.6590909090909095E-4</v>
      </c>
      <c r="E100" s="729">
        <f t="shared" si="9"/>
        <v>0.12697274031563846</v>
      </c>
      <c r="F100" s="729">
        <f t="shared" si="5"/>
        <v>-1.1408184512822599</v>
      </c>
      <c r="G100" s="729">
        <f t="shared" si="6"/>
        <v>2.3025850929940459</v>
      </c>
      <c r="H100" s="729">
        <f t="shared" si="7"/>
        <v>-2.3025850929940455</v>
      </c>
      <c r="I100" s="729">
        <f t="shared" si="8"/>
        <v>-6.942440836970027</v>
      </c>
      <c r="J100" s="40"/>
    </row>
    <row r="101" spans="1:10">
      <c r="A101" s="729">
        <v>90</v>
      </c>
      <c r="B101" s="729">
        <v>10</v>
      </c>
      <c r="C101" s="729">
        <v>0.1</v>
      </c>
      <c r="D101" s="729">
        <v>1.1363636363636363E-3</v>
      </c>
      <c r="E101" s="729">
        <f t="shared" si="9"/>
        <v>0.1284074605451937</v>
      </c>
      <c r="F101" s="729">
        <f t="shared" si="5"/>
        <v>-1.1339514324130875</v>
      </c>
      <c r="G101" s="729">
        <f t="shared" si="6"/>
        <v>2.3025850929940459</v>
      </c>
      <c r="H101" s="729">
        <f t="shared" si="7"/>
        <v>-2.3025850929940455</v>
      </c>
      <c r="I101" s="729">
        <f t="shared" si="8"/>
        <v>-6.7799219074722519</v>
      </c>
      <c r="J101" s="40"/>
    </row>
    <row r="102" spans="1:10">
      <c r="A102" s="729">
        <v>91</v>
      </c>
      <c r="B102" s="729">
        <v>10</v>
      </c>
      <c r="C102" s="729">
        <v>0.1</v>
      </c>
      <c r="D102" s="729">
        <v>1.1363636363636365E-3</v>
      </c>
      <c r="E102" s="729">
        <f t="shared" si="9"/>
        <v>0.12984218077474893</v>
      </c>
      <c r="F102" s="729">
        <f t="shared" si="5"/>
        <v>-1.1271374738124025</v>
      </c>
      <c r="G102" s="729">
        <f t="shared" si="6"/>
        <v>2.3025850929940459</v>
      </c>
      <c r="H102" s="729">
        <f t="shared" si="7"/>
        <v>-2.3025850929940455</v>
      </c>
      <c r="I102" s="729">
        <f t="shared" si="8"/>
        <v>-6.7799219074722519</v>
      </c>
      <c r="J102" s="40"/>
    </row>
    <row r="103" spans="1:10">
      <c r="A103" s="729">
        <v>92</v>
      </c>
      <c r="B103" s="729">
        <v>10</v>
      </c>
      <c r="C103" s="729">
        <v>0.1</v>
      </c>
      <c r="D103" s="729">
        <v>1.1363636363636365E-3</v>
      </c>
      <c r="E103" s="729">
        <f t="shared" si="9"/>
        <v>0.13127690100430417</v>
      </c>
      <c r="F103" s="729">
        <f t="shared" si="5"/>
        <v>-1.1203754502173011</v>
      </c>
      <c r="G103" s="729">
        <f t="shared" si="6"/>
        <v>2.3025850929940459</v>
      </c>
      <c r="H103" s="729">
        <f t="shared" si="7"/>
        <v>-2.3025850929940455</v>
      </c>
      <c r="I103" s="729">
        <f t="shared" si="8"/>
        <v>-6.7799219074722519</v>
      </c>
      <c r="J103" s="40"/>
    </row>
    <row r="104" spans="1:10">
      <c r="A104" s="729">
        <v>93</v>
      </c>
      <c r="B104" s="729">
        <v>10</v>
      </c>
      <c r="C104" s="729">
        <v>0.1</v>
      </c>
      <c r="D104" s="729">
        <v>1.1363636363636365E-3</v>
      </c>
      <c r="E104" s="729">
        <f t="shared" si="9"/>
        <v>0.13271162123385941</v>
      </c>
      <c r="F104" s="729">
        <f t="shared" si="5"/>
        <v>-1.1136642713664795</v>
      </c>
      <c r="G104" s="729">
        <f t="shared" si="6"/>
        <v>2.3025850929940459</v>
      </c>
      <c r="H104" s="729">
        <f t="shared" si="7"/>
        <v>-2.3025850929940455</v>
      </c>
      <c r="I104" s="729">
        <f t="shared" si="8"/>
        <v>-6.7799219074722519</v>
      </c>
      <c r="J104" s="40"/>
    </row>
    <row r="105" spans="1:10">
      <c r="A105" s="729">
        <v>94</v>
      </c>
      <c r="B105" s="729">
        <v>10</v>
      </c>
      <c r="C105" s="729">
        <v>0.1</v>
      </c>
      <c r="D105" s="729">
        <v>1.1363636363636365E-3</v>
      </c>
      <c r="E105" s="729">
        <f t="shared" si="9"/>
        <v>0.13414634146341464</v>
      </c>
      <c r="F105" s="729">
        <f t="shared" si="5"/>
        <v>-1.107002880537908</v>
      </c>
      <c r="G105" s="729">
        <f t="shared" si="6"/>
        <v>2.3025850929940459</v>
      </c>
      <c r="H105" s="729">
        <f t="shared" si="7"/>
        <v>-2.3025850929940455</v>
      </c>
      <c r="I105" s="729">
        <f t="shared" si="8"/>
        <v>-6.7799219074722519</v>
      </c>
      <c r="J105" s="40"/>
    </row>
    <row r="106" spans="1:10">
      <c r="A106" s="729">
        <v>95</v>
      </c>
      <c r="B106" s="729">
        <v>10</v>
      </c>
      <c r="C106" s="729">
        <v>0.1</v>
      </c>
      <c r="D106" s="729">
        <v>1.1363636363636365E-3</v>
      </c>
      <c r="E106" s="729">
        <f t="shared" si="9"/>
        <v>0.13558106169296988</v>
      </c>
      <c r="F106" s="729">
        <f t="shared" si="5"/>
        <v>-1.1003902531625298</v>
      </c>
      <c r="G106" s="729">
        <f t="shared" si="6"/>
        <v>2.3025850929940459</v>
      </c>
      <c r="H106" s="729">
        <f t="shared" si="7"/>
        <v>-2.3025850929940455</v>
      </c>
      <c r="I106" s="729">
        <f t="shared" si="8"/>
        <v>-6.7799219074722519</v>
      </c>
      <c r="J106" s="40"/>
    </row>
    <row r="107" spans="1:10">
      <c r="A107" s="729">
        <v>96</v>
      </c>
      <c r="B107" s="729">
        <v>10</v>
      </c>
      <c r="C107" s="729">
        <v>0.1</v>
      </c>
      <c r="D107" s="729">
        <v>1.1363636363636365E-3</v>
      </c>
      <c r="E107" s="729">
        <f t="shared" si="9"/>
        <v>0.13701578192252512</v>
      </c>
      <c r="F107" s="729">
        <f t="shared" si="5"/>
        <v>-1.0938253955092727</v>
      </c>
      <c r="G107" s="729">
        <f t="shared" si="6"/>
        <v>2.3025850929940459</v>
      </c>
      <c r="H107" s="729">
        <f t="shared" si="7"/>
        <v>-2.3025850929940455</v>
      </c>
      <c r="I107" s="729">
        <f t="shared" si="8"/>
        <v>-6.7799219074722519</v>
      </c>
      <c r="J107" s="40"/>
    </row>
    <row r="108" spans="1:10">
      <c r="A108" s="729">
        <v>97</v>
      </c>
      <c r="B108" s="729">
        <v>10</v>
      </c>
      <c r="C108" s="729">
        <v>0.1</v>
      </c>
      <c r="D108" s="729">
        <v>1.1363636363636365E-3</v>
      </c>
      <c r="E108" s="729">
        <f t="shared" si="9"/>
        <v>0.13845050215208035</v>
      </c>
      <c r="F108" s="729">
        <f t="shared" si="5"/>
        <v>-1.0873073434369978</v>
      </c>
      <c r="G108" s="729">
        <f t="shared" si="6"/>
        <v>2.3025850929940459</v>
      </c>
      <c r="H108" s="729">
        <f t="shared" si="7"/>
        <v>-2.3025850929940455</v>
      </c>
      <c r="I108" s="729">
        <f t="shared" si="8"/>
        <v>-6.7799219074722519</v>
      </c>
      <c r="J108" s="40"/>
    </row>
    <row r="109" spans="1:10">
      <c r="A109" s="729">
        <v>98</v>
      </c>
      <c r="B109" s="729">
        <v>10</v>
      </c>
      <c r="C109" s="729">
        <v>0.1</v>
      </c>
      <c r="D109" s="729">
        <v>1.1363636363636365E-3</v>
      </c>
      <c r="E109" s="729">
        <f t="shared" si="9"/>
        <v>0.13988522238163559</v>
      </c>
      <c r="F109" s="729">
        <f t="shared" si="5"/>
        <v>-1.0808351612093157</v>
      </c>
      <c r="G109" s="729">
        <f t="shared" si="6"/>
        <v>2.3025850929940459</v>
      </c>
      <c r="H109" s="729">
        <f t="shared" si="7"/>
        <v>-2.3025850929940455</v>
      </c>
      <c r="I109" s="729">
        <f t="shared" si="8"/>
        <v>-6.7799219074722519</v>
      </c>
      <c r="J109" s="40"/>
    </row>
    <row r="110" spans="1:10">
      <c r="A110" s="729">
        <v>99</v>
      </c>
      <c r="B110" s="729">
        <v>10</v>
      </c>
      <c r="C110" s="729">
        <v>0.1</v>
      </c>
      <c r="D110" s="729">
        <v>1.1363636363636365E-3</v>
      </c>
      <c r="E110" s="729">
        <f t="shared" si="9"/>
        <v>0.14131994261119082</v>
      </c>
      <c r="F110" s="729">
        <f t="shared" si="5"/>
        <v>-1.0744079403685023</v>
      </c>
      <c r="G110" s="729">
        <f t="shared" si="6"/>
        <v>2.3025850929940459</v>
      </c>
      <c r="H110" s="729">
        <f t="shared" si="7"/>
        <v>-2.3025850929940455</v>
      </c>
      <c r="I110" s="729">
        <f t="shared" si="8"/>
        <v>-6.7799219074722519</v>
      </c>
      <c r="J110" s="40"/>
    </row>
    <row r="111" spans="1:10">
      <c r="A111" s="729">
        <v>100</v>
      </c>
      <c r="B111" s="729">
        <v>10</v>
      </c>
      <c r="C111" s="729">
        <v>0.1</v>
      </c>
      <c r="D111" s="729">
        <v>1.1363636363636365E-3</v>
      </c>
      <c r="E111" s="729">
        <f t="shared" si="9"/>
        <v>0.14275466284074606</v>
      </c>
      <c r="F111" s="729">
        <f t="shared" si="5"/>
        <v>-1.0680247986649782</v>
      </c>
      <c r="G111" s="729">
        <f t="shared" si="6"/>
        <v>2.3025850929940459</v>
      </c>
      <c r="H111" s="729">
        <f t="shared" si="7"/>
        <v>-2.3025850929940455</v>
      </c>
      <c r="I111" s="729">
        <f t="shared" si="8"/>
        <v>-6.7799219074722519</v>
      </c>
      <c r="J111" s="40"/>
    </row>
    <row r="112" spans="1:10">
      <c r="A112" s="729">
        <v>101</v>
      </c>
      <c r="B112" s="729">
        <v>10</v>
      </c>
      <c r="C112" s="729">
        <v>0.1</v>
      </c>
      <c r="D112" s="729">
        <v>1.1363636363636365E-3</v>
      </c>
      <c r="E112" s="729">
        <f t="shared" si="9"/>
        <v>0.1441893830703013</v>
      </c>
      <c r="F112" s="729">
        <f t="shared" si="5"/>
        <v>-1.0616848790390976</v>
      </c>
      <c r="G112" s="729">
        <f t="shared" si="6"/>
        <v>2.3025850929940459</v>
      </c>
      <c r="H112" s="729">
        <f t="shared" si="7"/>
        <v>-2.3025850929940455</v>
      </c>
      <c r="I112" s="729">
        <f t="shared" si="8"/>
        <v>-6.7799219074722519</v>
      </c>
      <c r="J112" s="40"/>
    </row>
    <row r="113" spans="1:10">
      <c r="A113" s="729">
        <v>102</v>
      </c>
      <c r="B113" s="729">
        <v>13</v>
      </c>
      <c r="C113" s="729">
        <v>0.1</v>
      </c>
      <c r="D113" s="729">
        <v>1.1363636363636365E-3</v>
      </c>
      <c r="E113" s="729">
        <f t="shared" si="9"/>
        <v>0.14562410329985653</v>
      </c>
      <c r="F113" s="729">
        <f t="shared" si="5"/>
        <v>-1.055387348652183</v>
      </c>
      <c r="G113" s="729">
        <f t="shared" si="6"/>
        <v>2.5649493574615367</v>
      </c>
      <c r="H113" s="729">
        <f t="shared" si="7"/>
        <v>-2.3025850929940455</v>
      </c>
      <c r="I113" s="729">
        <f t="shared" si="8"/>
        <v>-6.7799219074722519</v>
      </c>
      <c r="J113" s="40"/>
    </row>
    <row r="114" spans="1:10">
      <c r="A114" s="729">
        <v>103</v>
      </c>
      <c r="B114" s="729">
        <v>13</v>
      </c>
      <c r="C114" s="729">
        <v>0.1</v>
      </c>
      <c r="D114" s="729">
        <v>1.1363636363636365E-3</v>
      </c>
      <c r="E114" s="729">
        <f t="shared" si="9"/>
        <v>0.14705882352941177</v>
      </c>
      <c r="F114" s="729">
        <f t="shared" si="5"/>
        <v>-1.0491313979639725</v>
      </c>
      <c r="G114" s="729">
        <f t="shared" si="6"/>
        <v>2.5649493574615367</v>
      </c>
      <c r="H114" s="729">
        <f t="shared" si="7"/>
        <v>-2.3025850929940455</v>
      </c>
      <c r="I114" s="729">
        <f t="shared" si="8"/>
        <v>-6.7799219074722519</v>
      </c>
      <c r="J114" s="40"/>
    </row>
    <row r="115" spans="1:10">
      <c r="A115" s="729">
        <v>104</v>
      </c>
      <c r="B115" s="729">
        <v>13</v>
      </c>
      <c r="C115" s="729">
        <v>0.1</v>
      </c>
      <c r="D115" s="729">
        <v>1.1363636363636365E-3</v>
      </c>
      <c r="E115" s="729">
        <f t="shared" si="9"/>
        <v>0.14849354375896701</v>
      </c>
      <c r="F115" s="729">
        <f t="shared" si="5"/>
        <v>-1.0429162398538112</v>
      </c>
      <c r="G115" s="729">
        <f t="shared" si="6"/>
        <v>2.5649493574615367</v>
      </c>
      <c r="H115" s="729">
        <f t="shared" si="7"/>
        <v>-2.3025850929940455</v>
      </c>
      <c r="I115" s="729">
        <f t="shared" si="8"/>
        <v>-6.7799219074722519</v>
      </c>
      <c r="J115" s="40"/>
    </row>
    <row r="116" spans="1:10">
      <c r="A116" s="729">
        <v>105</v>
      </c>
      <c r="B116" s="729">
        <v>13</v>
      </c>
      <c r="C116" s="729">
        <v>0.1</v>
      </c>
      <c r="D116" s="729">
        <v>1.1363636363636365E-3</v>
      </c>
      <c r="E116" s="729">
        <f t="shared" si="9"/>
        <v>0.14992826398852224</v>
      </c>
      <c r="F116" s="729">
        <f t="shared" si="5"/>
        <v>-1.0367411087831122</v>
      </c>
      <c r="G116" s="729">
        <f t="shared" si="6"/>
        <v>2.5649493574615367</v>
      </c>
      <c r="H116" s="729">
        <f t="shared" si="7"/>
        <v>-2.3025850929940455</v>
      </c>
      <c r="I116" s="729">
        <f t="shared" si="8"/>
        <v>-6.7799219074722519</v>
      </c>
      <c r="J116" s="40"/>
    </row>
    <row r="117" spans="1:10">
      <c r="A117" s="729">
        <v>106</v>
      </c>
      <c r="B117" s="729">
        <v>13</v>
      </c>
      <c r="C117" s="729">
        <v>0.1</v>
      </c>
      <c r="D117" s="729">
        <v>1.1363636363636365E-3</v>
      </c>
      <c r="E117" s="729">
        <f t="shared" si="9"/>
        <v>0.15136298421807748</v>
      </c>
      <c r="F117" s="729">
        <f t="shared" si="5"/>
        <v>-1.0306052599968247</v>
      </c>
      <c r="G117" s="729">
        <f t="shared" si="6"/>
        <v>2.5649493574615367</v>
      </c>
      <c r="H117" s="729">
        <f t="shared" si="7"/>
        <v>-2.3025850929940455</v>
      </c>
      <c r="I117" s="729">
        <f t="shared" si="8"/>
        <v>-6.7799219074722519</v>
      </c>
      <c r="J117" s="40"/>
    </row>
    <row r="118" spans="1:10">
      <c r="A118" s="729">
        <v>107</v>
      </c>
      <c r="B118" s="729">
        <v>13</v>
      </c>
      <c r="C118" s="729">
        <v>0.1</v>
      </c>
      <c r="D118" s="729">
        <v>1.1363636363636365E-3</v>
      </c>
      <c r="E118" s="729">
        <f t="shared" si="9"/>
        <v>0.15279770444763272</v>
      </c>
      <c r="F118" s="729">
        <f t="shared" si="5"/>
        <v>-1.0245079687615979</v>
      </c>
      <c r="G118" s="729">
        <f t="shared" si="6"/>
        <v>2.5649493574615367</v>
      </c>
      <c r="H118" s="729">
        <f t="shared" si="7"/>
        <v>-2.3025850929940455</v>
      </c>
      <c r="I118" s="729">
        <f t="shared" si="8"/>
        <v>-6.7799219074722519</v>
      </c>
      <c r="J118" s="40"/>
    </row>
    <row r="119" spans="1:10">
      <c r="A119" s="729">
        <v>108</v>
      </c>
      <c r="B119" s="729">
        <v>13</v>
      </c>
      <c r="C119" s="729">
        <v>0.1</v>
      </c>
      <c r="D119" s="729">
        <v>1.1363636363636365E-3</v>
      </c>
      <c r="E119" s="729">
        <f t="shared" si="9"/>
        <v>0.15423242467718795</v>
      </c>
      <c r="F119" s="729">
        <f t="shared" si="5"/>
        <v>-1.0184485296388301</v>
      </c>
      <c r="G119" s="729">
        <f t="shared" si="6"/>
        <v>2.5649493574615367</v>
      </c>
      <c r="H119" s="729">
        <f t="shared" si="7"/>
        <v>-2.3025850929940455</v>
      </c>
      <c r="I119" s="729">
        <f t="shared" si="8"/>
        <v>-6.7799219074722519</v>
      </c>
      <c r="J119" s="40"/>
    </row>
    <row r="120" spans="1:10">
      <c r="A120" s="729">
        <v>109</v>
      </c>
      <c r="B120" s="729">
        <v>13</v>
      </c>
      <c r="C120" s="729">
        <v>0.1</v>
      </c>
      <c r="D120" s="729">
        <v>1.1363636363636365E-3</v>
      </c>
      <c r="E120" s="729">
        <f t="shared" si="9"/>
        <v>0.15566714490674319</v>
      </c>
      <c r="F120" s="729">
        <f t="shared" si="5"/>
        <v>-1.0124262557905093</v>
      </c>
      <c r="G120" s="729">
        <f t="shared" si="6"/>
        <v>2.5649493574615367</v>
      </c>
      <c r="H120" s="729">
        <f t="shared" si="7"/>
        <v>-2.3025850929940455</v>
      </c>
      <c r="I120" s="729">
        <f t="shared" si="8"/>
        <v>-6.7799219074722519</v>
      </c>
      <c r="J120" s="40"/>
    </row>
    <row r="121" spans="1:10">
      <c r="A121" s="729">
        <v>110</v>
      </c>
      <c r="B121" s="729">
        <v>13</v>
      </c>
      <c r="C121" s="729">
        <v>0.1</v>
      </c>
      <c r="D121" s="729">
        <v>1.1363636363636365E-3</v>
      </c>
      <c r="E121" s="729">
        <f t="shared" si="9"/>
        <v>0.15710186513629842</v>
      </c>
      <c r="F121" s="729">
        <f t="shared" si="5"/>
        <v>-1.0064404783161693</v>
      </c>
      <c r="G121" s="729">
        <f t="shared" si="6"/>
        <v>2.5649493574615367</v>
      </c>
      <c r="H121" s="729">
        <f t="shared" si="7"/>
        <v>-2.3025850929940455</v>
      </c>
      <c r="I121" s="729">
        <f t="shared" si="8"/>
        <v>-6.7799219074722519</v>
      </c>
      <c r="J121" s="40"/>
    </row>
    <row r="122" spans="1:10">
      <c r="A122" s="729">
        <v>111</v>
      </c>
      <c r="B122" s="729">
        <v>15</v>
      </c>
      <c r="C122" s="729">
        <v>0.1</v>
      </c>
      <c r="D122" s="729">
        <v>1.1363636363636365E-3</v>
      </c>
      <c r="E122" s="729">
        <f t="shared" si="9"/>
        <v>0.15853658536585366</v>
      </c>
      <c r="F122" s="729">
        <f t="shared" si="5"/>
        <v>-1.0004905456193149</v>
      </c>
      <c r="G122" s="729">
        <f t="shared" si="6"/>
        <v>2.7080502011022101</v>
      </c>
      <c r="H122" s="729">
        <f t="shared" si="7"/>
        <v>-2.3025850929940455</v>
      </c>
      <c r="I122" s="729">
        <f t="shared" si="8"/>
        <v>-6.7799219074722519</v>
      </c>
      <c r="J122" s="40"/>
    </row>
    <row r="123" spans="1:10">
      <c r="A123" s="729">
        <v>112</v>
      </c>
      <c r="B123" s="729">
        <v>17</v>
      </c>
      <c r="C123" s="729">
        <v>0.1</v>
      </c>
      <c r="D123" s="729">
        <v>1.1931818181818181E-3</v>
      </c>
      <c r="E123" s="729">
        <f t="shared" si="9"/>
        <v>0.1599713055954089</v>
      </c>
      <c r="F123" s="729">
        <f t="shared" si="5"/>
        <v>-0.99457582280166557</v>
      </c>
      <c r="G123" s="729">
        <f t="shared" si="6"/>
        <v>2.8332133440562162</v>
      </c>
      <c r="H123" s="729">
        <f t="shared" si="7"/>
        <v>-2.3025850929940455</v>
      </c>
      <c r="I123" s="729">
        <f t="shared" si="8"/>
        <v>-6.7311317433028206</v>
      </c>
      <c r="J123" s="40"/>
    </row>
    <row r="124" spans="1:10">
      <c r="A124" s="729">
        <v>113</v>
      </c>
      <c r="B124" s="729">
        <v>17</v>
      </c>
      <c r="C124" s="729">
        <v>0.1</v>
      </c>
      <c r="D124" s="729">
        <v>1.3068181818181818E-3</v>
      </c>
      <c r="E124" s="729">
        <f t="shared" si="9"/>
        <v>0.16140602582496413</v>
      </c>
      <c r="F124" s="729">
        <f t="shared" si="5"/>
        <v>-0.98869569108384014</v>
      </c>
      <c r="G124" s="729">
        <f t="shared" si="6"/>
        <v>2.8332133440562162</v>
      </c>
      <c r="H124" s="729">
        <f t="shared" si="7"/>
        <v>-2.3025850929940455</v>
      </c>
      <c r="I124" s="729">
        <f t="shared" si="8"/>
        <v>-6.6401599650970935</v>
      </c>
      <c r="J124" s="40"/>
    </row>
    <row r="125" spans="1:10">
      <c r="A125" s="729">
        <v>114</v>
      </c>
      <c r="B125" s="729">
        <v>17</v>
      </c>
      <c r="C125" s="729">
        <v>0.1</v>
      </c>
      <c r="D125" s="729">
        <v>1.4204545454545455E-3</v>
      </c>
      <c r="E125" s="729">
        <f t="shared" si="9"/>
        <v>0.16284074605451937</v>
      </c>
      <c r="F125" s="729">
        <f t="shared" si="5"/>
        <v>-0.98284954725105422</v>
      </c>
      <c r="G125" s="729">
        <f t="shared" si="6"/>
        <v>2.8332133440562162</v>
      </c>
      <c r="H125" s="729">
        <f t="shared" si="7"/>
        <v>-2.3025850929940455</v>
      </c>
      <c r="I125" s="729">
        <f t="shared" si="8"/>
        <v>-6.5567783561580422</v>
      </c>
      <c r="J125" s="40"/>
    </row>
    <row r="126" spans="1:10">
      <c r="A126" s="729">
        <v>115</v>
      </c>
      <c r="B126" s="729">
        <v>17</v>
      </c>
      <c r="C126" s="729">
        <v>0.1</v>
      </c>
      <c r="D126" s="729">
        <v>1.4204545454545455E-3</v>
      </c>
      <c r="E126" s="729">
        <f t="shared" si="9"/>
        <v>0.16427546628407461</v>
      </c>
      <c r="F126" s="729">
        <f t="shared" si="5"/>
        <v>-0.97703680312256092</v>
      </c>
      <c r="G126" s="729">
        <f t="shared" si="6"/>
        <v>2.8332133440562162</v>
      </c>
      <c r="H126" s="729">
        <f t="shared" si="7"/>
        <v>-2.3025850929940455</v>
      </c>
      <c r="I126" s="729">
        <f t="shared" si="8"/>
        <v>-6.5567783561580422</v>
      </c>
      <c r="J126" s="40"/>
    </row>
    <row r="127" spans="1:10">
      <c r="A127" s="729">
        <v>116</v>
      </c>
      <c r="B127" s="729">
        <v>17</v>
      </c>
      <c r="C127" s="729">
        <v>0.1</v>
      </c>
      <c r="D127" s="729">
        <v>1.4204545454545455E-3</v>
      </c>
      <c r="E127" s="729">
        <f t="shared" si="9"/>
        <v>0.16571018651362984</v>
      </c>
      <c r="F127" s="729">
        <f t="shared" si="5"/>
        <v>-0.97125688504362606</v>
      </c>
      <c r="G127" s="729">
        <f t="shared" si="6"/>
        <v>2.8332133440562162</v>
      </c>
      <c r="H127" s="729">
        <f t="shared" si="7"/>
        <v>-2.3025850929940455</v>
      </c>
      <c r="I127" s="729">
        <f t="shared" si="8"/>
        <v>-6.5567783561580422</v>
      </c>
      <c r="J127" s="40"/>
    </row>
    <row r="128" spans="1:10">
      <c r="A128" s="729">
        <v>117</v>
      </c>
      <c r="B128" s="729">
        <v>17</v>
      </c>
      <c r="C128" s="729">
        <v>0.1</v>
      </c>
      <c r="D128" s="729">
        <v>1.4204545454545455E-3</v>
      </c>
      <c r="E128" s="729">
        <f t="shared" si="9"/>
        <v>0.16714490674318508</v>
      </c>
      <c r="F128" s="729">
        <f t="shared" si="5"/>
        <v>-0.96550923339883943</v>
      </c>
      <c r="G128" s="729">
        <f t="shared" si="6"/>
        <v>2.8332133440562162</v>
      </c>
      <c r="H128" s="729">
        <f t="shared" si="7"/>
        <v>-2.3025850929940455</v>
      </c>
      <c r="I128" s="729">
        <f t="shared" si="8"/>
        <v>-6.5567783561580422</v>
      </c>
      <c r="J128" s="40"/>
    </row>
    <row r="129" spans="1:10">
      <c r="A129" s="729">
        <v>118</v>
      </c>
      <c r="B129" s="729">
        <v>17</v>
      </c>
      <c r="C129" s="729">
        <v>0.1</v>
      </c>
      <c r="D129" s="729">
        <v>1.4204545454545455E-3</v>
      </c>
      <c r="E129" s="729">
        <f t="shared" si="9"/>
        <v>0.16857962697274032</v>
      </c>
      <c r="F129" s="729">
        <f t="shared" si="5"/>
        <v>-0.95979330214578895</v>
      </c>
      <c r="G129" s="729">
        <f t="shared" si="6"/>
        <v>2.8332133440562162</v>
      </c>
      <c r="H129" s="729">
        <f t="shared" si="7"/>
        <v>-2.3025850929940455</v>
      </c>
      <c r="I129" s="729">
        <f t="shared" si="8"/>
        <v>-6.5567783561580422</v>
      </c>
      <c r="J129" s="40"/>
    </row>
    <row r="130" spans="1:10">
      <c r="A130" s="729">
        <v>119</v>
      </c>
      <c r="B130" s="729">
        <v>17</v>
      </c>
      <c r="C130" s="729">
        <v>0.1</v>
      </c>
      <c r="D130" s="729">
        <v>1.4204545454545455E-3</v>
      </c>
      <c r="E130" s="729">
        <f t="shared" si="9"/>
        <v>0.17001434720229555</v>
      </c>
      <c r="F130" s="729">
        <f t="shared" si="5"/>
        <v>-0.95410855836795683</v>
      </c>
      <c r="G130" s="729">
        <f t="shared" si="6"/>
        <v>2.8332133440562162</v>
      </c>
      <c r="H130" s="729">
        <f t="shared" si="7"/>
        <v>-2.3025850929940455</v>
      </c>
      <c r="I130" s="729">
        <f t="shared" si="8"/>
        <v>-6.5567783561580422</v>
      </c>
      <c r="J130" s="40"/>
    </row>
    <row r="131" spans="1:10">
      <c r="A131" s="729">
        <v>120</v>
      </c>
      <c r="B131" s="729">
        <v>17</v>
      </c>
      <c r="C131" s="729">
        <v>0.1</v>
      </c>
      <c r="D131" s="729">
        <v>1.4204545454545455E-3</v>
      </c>
      <c r="E131" s="729">
        <f t="shared" si="9"/>
        <v>0.17144906743185079</v>
      </c>
      <c r="F131" s="729">
        <f t="shared" si="5"/>
        <v>-0.94845448184602876</v>
      </c>
      <c r="G131" s="729">
        <f t="shared" si="6"/>
        <v>2.8332133440562162</v>
      </c>
      <c r="H131" s="729">
        <f t="shared" si="7"/>
        <v>-2.3025850929940455</v>
      </c>
      <c r="I131" s="729">
        <f t="shared" si="8"/>
        <v>-6.5567783561580422</v>
      </c>
      <c r="J131" s="40"/>
    </row>
    <row r="132" spans="1:10">
      <c r="A132" s="729">
        <v>121</v>
      </c>
      <c r="B132" s="729">
        <v>17</v>
      </c>
      <c r="C132" s="729">
        <v>0.1</v>
      </c>
      <c r="D132" s="729">
        <v>1.4204545454545455E-3</v>
      </c>
      <c r="E132" s="729">
        <f t="shared" si="9"/>
        <v>0.17288378766140602</v>
      </c>
      <c r="F132" s="729">
        <f t="shared" si="5"/>
        <v>-0.94283056464655479</v>
      </c>
      <c r="G132" s="729">
        <f t="shared" si="6"/>
        <v>2.8332133440562162</v>
      </c>
      <c r="H132" s="729">
        <f t="shared" si="7"/>
        <v>-2.3025850929940455</v>
      </c>
      <c r="I132" s="729">
        <f t="shared" si="8"/>
        <v>-6.5567783561580422</v>
      </c>
      <c r="J132" s="40"/>
    </row>
    <row r="133" spans="1:10">
      <c r="A133" s="729">
        <v>122</v>
      </c>
      <c r="B133" s="729">
        <v>17</v>
      </c>
      <c r="C133" s="729">
        <v>0.1</v>
      </c>
      <c r="D133" s="729">
        <v>1.4204545454545455E-3</v>
      </c>
      <c r="E133" s="729">
        <f t="shared" si="9"/>
        <v>0.17431850789096126</v>
      </c>
      <c r="F133" s="729">
        <f t="shared" si="5"/>
        <v>-0.93723631072726121</v>
      </c>
      <c r="G133" s="729">
        <f t="shared" si="6"/>
        <v>2.8332133440562162</v>
      </c>
      <c r="H133" s="729">
        <f t="shared" si="7"/>
        <v>-2.3025850929940455</v>
      </c>
      <c r="I133" s="729">
        <f t="shared" si="8"/>
        <v>-6.5567783561580422</v>
      </c>
      <c r="J133" s="40"/>
    </row>
    <row r="134" spans="1:10">
      <c r="A134" s="729">
        <v>123</v>
      </c>
      <c r="B134" s="729">
        <v>17</v>
      </c>
      <c r="C134" s="729">
        <v>0.1</v>
      </c>
      <c r="D134" s="729">
        <v>1.4204545454545455E-3</v>
      </c>
      <c r="E134" s="729">
        <f t="shared" si="9"/>
        <v>0.1757532281205165</v>
      </c>
      <c r="F134" s="729">
        <f t="shared" si="5"/>
        <v>-0.93167123555812814</v>
      </c>
      <c r="G134" s="729">
        <f t="shared" si="6"/>
        <v>2.8332133440562162</v>
      </c>
      <c r="H134" s="729">
        <f t="shared" si="7"/>
        <v>-2.3025850929940455</v>
      </c>
      <c r="I134" s="729">
        <f t="shared" si="8"/>
        <v>-6.5567783561580422</v>
      </c>
      <c r="J134" s="40"/>
    </row>
    <row r="135" spans="1:10">
      <c r="A135" s="729">
        <v>124</v>
      </c>
      <c r="B135" s="729">
        <v>17</v>
      </c>
      <c r="C135" s="729">
        <v>0.1</v>
      </c>
      <c r="D135" s="729">
        <v>1.4204545454545455E-3</v>
      </c>
      <c r="E135" s="729">
        <f t="shared" si="9"/>
        <v>0.17718794835007173</v>
      </c>
      <c r="F135" s="729">
        <f t="shared" si="5"/>
        <v>-0.92613486575748438</v>
      </c>
      <c r="G135" s="729">
        <f t="shared" si="6"/>
        <v>2.8332133440562162</v>
      </c>
      <c r="H135" s="729">
        <f t="shared" si="7"/>
        <v>-2.3025850929940455</v>
      </c>
      <c r="I135" s="729">
        <f t="shared" si="8"/>
        <v>-6.5567783561580422</v>
      </c>
      <c r="J135" s="40"/>
    </row>
    <row r="136" spans="1:10">
      <c r="A136" s="729">
        <v>125</v>
      </c>
      <c r="B136" s="729">
        <v>17</v>
      </c>
      <c r="C136" s="729">
        <v>0.1</v>
      </c>
      <c r="D136" s="729">
        <v>1.4204545454545455E-3</v>
      </c>
      <c r="E136" s="729">
        <f t="shared" si="9"/>
        <v>0.17862266857962697</v>
      </c>
      <c r="F136" s="729">
        <f t="shared" si="5"/>
        <v>-0.92062673874243972</v>
      </c>
      <c r="G136" s="729">
        <f t="shared" si="6"/>
        <v>2.8332133440562162</v>
      </c>
      <c r="H136" s="729">
        <f t="shared" si="7"/>
        <v>-2.3025850929940455</v>
      </c>
      <c r="I136" s="729">
        <f t="shared" si="8"/>
        <v>-6.5567783561580422</v>
      </c>
      <c r="J136" s="40"/>
    </row>
    <row r="137" spans="1:10">
      <c r="A137" s="729">
        <v>126</v>
      </c>
      <c r="B137" s="729">
        <v>17</v>
      </c>
      <c r="C137" s="729">
        <v>0.1</v>
      </c>
      <c r="D137" s="729">
        <v>1.4204545454545455E-3</v>
      </c>
      <c r="E137" s="729">
        <f t="shared" si="9"/>
        <v>0.18005738880918221</v>
      </c>
      <c r="F137" s="729">
        <f t="shared" si="5"/>
        <v>-0.91514640239295164</v>
      </c>
      <c r="G137" s="729">
        <f t="shared" si="6"/>
        <v>2.8332133440562162</v>
      </c>
      <c r="H137" s="729">
        <f t="shared" si="7"/>
        <v>-2.3025850929940455</v>
      </c>
      <c r="I137" s="729">
        <f t="shared" si="8"/>
        <v>-6.5567783561580422</v>
      </c>
      <c r="J137" s="40"/>
    </row>
    <row r="138" spans="1:10">
      <c r="A138" s="729">
        <v>127</v>
      </c>
      <c r="B138" s="729">
        <v>17</v>
      </c>
      <c r="C138" s="729">
        <v>0.1</v>
      </c>
      <c r="D138" s="729">
        <v>1.4204545454545455E-3</v>
      </c>
      <c r="E138" s="729">
        <f t="shared" si="9"/>
        <v>0.18149210903873744</v>
      </c>
      <c r="F138" s="729">
        <f t="shared" si="5"/>
        <v>-0.90969341472890075</v>
      </c>
      <c r="G138" s="729">
        <f t="shared" si="6"/>
        <v>2.8332133440562162</v>
      </c>
      <c r="H138" s="729">
        <f t="shared" si="7"/>
        <v>-2.3025850929940455</v>
      </c>
      <c r="I138" s="729">
        <f t="shared" si="8"/>
        <v>-6.5567783561580422</v>
      </c>
      <c r="J138" s="40"/>
    </row>
    <row r="139" spans="1:10">
      <c r="A139" s="729">
        <v>128</v>
      </c>
      <c r="B139" s="729">
        <v>17</v>
      </c>
      <c r="C139" s="729">
        <v>0.1</v>
      </c>
      <c r="D139" s="729">
        <v>1.4204545454545455E-3</v>
      </c>
      <c r="E139" s="729">
        <f t="shared" si="9"/>
        <v>0.18292682926829268</v>
      </c>
      <c r="F139" s="729">
        <f t="shared" si="5"/>
        <v>-0.90426734359956884</v>
      </c>
      <c r="G139" s="729">
        <f t="shared" si="6"/>
        <v>2.8332133440562162</v>
      </c>
      <c r="H139" s="729">
        <f t="shared" si="7"/>
        <v>-2.3025850929940455</v>
      </c>
      <c r="I139" s="729">
        <f t="shared" si="8"/>
        <v>-6.5567783561580422</v>
      </c>
      <c r="J139" s="40"/>
    </row>
    <row r="140" spans="1:10">
      <c r="A140" s="729">
        <v>129</v>
      </c>
      <c r="B140" s="729">
        <v>17</v>
      </c>
      <c r="C140" s="729">
        <v>0.1</v>
      </c>
      <c r="D140" s="729">
        <v>1.4204545454545455E-3</v>
      </c>
      <c r="E140" s="729">
        <f t="shared" si="9"/>
        <v>0.18436154949784792</v>
      </c>
      <c r="F140" s="729">
        <f t="shared" ref="F140:F203" si="10">NORMSINV(E140)</f>
        <v>-0.89886776638494181</v>
      </c>
      <c r="G140" s="729">
        <f t="shared" ref="G140:G203" si="11">LN(B140)</f>
        <v>2.8332133440562162</v>
      </c>
      <c r="H140" s="729">
        <f t="shared" ref="H140:H203" si="12">LN(C140)</f>
        <v>-2.3025850929940455</v>
      </c>
      <c r="I140" s="729">
        <f t="shared" ref="I140:I203" si="13">LN(D140)</f>
        <v>-6.5567783561580422</v>
      </c>
      <c r="J140" s="40"/>
    </row>
    <row r="141" spans="1:10">
      <c r="A141" s="729">
        <v>130</v>
      </c>
      <c r="B141" s="729">
        <v>17</v>
      </c>
      <c r="C141" s="729">
        <v>0.1</v>
      </c>
      <c r="D141" s="729">
        <v>1.4204545454545455E-3</v>
      </c>
      <c r="E141" s="729">
        <f t="shared" ref="E141:E204" si="14">(A141-0.5)/697</f>
        <v>0.18579626972740315</v>
      </c>
      <c r="F141" s="729">
        <f t="shared" si="10"/>
        <v>-0.89349426970832468</v>
      </c>
      <c r="G141" s="729">
        <f t="shared" si="11"/>
        <v>2.8332133440562162</v>
      </c>
      <c r="H141" s="729">
        <f t="shared" si="12"/>
        <v>-2.3025850929940455</v>
      </c>
      <c r="I141" s="729">
        <f t="shared" si="13"/>
        <v>-6.5567783561580422</v>
      </c>
      <c r="J141" s="40"/>
    </row>
    <row r="142" spans="1:10">
      <c r="A142" s="729">
        <v>131</v>
      </c>
      <c r="B142" s="729">
        <v>17</v>
      </c>
      <c r="C142" s="729">
        <v>0.1</v>
      </c>
      <c r="D142" s="729">
        <v>1.4204545454545455E-3</v>
      </c>
      <c r="E142" s="729">
        <f t="shared" si="14"/>
        <v>0.18723098995695839</v>
      </c>
      <c r="F142" s="729">
        <f t="shared" si="10"/>
        <v>-0.88814644915971153</v>
      </c>
      <c r="G142" s="729">
        <f t="shared" si="11"/>
        <v>2.8332133440562162</v>
      </c>
      <c r="H142" s="729">
        <f t="shared" si="12"/>
        <v>-2.3025850929940455</v>
      </c>
      <c r="I142" s="729">
        <f t="shared" si="13"/>
        <v>-6.5567783561580422</v>
      </c>
      <c r="J142" s="40"/>
    </row>
    <row r="143" spans="1:10">
      <c r="A143" s="729">
        <v>132</v>
      </c>
      <c r="B143" s="729">
        <v>20</v>
      </c>
      <c r="C143" s="729">
        <v>0.1</v>
      </c>
      <c r="D143" s="729">
        <v>1.4204545454545455E-3</v>
      </c>
      <c r="E143" s="729">
        <f t="shared" si="14"/>
        <v>0.18866571018651362</v>
      </c>
      <c r="F143" s="729">
        <f t="shared" si="10"/>
        <v>-0.88282390902947927</v>
      </c>
      <c r="G143" s="729">
        <f t="shared" si="11"/>
        <v>2.9957322735539909</v>
      </c>
      <c r="H143" s="729">
        <f t="shared" si="12"/>
        <v>-2.3025850929940455</v>
      </c>
      <c r="I143" s="729">
        <f t="shared" si="13"/>
        <v>-6.5567783561580422</v>
      </c>
      <c r="J143" s="40"/>
    </row>
    <row r="144" spans="1:10">
      <c r="A144" s="729">
        <v>133</v>
      </c>
      <c r="B144" s="729">
        <v>20</v>
      </c>
      <c r="C144" s="729">
        <v>0.1</v>
      </c>
      <c r="D144" s="729">
        <v>1.4204545454545455E-3</v>
      </c>
      <c r="E144" s="729">
        <f t="shared" si="14"/>
        <v>0.19010043041606886</v>
      </c>
      <c r="F144" s="729">
        <f t="shared" si="10"/>
        <v>-0.87752626205190132</v>
      </c>
      <c r="G144" s="729">
        <f t="shared" si="11"/>
        <v>2.9957322735539909</v>
      </c>
      <c r="H144" s="729">
        <f t="shared" si="12"/>
        <v>-2.3025850929940455</v>
      </c>
      <c r="I144" s="729">
        <f t="shared" si="13"/>
        <v>-6.5567783561580422</v>
      </c>
      <c r="J144" s="40"/>
    </row>
    <row r="145" spans="1:10">
      <c r="A145" s="729">
        <v>134</v>
      </c>
      <c r="B145" s="729">
        <v>20</v>
      </c>
      <c r="C145" s="729">
        <v>0.1</v>
      </c>
      <c r="D145" s="729">
        <v>1.4204545454545455E-3</v>
      </c>
      <c r="E145" s="729">
        <f t="shared" si="14"/>
        <v>0.1915351506456241</v>
      </c>
      <c r="F145" s="729">
        <f t="shared" si="10"/>
        <v>-0.87225312915806497</v>
      </c>
      <c r="G145" s="729">
        <f t="shared" si="11"/>
        <v>2.9957322735539909</v>
      </c>
      <c r="H145" s="729">
        <f t="shared" si="12"/>
        <v>-2.3025850929940455</v>
      </c>
      <c r="I145" s="729">
        <f t="shared" si="13"/>
        <v>-6.5567783561580422</v>
      </c>
      <c r="J145" s="40"/>
    </row>
    <row r="146" spans="1:10">
      <c r="A146" s="729">
        <v>135</v>
      </c>
      <c r="B146" s="729">
        <v>20</v>
      </c>
      <c r="C146" s="729">
        <v>0.1</v>
      </c>
      <c r="D146" s="729">
        <v>1.4204545454545455E-3</v>
      </c>
      <c r="E146" s="729">
        <f t="shared" si="14"/>
        <v>0.19296987087517933</v>
      </c>
      <c r="F146" s="729">
        <f t="shared" si="10"/>
        <v>-0.86700413923779085</v>
      </c>
      <c r="G146" s="729">
        <f t="shared" si="11"/>
        <v>2.9957322735539909</v>
      </c>
      <c r="H146" s="729">
        <f t="shared" si="12"/>
        <v>-2.3025850929940455</v>
      </c>
      <c r="I146" s="729">
        <f t="shared" si="13"/>
        <v>-6.5567783561580422</v>
      </c>
      <c r="J146" s="40"/>
    </row>
    <row r="147" spans="1:10">
      <c r="A147" s="729">
        <v>136</v>
      </c>
      <c r="B147" s="729">
        <v>20</v>
      </c>
      <c r="C147" s="729">
        <v>0.1</v>
      </c>
      <c r="D147" s="729">
        <v>1.4204545454545455E-3</v>
      </c>
      <c r="E147" s="729">
        <f t="shared" si="14"/>
        <v>0.19440459110473457</v>
      </c>
      <c r="F147" s="729">
        <f t="shared" si="10"/>
        <v>-0.86177892891013907</v>
      </c>
      <c r="G147" s="729">
        <f t="shared" si="11"/>
        <v>2.9957322735539909</v>
      </c>
      <c r="H147" s="729">
        <f t="shared" si="12"/>
        <v>-2.3025850929940455</v>
      </c>
      <c r="I147" s="729">
        <f t="shared" si="13"/>
        <v>-6.5567783561580422</v>
      </c>
      <c r="J147" s="40"/>
    </row>
    <row r="148" spans="1:10">
      <c r="A148" s="729">
        <v>137</v>
      </c>
      <c r="B148" s="729">
        <v>20</v>
      </c>
      <c r="C148" s="729">
        <v>0.1</v>
      </c>
      <c r="D148" s="729">
        <v>1.4204545454545455E-3</v>
      </c>
      <c r="E148" s="729">
        <f t="shared" si="14"/>
        <v>0.19583931133428981</v>
      </c>
      <c r="F148" s="729">
        <f t="shared" si="10"/>
        <v>-0.85657714230213899</v>
      </c>
      <c r="G148" s="729">
        <f t="shared" si="11"/>
        <v>2.9957322735539909</v>
      </c>
      <c r="H148" s="729">
        <f t="shared" si="12"/>
        <v>-2.3025850929940455</v>
      </c>
      <c r="I148" s="729">
        <f t="shared" si="13"/>
        <v>-6.5567783561580422</v>
      </c>
      <c r="J148" s="40"/>
    </row>
    <row r="149" spans="1:10">
      <c r="A149" s="729">
        <v>138</v>
      </c>
      <c r="B149" s="729">
        <v>20</v>
      </c>
      <c r="C149" s="729">
        <v>0.1</v>
      </c>
      <c r="D149" s="729">
        <v>1.4204545454545455E-3</v>
      </c>
      <c r="E149" s="729">
        <f t="shared" si="14"/>
        <v>0.19727403156384504</v>
      </c>
      <c r="F149" s="729">
        <f t="shared" si="10"/>
        <v>-0.85139843083539857</v>
      </c>
      <c r="G149" s="729">
        <f t="shared" si="11"/>
        <v>2.9957322735539909</v>
      </c>
      <c r="H149" s="729">
        <f t="shared" si="12"/>
        <v>-2.3025850929940455</v>
      </c>
      <c r="I149" s="729">
        <f t="shared" si="13"/>
        <v>-6.5567783561580422</v>
      </c>
      <c r="J149" s="40"/>
    </row>
    <row r="150" spans="1:10">
      <c r="A150" s="729">
        <v>139</v>
      </c>
      <c r="B150" s="729">
        <v>20</v>
      </c>
      <c r="C150" s="729">
        <v>0.1</v>
      </c>
      <c r="D150" s="729">
        <v>1.4204545454545455E-3</v>
      </c>
      <c r="E150" s="729">
        <f t="shared" si="14"/>
        <v>0.19870875179340028</v>
      </c>
      <c r="F150" s="729">
        <f t="shared" si="10"/>
        <v>-0.84624245302025092</v>
      </c>
      <c r="G150" s="729">
        <f t="shared" si="11"/>
        <v>2.9957322735539909</v>
      </c>
      <c r="H150" s="729">
        <f t="shared" si="12"/>
        <v>-2.3025850929940455</v>
      </c>
      <c r="I150" s="729">
        <f t="shared" si="13"/>
        <v>-6.5567783561580422</v>
      </c>
      <c r="J150" s="40"/>
    </row>
    <row r="151" spans="1:10">
      <c r="A151" s="729">
        <v>140</v>
      </c>
      <c r="B151" s="729">
        <v>20</v>
      </c>
      <c r="C151" s="729">
        <v>0.1</v>
      </c>
      <c r="D151" s="729">
        <v>1.4204545454545455E-3</v>
      </c>
      <c r="E151" s="729">
        <f t="shared" si="14"/>
        <v>0.20014347202295552</v>
      </c>
      <c r="F151" s="729">
        <f t="shared" si="10"/>
        <v>-0.84110887425710845</v>
      </c>
      <c r="G151" s="729">
        <f t="shared" si="11"/>
        <v>2.9957322735539909</v>
      </c>
      <c r="H151" s="729">
        <f t="shared" si="12"/>
        <v>-2.3025850929940455</v>
      </c>
      <c r="I151" s="729">
        <f t="shared" si="13"/>
        <v>-6.5567783561580422</v>
      </c>
      <c r="J151" s="40"/>
    </row>
    <row r="152" spans="1:10">
      <c r="A152" s="729">
        <v>141</v>
      </c>
      <c r="B152" s="729">
        <v>20</v>
      </c>
      <c r="C152" s="729">
        <v>0.1</v>
      </c>
      <c r="D152" s="729">
        <v>1.4204545454545455E-3</v>
      </c>
      <c r="E152" s="729">
        <f t="shared" si="14"/>
        <v>0.20157819225251075</v>
      </c>
      <c r="F152" s="729">
        <f t="shared" si="10"/>
        <v>-0.83599736664473989</v>
      </c>
      <c r="G152" s="729">
        <f t="shared" si="11"/>
        <v>2.9957322735539909</v>
      </c>
      <c r="H152" s="729">
        <f t="shared" si="12"/>
        <v>-2.3025850929940455</v>
      </c>
      <c r="I152" s="729">
        <f t="shared" si="13"/>
        <v>-6.5567783561580422</v>
      </c>
      <c r="J152" s="40"/>
    </row>
    <row r="153" spans="1:10">
      <c r="A153" s="729">
        <v>142</v>
      </c>
      <c r="B153" s="729">
        <v>20</v>
      </c>
      <c r="C153" s="729">
        <v>0.1</v>
      </c>
      <c r="D153" s="729">
        <v>1.4204545454545455E-3</v>
      </c>
      <c r="E153" s="729">
        <f t="shared" si="14"/>
        <v>0.20301291248206599</v>
      </c>
      <c r="F153" s="729">
        <f t="shared" si="10"/>
        <v>-0.83090760879516901</v>
      </c>
      <c r="G153" s="729">
        <f t="shared" si="11"/>
        <v>2.9957322735539909</v>
      </c>
      <c r="H153" s="729">
        <f t="shared" si="12"/>
        <v>-2.3025850929940455</v>
      </c>
      <c r="I153" s="729">
        <f t="shared" si="13"/>
        <v>-6.5567783561580422</v>
      </c>
      <c r="J153" s="40"/>
    </row>
    <row r="154" spans="1:10">
      <c r="A154" s="729">
        <v>143</v>
      </c>
      <c r="B154" s="729">
        <v>20</v>
      </c>
      <c r="C154" s="729">
        <v>0.1</v>
      </c>
      <c r="D154" s="729">
        <v>1.4204545454545455E-3</v>
      </c>
      <c r="E154" s="729">
        <f t="shared" si="14"/>
        <v>0.20444763271162122</v>
      </c>
      <c r="F154" s="729">
        <f t="shared" si="10"/>
        <v>-0.82583928565492504</v>
      </c>
      <c r="G154" s="729">
        <f t="shared" si="11"/>
        <v>2.9957322735539909</v>
      </c>
      <c r="H154" s="729">
        <f t="shared" si="12"/>
        <v>-2.3025850929940455</v>
      </c>
      <c r="I154" s="729">
        <f t="shared" si="13"/>
        <v>-6.5567783561580422</v>
      </c>
      <c r="J154" s="40"/>
    </row>
    <row r="155" spans="1:10">
      <c r="A155" s="729">
        <v>144</v>
      </c>
      <c r="B155" s="729">
        <v>20</v>
      </c>
      <c r="C155" s="729">
        <v>0.1</v>
      </c>
      <c r="D155" s="729">
        <v>1.4204545454545455E-3</v>
      </c>
      <c r="E155" s="729">
        <f t="shared" si="14"/>
        <v>0.20588235294117646</v>
      </c>
      <c r="F155" s="729">
        <f t="shared" si="10"/>
        <v>-0.8207920883323806</v>
      </c>
      <c r="G155" s="729">
        <f t="shared" si="11"/>
        <v>2.9957322735539909</v>
      </c>
      <c r="H155" s="729">
        <f t="shared" si="12"/>
        <v>-2.3025850929940455</v>
      </c>
      <c r="I155" s="729">
        <f t="shared" si="13"/>
        <v>-6.5567783561580422</v>
      </c>
      <c r="J155" s="40"/>
    </row>
    <row r="156" spans="1:10">
      <c r="A156" s="729">
        <v>145</v>
      </c>
      <c r="B156" s="729">
        <v>20</v>
      </c>
      <c r="C156" s="729">
        <v>0.1</v>
      </c>
      <c r="D156" s="729">
        <v>1.4204545454545455E-3</v>
      </c>
      <c r="E156" s="729">
        <f t="shared" si="14"/>
        <v>0.2073170731707317</v>
      </c>
      <c r="F156" s="729">
        <f t="shared" si="10"/>
        <v>-0.81576571393093433</v>
      </c>
      <c r="G156" s="729">
        <f t="shared" si="11"/>
        <v>2.9957322735539909</v>
      </c>
      <c r="H156" s="729">
        <f t="shared" si="12"/>
        <v>-2.3025850929940455</v>
      </c>
      <c r="I156" s="729">
        <f t="shared" si="13"/>
        <v>-6.5567783561580422</v>
      </c>
      <c r="J156" s="40"/>
    </row>
    <row r="157" spans="1:10">
      <c r="A157" s="729">
        <v>146</v>
      </c>
      <c r="B157" s="729">
        <v>20</v>
      </c>
      <c r="C157" s="729">
        <v>0.1</v>
      </c>
      <c r="D157" s="729">
        <v>1.4204545454545455E-3</v>
      </c>
      <c r="E157" s="729">
        <f t="shared" si="14"/>
        <v>0.20875179340028693</v>
      </c>
      <c r="F157" s="729">
        <f t="shared" si="10"/>
        <v>-0.81075986538779188</v>
      </c>
      <c r="G157" s="729">
        <f t="shared" si="11"/>
        <v>2.9957322735539909</v>
      </c>
      <c r="H157" s="729">
        <f t="shared" si="12"/>
        <v>-2.3025850929940455</v>
      </c>
      <c r="I157" s="729">
        <f t="shared" si="13"/>
        <v>-6.5567783561580422</v>
      </c>
      <c r="J157" s="40"/>
    </row>
    <row r="158" spans="1:10">
      <c r="A158" s="729">
        <v>147</v>
      </c>
      <c r="B158" s="729">
        <v>20</v>
      </c>
      <c r="C158" s="729">
        <v>0.1</v>
      </c>
      <c r="D158" s="729">
        <v>1.4204545454545455E-3</v>
      </c>
      <c r="E158" s="729">
        <f t="shared" si="14"/>
        <v>0.21018651362984217</v>
      </c>
      <c r="F158" s="729">
        <f t="shared" si="10"/>
        <v>-0.80577425131812597</v>
      </c>
      <c r="G158" s="729">
        <f t="shared" si="11"/>
        <v>2.9957322735539909</v>
      </c>
      <c r="H158" s="729">
        <f t="shared" si="12"/>
        <v>-2.3025850929940455</v>
      </c>
      <c r="I158" s="729">
        <f t="shared" si="13"/>
        <v>-6.5567783561580422</v>
      </c>
      <c r="J158" s="40"/>
    </row>
    <row r="159" spans="1:10">
      <c r="A159" s="729">
        <v>148</v>
      </c>
      <c r="B159" s="729">
        <v>20</v>
      </c>
      <c r="C159" s="729">
        <v>0.1</v>
      </c>
      <c r="D159" s="729">
        <v>1.4204545454545455E-3</v>
      </c>
      <c r="E159" s="729">
        <f t="shared" si="14"/>
        <v>0.21162123385939741</v>
      </c>
      <c r="F159" s="729">
        <f t="shared" si="10"/>
        <v>-0.8008085858644014</v>
      </c>
      <c r="G159" s="729">
        <f t="shared" si="11"/>
        <v>2.9957322735539909</v>
      </c>
      <c r="H159" s="729">
        <f t="shared" si="12"/>
        <v>-2.3025850929940455</v>
      </c>
      <c r="I159" s="729">
        <f t="shared" si="13"/>
        <v>-6.5567783561580422</v>
      </c>
      <c r="J159" s="40"/>
    </row>
    <row r="160" spans="1:10">
      <c r="A160" s="729">
        <v>149</v>
      </c>
      <c r="B160" s="729">
        <v>20</v>
      </c>
      <c r="C160" s="729">
        <v>0.1</v>
      </c>
      <c r="D160" s="729">
        <v>1.4204545454545455E-3</v>
      </c>
      <c r="E160" s="729">
        <f t="shared" si="14"/>
        <v>0.21305595408895264</v>
      </c>
      <c r="F160" s="729">
        <f t="shared" si="10"/>
        <v>-0.79586258855065695</v>
      </c>
      <c r="G160" s="729">
        <f t="shared" si="11"/>
        <v>2.9957322735539909</v>
      </c>
      <c r="H160" s="729">
        <f t="shared" si="12"/>
        <v>-2.3025850929940455</v>
      </c>
      <c r="I160" s="729">
        <f t="shared" si="13"/>
        <v>-6.5567783561580422</v>
      </c>
      <c r="J160" s="40"/>
    </row>
    <row r="161" spans="1:10">
      <c r="A161" s="729">
        <v>150</v>
      </c>
      <c r="B161" s="729">
        <v>20</v>
      </c>
      <c r="C161" s="729">
        <v>0.1</v>
      </c>
      <c r="D161" s="729">
        <v>1.4204545454545455E-3</v>
      </c>
      <c r="E161" s="729">
        <f t="shared" si="14"/>
        <v>0.21449067431850788</v>
      </c>
      <c r="F161" s="729">
        <f t="shared" si="10"/>
        <v>-0.7909359841415402</v>
      </c>
      <c r="G161" s="729">
        <f t="shared" si="11"/>
        <v>2.9957322735539909</v>
      </c>
      <c r="H161" s="729">
        <f t="shared" si="12"/>
        <v>-2.3025850929940455</v>
      </c>
      <c r="I161" s="729">
        <f t="shared" si="13"/>
        <v>-6.5567783561580422</v>
      </c>
      <c r="J161" s="40"/>
    </row>
    <row r="162" spans="1:10">
      <c r="A162" s="729">
        <v>151</v>
      </c>
      <c r="B162" s="729">
        <v>20</v>
      </c>
      <c r="C162" s="729">
        <v>0.1</v>
      </c>
      <c r="D162" s="729">
        <v>1.4204545454545455E-3</v>
      </c>
      <c r="E162" s="729">
        <f t="shared" si="14"/>
        <v>0.21592539454806312</v>
      </c>
      <c r="F162" s="729">
        <f t="shared" si="10"/>
        <v>-0.78602850250592737</v>
      </c>
      <c r="G162" s="729">
        <f t="shared" si="11"/>
        <v>2.9957322735539909</v>
      </c>
      <c r="H162" s="729">
        <f t="shared" si="12"/>
        <v>-2.3025850929940455</v>
      </c>
      <c r="I162" s="729">
        <f t="shared" si="13"/>
        <v>-6.5567783561580422</v>
      </c>
      <c r="J162" s="40"/>
    </row>
    <row r="163" spans="1:10">
      <c r="A163" s="729">
        <v>152</v>
      </c>
      <c r="B163" s="729">
        <v>20</v>
      </c>
      <c r="C163" s="729">
        <v>0.1</v>
      </c>
      <c r="D163" s="729">
        <v>1.4204545454545455E-3</v>
      </c>
      <c r="E163" s="729">
        <f t="shared" si="14"/>
        <v>0.21736011477761835</v>
      </c>
      <c r="F163" s="729">
        <f t="shared" si="10"/>
        <v>-0.78113987848493915</v>
      </c>
      <c r="G163" s="729">
        <f t="shared" si="11"/>
        <v>2.9957322735539909</v>
      </c>
      <c r="H163" s="729">
        <f t="shared" si="12"/>
        <v>-2.3025850929940455</v>
      </c>
      <c r="I163" s="729">
        <f t="shared" si="13"/>
        <v>-6.5567783561580422</v>
      </c>
      <c r="J163" s="40"/>
    </row>
    <row r="164" spans="1:10">
      <c r="A164" s="729">
        <v>153</v>
      </c>
      <c r="B164" s="729">
        <v>20</v>
      </c>
      <c r="C164" s="729">
        <v>0.1</v>
      </c>
      <c r="D164" s="729">
        <v>1.4204545454545455E-3</v>
      </c>
      <c r="E164" s="729">
        <f t="shared" si="14"/>
        <v>0.21879483500717359</v>
      </c>
      <c r="F164" s="729">
        <f t="shared" si="10"/>
        <v>-0.77626985176416885</v>
      </c>
      <c r="G164" s="729">
        <f t="shared" si="11"/>
        <v>2.9957322735539909</v>
      </c>
      <c r="H164" s="729">
        <f t="shared" si="12"/>
        <v>-2.3025850929940455</v>
      </c>
      <c r="I164" s="729">
        <f t="shared" si="13"/>
        <v>-6.5567783561580422</v>
      </c>
      <c r="J164" s="40"/>
    </row>
    <row r="165" spans="1:10">
      <c r="A165" s="729">
        <v>154</v>
      </c>
      <c r="B165" s="729">
        <v>20</v>
      </c>
      <c r="C165" s="729">
        <v>0.1</v>
      </c>
      <c r="D165" s="729">
        <v>1.4204545454545455E-3</v>
      </c>
      <c r="E165" s="729">
        <f t="shared" si="14"/>
        <v>0.22022955523672882</v>
      </c>
      <c r="F165" s="729">
        <f t="shared" si="10"/>
        <v>-0.77141816674998875</v>
      </c>
      <c r="G165" s="729">
        <f t="shared" si="11"/>
        <v>2.9957322735539909</v>
      </c>
      <c r="H165" s="729">
        <f t="shared" si="12"/>
        <v>-2.3025850929940455</v>
      </c>
      <c r="I165" s="729">
        <f t="shared" si="13"/>
        <v>-6.5567783561580422</v>
      </c>
      <c r="J165" s="40"/>
    </row>
    <row r="166" spans="1:10">
      <c r="A166" s="729">
        <v>155</v>
      </c>
      <c r="B166" s="729">
        <v>20</v>
      </c>
      <c r="C166" s="729">
        <v>0.1</v>
      </c>
      <c r="D166" s="729">
        <v>1.4204545454545455E-3</v>
      </c>
      <c r="E166" s="729">
        <f t="shared" si="14"/>
        <v>0.22166427546628406</v>
      </c>
      <c r="F166" s="729">
        <f t="shared" si="10"/>
        <v>-0.76658457244976175</v>
      </c>
      <c r="G166" s="729">
        <f t="shared" si="11"/>
        <v>2.9957322735539909</v>
      </c>
      <c r="H166" s="729">
        <f t="shared" si="12"/>
        <v>-2.3025850929940455</v>
      </c>
      <c r="I166" s="729">
        <f t="shared" si="13"/>
        <v>-6.5567783561580422</v>
      </c>
      <c r="J166" s="40"/>
    </row>
    <row r="167" spans="1:10">
      <c r="A167" s="729">
        <v>156</v>
      </c>
      <c r="B167" s="729">
        <v>20</v>
      </c>
      <c r="C167" s="729">
        <v>0.1</v>
      </c>
      <c r="D167" s="729">
        <v>1.4204545454545455E-3</v>
      </c>
      <c r="E167" s="729">
        <f t="shared" si="14"/>
        <v>0.22309899569583932</v>
      </c>
      <c r="F167" s="729">
        <f t="shared" si="10"/>
        <v>-0.76176882235580157</v>
      </c>
      <c r="G167" s="729">
        <f t="shared" si="11"/>
        <v>2.9957322735539909</v>
      </c>
      <c r="H167" s="729">
        <f t="shared" si="12"/>
        <v>-2.3025850929940455</v>
      </c>
      <c r="I167" s="729">
        <f t="shared" si="13"/>
        <v>-6.5567783561580422</v>
      </c>
      <c r="J167" s="40"/>
    </row>
    <row r="168" spans="1:10">
      <c r="A168" s="729">
        <v>157</v>
      </c>
      <c r="B168" s="729">
        <v>20</v>
      </c>
      <c r="C168" s="729">
        <v>0.1</v>
      </c>
      <c r="D168" s="729">
        <v>1.4204545454545455E-3</v>
      </c>
      <c r="E168" s="729">
        <f t="shared" si="14"/>
        <v>0.22453371592539456</v>
      </c>
      <c r="F168" s="729">
        <f t="shared" si="10"/>
        <v>-0.75697067433296861</v>
      </c>
      <c r="G168" s="729">
        <f t="shared" si="11"/>
        <v>2.9957322735539909</v>
      </c>
      <c r="H168" s="729">
        <f t="shared" si="12"/>
        <v>-2.3025850929940455</v>
      </c>
      <c r="I168" s="729">
        <f t="shared" si="13"/>
        <v>-6.5567783561580422</v>
      </c>
      <c r="J168" s="40"/>
    </row>
    <row r="169" spans="1:10">
      <c r="A169" s="729">
        <v>158</v>
      </c>
      <c r="B169" s="729">
        <v>20</v>
      </c>
      <c r="C169" s="729">
        <v>0.1</v>
      </c>
      <c r="D169" s="729">
        <v>1.4204545454545455E-3</v>
      </c>
      <c r="E169" s="729">
        <f t="shared" si="14"/>
        <v>0.2259684361549498</v>
      </c>
      <c r="F169" s="729">
        <f t="shared" si="10"/>
        <v>-0.75218989050973062</v>
      </c>
      <c r="G169" s="729">
        <f t="shared" si="11"/>
        <v>2.9957322735539909</v>
      </c>
      <c r="H169" s="729">
        <f t="shared" si="12"/>
        <v>-2.3025850929940455</v>
      </c>
      <c r="I169" s="729">
        <f t="shared" si="13"/>
        <v>-6.5567783561580422</v>
      </c>
      <c r="J169" s="40"/>
    </row>
    <row r="170" spans="1:10">
      <c r="A170" s="729">
        <v>159</v>
      </c>
      <c r="B170" s="729">
        <v>20</v>
      </c>
      <c r="C170" s="729">
        <v>0.1</v>
      </c>
      <c r="D170" s="729">
        <v>1.4204545454545455E-3</v>
      </c>
      <c r="E170" s="729">
        <f t="shared" si="14"/>
        <v>0.22740315638450503</v>
      </c>
      <c r="F170" s="729">
        <f t="shared" si="10"/>
        <v>-0.74742623717258982</v>
      </c>
      <c r="G170" s="729">
        <f t="shared" si="11"/>
        <v>2.9957322735539909</v>
      </c>
      <c r="H170" s="729">
        <f t="shared" si="12"/>
        <v>-2.3025850929940455</v>
      </c>
      <c r="I170" s="729">
        <f t="shared" si="13"/>
        <v>-6.5567783561580422</v>
      </c>
      <c r="J170" s="40"/>
    </row>
    <row r="171" spans="1:10">
      <c r="A171" s="729">
        <v>160</v>
      </c>
      <c r="B171" s="729">
        <v>20</v>
      </c>
      <c r="C171" s="729">
        <v>0.1</v>
      </c>
      <c r="D171" s="729">
        <v>1.4204545454545455E-3</v>
      </c>
      <c r="E171" s="729">
        <f t="shared" si="14"/>
        <v>0.22883787661406027</v>
      </c>
      <c r="F171" s="729">
        <f t="shared" si="10"/>
        <v>-0.74267948466372624</v>
      </c>
      <c r="G171" s="729">
        <f t="shared" si="11"/>
        <v>2.9957322735539909</v>
      </c>
      <c r="H171" s="729">
        <f t="shared" si="12"/>
        <v>-2.3025850929940455</v>
      </c>
      <c r="I171" s="729">
        <f t="shared" si="13"/>
        <v>-6.5567783561580422</v>
      </c>
      <c r="J171" s="40"/>
    </row>
    <row r="172" spans="1:10">
      <c r="A172" s="729">
        <v>161</v>
      </c>
      <c r="B172" s="729">
        <v>20</v>
      </c>
      <c r="C172" s="729">
        <v>0.1</v>
      </c>
      <c r="D172" s="729">
        <v>1.4204545454545455E-3</v>
      </c>
      <c r="E172" s="729">
        <f t="shared" si="14"/>
        <v>0.23027259684361551</v>
      </c>
      <c r="F172" s="729">
        <f t="shared" si="10"/>
        <v>-0.73794940728176173</v>
      </c>
      <c r="G172" s="729">
        <f t="shared" si="11"/>
        <v>2.9957322735539909</v>
      </c>
      <c r="H172" s="729">
        <f t="shared" si="12"/>
        <v>-2.3025850929940455</v>
      </c>
      <c r="I172" s="729">
        <f t="shared" si="13"/>
        <v>-6.5567783561580422</v>
      </c>
      <c r="J172" s="40"/>
    </row>
    <row r="173" spans="1:10">
      <c r="A173" s="729">
        <v>162</v>
      </c>
      <c r="B173" s="729">
        <v>20</v>
      </c>
      <c r="C173" s="729">
        <v>0.1</v>
      </c>
      <c r="D173" s="729">
        <v>1.4204545454545455E-3</v>
      </c>
      <c r="E173" s="729">
        <f t="shared" si="14"/>
        <v>0.23170731707317074</v>
      </c>
      <c r="F173" s="729">
        <f t="shared" si="10"/>
        <v>-0.73323578318551175</v>
      </c>
      <c r="G173" s="729">
        <f t="shared" si="11"/>
        <v>2.9957322735539909</v>
      </c>
      <c r="H173" s="729">
        <f t="shared" si="12"/>
        <v>-2.3025850929940455</v>
      </c>
      <c r="I173" s="729">
        <f t="shared" si="13"/>
        <v>-6.5567783561580422</v>
      </c>
      <c r="J173" s="40"/>
    </row>
    <row r="174" spans="1:10">
      <c r="A174" s="729">
        <v>163</v>
      </c>
      <c r="B174" s="729">
        <v>20</v>
      </c>
      <c r="C174" s="729">
        <v>0.1</v>
      </c>
      <c r="D174" s="729">
        <v>1.4204545454545455E-3</v>
      </c>
      <c r="E174" s="729">
        <f t="shared" si="14"/>
        <v>0.23314203730272598</v>
      </c>
      <c r="F174" s="729">
        <f t="shared" si="10"/>
        <v>-0.72853839430062861</v>
      </c>
      <c r="G174" s="729">
        <f t="shared" si="11"/>
        <v>2.9957322735539909</v>
      </c>
      <c r="H174" s="729">
        <f t="shared" si="12"/>
        <v>-2.3025850929940455</v>
      </c>
      <c r="I174" s="729">
        <f t="shared" si="13"/>
        <v>-6.5567783561580422</v>
      </c>
      <c r="J174" s="40"/>
    </row>
    <row r="175" spans="1:10">
      <c r="A175" s="729">
        <v>164</v>
      </c>
      <c r="B175" s="729">
        <v>20</v>
      </c>
      <c r="C175" s="729">
        <v>0.1</v>
      </c>
      <c r="D175" s="729">
        <v>1.4204545454545455E-3</v>
      </c>
      <c r="E175" s="729">
        <f t="shared" si="14"/>
        <v>0.23457675753228122</v>
      </c>
      <c r="F175" s="729">
        <f t="shared" si="10"/>
        <v>-0.7238570262290237</v>
      </c>
      <c r="G175" s="729">
        <f t="shared" si="11"/>
        <v>2.9957322735539909</v>
      </c>
      <c r="H175" s="729">
        <f t="shared" si="12"/>
        <v>-2.3025850929940455</v>
      </c>
      <c r="I175" s="729">
        <f t="shared" si="13"/>
        <v>-6.5567783561580422</v>
      </c>
      <c r="J175" s="40"/>
    </row>
    <row r="176" spans="1:10">
      <c r="A176" s="729">
        <v>165</v>
      </c>
      <c r="B176" s="729">
        <v>23</v>
      </c>
      <c r="C176" s="729">
        <v>0.1</v>
      </c>
      <c r="D176" s="729">
        <v>1.4204545454545455E-3</v>
      </c>
      <c r="E176" s="729">
        <f t="shared" si="14"/>
        <v>0.23601147776183645</v>
      </c>
      <c r="F176" s="729">
        <f t="shared" si="10"/>
        <v>-0.71919146816097901</v>
      </c>
      <c r="G176" s="729">
        <f t="shared" si="11"/>
        <v>3.1354942159291497</v>
      </c>
      <c r="H176" s="729">
        <f t="shared" si="12"/>
        <v>-2.3025850929940455</v>
      </c>
      <c r="I176" s="729">
        <f t="shared" si="13"/>
        <v>-6.5567783561580422</v>
      </c>
      <c r="J176" s="40"/>
    </row>
    <row r="177" spans="1:10">
      <c r="A177" s="729">
        <v>166</v>
      </c>
      <c r="B177" s="729">
        <v>23</v>
      </c>
      <c r="C177" s="729">
        <v>0.1</v>
      </c>
      <c r="D177" s="729">
        <v>1.4204545454545455E-3</v>
      </c>
      <c r="E177" s="729">
        <f t="shared" si="14"/>
        <v>0.23744619799139169</v>
      </c>
      <c r="F177" s="729">
        <f t="shared" si="10"/>
        <v>-0.7145415127898378</v>
      </c>
      <c r="G177" s="729">
        <f t="shared" si="11"/>
        <v>3.1354942159291497</v>
      </c>
      <c r="H177" s="729">
        <f t="shared" si="12"/>
        <v>-2.3025850929940455</v>
      </c>
      <c r="I177" s="729">
        <f t="shared" si="13"/>
        <v>-6.5567783561580422</v>
      </c>
      <c r="J177" s="40"/>
    </row>
    <row r="178" spans="1:10">
      <c r="A178" s="729">
        <v>167</v>
      </c>
      <c r="B178" s="729">
        <v>23</v>
      </c>
      <c r="C178" s="729">
        <v>0.1</v>
      </c>
      <c r="D178" s="729">
        <v>1.4204545454545455E-3</v>
      </c>
      <c r="E178" s="729">
        <f t="shared" si="14"/>
        <v>0.23888091822094693</v>
      </c>
      <c r="F178" s="729">
        <f t="shared" si="10"/>
        <v>-0.70990695622919808</v>
      </c>
      <c r="G178" s="729">
        <f t="shared" si="11"/>
        <v>3.1354942159291497</v>
      </c>
      <c r="H178" s="729">
        <f t="shared" si="12"/>
        <v>-2.3025850929940455</v>
      </c>
      <c r="I178" s="729">
        <f t="shared" si="13"/>
        <v>-6.5567783561580422</v>
      </c>
      <c r="J178" s="40"/>
    </row>
    <row r="179" spans="1:10">
      <c r="A179" s="729">
        <v>168</v>
      </c>
      <c r="B179" s="729">
        <v>25</v>
      </c>
      <c r="C179" s="729">
        <v>0.1</v>
      </c>
      <c r="D179" s="729">
        <v>1.4204545454545455E-3</v>
      </c>
      <c r="E179" s="729">
        <f t="shared" si="14"/>
        <v>0.24031563845050216</v>
      </c>
      <c r="F179" s="729">
        <f t="shared" si="10"/>
        <v>-0.70528759793250428</v>
      </c>
      <c r="G179" s="729">
        <f t="shared" si="11"/>
        <v>3.2188758248682006</v>
      </c>
      <c r="H179" s="729">
        <f t="shared" si="12"/>
        <v>-2.3025850929940455</v>
      </c>
      <c r="I179" s="729">
        <f t="shared" si="13"/>
        <v>-6.5567783561580422</v>
      </c>
      <c r="J179" s="40"/>
    </row>
    <row r="180" spans="1:10">
      <c r="A180" s="729">
        <v>169</v>
      </c>
      <c r="B180" s="729">
        <v>25</v>
      </c>
      <c r="C180" s="729">
        <v>0.1</v>
      </c>
      <c r="D180" s="729">
        <v>1.4204545454545455E-3</v>
      </c>
      <c r="E180" s="729">
        <f t="shared" si="14"/>
        <v>0.2417503586800574</v>
      </c>
      <c r="F180" s="729">
        <f t="shared" si="10"/>
        <v>-0.70068324061497589</v>
      </c>
      <c r="G180" s="729">
        <f t="shared" si="11"/>
        <v>3.2188758248682006</v>
      </c>
      <c r="H180" s="729">
        <f t="shared" si="12"/>
        <v>-2.3025850929940455</v>
      </c>
      <c r="I180" s="729">
        <f t="shared" si="13"/>
        <v>-6.5567783561580422</v>
      </c>
      <c r="J180" s="40"/>
    </row>
    <row r="181" spans="1:10">
      <c r="A181" s="729">
        <v>170</v>
      </c>
      <c r="B181" s="729">
        <v>25</v>
      </c>
      <c r="C181" s="729">
        <v>0.1</v>
      </c>
      <c r="D181" s="729">
        <v>1.4204545454545455E-3</v>
      </c>
      <c r="E181" s="729">
        <f t="shared" si="14"/>
        <v>0.24318507890961263</v>
      </c>
      <c r="F181" s="729">
        <f t="shared" si="10"/>
        <v>-0.6960936901777649</v>
      </c>
      <c r="G181" s="729">
        <f t="shared" si="11"/>
        <v>3.2188758248682006</v>
      </c>
      <c r="H181" s="729">
        <f t="shared" si="12"/>
        <v>-2.3025850929940455</v>
      </c>
      <c r="I181" s="729">
        <f t="shared" si="13"/>
        <v>-6.5567783561580422</v>
      </c>
      <c r="J181" s="40"/>
    </row>
    <row r="182" spans="1:10">
      <c r="A182" s="729">
        <v>171</v>
      </c>
      <c r="B182" s="729">
        <v>25</v>
      </c>
      <c r="C182" s="729">
        <v>0.1</v>
      </c>
      <c r="D182" s="729">
        <v>1.4204545454545455E-3</v>
      </c>
      <c r="E182" s="729">
        <f t="shared" si="14"/>
        <v>0.24461979913916787</v>
      </c>
      <c r="F182" s="729">
        <f t="shared" si="10"/>
        <v>-0.69151875563428244</v>
      </c>
      <c r="G182" s="729">
        <f t="shared" si="11"/>
        <v>3.2188758248682006</v>
      </c>
      <c r="H182" s="729">
        <f t="shared" si="12"/>
        <v>-2.3025850929940455</v>
      </c>
      <c r="I182" s="729">
        <f t="shared" si="13"/>
        <v>-6.5567783561580422</v>
      </c>
      <c r="J182" s="40"/>
    </row>
    <row r="183" spans="1:10">
      <c r="A183" s="729">
        <v>172</v>
      </c>
      <c r="B183" s="729">
        <v>25</v>
      </c>
      <c r="C183" s="729">
        <v>0.1</v>
      </c>
      <c r="D183" s="729">
        <v>1.4204545454545455E-3</v>
      </c>
      <c r="E183" s="729">
        <f t="shared" si="14"/>
        <v>0.24605451936872311</v>
      </c>
      <c r="F183" s="729">
        <f t="shared" si="10"/>
        <v>-0.68695824903861946</v>
      </c>
      <c r="G183" s="729">
        <f t="shared" si="11"/>
        <v>3.2188758248682006</v>
      </c>
      <c r="H183" s="729">
        <f t="shared" si="12"/>
        <v>-2.3025850929940455</v>
      </c>
      <c r="I183" s="729">
        <f t="shared" si="13"/>
        <v>-6.5567783561580422</v>
      </c>
      <c r="J183" s="40"/>
    </row>
    <row r="184" spans="1:10">
      <c r="A184" s="729">
        <v>173</v>
      </c>
      <c r="B184" s="729">
        <v>25</v>
      </c>
      <c r="C184" s="729">
        <v>0.1</v>
      </c>
      <c r="D184" s="729">
        <v>1.4204545454545455E-3</v>
      </c>
      <c r="E184" s="729">
        <f t="shared" si="14"/>
        <v>0.24748923959827834</v>
      </c>
      <c r="F184" s="729">
        <f t="shared" si="10"/>
        <v>-0.68241198541597936</v>
      </c>
      <c r="G184" s="729">
        <f t="shared" si="11"/>
        <v>3.2188758248682006</v>
      </c>
      <c r="H184" s="729">
        <f t="shared" si="12"/>
        <v>-2.3025850929940455</v>
      </c>
      <c r="I184" s="729">
        <f t="shared" si="13"/>
        <v>-6.5567783561580422</v>
      </c>
      <c r="J184" s="40"/>
    </row>
    <row r="185" spans="1:10">
      <c r="A185" s="729">
        <v>174</v>
      </c>
      <c r="B185" s="729">
        <v>25</v>
      </c>
      <c r="C185" s="729">
        <v>0.1</v>
      </c>
      <c r="D185" s="729">
        <v>1.4204545454545455E-3</v>
      </c>
      <c r="E185" s="729">
        <f t="shared" si="14"/>
        <v>0.24892395982783358</v>
      </c>
      <c r="F185" s="729">
        <f t="shared" si="10"/>
        <v>-0.67787978269506355</v>
      </c>
      <c r="G185" s="729">
        <f t="shared" si="11"/>
        <v>3.2188758248682006</v>
      </c>
      <c r="H185" s="729">
        <f t="shared" si="12"/>
        <v>-2.3025850929940455</v>
      </c>
      <c r="I185" s="729">
        <f t="shared" si="13"/>
        <v>-6.5567783561580422</v>
      </c>
      <c r="J185" s="40"/>
    </row>
    <row r="186" spans="1:10">
      <c r="A186" s="729">
        <v>175</v>
      </c>
      <c r="B186" s="729">
        <v>25</v>
      </c>
      <c r="C186" s="729">
        <v>0.1</v>
      </c>
      <c r="D186" s="729">
        <v>1.4204545454545455E-3</v>
      </c>
      <c r="E186" s="729">
        <f t="shared" si="14"/>
        <v>0.25035868005738882</v>
      </c>
      <c r="F186" s="729">
        <f t="shared" si="10"/>
        <v>-0.67336146164234179</v>
      </c>
      <c r="G186" s="729">
        <f t="shared" si="11"/>
        <v>3.2188758248682006</v>
      </c>
      <c r="H186" s="729">
        <f t="shared" si="12"/>
        <v>-2.3025850929940455</v>
      </c>
      <c r="I186" s="729">
        <f t="shared" si="13"/>
        <v>-6.5567783561580422</v>
      </c>
      <c r="J186" s="40"/>
    </row>
    <row r="187" spans="1:10">
      <c r="A187" s="729">
        <v>176</v>
      </c>
      <c r="B187" s="729">
        <v>25</v>
      </c>
      <c r="C187" s="729">
        <v>0.1</v>
      </c>
      <c r="D187" s="729">
        <v>1.4204545454545455E-3</v>
      </c>
      <c r="E187" s="729">
        <f t="shared" si="14"/>
        <v>0.25179340028694402</v>
      </c>
      <c r="F187" s="729">
        <f t="shared" si="10"/>
        <v>-0.66885684579813953</v>
      </c>
      <c r="G187" s="729">
        <f t="shared" si="11"/>
        <v>3.2188758248682006</v>
      </c>
      <c r="H187" s="729">
        <f t="shared" si="12"/>
        <v>-2.3025850929940455</v>
      </c>
      <c r="I187" s="729">
        <f t="shared" si="13"/>
        <v>-6.5567783561580422</v>
      </c>
      <c r="J187" s="40"/>
    </row>
    <row r="188" spans="1:10">
      <c r="A188" s="729">
        <v>177</v>
      </c>
      <c r="B188" s="729">
        <v>25</v>
      </c>
      <c r="C188" s="729">
        <v>0.1</v>
      </c>
      <c r="D188" s="729">
        <v>1.4204545454545455E-3</v>
      </c>
      <c r="E188" s="729">
        <f t="shared" si="14"/>
        <v>0.25322812051649929</v>
      </c>
      <c r="F188" s="729">
        <f t="shared" si="10"/>
        <v>-0.66436576141448844</v>
      </c>
      <c r="G188" s="729">
        <f t="shared" si="11"/>
        <v>3.2188758248682006</v>
      </c>
      <c r="H188" s="729">
        <f t="shared" si="12"/>
        <v>-2.3025850929940455</v>
      </c>
      <c r="I188" s="729">
        <f t="shared" si="13"/>
        <v>-6.5567783561580422</v>
      </c>
      <c r="J188" s="40"/>
    </row>
    <row r="189" spans="1:10">
      <c r="A189" s="729">
        <v>178</v>
      </c>
      <c r="B189" s="729">
        <v>25</v>
      </c>
      <c r="C189" s="729">
        <v>0.1</v>
      </c>
      <c r="D189" s="729">
        <v>1.4204545454545455E-3</v>
      </c>
      <c r="E189" s="729">
        <f t="shared" si="14"/>
        <v>0.2546628407460545</v>
      </c>
      <c r="F189" s="729">
        <f t="shared" si="10"/>
        <v>-0.65988803739467305</v>
      </c>
      <c r="G189" s="729">
        <f t="shared" si="11"/>
        <v>3.2188758248682006</v>
      </c>
      <c r="H189" s="729">
        <f t="shared" si="12"/>
        <v>-2.3025850929940455</v>
      </c>
      <c r="I189" s="729">
        <f t="shared" si="13"/>
        <v>-6.5567783561580422</v>
      </c>
      <c r="J189" s="40"/>
    </row>
    <row r="190" spans="1:10">
      <c r="A190" s="729">
        <v>179</v>
      </c>
      <c r="B190" s="729">
        <v>25</v>
      </c>
      <c r="C190" s="729">
        <v>0.1</v>
      </c>
      <c r="D190" s="729">
        <v>1.4204545454545455E-3</v>
      </c>
      <c r="E190" s="729">
        <f t="shared" si="14"/>
        <v>0.25609756097560976</v>
      </c>
      <c r="F190" s="729">
        <f t="shared" si="10"/>
        <v>-0.65542350523442661</v>
      </c>
      <c r="G190" s="729">
        <f t="shared" si="11"/>
        <v>3.2188758248682006</v>
      </c>
      <c r="H190" s="729">
        <f t="shared" si="12"/>
        <v>-2.3025850929940455</v>
      </c>
      <c r="I190" s="729">
        <f t="shared" si="13"/>
        <v>-6.5567783561580422</v>
      </c>
      <c r="J190" s="40"/>
    </row>
    <row r="191" spans="1:10">
      <c r="A191" s="729">
        <v>180</v>
      </c>
      <c r="B191" s="729">
        <v>25</v>
      </c>
      <c r="C191" s="729">
        <v>0.1</v>
      </c>
      <c r="D191" s="729">
        <v>1.4204545454545455E-3</v>
      </c>
      <c r="E191" s="729">
        <f t="shared" si="14"/>
        <v>0.25753228120516497</v>
      </c>
      <c r="F191" s="729">
        <f t="shared" si="10"/>
        <v>-0.65097199896471547</v>
      </c>
      <c r="G191" s="729">
        <f t="shared" si="11"/>
        <v>3.2188758248682006</v>
      </c>
      <c r="H191" s="729">
        <f t="shared" si="12"/>
        <v>-2.3025850929940455</v>
      </c>
      <c r="I191" s="729">
        <f t="shared" si="13"/>
        <v>-6.5567783561580422</v>
      </c>
      <c r="J191" s="40"/>
    </row>
    <row r="192" spans="1:10">
      <c r="A192" s="729">
        <v>181</v>
      </c>
      <c r="B192" s="729">
        <v>25</v>
      </c>
      <c r="C192" s="729">
        <v>0.1</v>
      </c>
      <c r="D192" s="729">
        <v>1.4204545454545455E-3</v>
      </c>
      <c r="E192" s="729">
        <f t="shared" si="14"/>
        <v>0.25896700143472023</v>
      </c>
      <c r="F192" s="729">
        <f t="shared" si="10"/>
        <v>-0.64653335509605969</v>
      </c>
      <c r="G192" s="729">
        <f t="shared" si="11"/>
        <v>3.2188758248682006</v>
      </c>
      <c r="H192" s="729">
        <f t="shared" si="12"/>
        <v>-2.3025850929940455</v>
      </c>
      <c r="I192" s="729">
        <f t="shared" si="13"/>
        <v>-6.5567783561580422</v>
      </c>
      <c r="J192" s="40"/>
    </row>
    <row r="193" spans="1:10">
      <c r="A193" s="729">
        <v>182</v>
      </c>
      <c r="B193" s="729">
        <v>25</v>
      </c>
      <c r="C193" s="729">
        <v>0.1</v>
      </c>
      <c r="D193" s="729">
        <v>1.4204545454545455E-3</v>
      </c>
      <c r="E193" s="729">
        <f t="shared" si="14"/>
        <v>0.26040172166427544</v>
      </c>
      <c r="F193" s="729">
        <f t="shared" si="10"/>
        <v>-0.64210741256434611</v>
      </c>
      <c r="G193" s="729">
        <f t="shared" si="11"/>
        <v>3.2188758248682006</v>
      </c>
      <c r="H193" s="729">
        <f t="shared" si="12"/>
        <v>-2.3025850929940455</v>
      </c>
      <c r="I193" s="729">
        <f t="shared" si="13"/>
        <v>-6.5567783561580422</v>
      </c>
      <c r="J193" s="40"/>
    </row>
    <row r="194" spans="1:10">
      <c r="A194" s="729">
        <v>183</v>
      </c>
      <c r="B194" s="729">
        <v>25</v>
      </c>
      <c r="C194" s="729">
        <v>0.1</v>
      </c>
      <c r="D194" s="729">
        <v>1.4204545454545455E-3</v>
      </c>
      <c r="E194" s="729">
        <f t="shared" si="14"/>
        <v>0.26183644189383071</v>
      </c>
      <c r="F194" s="729">
        <f t="shared" si="10"/>
        <v>-0.6376940126780779</v>
      </c>
      <c r="G194" s="729">
        <f t="shared" si="11"/>
        <v>3.2188758248682006</v>
      </c>
      <c r="H194" s="729">
        <f t="shared" si="12"/>
        <v>-2.3025850929940455</v>
      </c>
      <c r="I194" s="729">
        <f t="shared" si="13"/>
        <v>-6.5567783561580422</v>
      </c>
      <c r="J194" s="40"/>
    </row>
    <row r="195" spans="1:10">
      <c r="A195" s="729">
        <v>184</v>
      </c>
      <c r="B195" s="729">
        <v>25</v>
      </c>
      <c r="C195" s="729">
        <v>0.1</v>
      </c>
      <c r="D195" s="729">
        <v>1.4204545454545455E-3</v>
      </c>
      <c r="E195" s="729">
        <f t="shared" si="14"/>
        <v>0.26327116212338592</v>
      </c>
      <c r="F195" s="729">
        <f t="shared" si="10"/>
        <v>-0.63329299906701975</v>
      </c>
      <c r="G195" s="729">
        <f t="shared" si="11"/>
        <v>3.2188758248682006</v>
      </c>
      <c r="H195" s="729">
        <f t="shared" si="12"/>
        <v>-2.3025850929940455</v>
      </c>
      <c r="I195" s="729">
        <f t="shared" si="13"/>
        <v>-6.5567783561580422</v>
      </c>
      <c r="J195" s="40"/>
    </row>
    <row r="196" spans="1:10">
      <c r="A196" s="729">
        <v>185</v>
      </c>
      <c r="B196" s="729">
        <v>25</v>
      </c>
      <c r="C196" s="729">
        <v>0.1</v>
      </c>
      <c r="D196" s="729">
        <v>1.4204545454545455E-3</v>
      </c>
      <c r="E196" s="729">
        <f t="shared" si="14"/>
        <v>0.26470588235294118</v>
      </c>
      <c r="F196" s="729">
        <f t="shared" si="10"/>
        <v>-0.62890421763218984</v>
      </c>
      <c r="G196" s="729">
        <f t="shared" si="11"/>
        <v>3.2188758248682006</v>
      </c>
      <c r="H196" s="729">
        <f t="shared" si="12"/>
        <v>-2.3025850929940455</v>
      </c>
      <c r="I196" s="729">
        <f t="shared" si="13"/>
        <v>-6.5567783561580422</v>
      </c>
      <c r="J196" s="40"/>
    </row>
    <row r="197" spans="1:10">
      <c r="A197" s="729">
        <v>186</v>
      </c>
      <c r="B197" s="729">
        <v>25</v>
      </c>
      <c r="C197" s="729">
        <v>0.1</v>
      </c>
      <c r="D197" s="729">
        <v>1.4204545454545455E-3</v>
      </c>
      <c r="E197" s="729">
        <f t="shared" si="14"/>
        <v>0.26614060258249639</v>
      </c>
      <c r="F197" s="729">
        <f t="shared" si="10"/>
        <v>-0.62452751649716276</v>
      </c>
      <c r="G197" s="729">
        <f t="shared" si="11"/>
        <v>3.2188758248682006</v>
      </c>
      <c r="H197" s="729">
        <f t="shared" si="12"/>
        <v>-2.3025850929940455</v>
      </c>
      <c r="I197" s="729">
        <f t="shared" si="13"/>
        <v>-6.5567783561580422</v>
      </c>
      <c r="J197" s="40"/>
    </row>
    <row r="198" spans="1:10">
      <c r="A198" s="729">
        <v>187</v>
      </c>
      <c r="B198" s="729">
        <v>25</v>
      </c>
      <c r="C198" s="729">
        <v>0.1</v>
      </c>
      <c r="D198" s="729">
        <v>1.4204545454545455E-3</v>
      </c>
      <c r="E198" s="729">
        <f t="shared" si="14"/>
        <v>0.26757532281205165</v>
      </c>
      <c r="F198" s="729">
        <f t="shared" si="10"/>
        <v>-0.62016274596063059</v>
      </c>
      <c r="G198" s="729">
        <f t="shared" si="11"/>
        <v>3.2188758248682006</v>
      </c>
      <c r="H198" s="729">
        <f t="shared" si="12"/>
        <v>-2.3025850929940455</v>
      </c>
      <c r="I198" s="729">
        <f t="shared" si="13"/>
        <v>-6.5567783561580422</v>
      </c>
      <c r="J198" s="40"/>
    </row>
    <row r="199" spans="1:10">
      <c r="A199" s="729">
        <v>188</v>
      </c>
      <c r="B199" s="729">
        <v>25</v>
      </c>
      <c r="C199" s="729">
        <v>0.1</v>
      </c>
      <c r="D199" s="729">
        <v>1.4204545454545455E-3</v>
      </c>
      <c r="E199" s="729">
        <f t="shared" si="14"/>
        <v>0.26901004304160686</v>
      </c>
      <c r="F199" s="729">
        <f t="shared" si="10"/>
        <v>-0.61580975845019326</v>
      </c>
      <c r="G199" s="729">
        <f t="shared" si="11"/>
        <v>3.2188758248682006</v>
      </c>
      <c r="H199" s="729">
        <f t="shared" si="12"/>
        <v>-2.3025850929940455</v>
      </c>
      <c r="I199" s="729">
        <f t="shared" si="13"/>
        <v>-6.5567783561580422</v>
      </c>
      <c r="J199" s="40"/>
    </row>
    <row r="200" spans="1:10">
      <c r="A200" s="729">
        <v>189</v>
      </c>
      <c r="B200" s="729">
        <v>25</v>
      </c>
      <c r="C200" s="729">
        <v>0.1</v>
      </c>
      <c r="D200" s="729">
        <v>1.4204545454545455E-3</v>
      </c>
      <c r="E200" s="729">
        <f t="shared" si="14"/>
        <v>0.27044476327116213</v>
      </c>
      <c r="F200" s="729">
        <f t="shared" si="10"/>
        <v>-0.61146840847733341</v>
      </c>
      <c r="G200" s="729">
        <f t="shared" si="11"/>
        <v>3.2188758248682006</v>
      </c>
      <c r="H200" s="729">
        <f t="shared" si="12"/>
        <v>-2.3025850929940455</v>
      </c>
      <c r="I200" s="729">
        <f t="shared" si="13"/>
        <v>-6.5567783561580422</v>
      </c>
      <c r="J200" s="40"/>
    </row>
    <row r="201" spans="1:10">
      <c r="A201" s="729">
        <v>190</v>
      </c>
      <c r="B201" s="729">
        <v>25</v>
      </c>
      <c r="C201" s="729">
        <v>0.1</v>
      </c>
      <c r="D201" s="729">
        <v>1.4204545454545455E-3</v>
      </c>
      <c r="E201" s="729">
        <f t="shared" si="14"/>
        <v>0.27187948350071733</v>
      </c>
      <c r="F201" s="729">
        <f t="shared" si="10"/>
        <v>-0.60713855259354255</v>
      </c>
      <c r="G201" s="729">
        <f t="shared" si="11"/>
        <v>3.2188758248682006</v>
      </c>
      <c r="H201" s="729">
        <f t="shared" si="12"/>
        <v>-2.3025850929940455</v>
      </c>
      <c r="I201" s="729">
        <f t="shared" si="13"/>
        <v>-6.5567783561580422</v>
      </c>
      <c r="J201" s="40"/>
    </row>
    <row r="202" spans="1:10">
      <c r="A202" s="729">
        <v>191</v>
      </c>
      <c r="B202" s="729">
        <v>25</v>
      </c>
      <c r="C202" s="729">
        <v>0.1</v>
      </c>
      <c r="D202" s="729">
        <v>1.4204545454545455E-3</v>
      </c>
      <c r="E202" s="729">
        <f t="shared" si="14"/>
        <v>0.2733142037302726</v>
      </c>
      <c r="F202" s="729">
        <f t="shared" si="10"/>
        <v>-0.60282004934755651</v>
      </c>
      <c r="G202" s="729">
        <f t="shared" si="11"/>
        <v>3.2188758248682006</v>
      </c>
      <c r="H202" s="729">
        <f t="shared" si="12"/>
        <v>-2.3025850929940455</v>
      </c>
      <c r="I202" s="729">
        <f t="shared" si="13"/>
        <v>-6.5567783561580422</v>
      </c>
      <c r="J202" s="40"/>
    </row>
    <row r="203" spans="1:10">
      <c r="A203" s="729">
        <v>192</v>
      </c>
      <c r="B203" s="729">
        <v>25</v>
      </c>
      <c r="C203" s="729">
        <v>0.1</v>
      </c>
      <c r="D203" s="729">
        <v>1.4204545454545455E-3</v>
      </c>
      <c r="E203" s="729">
        <f t="shared" si="14"/>
        <v>0.27474892395982781</v>
      </c>
      <c r="F203" s="729">
        <f t="shared" si="10"/>
        <v>-0.59851275924367653</v>
      </c>
      <c r="G203" s="729">
        <f t="shared" si="11"/>
        <v>3.2188758248682006</v>
      </c>
      <c r="H203" s="729">
        <f t="shared" si="12"/>
        <v>-2.3025850929940455</v>
      </c>
      <c r="I203" s="729">
        <f t="shared" si="13"/>
        <v>-6.5567783561580422</v>
      </c>
      <c r="J203" s="40"/>
    </row>
    <row r="204" spans="1:10">
      <c r="A204" s="729">
        <v>193</v>
      </c>
      <c r="B204" s="729">
        <v>25</v>
      </c>
      <c r="C204" s="729">
        <v>0.1</v>
      </c>
      <c r="D204" s="841">
        <v>1.4204545454545455E-3</v>
      </c>
      <c r="E204" s="729">
        <f t="shared" si="14"/>
        <v>0.27618364418938307</v>
      </c>
      <c r="F204" s="729">
        <f t="shared" ref="F204:F267" si="15">NORMSINV(E204)</f>
        <v>-0.5942165447011295</v>
      </c>
      <c r="G204" s="729">
        <f t="shared" ref="G204:G267" si="16">LN(B204)</f>
        <v>3.2188758248682006</v>
      </c>
      <c r="H204" s="729">
        <f t="shared" ref="H204:H267" si="17">LN(C204)</f>
        <v>-2.3025850929940455</v>
      </c>
      <c r="I204" s="729">
        <f t="shared" ref="I204:I267" si="18">LN(D204)</f>
        <v>-6.5567783561580422</v>
      </c>
      <c r="J204" s="40"/>
    </row>
    <row r="205" spans="1:10">
      <c r="A205" s="729">
        <v>194</v>
      </c>
      <c r="B205" s="729">
        <v>25</v>
      </c>
      <c r="C205" s="729">
        <v>0.1</v>
      </c>
      <c r="D205" s="32">
        <v>1.5624999999999999E-3</v>
      </c>
      <c r="E205" s="729">
        <f t="shared" ref="E205:E268" si="19">(A205-0.5)/697</f>
        <v>0.27761836441893828</v>
      </c>
      <c r="F205" s="729">
        <f t="shared" si="15"/>
        <v>-0.58993127001444812</v>
      </c>
      <c r="G205" s="729">
        <f t="shared" si="16"/>
        <v>3.2188758248682006</v>
      </c>
      <c r="H205" s="729">
        <f t="shared" si="17"/>
        <v>-2.3025850929940455</v>
      </c>
      <c r="I205" s="729">
        <f t="shared" si="18"/>
        <v>-6.4614681763537174</v>
      </c>
      <c r="J205" s="40"/>
    </row>
    <row r="206" spans="1:10">
      <c r="A206" s="729">
        <v>195</v>
      </c>
      <c r="B206" s="729">
        <v>25</v>
      </c>
      <c r="C206" s="729">
        <v>0.1</v>
      </c>
      <c r="D206" s="729">
        <v>1.5909090909090907E-3</v>
      </c>
      <c r="E206" s="729">
        <f t="shared" si="19"/>
        <v>0.27905308464849354</v>
      </c>
      <c r="F206" s="729">
        <f t="shared" si="15"/>
        <v>-0.585656801314831</v>
      </c>
      <c r="G206" s="729">
        <f t="shared" si="16"/>
        <v>3.2188758248682006</v>
      </c>
      <c r="H206" s="729">
        <f t="shared" si="17"/>
        <v>-2.3025850929940455</v>
      </c>
      <c r="I206" s="729">
        <f t="shared" si="18"/>
        <v>-6.4434496708510389</v>
      </c>
      <c r="J206" s="40"/>
    </row>
    <row r="207" spans="1:10">
      <c r="A207" s="729">
        <v>196</v>
      </c>
      <c r="B207" s="729">
        <v>25</v>
      </c>
      <c r="C207" s="729">
        <v>0.1</v>
      </c>
      <c r="D207" s="729">
        <v>1.7045454545454545E-3</v>
      </c>
      <c r="E207" s="729">
        <f t="shared" si="19"/>
        <v>0.28048780487804881</v>
      </c>
      <c r="F207" s="729">
        <f t="shared" si="15"/>
        <v>-0.58139300653245585</v>
      </c>
      <c r="G207" s="729">
        <f t="shared" si="16"/>
        <v>3.2188758248682006</v>
      </c>
      <c r="H207" s="729">
        <f t="shared" si="17"/>
        <v>-2.3025850929940455</v>
      </c>
      <c r="I207" s="729">
        <f t="shared" si="18"/>
        <v>-6.3744567993640882</v>
      </c>
      <c r="J207" s="40"/>
    </row>
    <row r="208" spans="1:10">
      <c r="A208" s="729">
        <v>197</v>
      </c>
      <c r="B208" s="729">
        <v>25</v>
      </c>
      <c r="C208" s="729">
        <v>0.1</v>
      </c>
      <c r="D208" s="729">
        <v>1.7045454545454545E-3</v>
      </c>
      <c r="E208" s="729">
        <f t="shared" si="19"/>
        <v>0.28192252510760402</v>
      </c>
      <c r="F208" s="729">
        <f t="shared" si="15"/>
        <v>-0.57713975535972051</v>
      </c>
      <c r="G208" s="729">
        <f t="shared" si="16"/>
        <v>3.2188758248682006</v>
      </c>
      <c r="H208" s="729">
        <f t="shared" si="17"/>
        <v>-2.3025850929940455</v>
      </c>
      <c r="I208" s="729">
        <f t="shared" si="18"/>
        <v>-6.3744567993640882</v>
      </c>
      <c r="J208" s="40"/>
    </row>
    <row r="209" spans="1:10">
      <c r="A209" s="729">
        <v>198</v>
      </c>
      <c r="B209" s="729">
        <v>25</v>
      </c>
      <c r="C209" s="729">
        <v>0.1</v>
      </c>
      <c r="D209" s="729">
        <v>1.7045454545454545E-3</v>
      </c>
      <c r="E209" s="729">
        <f t="shared" si="19"/>
        <v>0.28335724533715928</v>
      </c>
      <c r="F209" s="729">
        <f t="shared" si="15"/>
        <v>-0.57289691921537711</v>
      </c>
      <c r="G209" s="729">
        <f t="shared" si="16"/>
        <v>3.2188758248682006</v>
      </c>
      <c r="H209" s="729">
        <f t="shared" si="17"/>
        <v>-2.3025850929940455</v>
      </c>
      <c r="I209" s="729">
        <f t="shared" si="18"/>
        <v>-6.3744567993640882</v>
      </c>
      <c r="J209" s="40"/>
    </row>
    <row r="210" spans="1:10">
      <c r="A210" s="729">
        <v>199</v>
      </c>
      <c r="B210" s="729">
        <v>25</v>
      </c>
      <c r="C210" s="729">
        <v>0.1</v>
      </c>
      <c r="D210" s="729">
        <v>1.7045454545454545E-3</v>
      </c>
      <c r="E210" s="729">
        <f t="shared" si="19"/>
        <v>0.28479196556671449</v>
      </c>
      <c r="F210" s="729">
        <f t="shared" si="15"/>
        <v>-0.56866437120954061</v>
      </c>
      <c r="G210" s="729">
        <f t="shared" si="16"/>
        <v>3.2188758248682006</v>
      </c>
      <c r="H210" s="729">
        <f t="shared" si="17"/>
        <v>-2.3025850929940455</v>
      </c>
      <c r="I210" s="729">
        <f t="shared" si="18"/>
        <v>-6.3744567993640882</v>
      </c>
      <c r="J210" s="40"/>
    </row>
    <row r="211" spans="1:10">
      <c r="A211" s="729">
        <v>200</v>
      </c>
      <c r="B211" s="729">
        <v>25</v>
      </c>
      <c r="C211" s="729">
        <v>0.1</v>
      </c>
      <c r="D211" s="729">
        <v>1.7045454545454545E-3</v>
      </c>
      <c r="E211" s="729">
        <f t="shared" si="19"/>
        <v>0.28622668579626975</v>
      </c>
      <c r="F211" s="729">
        <f t="shared" si="15"/>
        <v>-0.56444198610953655</v>
      </c>
      <c r="G211" s="729">
        <f t="shared" si="16"/>
        <v>3.2188758248682006</v>
      </c>
      <c r="H211" s="729">
        <f t="shared" si="17"/>
        <v>-2.3025850929940455</v>
      </c>
      <c r="I211" s="729">
        <f t="shared" si="18"/>
        <v>-6.3744567993640882</v>
      </c>
      <c r="J211" s="40"/>
    </row>
    <row r="212" spans="1:10">
      <c r="A212" s="729">
        <v>201</v>
      </c>
      <c r="B212" s="729">
        <v>25</v>
      </c>
      <c r="C212" s="729">
        <v>0.1</v>
      </c>
      <c r="D212" s="729">
        <v>1.7045454545454545E-3</v>
      </c>
      <c r="E212" s="729">
        <f t="shared" si="19"/>
        <v>0.28766140602582496</v>
      </c>
      <c r="F212" s="729">
        <f t="shared" si="15"/>
        <v>-0.56022964030657418</v>
      </c>
      <c r="G212" s="729">
        <f t="shared" si="16"/>
        <v>3.2188758248682006</v>
      </c>
      <c r="H212" s="729">
        <f t="shared" si="17"/>
        <v>-2.3025850929940455</v>
      </c>
      <c r="I212" s="729">
        <f t="shared" si="18"/>
        <v>-6.3744567993640882</v>
      </c>
      <c r="J212" s="40"/>
    </row>
    <row r="213" spans="1:10">
      <c r="A213" s="729">
        <v>202</v>
      </c>
      <c r="B213" s="729">
        <v>25</v>
      </c>
      <c r="C213" s="729">
        <v>0.1</v>
      </c>
      <c r="D213" s="729">
        <v>1.7045454545454545E-3</v>
      </c>
      <c r="E213" s="729">
        <f t="shared" si="19"/>
        <v>0.28909612625538023</v>
      </c>
      <c r="F213" s="729">
        <f t="shared" si="15"/>
        <v>-0.55602721178320957</v>
      </c>
      <c r="G213" s="729">
        <f t="shared" si="16"/>
        <v>3.2188758248682006</v>
      </c>
      <c r="H213" s="729">
        <f t="shared" si="17"/>
        <v>-2.3025850929940455</v>
      </c>
      <c r="I213" s="729">
        <f t="shared" si="18"/>
        <v>-6.3744567993640882</v>
      </c>
      <c r="J213" s="40"/>
    </row>
    <row r="214" spans="1:10">
      <c r="A214" s="729">
        <v>203</v>
      </c>
      <c r="B214" s="729">
        <v>25</v>
      </c>
      <c r="C214" s="729">
        <v>0.1</v>
      </c>
      <c r="D214" s="729">
        <v>1.7045454545454545E-3</v>
      </c>
      <c r="E214" s="729">
        <f t="shared" si="19"/>
        <v>0.29053084648493543</v>
      </c>
      <c r="F214" s="729">
        <f t="shared" si="15"/>
        <v>-0.55183458008158426</v>
      </c>
      <c r="G214" s="729">
        <f t="shared" si="16"/>
        <v>3.2188758248682006</v>
      </c>
      <c r="H214" s="729">
        <f t="shared" si="17"/>
        <v>-2.3025850929940455</v>
      </c>
      <c r="I214" s="729">
        <f t="shared" si="18"/>
        <v>-6.3744567993640882</v>
      </c>
      <c r="J214" s="40"/>
    </row>
    <row r="215" spans="1:10">
      <c r="A215" s="729">
        <v>204</v>
      </c>
      <c r="B215" s="729">
        <v>25</v>
      </c>
      <c r="C215" s="729">
        <v>0.1</v>
      </c>
      <c r="D215" s="729">
        <v>1.7045454545454545E-3</v>
      </c>
      <c r="E215" s="729">
        <f t="shared" si="19"/>
        <v>0.2919655667144907</v>
      </c>
      <c r="F215" s="729">
        <f t="shared" si="15"/>
        <v>-0.54765162627241204</v>
      </c>
      <c r="G215" s="729">
        <f t="shared" si="16"/>
        <v>3.2188758248682006</v>
      </c>
      <c r="H215" s="729">
        <f t="shared" si="17"/>
        <v>-2.3025850929940455</v>
      </c>
      <c r="I215" s="729">
        <f t="shared" si="18"/>
        <v>-6.3744567993640882</v>
      </c>
      <c r="J215" s="40"/>
    </row>
    <row r="216" spans="1:10">
      <c r="A216" s="729">
        <v>205</v>
      </c>
      <c r="B216" s="729">
        <v>25</v>
      </c>
      <c r="C216" s="729">
        <v>0.1</v>
      </c>
      <c r="D216" s="729">
        <v>1.8181818181818182E-3</v>
      </c>
      <c r="E216" s="729">
        <f t="shared" si="19"/>
        <v>0.29340028694404591</v>
      </c>
      <c r="F216" s="729">
        <f t="shared" si="15"/>
        <v>-0.5434782329246941</v>
      </c>
      <c r="G216" s="729">
        <f t="shared" si="16"/>
        <v>3.2188758248682006</v>
      </c>
      <c r="H216" s="729">
        <f t="shared" si="17"/>
        <v>-2.3025850929940455</v>
      </c>
      <c r="I216" s="729">
        <f t="shared" si="18"/>
        <v>-6.3099182782265162</v>
      </c>
      <c r="J216" s="40"/>
    </row>
    <row r="217" spans="1:10">
      <c r="A217" s="729">
        <v>206</v>
      </c>
      <c r="B217" s="729">
        <v>25</v>
      </c>
      <c r="C217" s="729">
        <v>0.1</v>
      </c>
      <c r="D217" s="729">
        <v>1.8749999999999999E-3</v>
      </c>
      <c r="E217" s="729">
        <f t="shared" si="19"/>
        <v>0.29483500717360117</v>
      </c>
      <c r="F217" s="729">
        <f t="shared" si="15"/>
        <v>-0.5393142840761399</v>
      </c>
      <c r="G217" s="729">
        <f t="shared" si="16"/>
        <v>3.2188758248682006</v>
      </c>
      <c r="H217" s="729">
        <f t="shared" si="17"/>
        <v>-2.3025850929940455</v>
      </c>
      <c r="I217" s="729">
        <f t="shared" si="18"/>
        <v>-6.2791466195597634</v>
      </c>
      <c r="J217" s="40"/>
    </row>
    <row r="218" spans="1:10">
      <c r="A218" s="729">
        <v>207</v>
      </c>
      <c r="B218" s="729">
        <v>25</v>
      </c>
      <c r="C218" s="729">
        <v>0.1</v>
      </c>
      <c r="D218" s="729">
        <v>1.8749999999999999E-3</v>
      </c>
      <c r="E218" s="729">
        <f t="shared" si="19"/>
        <v>0.29626972740315638</v>
      </c>
      <c r="F218" s="729">
        <f t="shared" si="15"/>
        <v>-0.53515966520427649</v>
      </c>
      <c r="G218" s="729">
        <f t="shared" si="16"/>
        <v>3.2188758248682006</v>
      </c>
      <c r="H218" s="729">
        <f t="shared" si="17"/>
        <v>-2.3025850929940455</v>
      </c>
      <c r="I218" s="729">
        <f t="shared" si="18"/>
        <v>-6.2791466195597634</v>
      </c>
      <c r="J218" s="40"/>
    </row>
    <row r="219" spans="1:10">
      <c r="A219" s="729">
        <v>208</v>
      </c>
      <c r="B219" s="729">
        <v>25</v>
      </c>
      <c r="C219" s="729">
        <v>0.1</v>
      </c>
      <c r="D219" s="729">
        <v>1.8749999999999999E-3</v>
      </c>
      <c r="E219" s="729">
        <f t="shared" si="19"/>
        <v>0.29770444763271164</v>
      </c>
      <c r="F219" s="729">
        <f t="shared" si="15"/>
        <v>-0.53101426319822265</v>
      </c>
      <c r="G219" s="729">
        <f t="shared" si="16"/>
        <v>3.2188758248682006</v>
      </c>
      <c r="H219" s="729">
        <f t="shared" si="17"/>
        <v>-2.3025850929940455</v>
      </c>
      <c r="I219" s="729">
        <f t="shared" si="18"/>
        <v>-6.2791466195597634</v>
      </c>
      <c r="J219" s="40"/>
    </row>
    <row r="220" spans="1:10">
      <c r="A220" s="729">
        <v>209</v>
      </c>
      <c r="B220" s="729">
        <v>25</v>
      </c>
      <c r="C220" s="729">
        <v>0.1</v>
      </c>
      <c r="D220" s="729">
        <v>1.8749999999999999E-3</v>
      </c>
      <c r="E220" s="729">
        <f t="shared" si="19"/>
        <v>0.29913916786226685</v>
      </c>
      <c r="F220" s="729">
        <f t="shared" si="15"/>
        <v>-0.52687796633111206</v>
      </c>
      <c r="G220" s="729">
        <f t="shared" si="16"/>
        <v>3.2188758248682006</v>
      </c>
      <c r="H220" s="729">
        <f t="shared" si="17"/>
        <v>-2.3025850929940455</v>
      </c>
      <c r="I220" s="729">
        <f t="shared" si="18"/>
        <v>-6.2791466195597634</v>
      </c>
      <c r="J220" s="40"/>
    </row>
    <row r="221" spans="1:10">
      <c r="A221" s="729">
        <v>210</v>
      </c>
      <c r="B221" s="729">
        <v>25</v>
      </c>
      <c r="C221" s="729">
        <v>0.1</v>
      </c>
      <c r="D221" s="729">
        <v>1.8749999999999999E-3</v>
      </c>
      <c r="E221" s="729">
        <f t="shared" si="19"/>
        <v>0.30057388809182212</v>
      </c>
      <c r="F221" s="729">
        <f t="shared" si="15"/>
        <v>-0.52275066423314531</v>
      </c>
      <c r="G221" s="729">
        <f t="shared" si="16"/>
        <v>3.2188758248682006</v>
      </c>
      <c r="H221" s="729">
        <f t="shared" si="17"/>
        <v>-2.3025850929940455</v>
      </c>
      <c r="I221" s="729">
        <f t="shared" si="18"/>
        <v>-6.2791466195597634</v>
      </c>
      <c r="J221" s="40"/>
    </row>
    <row r="222" spans="1:10">
      <c r="A222" s="729">
        <v>211</v>
      </c>
      <c r="B222" s="729">
        <v>25</v>
      </c>
      <c r="C222" s="729">
        <v>0.1</v>
      </c>
      <c r="D222" s="729">
        <v>1.8749999999999999E-3</v>
      </c>
      <c r="E222" s="729">
        <f t="shared" si="19"/>
        <v>0.30200860832137733</v>
      </c>
      <c r="F222" s="729">
        <f t="shared" si="15"/>
        <v>-0.51863224786525508</v>
      </c>
      <c r="G222" s="729">
        <f t="shared" si="16"/>
        <v>3.2188758248682006</v>
      </c>
      <c r="H222" s="729">
        <f t="shared" si="17"/>
        <v>-2.3025850929940455</v>
      </c>
      <c r="I222" s="729">
        <f t="shared" si="18"/>
        <v>-6.2791466195597634</v>
      </c>
      <c r="J222" s="40"/>
    </row>
    <row r="223" spans="1:10">
      <c r="A223" s="729">
        <v>212</v>
      </c>
      <c r="B223" s="729">
        <v>25</v>
      </c>
      <c r="C223" s="729">
        <v>0.1</v>
      </c>
      <c r="D223" s="729">
        <v>1.8749999999999999E-3</v>
      </c>
      <c r="E223" s="729">
        <f t="shared" si="19"/>
        <v>0.30344332855093259</v>
      </c>
      <c r="F223" s="729">
        <f t="shared" si="15"/>
        <v>-0.51452260949336326</v>
      </c>
      <c r="G223" s="729">
        <f t="shared" si="16"/>
        <v>3.2188758248682006</v>
      </c>
      <c r="H223" s="729">
        <f t="shared" si="17"/>
        <v>-2.3025850929940455</v>
      </c>
      <c r="I223" s="729">
        <f t="shared" si="18"/>
        <v>-6.2791466195597634</v>
      </c>
      <c r="J223" s="40"/>
    </row>
    <row r="224" spans="1:10">
      <c r="A224" s="729">
        <v>213</v>
      </c>
      <c r="B224" s="729">
        <v>25</v>
      </c>
      <c r="C224" s="729">
        <v>0.1</v>
      </c>
      <c r="D224" s="729">
        <v>1.8749999999999999E-3</v>
      </c>
      <c r="E224" s="729">
        <f t="shared" si="19"/>
        <v>0.3048780487804878</v>
      </c>
      <c r="F224" s="729">
        <f t="shared" si="15"/>
        <v>-0.51042164266321888</v>
      </c>
      <c r="G224" s="729">
        <f t="shared" si="16"/>
        <v>3.2188758248682006</v>
      </c>
      <c r="H224" s="729">
        <f t="shared" si="17"/>
        <v>-2.3025850929940455</v>
      </c>
      <c r="I224" s="729">
        <f t="shared" si="18"/>
        <v>-6.2791466195597634</v>
      </c>
      <c r="J224" s="40"/>
    </row>
    <row r="225" spans="1:10">
      <c r="A225" s="729">
        <v>214</v>
      </c>
      <c r="B225" s="729">
        <v>25</v>
      </c>
      <c r="C225" s="729">
        <v>0.1</v>
      </c>
      <c r="D225" s="729">
        <v>1.8749999999999999E-3</v>
      </c>
      <c r="E225" s="729">
        <f t="shared" si="19"/>
        <v>0.30631276901004306</v>
      </c>
      <c r="F225" s="729">
        <f t="shared" si="15"/>
        <v>-0.50632924217579522</v>
      </c>
      <c r="G225" s="729">
        <f t="shared" si="16"/>
        <v>3.2188758248682006</v>
      </c>
      <c r="H225" s="729">
        <f t="shared" si="17"/>
        <v>-2.3025850929940455</v>
      </c>
      <c r="I225" s="729">
        <f t="shared" si="18"/>
        <v>-6.2791466195597634</v>
      </c>
      <c r="J225" s="40"/>
    </row>
    <row r="226" spans="1:10">
      <c r="A226" s="729">
        <v>215</v>
      </c>
      <c r="B226" s="729">
        <v>25</v>
      </c>
      <c r="C226" s="729">
        <v>0.1</v>
      </c>
      <c r="D226" s="729">
        <v>1.9318181818181819E-3</v>
      </c>
      <c r="E226" s="729">
        <f t="shared" si="19"/>
        <v>0.30774748923959827</v>
      </c>
      <c r="F226" s="729">
        <f t="shared" si="15"/>
        <v>-0.50224530406323542</v>
      </c>
      <c r="G226" s="729">
        <f t="shared" si="16"/>
        <v>3.2188758248682006</v>
      </c>
      <c r="H226" s="729">
        <f t="shared" si="17"/>
        <v>-2.3025850929940455</v>
      </c>
      <c r="I226" s="729">
        <f t="shared" si="18"/>
        <v>-6.2492936564100816</v>
      </c>
      <c r="J226" s="40"/>
    </row>
    <row r="227" spans="1:10">
      <c r="A227" s="729">
        <v>216</v>
      </c>
      <c r="B227" s="729">
        <v>25</v>
      </c>
      <c r="C227" s="729">
        <v>0.1</v>
      </c>
      <c r="D227" s="729">
        <v>1.9318181818181819E-3</v>
      </c>
      <c r="E227" s="729">
        <f t="shared" si="19"/>
        <v>0.30918220946915353</v>
      </c>
      <c r="F227" s="729">
        <f t="shared" si="15"/>
        <v>-0.49816972556532685</v>
      </c>
      <c r="G227" s="729">
        <f t="shared" si="16"/>
        <v>3.2188758248682006</v>
      </c>
      <c r="H227" s="729">
        <f t="shared" si="17"/>
        <v>-2.3025850929940455</v>
      </c>
      <c r="I227" s="729">
        <f t="shared" si="18"/>
        <v>-6.2492936564100816</v>
      </c>
      <c r="J227" s="40"/>
    </row>
    <row r="228" spans="1:10">
      <c r="A228" s="729">
        <v>217</v>
      </c>
      <c r="B228" s="729">
        <v>25</v>
      </c>
      <c r="C228" s="729">
        <v>0.1</v>
      </c>
      <c r="D228" s="729">
        <v>1.9318181818181819E-3</v>
      </c>
      <c r="E228" s="729">
        <f t="shared" si="19"/>
        <v>0.31061692969870874</v>
      </c>
      <c r="F228" s="729">
        <f t="shared" si="15"/>
        <v>-0.49410240510649461</v>
      </c>
      <c r="G228" s="729">
        <f t="shared" si="16"/>
        <v>3.2188758248682006</v>
      </c>
      <c r="H228" s="729">
        <f t="shared" si="17"/>
        <v>-2.3025850929940455</v>
      </c>
      <c r="I228" s="729">
        <f t="shared" si="18"/>
        <v>-6.2492936564100816</v>
      </c>
      <c r="J228" s="40"/>
    </row>
    <row r="229" spans="1:10">
      <c r="A229" s="729">
        <v>218</v>
      </c>
      <c r="B229" s="729">
        <v>25</v>
      </c>
      <c r="C229" s="729">
        <v>0.1</v>
      </c>
      <c r="D229" s="729">
        <v>1.9886363636363634E-3</v>
      </c>
      <c r="E229" s="729">
        <f t="shared" si="19"/>
        <v>0.31205164992826401</v>
      </c>
      <c r="F229" s="729">
        <f t="shared" si="15"/>
        <v>-0.49004324227329482</v>
      </c>
      <c r="G229" s="729">
        <f t="shared" si="16"/>
        <v>3.2188758248682006</v>
      </c>
      <c r="H229" s="729">
        <f t="shared" si="17"/>
        <v>-2.3025850929940455</v>
      </c>
      <c r="I229" s="729">
        <f t="shared" si="18"/>
        <v>-6.2203061195368292</v>
      </c>
      <c r="J229" s="40"/>
    </row>
    <row r="230" spans="1:10">
      <c r="A230" s="729">
        <v>219</v>
      </c>
      <c r="B230" s="729">
        <v>25</v>
      </c>
      <c r="C230" s="729">
        <v>0.1</v>
      </c>
      <c r="D230" s="729">
        <v>1.9886363636363639E-3</v>
      </c>
      <c r="E230" s="729">
        <f t="shared" si="19"/>
        <v>0.31348637015781922</v>
      </c>
      <c r="F230" s="729">
        <f t="shared" si="15"/>
        <v>-0.48599213779239869</v>
      </c>
      <c r="G230" s="729">
        <f t="shared" si="16"/>
        <v>3.2188758248682006</v>
      </c>
      <c r="H230" s="729">
        <f t="shared" si="17"/>
        <v>-2.3025850929940455</v>
      </c>
      <c r="I230" s="729">
        <f t="shared" si="18"/>
        <v>-6.2203061195368292</v>
      </c>
      <c r="J230" s="40"/>
    </row>
    <row r="231" spans="1:10">
      <c r="A231" s="729">
        <v>220</v>
      </c>
      <c r="B231" s="729">
        <v>25</v>
      </c>
      <c r="C231" s="729">
        <v>0.1</v>
      </c>
      <c r="D231" s="729">
        <v>2.2727272727272731E-3</v>
      </c>
      <c r="E231" s="729">
        <f t="shared" si="19"/>
        <v>0.31492109038737448</v>
      </c>
      <c r="F231" s="729">
        <f t="shared" si="15"/>
        <v>-0.48194899350904996</v>
      </c>
      <c r="G231" s="729">
        <f t="shared" si="16"/>
        <v>3.2188758248682006</v>
      </c>
      <c r="H231" s="729">
        <f t="shared" si="17"/>
        <v>-2.3025850929940455</v>
      </c>
      <c r="I231" s="729">
        <f t="shared" si="18"/>
        <v>-6.0867747269123065</v>
      </c>
      <c r="J231" s="40"/>
    </row>
    <row r="232" spans="1:10">
      <c r="A232" s="729">
        <v>221</v>
      </c>
      <c r="B232" s="729">
        <v>25</v>
      </c>
      <c r="C232" s="729">
        <v>0.1</v>
      </c>
      <c r="D232" s="729">
        <v>2.2727272727272731E-3</v>
      </c>
      <c r="E232" s="729">
        <f t="shared" si="19"/>
        <v>0.31635581061692969</v>
      </c>
      <c r="F232" s="729">
        <f t="shared" si="15"/>
        <v>-0.47791371236598729</v>
      </c>
      <c r="G232" s="729">
        <f t="shared" si="16"/>
        <v>3.2188758248682006</v>
      </c>
      <c r="H232" s="729">
        <f t="shared" si="17"/>
        <v>-2.3025850929940455</v>
      </c>
      <c r="I232" s="729">
        <f t="shared" si="18"/>
        <v>-6.0867747269123065</v>
      </c>
      <c r="J232" s="40"/>
    </row>
    <row r="233" spans="1:10">
      <c r="A233" s="729">
        <v>222</v>
      </c>
      <c r="B233" s="729">
        <v>25</v>
      </c>
      <c r="C233" s="729">
        <v>0.1</v>
      </c>
      <c r="D233" s="729">
        <v>2.2727272727272731E-3</v>
      </c>
      <c r="E233" s="729">
        <f t="shared" si="19"/>
        <v>0.31779053084648495</v>
      </c>
      <c r="F233" s="729">
        <f t="shared" si="15"/>
        <v>-0.4738861983828131</v>
      </c>
      <c r="G233" s="729">
        <f t="shared" si="16"/>
        <v>3.2188758248682006</v>
      </c>
      <c r="H233" s="729">
        <f t="shared" si="17"/>
        <v>-2.3025850929940455</v>
      </c>
      <c r="I233" s="729">
        <f t="shared" si="18"/>
        <v>-6.0867747269123065</v>
      </c>
      <c r="J233" s="40"/>
    </row>
    <row r="234" spans="1:10">
      <c r="A234" s="729">
        <v>223</v>
      </c>
      <c r="B234" s="729">
        <v>25</v>
      </c>
      <c r="C234" s="729">
        <v>0.1</v>
      </c>
      <c r="D234" s="729">
        <v>2.2727272727272731E-3</v>
      </c>
      <c r="E234" s="729">
        <f t="shared" si="19"/>
        <v>0.31922525107604016</v>
      </c>
      <c r="F234" s="729">
        <f t="shared" si="15"/>
        <v>-0.46986635663580567</v>
      </c>
      <c r="G234" s="729">
        <f t="shared" si="16"/>
        <v>3.2188758248682006</v>
      </c>
      <c r="H234" s="729">
        <f t="shared" si="17"/>
        <v>-2.3025850929940455</v>
      </c>
      <c r="I234" s="729">
        <f t="shared" si="18"/>
        <v>-6.0867747269123065</v>
      </c>
      <c r="J234" s="40"/>
    </row>
    <row r="235" spans="1:10">
      <c r="A235" s="729">
        <v>224</v>
      </c>
      <c r="B235" s="729">
        <v>25</v>
      </c>
      <c r="C235" s="729">
        <v>0.1</v>
      </c>
      <c r="D235" s="729">
        <v>2.2727272727272731E-3</v>
      </c>
      <c r="E235" s="729">
        <f t="shared" si="19"/>
        <v>0.32065997130559543</v>
      </c>
      <c r="F235" s="729">
        <f t="shared" si="15"/>
        <v>-0.4658540932381508</v>
      </c>
      <c r="G235" s="729">
        <f t="shared" si="16"/>
        <v>3.2188758248682006</v>
      </c>
      <c r="H235" s="729">
        <f t="shared" si="17"/>
        <v>-2.3025850929940455</v>
      </c>
      <c r="I235" s="729">
        <f t="shared" si="18"/>
        <v>-6.0867747269123065</v>
      </c>
      <c r="J235" s="40"/>
    </row>
    <row r="236" spans="1:10">
      <c r="A236" s="729">
        <v>225</v>
      </c>
      <c r="B236" s="729">
        <v>25</v>
      </c>
      <c r="C236" s="729">
        <v>0.1</v>
      </c>
      <c r="D236" s="729">
        <v>2.2727272727272731E-3</v>
      </c>
      <c r="E236" s="729">
        <f t="shared" si="19"/>
        <v>0.32209469153515063</v>
      </c>
      <c r="F236" s="729">
        <f t="shared" si="15"/>
        <v>-0.46184931532059442</v>
      </c>
      <c r="G236" s="729">
        <f t="shared" si="16"/>
        <v>3.2188758248682006</v>
      </c>
      <c r="H236" s="729">
        <f t="shared" si="17"/>
        <v>-2.3025850929940455</v>
      </c>
      <c r="I236" s="729">
        <f t="shared" si="18"/>
        <v>-6.0867747269123065</v>
      </c>
      <c r="J236" s="40"/>
    </row>
    <row r="237" spans="1:10">
      <c r="A237" s="729">
        <v>226</v>
      </c>
      <c r="B237" s="729">
        <v>25</v>
      </c>
      <c r="C237" s="729">
        <v>0.1</v>
      </c>
      <c r="D237" s="729">
        <v>2.2727272727272731E-3</v>
      </c>
      <c r="E237" s="729">
        <f t="shared" si="19"/>
        <v>0.3235294117647059</v>
      </c>
      <c r="F237" s="729">
        <f t="shared" si="15"/>
        <v>-0.45785193101249505</v>
      </c>
      <c r="G237" s="729">
        <f t="shared" si="16"/>
        <v>3.2188758248682006</v>
      </c>
      <c r="H237" s="729">
        <f t="shared" si="17"/>
        <v>-2.3025850929940455</v>
      </c>
      <c r="I237" s="729">
        <f t="shared" si="18"/>
        <v>-6.0867747269123065</v>
      </c>
      <c r="J237" s="40"/>
    </row>
    <row r="238" spans="1:10">
      <c r="A238" s="729">
        <v>227</v>
      </c>
      <c r="B238" s="729">
        <v>25</v>
      </c>
      <c r="C238" s="729">
        <v>0.1</v>
      </c>
      <c r="D238" s="729">
        <v>2.2727272727272731E-3</v>
      </c>
      <c r="E238" s="729">
        <f t="shared" si="19"/>
        <v>0.32496413199426111</v>
      </c>
      <c r="F238" s="729">
        <f t="shared" si="15"/>
        <v>-0.45386184942327196</v>
      </c>
      <c r="G238" s="729">
        <f t="shared" si="16"/>
        <v>3.2188758248682006</v>
      </c>
      <c r="H238" s="729">
        <f t="shared" si="17"/>
        <v>-2.3025850929940455</v>
      </c>
      <c r="I238" s="729">
        <f t="shared" si="18"/>
        <v>-6.0867747269123065</v>
      </c>
      <c r="J238" s="40"/>
    </row>
    <row r="239" spans="1:10">
      <c r="A239" s="729">
        <v>228</v>
      </c>
      <c r="B239" s="729">
        <v>25</v>
      </c>
      <c r="C239" s="729">
        <v>0.1</v>
      </c>
      <c r="D239" s="729">
        <v>2.2727272727272731E-3</v>
      </c>
      <c r="E239" s="729">
        <f t="shared" si="19"/>
        <v>0.32639885222381637</v>
      </c>
      <c r="F239" s="729">
        <f t="shared" si="15"/>
        <v>-0.44987898062423393</v>
      </c>
      <c r="G239" s="729">
        <f t="shared" si="16"/>
        <v>3.2188758248682006</v>
      </c>
      <c r="H239" s="729">
        <f t="shared" si="17"/>
        <v>-2.3025850929940455</v>
      </c>
      <c r="I239" s="729">
        <f t="shared" si="18"/>
        <v>-6.0867747269123065</v>
      </c>
      <c r="J239" s="40"/>
    </row>
    <row r="240" spans="1:10">
      <c r="A240" s="729">
        <v>229</v>
      </c>
      <c r="B240" s="729">
        <v>25</v>
      </c>
      <c r="C240" s="729">
        <v>0.1</v>
      </c>
      <c r="D240" s="729">
        <v>2.2727272727272731E-3</v>
      </c>
      <c r="E240" s="729">
        <f t="shared" si="19"/>
        <v>0.32783357245337158</v>
      </c>
      <c r="F240" s="729">
        <f t="shared" si="15"/>
        <v>-0.44590323563078288</v>
      </c>
      <c r="G240" s="729">
        <f t="shared" si="16"/>
        <v>3.2188758248682006</v>
      </c>
      <c r="H240" s="729">
        <f t="shared" si="17"/>
        <v>-2.3025850929940455</v>
      </c>
      <c r="I240" s="729">
        <f t="shared" si="18"/>
        <v>-6.0867747269123065</v>
      </c>
      <c r="J240" s="40"/>
    </row>
    <row r="241" spans="1:10">
      <c r="A241" s="729">
        <v>230</v>
      </c>
      <c r="B241" s="729">
        <v>25</v>
      </c>
      <c r="C241" s="729">
        <v>0.1</v>
      </c>
      <c r="D241" s="729">
        <v>2.2727272727272731E-3</v>
      </c>
      <c r="E241" s="729">
        <f t="shared" si="19"/>
        <v>0.32926829268292684</v>
      </c>
      <c r="F241" s="729">
        <f t="shared" si="15"/>
        <v>-0.44193452638497843</v>
      </c>
      <c r="G241" s="729">
        <f t="shared" si="16"/>
        <v>3.2188758248682006</v>
      </c>
      <c r="H241" s="729">
        <f t="shared" si="17"/>
        <v>-2.3025850929940455</v>
      </c>
      <c r="I241" s="729">
        <f t="shared" si="18"/>
        <v>-6.0867747269123065</v>
      </c>
      <c r="J241" s="40"/>
    </row>
    <row r="242" spans="1:10">
      <c r="A242" s="729">
        <v>231</v>
      </c>
      <c r="B242" s="729">
        <v>25</v>
      </c>
      <c r="C242" s="729">
        <v>0.11</v>
      </c>
      <c r="D242" s="729">
        <v>2.2727272727272731E-3</v>
      </c>
      <c r="E242" s="729">
        <f t="shared" si="19"/>
        <v>0.33070301291248205</v>
      </c>
      <c r="F242" s="729">
        <f t="shared" si="15"/>
        <v>-0.43797276573845845</v>
      </c>
      <c r="G242" s="729">
        <f t="shared" si="16"/>
        <v>3.2188758248682006</v>
      </c>
      <c r="H242" s="729">
        <f t="shared" si="17"/>
        <v>-2.2072749131897207</v>
      </c>
      <c r="I242" s="729">
        <f t="shared" si="18"/>
        <v>-6.0867747269123065</v>
      </c>
      <c r="J242" s="40"/>
    </row>
    <row r="243" spans="1:10">
      <c r="A243" s="729">
        <v>232</v>
      </c>
      <c r="B243" s="729">
        <v>25</v>
      </c>
      <c r="C243" s="729">
        <v>0.11</v>
      </c>
      <c r="D243" s="32">
        <v>2.5000000000000001E-3</v>
      </c>
      <c r="E243" s="729">
        <f t="shared" si="19"/>
        <v>0.33213773314203732</v>
      </c>
      <c r="F243" s="729">
        <f t="shared" si="15"/>
        <v>-0.4340178674357012</v>
      </c>
      <c r="G243" s="729">
        <f t="shared" si="16"/>
        <v>3.2188758248682006</v>
      </c>
      <c r="H243" s="729">
        <f t="shared" si="17"/>
        <v>-2.2072749131897207</v>
      </c>
      <c r="I243" s="729">
        <f t="shared" si="18"/>
        <v>-5.9914645471079817</v>
      </c>
      <c r="J243" s="40"/>
    </row>
    <row r="244" spans="1:10">
      <c r="A244" s="729">
        <v>233</v>
      </c>
      <c r="B244" s="729">
        <v>25</v>
      </c>
      <c r="C244" s="729">
        <v>0.11</v>
      </c>
      <c r="D244" s="729">
        <v>2.840909090909091E-3</v>
      </c>
      <c r="E244" s="729">
        <f t="shared" si="19"/>
        <v>0.33357245337159253</v>
      </c>
      <c r="F244" s="729">
        <f t="shared" si="15"/>
        <v>-0.43006974609762599</v>
      </c>
      <c r="G244" s="729">
        <f t="shared" si="16"/>
        <v>3.2188758248682006</v>
      </c>
      <c r="H244" s="729">
        <f t="shared" si="17"/>
        <v>-2.2072749131897207</v>
      </c>
      <c r="I244" s="729">
        <f t="shared" si="18"/>
        <v>-5.8636311755980968</v>
      </c>
      <c r="J244" s="40"/>
    </row>
    <row r="245" spans="1:10">
      <c r="A245" s="729">
        <v>234</v>
      </c>
      <c r="B245" s="729">
        <v>25</v>
      </c>
      <c r="C245" s="729">
        <v>0.13</v>
      </c>
      <c r="D245" s="729">
        <v>2.840909090909091E-3</v>
      </c>
      <c r="E245" s="729">
        <f t="shared" si="19"/>
        <v>0.33500717360114779</v>
      </c>
      <c r="F245" s="729">
        <f t="shared" si="15"/>
        <v>-0.42612831720551725</v>
      </c>
      <c r="G245" s="729">
        <f t="shared" si="16"/>
        <v>3.2188758248682006</v>
      </c>
      <c r="H245" s="729">
        <f t="shared" si="17"/>
        <v>-2.0402208285265546</v>
      </c>
      <c r="I245" s="729">
        <f t="shared" si="18"/>
        <v>-5.8636311755980968</v>
      </c>
      <c r="J245" s="40"/>
    </row>
    <row r="246" spans="1:10">
      <c r="A246" s="729">
        <v>235</v>
      </c>
      <c r="B246" s="729">
        <v>25</v>
      </c>
      <c r="C246" s="729">
        <v>0.14000000000000001</v>
      </c>
      <c r="D246" s="729">
        <v>2.840909090909091E-3</v>
      </c>
      <c r="E246" s="729">
        <f t="shared" si="19"/>
        <v>0.336441893830703</v>
      </c>
      <c r="F246" s="729">
        <f t="shared" si="15"/>
        <v>-0.42219349708526982</v>
      </c>
      <c r="G246" s="729">
        <f t="shared" si="16"/>
        <v>3.2188758248682006</v>
      </c>
      <c r="H246" s="729">
        <f t="shared" si="17"/>
        <v>-1.9661128563728327</v>
      </c>
      <c r="I246" s="729">
        <f t="shared" si="18"/>
        <v>-5.8636311755980968</v>
      </c>
      <c r="J246" s="40"/>
    </row>
    <row r="247" spans="1:10">
      <c r="A247" s="729">
        <v>236</v>
      </c>
      <c r="B247" s="729">
        <v>25</v>
      </c>
      <c r="C247" s="729">
        <v>0.16</v>
      </c>
      <c r="D247" s="729">
        <v>2.840909090909091E-3</v>
      </c>
      <c r="E247" s="729">
        <f t="shared" si="19"/>
        <v>0.33787661406025826</v>
      </c>
      <c r="F247" s="729">
        <f t="shared" si="15"/>
        <v>-0.41826520289194324</v>
      </c>
      <c r="G247" s="729">
        <f t="shared" si="16"/>
        <v>3.2188758248682006</v>
      </c>
      <c r="H247" s="729">
        <f t="shared" si="17"/>
        <v>-1.8325814637483102</v>
      </c>
      <c r="I247" s="729">
        <f t="shared" si="18"/>
        <v>-5.8636311755980968</v>
      </c>
      <c r="J247" s="40"/>
    </row>
    <row r="248" spans="1:10">
      <c r="A248" s="729">
        <v>237</v>
      </c>
      <c r="B248" s="729">
        <v>25</v>
      </c>
      <c r="C248" s="729">
        <v>0.17</v>
      </c>
      <c r="D248" s="729">
        <v>2.840909090909091E-3</v>
      </c>
      <c r="E248" s="729">
        <f t="shared" si="19"/>
        <v>0.33931133428981347</v>
      </c>
      <c r="F248" s="729">
        <f t="shared" si="15"/>
        <v>-0.41434335259461857</v>
      </c>
      <c r="G248" s="729">
        <f t="shared" si="16"/>
        <v>3.2188758248682006</v>
      </c>
      <c r="H248" s="729">
        <f t="shared" si="17"/>
        <v>-1.7719568419318752</v>
      </c>
      <c r="I248" s="729">
        <f t="shared" si="18"/>
        <v>-5.8636311755980968</v>
      </c>
      <c r="J248" s="40"/>
    </row>
    <row r="249" spans="1:10">
      <c r="A249" s="729">
        <v>238</v>
      </c>
      <c r="B249" s="729">
        <v>25</v>
      </c>
      <c r="C249" s="729">
        <v>0.2</v>
      </c>
      <c r="D249" s="729">
        <v>2.840909090909091E-3</v>
      </c>
      <c r="E249" s="729">
        <f t="shared" si="19"/>
        <v>0.34074605451936874</v>
      </c>
      <c r="F249" s="729">
        <f t="shared" si="15"/>
        <v>-0.41042786496154893</v>
      </c>
      <c r="G249" s="729">
        <f t="shared" si="16"/>
        <v>3.2188758248682006</v>
      </c>
      <c r="H249" s="729">
        <f t="shared" si="17"/>
        <v>-1.6094379124341003</v>
      </c>
      <c r="I249" s="729">
        <f t="shared" si="18"/>
        <v>-5.8636311755980968</v>
      </c>
      <c r="J249" s="40"/>
    </row>
    <row r="250" spans="1:10">
      <c r="A250" s="729">
        <v>239</v>
      </c>
      <c r="B250" s="729">
        <v>25</v>
      </c>
      <c r="C250" s="729">
        <v>0.2</v>
      </c>
      <c r="D250" s="729">
        <v>2.840909090909091E-3</v>
      </c>
      <c r="E250" s="729">
        <f t="shared" si="19"/>
        <v>0.34218077474892394</v>
      </c>
      <c r="F250" s="729">
        <f t="shared" si="15"/>
        <v>-0.4065186595455999</v>
      </c>
      <c r="G250" s="729">
        <f t="shared" si="16"/>
        <v>3.2188758248682006</v>
      </c>
      <c r="H250" s="729">
        <f t="shared" si="17"/>
        <v>-1.6094379124341003</v>
      </c>
      <c r="I250" s="729">
        <f t="shared" si="18"/>
        <v>-5.8636311755980968</v>
      </c>
      <c r="J250" s="40"/>
    </row>
    <row r="251" spans="1:10">
      <c r="A251" s="729">
        <v>240</v>
      </c>
      <c r="B251" s="729">
        <v>25</v>
      </c>
      <c r="C251" s="729">
        <v>0.2</v>
      </c>
      <c r="D251" s="729">
        <v>2.840909090909091E-3</v>
      </c>
      <c r="E251" s="729">
        <f t="shared" si="19"/>
        <v>0.34361549497847921</v>
      </c>
      <c r="F251" s="729">
        <f t="shared" si="15"/>
        <v>-0.40261565666996529</v>
      </c>
      <c r="G251" s="729">
        <f t="shared" si="16"/>
        <v>3.2188758248682006</v>
      </c>
      <c r="H251" s="729">
        <f t="shared" si="17"/>
        <v>-1.6094379124341003</v>
      </c>
      <c r="I251" s="729">
        <f t="shared" si="18"/>
        <v>-5.8636311755980968</v>
      </c>
      <c r="J251" s="40"/>
    </row>
    <row r="252" spans="1:10">
      <c r="A252" s="729">
        <v>241</v>
      </c>
      <c r="B252" s="729">
        <v>25</v>
      </c>
      <c r="C252" s="729">
        <v>0.2</v>
      </c>
      <c r="D252" s="729">
        <v>2.840909090909091E-3</v>
      </c>
      <c r="E252" s="729">
        <f t="shared" si="19"/>
        <v>0.34505021520803442</v>
      </c>
      <c r="F252" s="729">
        <f t="shared" si="15"/>
        <v>-0.39871877741416106</v>
      </c>
      <c r="G252" s="729">
        <f t="shared" si="16"/>
        <v>3.2188758248682006</v>
      </c>
      <c r="H252" s="729">
        <f t="shared" si="17"/>
        <v>-1.6094379124341003</v>
      </c>
      <c r="I252" s="729">
        <f t="shared" si="18"/>
        <v>-5.8636311755980968</v>
      </c>
      <c r="J252" s="40"/>
    </row>
    <row r="253" spans="1:10">
      <c r="A253" s="729">
        <v>242</v>
      </c>
      <c r="B253" s="729">
        <v>25</v>
      </c>
      <c r="C253" s="729">
        <v>0.2</v>
      </c>
      <c r="D253" s="729">
        <v>2.840909090909091E-3</v>
      </c>
      <c r="E253" s="729">
        <f t="shared" si="19"/>
        <v>0.34648493543758968</v>
      </c>
      <c r="F253" s="729">
        <f t="shared" si="15"/>
        <v>-0.3948279436002799</v>
      </c>
      <c r="G253" s="729">
        <f t="shared" si="16"/>
        <v>3.2188758248682006</v>
      </c>
      <c r="H253" s="729">
        <f t="shared" si="17"/>
        <v>-1.6094379124341003</v>
      </c>
      <c r="I253" s="729">
        <f t="shared" si="18"/>
        <v>-5.8636311755980968</v>
      </c>
      <c r="J253" s="40"/>
    </row>
    <row r="254" spans="1:10">
      <c r="A254" s="729">
        <v>243</v>
      </c>
      <c r="B254" s="729">
        <v>25</v>
      </c>
      <c r="C254" s="729">
        <v>0.2</v>
      </c>
      <c r="D254" s="729">
        <v>2.840909090909091E-3</v>
      </c>
      <c r="E254" s="729">
        <f t="shared" si="19"/>
        <v>0.34791965566714489</v>
      </c>
      <c r="F254" s="729">
        <f t="shared" si="15"/>
        <v>-0.39094307777950976</v>
      </c>
      <c r="G254" s="729">
        <f t="shared" si="16"/>
        <v>3.2188758248682006</v>
      </c>
      <c r="H254" s="729">
        <f t="shared" si="17"/>
        <v>-1.6094379124341003</v>
      </c>
      <c r="I254" s="729">
        <f t="shared" si="18"/>
        <v>-5.8636311755980968</v>
      </c>
      <c r="J254" s="40"/>
    </row>
    <row r="255" spans="1:10">
      <c r="A255" s="729">
        <v>244</v>
      </c>
      <c r="B255" s="729">
        <v>25</v>
      </c>
      <c r="C255" s="729">
        <v>0.2</v>
      </c>
      <c r="D255" s="729">
        <v>2.840909090909091E-3</v>
      </c>
      <c r="E255" s="729">
        <f t="shared" si="19"/>
        <v>0.34935437589670015</v>
      </c>
      <c r="F255" s="729">
        <f t="shared" si="15"/>
        <v>-0.38706410321890156</v>
      </c>
      <c r="G255" s="729">
        <f t="shared" si="16"/>
        <v>3.2188758248682006</v>
      </c>
      <c r="H255" s="729">
        <f t="shared" si="17"/>
        <v>-1.6094379124341003</v>
      </c>
      <c r="I255" s="729">
        <f t="shared" si="18"/>
        <v>-5.8636311755980968</v>
      </c>
      <c r="J255" s="40"/>
    </row>
    <row r="256" spans="1:10">
      <c r="A256" s="729">
        <v>245</v>
      </c>
      <c r="B256" s="729">
        <v>25</v>
      </c>
      <c r="C256" s="729">
        <v>0.2</v>
      </c>
      <c r="D256" s="729">
        <v>2.840909090909091E-3</v>
      </c>
      <c r="E256" s="729">
        <f t="shared" si="19"/>
        <v>0.35078909612625536</v>
      </c>
      <c r="F256" s="729">
        <f t="shared" si="15"/>
        <v>-0.38319094388838582</v>
      </c>
      <c r="G256" s="729">
        <f t="shared" si="16"/>
        <v>3.2188758248682006</v>
      </c>
      <c r="H256" s="729">
        <f t="shared" si="17"/>
        <v>-1.6094379124341003</v>
      </c>
      <c r="I256" s="729">
        <f t="shared" si="18"/>
        <v>-5.8636311755980968</v>
      </c>
      <c r="J256" s="40"/>
    </row>
    <row r="257" spans="1:10">
      <c r="A257" s="729">
        <v>246</v>
      </c>
      <c r="B257" s="729">
        <v>25</v>
      </c>
      <c r="C257" s="729">
        <v>0.2</v>
      </c>
      <c r="D257" s="729">
        <v>2.840909090909091E-3</v>
      </c>
      <c r="E257" s="729">
        <f t="shared" si="19"/>
        <v>0.35222381635581063</v>
      </c>
      <c r="F257" s="729">
        <f t="shared" si="15"/>
        <v>-0.37932352444802764</v>
      </c>
      <c r="G257" s="729">
        <f t="shared" si="16"/>
        <v>3.2188758248682006</v>
      </c>
      <c r="H257" s="729">
        <f t="shared" si="17"/>
        <v>-1.6094379124341003</v>
      </c>
      <c r="I257" s="729">
        <f t="shared" si="18"/>
        <v>-5.8636311755980968</v>
      </c>
      <c r="J257" s="40"/>
    </row>
    <row r="258" spans="1:10">
      <c r="A258" s="729">
        <v>247</v>
      </c>
      <c r="B258" s="729">
        <v>25</v>
      </c>
      <c r="C258" s="729">
        <v>0.2</v>
      </c>
      <c r="D258" s="729">
        <v>2.840909090909091E-3</v>
      </c>
      <c r="E258" s="729">
        <f t="shared" si="19"/>
        <v>0.35365853658536583</v>
      </c>
      <c r="F258" s="729">
        <f t="shared" si="15"/>
        <v>-0.37546177023551847</v>
      </c>
      <c r="G258" s="729">
        <f t="shared" si="16"/>
        <v>3.2188758248682006</v>
      </c>
      <c r="H258" s="729">
        <f t="shared" si="17"/>
        <v>-1.6094379124341003</v>
      </c>
      <c r="I258" s="729">
        <f t="shared" si="18"/>
        <v>-5.8636311755980968</v>
      </c>
      <c r="J258" s="40"/>
    </row>
    <row r="259" spans="1:10">
      <c r="A259" s="729">
        <v>248</v>
      </c>
      <c r="B259" s="729">
        <v>25</v>
      </c>
      <c r="C259" s="729">
        <v>0.2</v>
      </c>
      <c r="D259" s="729">
        <v>2.840909090909091E-3</v>
      </c>
      <c r="E259" s="729">
        <f t="shared" si="19"/>
        <v>0.3550932568149211</v>
      </c>
      <c r="F259" s="729">
        <f t="shared" si="15"/>
        <v>-0.37160560725389336</v>
      </c>
      <c r="G259" s="729">
        <f t="shared" si="16"/>
        <v>3.2188758248682006</v>
      </c>
      <c r="H259" s="729">
        <f t="shared" si="17"/>
        <v>-1.6094379124341003</v>
      </c>
      <c r="I259" s="729">
        <f t="shared" si="18"/>
        <v>-5.8636311755980968</v>
      </c>
      <c r="J259" s="40"/>
    </row>
    <row r="260" spans="1:10">
      <c r="A260" s="729">
        <v>249</v>
      </c>
      <c r="B260" s="729">
        <v>25</v>
      </c>
      <c r="C260" s="729">
        <v>0.2</v>
      </c>
      <c r="D260" s="729">
        <v>2.840909090909091E-3</v>
      </c>
      <c r="E260" s="729">
        <f t="shared" si="19"/>
        <v>0.35652797704447631</v>
      </c>
      <c r="F260" s="729">
        <f t="shared" si="15"/>
        <v>-0.36775496215947456</v>
      </c>
      <c r="G260" s="729">
        <f t="shared" si="16"/>
        <v>3.2188758248682006</v>
      </c>
      <c r="H260" s="729">
        <f t="shared" si="17"/>
        <v>-1.6094379124341003</v>
      </c>
      <c r="I260" s="729">
        <f t="shared" si="18"/>
        <v>-5.8636311755980968</v>
      </c>
      <c r="J260" s="40"/>
    </row>
    <row r="261" spans="1:10">
      <c r="A261" s="729">
        <v>250</v>
      </c>
      <c r="B261" s="729">
        <v>25</v>
      </c>
      <c r="C261" s="729">
        <v>0.2</v>
      </c>
      <c r="D261" s="729">
        <v>2.840909090909091E-3</v>
      </c>
      <c r="E261" s="729">
        <f t="shared" si="19"/>
        <v>0.35796269727403157</v>
      </c>
      <c r="F261" s="729">
        <f t="shared" si="15"/>
        <v>-0.36390976225002952</v>
      </c>
      <c r="G261" s="729">
        <f t="shared" si="16"/>
        <v>3.2188758248682006</v>
      </c>
      <c r="H261" s="729">
        <f t="shared" si="17"/>
        <v>-1.6094379124341003</v>
      </c>
      <c r="I261" s="729">
        <f t="shared" si="18"/>
        <v>-5.8636311755980968</v>
      </c>
      <c r="J261" s="40"/>
    </row>
    <row r="262" spans="1:10">
      <c r="A262" s="729">
        <v>251</v>
      </c>
      <c r="B262" s="729">
        <v>25</v>
      </c>
      <c r="C262" s="729">
        <v>0.2</v>
      </c>
      <c r="D262" s="729">
        <v>2.840909090909091E-3</v>
      </c>
      <c r="E262" s="729">
        <f t="shared" si="19"/>
        <v>0.35939741750358678</v>
      </c>
      <c r="F262" s="729">
        <f t="shared" si="15"/>
        <v>-0.36006993545314314</v>
      </c>
      <c r="G262" s="729">
        <f t="shared" si="16"/>
        <v>3.2188758248682006</v>
      </c>
      <c r="H262" s="729">
        <f t="shared" si="17"/>
        <v>-1.6094379124341003</v>
      </c>
      <c r="I262" s="729">
        <f t="shared" si="18"/>
        <v>-5.8636311755980968</v>
      </c>
      <c r="J262" s="40"/>
    </row>
    <row r="263" spans="1:10">
      <c r="A263" s="729">
        <v>252</v>
      </c>
      <c r="B263" s="729">
        <v>25</v>
      </c>
      <c r="C263" s="729">
        <v>0.2</v>
      </c>
      <c r="D263" s="729">
        <v>2.840909090909091E-3</v>
      </c>
      <c r="E263" s="729">
        <f t="shared" si="19"/>
        <v>0.36083213773314204</v>
      </c>
      <c r="F263" s="729">
        <f t="shared" si="15"/>
        <v>-0.35623541031479528</v>
      </c>
      <c r="G263" s="729">
        <f t="shared" si="16"/>
        <v>3.2188758248682006</v>
      </c>
      <c r="H263" s="729">
        <f t="shared" si="17"/>
        <v>-1.6094379124341003</v>
      </c>
      <c r="I263" s="729">
        <f t="shared" si="18"/>
        <v>-5.8636311755980968</v>
      </c>
      <c r="J263" s="40"/>
    </row>
    <row r="264" spans="1:10">
      <c r="A264" s="729">
        <v>253</v>
      </c>
      <c r="B264" s="729">
        <v>25</v>
      </c>
      <c r="C264" s="729">
        <v>0.2</v>
      </c>
      <c r="D264" s="729">
        <v>2.840909090909091E-3</v>
      </c>
      <c r="E264" s="729">
        <f t="shared" si="19"/>
        <v>0.36226685796269725</v>
      </c>
      <c r="F264" s="729">
        <f t="shared" si="15"/>
        <v>-0.35240611598814231</v>
      </c>
      <c r="G264" s="729">
        <f t="shared" si="16"/>
        <v>3.2188758248682006</v>
      </c>
      <c r="H264" s="729">
        <f t="shared" si="17"/>
        <v>-1.6094379124341003</v>
      </c>
      <c r="I264" s="729">
        <f t="shared" si="18"/>
        <v>-5.8636311755980968</v>
      </c>
      <c r="J264" s="40"/>
    </row>
    <row r="265" spans="1:10">
      <c r="A265" s="729">
        <v>254</v>
      </c>
      <c r="B265" s="729">
        <v>25</v>
      </c>
      <c r="C265" s="729">
        <v>0.2</v>
      </c>
      <c r="D265" s="729">
        <v>2.840909090909091E-3</v>
      </c>
      <c r="E265" s="729">
        <f t="shared" si="19"/>
        <v>0.36370157819225252</v>
      </c>
      <c r="F265" s="729">
        <f t="shared" si="15"/>
        <v>-0.34858198222249215</v>
      </c>
      <c r="G265" s="729">
        <f t="shared" si="16"/>
        <v>3.2188758248682006</v>
      </c>
      <c r="H265" s="729">
        <f t="shared" si="17"/>
        <v>-1.6094379124341003</v>
      </c>
      <c r="I265" s="729">
        <f t="shared" si="18"/>
        <v>-5.8636311755980968</v>
      </c>
      <c r="J265" s="40"/>
    </row>
    <row r="266" spans="1:10">
      <c r="A266" s="729">
        <v>255</v>
      </c>
      <c r="B266" s="729">
        <v>25</v>
      </c>
      <c r="C266" s="729">
        <v>0.2</v>
      </c>
      <c r="D266" s="729">
        <v>2.840909090909091E-3</v>
      </c>
      <c r="E266" s="729">
        <f t="shared" si="19"/>
        <v>0.36513629842180773</v>
      </c>
      <c r="F266" s="729">
        <f t="shared" si="15"/>
        <v>-0.34476293935247532</v>
      </c>
      <c r="G266" s="729">
        <f t="shared" si="16"/>
        <v>3.2188758248682006</v>
      </c>
      <c r="H266" s="729">
        <f t="shared" si="17"/>
        <v>-1.6094379124341003</v>
      </c>
      <c r="I266" s="729">
        <f t="shared" si="18"/>
        <v>-5.8636311755980968</v>
      </c>
      <c r="J266" s="40"/>
    </row>
    <row r="267" spans="1:10">
      <c r="A267" s="729">
        <v>256</v>
      </c>
      <c r="B267" s="729">
        <v>25</v>
      </c>
      <c r="C267" s="729">
        <v>0.2</v>
      </c>
      <c r="D267" s="729">
        <v>2.840909090909091E-3</v>
      </c>
      <c r="E267" s="729">
        <f t="shared" si="19"/>
        <v>0.36657101865136299</v>
      </c>
      <c r="F267" s="729">
        <f t="shared" si="15"/>
        <v>-0.34094891828739998</v>
      </c>
      <c r="G267" s="729">
        <f t="shared" si="16"/>
        <v>3.2188758248682006</v>
      </c>
      <c r="H267" s="729">
        <f t="shared" si="17"/>
        <v>-1.6094379124341003</v>
      </c>
      <c r="I267" s="729">
        <f t="shared" si="18"/>
        <v>-5.8636311755980968</v>
      </c>
      <c r="J267" s="40"/>
    </row>
    <row r="268" spans="1:10">
      <c r="A268" s="729">
        <v>257</v>
      </c>
      <c r="B268" s="729">
        <v>25</v>
      </c>
      <c r="C268" s="729">
        <v>0.2</v>
      </c>
      <c r="D268" s="729">
        <v>2.840909090909091E-3</v>
      </c>
      <c r="E268" s="729">
        <f t="shared" si="19"/>
        <v>0.3680057388809182</v>
      </c>
      <c r="F268" s="729">
        <f t="shared" ref="F268:F331" si="20">NORMSINV(E268)</f>
        <v>-0.33713985050079243</v>
      </c>
      <c r="G268" s="729">
        <f t="shared" ref="G268:G331" si="21">LN(B268)</f>
        <v>3.2188758248682006</v>
      </c>
      <c r="H268" s="729">
        <f t="shared" ref="H268:H331" si="22">LN(C268)</f>
        <v>-1.6094379124341003</v>
      </c>
      <c r="I268" s="729">
        <f t="shared" ref="I268:I331" si="23">LN(D268)</f>
        <v>-5.8636311755980968</v>
      </c>
      <c r="J268" s="40"/>
    </row>
    <row r="269" spans="1:10">
      <c r="A269" s="729">
        <v>258</v>
      </c>
      <c r="B269" s="729">
        <v>25</v>
      </c>
      <c r="C269" s="729">
        <v>0.2</v>
      </c>
      <c r="D269" s="729">
        <v>2.840909090909091E-3</v>
      </c>
      <c r="E269" s="729">
        <f t="shared" ref="E269:E332" si="24">(A269-0.5)/697</f>
        <v>0.36944045911047346</v>
      </c>
      <c r="F269" s="729">
        <f t="shared" si="20"/>
        <v>-0.33333566802011422</v>
      </c>
      <c r="G269" s="729">
        <f t="shared" si="21"/>
        <v>3.2188758248682006</v>
      </c>
      <c r="H269" s="729">
        <f t="shared" si="22"/>
        <v>-1.6094379124341003</v>
      </c>
      <c r="I269" s="729">
        <f t="shared" si="23"/>
        <v>-5.8636311755980968</v>
      </c>
      <c r="J269" s="40"/>
    </row>
    <row r="270" spans="1:10">
      <c r="A270" s="729">
        <v>259</v>
      </c>
      <c r="B270" s="729">
        <v>25</v>
      </c>
      <c r="C270" s="729">
        <v>0.2</v>
      </c>
      <c r="D270" s="729">
        <v>2.840909090909091E-3</v>
      </c>
      <c r="E270" s="729">
        <f t="shared" si="24"/>
        <v>0.37087517934002867</v>
      </c>
      <c r="F270" s="729">
        <f t="shared" si="20"/>
        <v>-0.32953630341665485</v>
      </c>
      <c r="G270" s="729">
        <f t="shared" si="21"/>
        <v>3.2188758248682006</v>
      </c>
      <c r="H270" s="729">
        <f t="shared" si="22"/>
        <v>-1.6094379124341003</v>
      </c>
      <c r="I270" s="729">
        <f t="shared" si="23"/>
        <v>-5.8636311755980968</v>
      </c>
      <c r="J270" s="40"/>
    </row>
    <row r="271" spans="1:10">
      <c r="A271" s="729">
        <v>260</v>
      </c>
      <c r="B271" s="729">
        <v>25</v>
      </c>
      <c r="C271" s="729">
        <v>0.2</v>
      </c>
      <c r="D271" s="729">
        <v>2.840909090909091E-3</v>
      </c>
      <c r="E271" s="729">
        <f t="shared" si="24"/>
        <v>0.37230989956958394</v>
      </c>
      <c r="F271" s="729">
        <f t="shared" si="20"/>
        <v>-0.32574168979559226</v>
      </c>
      <c r="G271" s="729">
        <f t="shared" si="21"/>
        <v>3.2188758248682006</v>
      </c>
      <c r="H271" s="729">
        <f t="shared" si="22"/>
        <v>-1.6094379124341003</v>
      </c>
      <c r="I271" s="729">
        <f t="shared" si="23"/>
        <v>-5.8636311755980968</v>
      </c>
      <c r="J271" s="40"/>
    </row>
    <row r="272" spans="1:10">
      <c r="A272" s="729">
        <v>261</v>
      </c>
      <c r="B272" s="729">
        <v>25</v>
      </c>
      <c r="C272" s="729">
        <v>0.2</v>
      </c>
      <c r="D272" s="729">
        <v>2.840909090909091E-3</v>
      </c>
      <c r="E272" s="729">
        <f t="shared" si="24"/>
        <v>0.37374461979913914</v>
      </c>
      <c r="F272" s="729">
        <f t="shared" si="20"/>
        <v>-0.3219517607862224</v>
      </c>
      <c r="G272" s="729">
        <f t="shared" si="21"/>
        <v>3.2188758248682006</v>
      </c>
      <c r="H272" s="729">
        <f t="shared" si="22"/>
        <v>-1.6094379124341003</v>
      </c>
      <c r="I272" s="729">
        <f t="shared" si="23"/>
        <v>-5.8636311755980968</v>
      </c>
      <c r="J272" s="40"/>
    </row>
    <row r="273" spans="1:10">
      <c r="A273" s="729">
        <v>262</v>
      </c>
      <c r="B273" s="729">
        <v>25</v>
      </c>
      <c r="C273" s="729">
        <v>0.2</v>
      </c>
      <c r="D273" s="729">
        <v>2.840909090909091E-3</v>
      </c>
      <c r="E273" s="729">
        <f t="shared" si="24"/>
        <v>0.37517934002869441</v>
      </c>
      <c r="F273" s="729">
        <f t="shared" si="20"/>
        <v>-0.31816645053234671</v>
      </c>
      <c r="G273" s="729">
        <f t="shared" si="21"/>
        <v>3.2188758248682006</v>
      </c>
      <c r="H273" s="729">
        <f t="shared" si="22"/>
        <v>-1.6094379124341003</v>
      </c>
      <c r="I273" s="729">
        <f t="shared" si="23"/>
        <v>-5.8636311755980968</v>
      </c>
      <c r="J273" s="40"/>
    </row>
    <row r="274" spans="1:10">
      <c r="A274" s="729">
        <v>263</v>
      </c>
      <c r="B274" s="729">
        <v>25</v>
      </c>
      <c r="C274" s="729">
        <v>0.2</v>
      </c>
      <c r="D274" s="729">
        <v>2.840909090909091E-3</v>
      </c>
      <c r="E274" s="729">
        <f t="shared" si="24"/>
        <v>0.37661406025824962</v>
      </c>
      <c r="F274" s="729">
        <f t="shared" si="20"/>
        <v>-0.31438569368282104</v>
      </c>
      <c r="G274" s="729">
        <f t="shared" si="21"/>
        <v>3.2188758248682006</v>
      </c>
      <c r="H274" s="729">
        <f t="shared" si="22"/>
        <v>-1.6094379124341003</v>
      </c>
      <c r="I274" s="729">
        <f t="shared" si="23"/>
        <v>-5.8636311755980968</v>
      </c>
      <c r="J274" s="40"/>
    </row>
    <row r="275" spans="1:10">
      <c r="A275" s="729">
        <v>264</v>
      </c>
      <c r="B275" s="729">
        <v>25</v>
      </c>
      <c r="C275" s="729">
        <v>0.2</v>
      </c>
      <c r="D275" s="729">
        <v>2.840909090909091E-3</v>
      </c>
      <c r="E275" s="729">
        <f t="shared" si="24"/>
        <v>0.37804878048780488</v>
      </c>
      <c r="F275" s="729">
        <f t="shared" si="20"/>
        <v>-0.31060942538225567</v>
      </c>
      <c r="G275" s="729">
        <f t="shared" si="21"/>
        <v>3.2188758248682006</v>
      </c>
      <c r="H275" s="729">
        <f t="shared" si="22"/>
        <v>-1.6094379124341003</v>
      </c>
      <c r="I275" s="729">
        <f t="shared" si="23"/>
        <v>-5.8636311755980968</v>
      </c>
      <c r="J275" s="40"/>
    </row>
    <row r="276" spans="1:10">
      <c r="A276" s="729">
        <v>265</v>
      </c>
      <c r="B276" s="729">
        <v>25</v>
      </c>
      <c r="C276" s="729">
        <v>0.2</v>
      </c>
      <c r="D276" s="729">
        <v>2.8977272727272727E-3</v>
      </c>
      <c r="E276" s="729">
        <f t="shared" si="24"/>
        <v>0.37948350071736009</v>
      </c>
      <c r="F276" s="729">
        <f t="shared" si="20"/>
        <v>-0.30683758126186844</v>
      </c>
      <c r="G276" s="729">
        <f t="shared" si="21"/>
        <v>3.2188758248682006</v>
      </c>
      <c r="H276" s="729">
        <f t="shared" si="22"/>
        <v>-1.6094379124341003</v>
      </c>
      <c r="I276" s="729">
        <f t="shared" si="23"/>
        <v>-5.843828548301917</v>
      </c>
      <c r="J276" s="40"/>
    </row>
    <row r="277" spans="1:10">
      <c r="A277" s="729">
        <v>266</v>
      </c>
      <c r="B277" s="729">
        <v>25</v>
      </c>
      <c r="C277" s="729">
        <v>0.2</v>
      </c>
      <c r="D277" s="729">
        <v>2.8977272727272727E-3</v>
      </c>
      <c r="E277" s="729">
        <f t="shared" si="24"/>
        <v>0.38091822094691535</v>
      </c>
      <c r="F277" s="729">
        <f t="shared" si="20"/>
        <v>-0.30307009743048208</v>
      </c>
      <c r="G277" s="729">
        <f t="shared" si="21"/>
        <v>3.2188758248682006</v>
      </c>
      <c r="H277" s="729">
        <f t="shared" si="22"/>
        <v>-1.6094379124341003</v>
      </c>
      <c r="I277" s="729">
        <f t="shared" si="23"/>
        <v>-5.843828548301917</v>
      </c>
      <c r="J277" s="40"/>
    </row>
    <row r="278" spans="1:10">
      <c r="A278" s="729">
        <v>267</v>
      </c>
      <c r="B278" s="729">
        <v>25</v>
      </c>
      <c r="C278" s="729">
        <v>0.2</v>
      </c>
      <c r="D278" s="729">
        <v>2.9829545454545451E-3</v>
      </c>
      <c r="E278" s="729">
        <f t="shared" si="24"/>
        <v>0.38235294117647056</v>
      </c>
      <c r="F278" s="729">
        <f t="shared" si="20"/>
        <v>-0.29930691046566715</v>
      </c>
      <c r="G278" s="729">
        <f t="shared" si="21"/>
        <v>3.2188758248682006</v>
      </c>
      <c r="H278" s="729">
        <f t="shared" si="22"/>
        <v>-1.6094379124341003</v>
      </c>
      <c r="I278" s="729">
        <f t="shared" si="23"/>
        <v>-5.8148410114286655</v>
      </c>
      <c r="J278" s="40"/>
    </row>
    <row r="279" spans="1:10">
      <c r="A279" s="729">
        <v>268</v>
      </c>
      <c r="B279" s="729">
        <v>25</v>
      </c>
      <c r="C279" s="729">
        <v>0.2</v>
      </c>
      <c r="D279" s="729">
        <v>3.1249999999999997E-3</v>
      </c>
      <c r="E279" s="729">
        <f t="shared" si="24"/>
        <v>0.38378766140602583</v>
      </c>
      <c r="F279" s="729">
        <f t="shared" si="20"/>
        <v>-0.29554795740502249</v>
      </c>
      <c r="G279" s="729">
        <f t="shared" si="21"/>
        <v>3.2188758248682006</v>
      </c>
      <c r="H279" s="729">
        <f t="shared" si="22"/>
        <v>-1.6094379124341003</v>
      </c>
      <c r="I279" s="729">
        <f t="shared" si="23"/>
        <v>-5.768320995793772</v>
      </c>
      <c r="J279" s="40"/>
    </row>
    <row r="280" spans="1:10">
      <c r="A280" s="729">
        <v>269</v>
      </c>
      <c r="B280" s="729">
        <v>25</v>
      </c>
      <c r="C280" s="729">
        <v>0.2</v>
      </c>
      <c r="D280" s="729">
        <v>3.2670454545454548E-3</v>
      </c>
      <c r="E280" s="729">
        <f t="shared" si="24"/>
        <v>0.38522238163558103</v>
      </c>
      <c r="F280" s="729">
        <f t="shared" si="20"/>
        <v>-0.29179317573759456</v>
      </c>
      <c r="G280" s="729">
        <f t="shared" si="21"/>
        <v>3.2188758248682006</v>
      </c>
      <c r="H280" s="729">
        <f t="shared" si="22"/>
        <v>-1.6094379124341003</v>
      </c>
      <c r="I280" s="729">
        <f t="shared" si="23"/>
        <v>-5.7238692332229384</v>
      </c>
      <c r="J280" s="40"/>
    </row>
    <row r="281" spans="1:10">
      <c r="A281" s="729">
        <v>270</v>
      </c>
      <c r="B281" s="729">
        <v>25</v>
      </c>
      <c r="C281" s="729">
        <v>0.2</v>
      </c>
      <c r="D281" s="729">
        <v>3.4090909090909089E-3</v>
      </c>
      <c r="E281" s="729">
        <f t="shared" si="24"/>
        <v>0.3866571018651363</v>
      </c>
      <c r="F281" s="729">
        <f t="shared" si="20"/>
        <v>-0.28804250339542714</v>
      </c>
      <c r="G281" s="729">
        <f t="shared" si="21"/>
        <v>3.2188758248682006</v>
      </c>
      <c r="H281" s="729">
        <f t="shared" si="22"/>
        <v>-1.6094379124341003</v>
      </c>
      <c r="I281" s="729">
        <f t="shared" si="23"/>
        <v>-5.6813096188041428</v>
      </c>
      <c r="J281" s="40"/>
    </row>
    <row r="282" spans="1:10">
      <c r="A282" s="729">
        <v>271</v>
      </c>
      <c r="B282" s="729">
        <v>25</v>
      </c>
      <c r="C282" s="729">
        <v>0.2</v>
      </c>
      <c r="D282" s="729">
        <v>3.4090909090909089E-3</v>
      </c>
      <c r="E282" s="729">
        <f t="shared" si="24"/>
        <v>0.38809182209469151</v>
      </c>
      <c r="F282" s="729">
        <f t="shared" si="20"/>
        <v>-0.28429587874524437</v>
      </c>
      <c r="G282" s="729">
        <f t="shared" si="21"/>
        <v>3.2188758248682006</v>
      </c>
      <c r="H282" s="729">
        <f t="shared" si="22"/>
        <v>-1.6094379124341003</v>
      </c>
      <c r="I282" s="729">
        <f t="shared" si="23"/>
        <v>-5.6813096188041428</v>
      </c>
      <c r="J282" s="40"/>
    </row>
    <row r="283" spans="1:10">
      <c r="A283" s="729">
        <v>272</v>
      </c>
      <c r="B283" s="729">
        <v>25</v>
      </c>
      <c r="C283" s="729">
        <v>0.2</v>
      </c>
      <c r="D283" s="729">
        <v>3.4090909090909089E-3</v>
      </c>
      <c r="E283" s="729">
        <f t="shared" si="24"/>
        <v>0.38952654232424677</v>
      </c>
      <c r="F283" s="729">
        <f t="shared" si="20"/>
        <v>-0.28055324058025682</v>
      </c>
      <c r="G283" s="729">
        <f t="shared" si="21"/>
        <v>3.2188758248682006</v>
      </c>
      <c r="H283" s="729">
        <f t="shared" si="22"/>
        <v>-1.6094379124341003</v>
      </c>
      <c r="I283" s="729">
        <f t="shared" si="23"/>
        <v>-5.6813096188041428</v>
      </c>
      <c r="J283" s="40"/>
    </row>
    <row r="284" spans="1:10">
      <c r="A284" s="729">
        <v>273</v>
      </c>
      <c r="B284" s="729">
        <v>25</v>
      </c>
      <c r="C284" s="729">
        <v>0.2</v>
      </c>
      <c r="D284" s="729">
        <v>3.4090909090909089E-3</v>
      </c>
      <c r="E284" s="729">
        <f t="shared" si="24"/>
        <v>0.39096126255380204</v>
      </c>
      <c r="F284" s="729">
        <f t="shared" si="20"/>
        <v>-0.27681452811209489</v>
      </c>
      <c r="G284" s="729">
        <f t="shared" si="21"/>
        <v>3.2188758248682006</v>
      </c>
      <c r="H284" s="729">
        <f t="shared" si="22"/>
        <v>-1.6094379124341003</v>
      </c>
      <c r="I284" s="729">
        <f t="shared" si="23"/>
        <v>-5.6813096188041428</v>
      </c>
      <c r="J284" s="40"/>
    </row>
    <row r="285" spans="1:10">
      <c r="A285" s="729">
        <v>274</v>
      </c>
      <c r="B285" s="729">
        <v>25</v>
      </c>
      <c r="C285" s="729">
        <v>0.2</v>
      </c>
      <c r="D285" s="729">
        <v>3.4090909090909089E-3</v>
      </c>
      <c r="E285" s="729">
        <f t="shared" si="24"/>
        <v>0.39239598278335724</v>
      </c>
      <c r="F285" s="729">
        <f t="shared" si="20"/>
        <v>-0.273079680962861</v>
      </c>
      <c r="G285" s="729">
        <f t="shared" si="21"/>
        <v>3.2188758248682006</v>
      </c>
      <c r="H285" s="729">
        <f t="shared" si="22"/>
        <v>-1.6094379124341003</v>
      </c>
      <c r="I285" s="729">
        <f t="shared" si="23"/>
        <v>-5.6813096188041428</v>
      </c>
      <c r="J285" s="40"/>
    </row>
    <row r="286" spans="1:10">
      <c r="A286" s="729">
        <v>275</v>
      </c>
      <c r="B286" s="729">
        <v>25</v>
      </c>
      <c r="C286" s="729">
        <v>0.2</v>
      </c>
      <c r="D286" s="729">
        <v>3.4090909090909089E-3</v>
      </c>
      <c r="E286" s="729">
        <f t="shared" si="24"/>
        <v>0.39383070301291251</v>
      </c>
      <c r="F286" s="729">
        <f t="shared" si="20"/>
        <v>-0.26934863915729951</v>
      </c>
      <c r="G286" s="729">
        <f t="shared" si="21"/>
        <v>3.2188758248682006</v>
      </c>
      <c r="H286" s="729">
        <f t="shared" si="22"/>
        <v>-1.6094379124341003</v>
      </c>
      <c r="I286" s="729">
        <f t="shared" si="23"/>
        <v>-5.6813096188041428</v>
      </c>
      <c r="J286" s="40"/>
    </row>
    <row r="287" spans="1:10">
      <c r="A287" s="729">
        <v>276</v>
      </c>
      <c r="B287" s="729">
        <v>25</v>
      </c>
      <c r="C287" s="729">
        <v>0.2</v>
      </c>
      <c r="D287" s="729">
        <v>3.4090909090909089E-3</v>
      </c>
      <c r="E287" s="729">
        <f t="shared" si="24"/>
        <v>0.39526542324246772</v>
      </c>
      <c r="F287" s="729">
        <f t="shared" si="20"/>
        <v>-0.26562134311508367</v>
      </c>
      <c r="G287" s="729">
        <f t="shared" si="21"/>
        <v>3.2188758248682006</v>
      </c>
      <c r="H287" s="729">
        <f t="shared" si="22"/>
        <v>-1.6094379124341003</v>
      </c>
      <c r="I287" s="729">
        <f t="shared" si="23"/>
        <v>-5.6813096188041428</v>
      </c>
      <c r="J287" s="40"/>
    </row>
    <row r="288" spans="1:10">
      <c r="A288" s="729">
        <v>277</v>
      </c>
      <c r="B288" s="729">
        <v>25</v>
      </c>
      <c r="C288" s="729">
        <v>0.2</v>
      </c>
      <c r="D288" s="729">
        <v>3.4090909090909089E-3</v>
      </c>
      <c r="E288" s="729">
        <f t="shared" si="24"/>
        <v>0.39670014347202298</v>
      </c>
      <c r="F288" s="729">
        <f t="shared" si="20"/>
        <v>-0.26189773364321228</v>
      </c>
      <c r="G288" s="729">
        <f t="shared" si="21"/>
        <v>3.2188758248682006</v>
      </c>
      <c r="H288" s="729">
        <f t="shared" si="22"/>
        <v>-1.6094379124341003</v>
      </c>
      <c r="I288" s="729">
        <f t="shared" si="23"/>
        <v>-5.6813096188041428</v>
      </c>
      <c r="J288" s="40"/>
    </row>
    <row r="289" spans="1:10">
      <c r="A289" s="729">
        <v>278</v>
      </c>
      <c r="B289" s="729">
        <v>25</v>
      </c>
      <c r="C289" s="729">
        <v>0.2</v>
      </c>
      <c r="D289" s="729">
        <v>3.4090909090909089E-3</v>
      </c>
      <c r="E289" s="729">
        <f t="shared" si="24"/>
        <v>0.39813486370157819</v>
      </c>
      <c r="F289" s="729">
        <f t="shared" si="20"/>
        <v>-0.25817775192851888</v>
      </c>
      <c r="G289" s="729">
        <f t="shared" si="21"/>
        <v>3.2188758248682006</v>
      </c>
      <c r="H289" s="729">
        <f t="shared" si="22"/>
        <v>-1.6094379124341003</v>
      </c>
      <c r="I289" s="729">
        <f t="shared" si="23"/>
        <v>-5.6813096188041428</v>
      </c>
      <c r="J289" s="40"/>
    </row>
    <row r="290" spans="1:10">
      <c r="A290" s="729">
        <v>279</v>
      </c>
      <c r="B290" s="729">
        <v>25</v>
      </c>
      <c r="C290" s="729">
        <v>0.2</v>
      </c>
      <c r="D290" s="729">
        <v>3.4090909090909089E-3</v>
      </c>
      <c r="E290" s="729">
        <f t="shared" si="24"/>
        <v>0.39956958393113345</v>
      </c>
      <c r="F290" s="729">
        <f t="shared" si="20"/>
        <v>-0.25446133953028466</v>
      </c>
      <c r="G290" s="729">
        <f t="shared" si="21"/>
        <v>3.2188758248682006</v>
      </c>
      <c r="H290" s="729">
        <f t="shared" si="22"/>
        <v>-1.6094379124341003</v>
      </c>
      <c r="I290" s="729">
        <f t="shared" si="23"/>
        <v>-5.6813096188041428</v>
      </c>
      <c r="J290" s="40"/>
    </row>
    <row r="291" spans="1:10">
      <c r="A291" s="729">
        <v>280</v>
      </c>
      <c r="B291" s="729">
        <v>25</v>
      </c>
      <c r="C291" s="729">
        <v>0.2</v>
      </c>
      <c r="D291" s="729">
        <v>3.4090909090909089E-3</v>
      </c>
      <c r="E291" s="729">
        <f t="shared" si="24"/>
        <v>0.40100430416068866</v>
      </c>
      <c r="F291" s="729">
        <f t="shared" si="20"/>
        <v>-0.25074843837295846</v>
      </c>
      <c r="G291" s="729">
        <f t="shared" si="21"/>
        <v>3.2188758248682006</v>
      </c>
      <c r="H291" s="729">
        <f t="shared" si="22"/>
        <v>-1.6094379124341003</v>
      </c>
      <c r="I291" s="729">
        <f t="shared" si="23"/>
        <v>-5.6813096188041428</v>
      </c>
      <c r="J291" s="40"/>
    </row>
    <row r="292" spans="1:10">
      <c r="A292" s="729">
        <v>281</v>
      </c>
      <c r="B292" s="729">
        <v>25</v>
      </c>
      <c r="C292" s="729">
        <v>0.2</v>
      </c>
      <c r="D292" s="729">
        <v>3.4090909090909089E-3</v>
      </c>
      <c r="E292" s="729">
        <f t="shared" si="24"/>
        <v>0.40243902439024393</v>
      </c>
      <c r="F292" s="729">
        <f t="shared" si="20"/>
        <v>-0.2470389907389772</v>
      </c>
      <c r="G292" s="729">
        <f t="shared" si="21"/>
        <v>3.2188758248682006</v>
      </c>
      <c r="H292" s="729">
        <f t="shared" si="22"/>
        <v>-1.6094379124341003</v>
      </c>
      <c r="I292" s="729">
        <f t="shared" si="23"/>
        <v>-5.6813096188041428</v>
      </c>
      <c r="J292" s="40"/>
    </row>
    <row r="293" spans="1:10">
      <c r="A293" s="729">
        <v>282</v>
      </c>
      <c r="B293" s="729">
        <v>25</v>
      </c>
      <c r="C293" s="729">
        <v>0.2</v>
      </c>
      <c r="D293" s="729">
        <v>3.4090909090909089E-3</v>
      </c>
      <c r="E293" s="729">
        <f t="shared" si="24"/>
        <v>0.40387374461979914</v>
      </c>
      <c r="F293" s="729">
        <f t="shared" si="20"/>
        <v>-0.24333293926168637</v>
      </c>
      <c r="G293" s="729">
        <f t="shared" si="21"/>
        <v>3.2188758248682006</v>
      </c>
      <c r="H293" s="729">
        <f t="shared" si="22"/>
        <v>-1.6094379124341003</v>
      </c>
      <c r="I293" s="729">
        <f t="shared" si="23"/>
        <v>-5.6813096188041428</v>
      </c>
      <c r="J293" s="40"/>
    </row>
    <row r="294" spans="1:10">
      <c r="A294" s="729">
        <v>283</v>
      </c>
      <c r="B294" s="729">
        <v>25</v>
      </c>
      <c r="C294" s="729">
        <v>0.2</v>
      </c>
      <c r="D294" s="729">
        <v>3.4090909090909089E-3</v>
      </c>
      <c r="E294" s="729">
        <f t="shared" si="24"/>
        <v>0.4053084648493544</v>
      </c>
      <c r="F294" s="729">
        <f t="shared" si="20"/>
        <v>-0.23963022691835631</v>
      </c>
      <c r="G294" s="729">
        <f t="shared" si="21"/>
        <v>3.2188758248682006</v>
      </c>
      <c r="H294" s="729">
        <f t="shared" si="22"/>
        <v>-1.6094379124341003</v>
      </c>
      <c r="I294" s="729">
        <f t="shared" si="23"/>
        <v>-5.6813096188041428</v>
      </c>
      <c r="J294" s="40"/>
    </row>
    <row r="295" spans="1:10">
      <c r="A295" s="729">
        <v>284</v>
      </c>
      <c r="B295" s="729">
        <v>25</v>
      </c>
      <c r="C295" s="729">
        <v>0.2</v>
      </c>
      <c r="D295" s="729">
        <v>3.6931818181818181E-3</v>
      </c>
      <c r="E295" s="729">
        <f t="shared" si="24"/>
        <v>0.40674318507890961</v>
      </c>
      <c r="F295" s="729">
        <f t="shared" si="20"/>
        <v>-0.23593079702329492</v>
      </c>
      <c r="G295" s="729">
        <f t="shared" si="21"/>
        <v>3.2188758248682006</v>
      </c>
      <c r="H295" s="729">
        <f t="shared" si="22"/>
        <v>-1.6094379124341003</v>
      </c>
      <c r="I295" s="729">
        <f t="shared" si="23"/>
        <v>-5.6012669111306064</v>
      </c>
      <c r="J295" s="40"/>
    </row>
    <row r="296" spans="1:10">
      <c r="A296" s="729">
        <v>285</v>
      </c>
      <c r="B296" s="729">
        <v>25</v>
      </c>
      <c r="C296" s="729">
        <v>0.2</v>
      </c>
      <c r="D296" s="729">
        <v>3.6931818181818181E-3</v>
      </c>
      <c r="E296" s="729">
        <f t="shared" si="24"/>
        <v>0.40817790530846487</v>
      </c>
      <c r="F296" s="729">
        <f t="shared" si="20"/>
        <v>-0.23223459322105058</v>
      </c>
      <c r="G296" s="729">
        <f t="shared" si="21"/>
        <v>3.2188758248682006</v>
      </c>
      <c r="H296" s="729">
        <f t="shared" si="22"/>
        <v>-1.6094379124341003</v>
      </c>
      <c r="I296" s="729">
        <f t="shared" si="23"/>
        <v>-5.6012669111306064</v>
      </c>
      <c r="J296" s="40"/>
    </row>
    <row r="297" spans="1:10">
      <c r="A297" s="729">
        <v>286</v>
      </c>
      <c r="B297" s="729">
        <v>25</v>
      </c>
      <c r="C297" s="729">
        <v>0.2</v>
      </c>
      <c r="D297" s="729">
        <v>3.6931818181818181E-3</v>
      </c>
      <c r="E297" s="729">
        <f t="shared" si="24"/>
        <v>0.40961262553802008</v>
      </c>
      <c r="F297" s="729">
        <f t="shared" si="20"/>
        <v>-0.22854155947970722</v>
      </c>
      <c r="G297" s="729">
        <f t="shared" si="21"/>
        <v>3.2188758248682006</v>
      </c>
      <c r="H297" s="729">
        <f t="shared" si="22"/>
        <v>-1.6094379124341003</v>
      </c>
      <c r="I297" s="729">
        <f t="shared" si="23"/>
        <v>-5.6012669111306064</v>
      </c>
      <c r="J297" s="40"/>
    </row>
    <row r="298" spans="1:10">
      <c r="A298" s="729">
        <v>287</v>
      </c>
      <c r="B298" s="729">
        <v>25</v>
      </c>
      <c r="C298" s="729">
        <v>0.2</v>
      </c>
      <c r="D298" s="729">
        <v>3.6931818181818181E-3</v>
      </c>
      <c r="E298" s="729">
        <f t="shared" si="24"/>
        <v>0.41104734576757535</v>
      </c>
      <c r="F298" s="729">
        <f t="shared" si="20"/>
        <v>-0.22485164008426486</v>
      </c>
      <c r="G298" s="729">
        <f t="shared" si="21"/>
        <v>3.2188758248682006</v>
      </c>
      <c r="H298" s="729">
        <f t="shared" si="22"/>
        <v>-1.6094379124341003</v>
      </c>
      <c r="I298" s="729">
        <f t="shared" si="23"/>
        <v>-5.6012669111306064</v>
      </c>
      <c r="J298" s="40"/>
    </row>
    <row r="299" spans="1:10">
      <c r="A299" s="729">
        <v>288</v>
      </c>
      <c r="B299" s="729">
        <v>25</v>
      </c>
      <c r="C299" s="729">
        <v>0.2</v>
      </c>
      <c r="D299" s="729">
        <v>3.6931818181818181E-3</v>
      </c>
      <c r="E299" s="729">
        <f t="shared" si="24"/>
        <v>0.41248206599713055</v>
      </c>
      <c r="F299" s="729">
        <f t="shared" si="20"/>
        <v>-0.221164779630108</v>
      </c>
      <c r="G299" s="729">
        <f t="shared" si="21"/>
        <v>3.2188758248682006</v>
      </c>
      <c r="H299" s="729">
        <f t="shared" si="22"/>
        <v>-1.6094379124341003</v>
      </c>
      <c r="I299" s="729">
        <f t="shared" si="23"/>
        <v>-5.6012669111306064</v>
      </c>
      <c r="J299" s="40"/>
    </row>
    <row r="300" spans="1:10">
      <c r="A300" s="729">
        <v>289</v>
      </c>
      <c r="B300" s="729">
        <v>25</v>
      </c>
      <c r="C300" s="729">
        <v>0.2</v>
      </c>
      <c r="D300" s="729">
        <v>3.6931818181818181E-3</v>
      </c>
      <c r="E300" s="729">
        <f t="shared" si="24"/>
        <v>0.41391678622668582</v>
      </c>
      <c r="F300" s="729">
        <f t="shared" si="20"/>
        <v>-0.21748092301655558</v>
      </c>
      <c r="G300" s="729">
        <f t="shared" si="21"/>
        <v>3.2188758248682006</v>
      </c>
      <c r="H300" s="729">
        <f t="shared" si="22"/>
        <v>-1.6094379124341003</v>
      </c>
      <c r="I300" s="729">
        <f t="shared" si="23"/>
        <v>-5.6012669111306064</v>
      </c>
      <c r="J300" s="40"/>
    </row>
    <row r="301" spans="1:10">
      <c r="A301" s="729">
        <v>290</v>
      </c>
      <c r="B301" s="729">
        <v>25</v>
      </c>
      <c r="C301" s="729">
        <v>0.2</v>
      </c>
      <c r="D301" s="729">
        <v>3.6931818181818181E-3</v>
      </c>
      <c r="E301" s="729">
        <f t="shared" si="24"/>
        <v>0.41535150645624103</v>
      </c>
      <c r="F301" s="729">
        <f t="shared" si="20"/>
        <v>-0.21380001544049401</v>
      </c>
      <c r="G301" s="729">
        <f t="shared" si="21"/>
        <v>3.2188758248682006</v>
      </c>
      <c r="H301" s="729">
        <f t="shared" si="22"/>
        <v>-1.6094379124341003</v>
      </c>
      <c r="I301" s="729">
        <f t="shared" si="23"/>
        <v>-5.6012669111306064</v>
      </c>
      <c r="J301" s="40"/>
    </row>
    <row r="302" spans="1:10">
      <c r="A302" s="729">
        <v>291</v>
      </c>
      <c r="B302" s="729">
        <v>25</v>
      </c>
      <c r="C302" s="729">
        <v>0.2</v>
      </c>
      <c r="D302" s="729">
        <v>3.6931818181818181E-3</v>
      </c>
      <c r="E302" s="729">
        <f t="shared" si="24"/>
        <v>0.41678622668579629</v>
      </c>
      <c r="F302" s="729">
        <f t="shared" si="20"/>
        <v>-0.21012200239008808</v>
      </c>
      <c r="G302" s="729">
        <f t="shared" si="21"/>
        <v>3.2188758248682006</v>
      </c>
      <c r="H302" s="729">
        <f t="shared" si="22"/>
        <v>-1.6094379124341003</v>
      </c>
      <c r="I302" s="729">
        <f t="shared" si="23"/>
        <v>-5.6012669111306064</v>
      </c>
      <c r="J302" s="40"/>
    </row>
    <row r="303" spans="1:10">
      <c r="A303" s="729">
        <v>292</v>
      </c>
      <c r="B303" s="729">
        <v>25</v>
      </c>
      <c r="C303" s="729">
        <v>0.2</v>
      </c>
      <c r="D303" s="729">
        <v>3.7499999999999999E-3</v>
      </c>
      <c r="E303" s="729">
        <f t="shared" si="24"/>
        <v>0.4182209469153515</v>
      </c>
      <c r="F303" s="729">
        <f t="shared" si="20"/>
        <v>-0.20644682963857081</v>
      </c>
      <c r="G303" s="729">
        <f t="shared" si="21"/>
        <v>3.2188758248682006</v>
      </c>
      <c r="H303" s="729">
        <f t="shared" si="22"/>
        <v>-1.6094379124341003</v>
      </c>
      <c r="I303" s="729">
        <f t="shared" si="23"/>
        <v>-5.585999438999818</v>
      </c>
      <c r="J303" s="40"/>
    </row>
    <row r="304" spans="1:10">
      <c r="A304" s="729">
        <v>293</v>
      </c>
      <c r="B304" s="729">
        <v>25</v>
      </c>
      <c r="C304" s="729">
        <v>0.2</v>
      </c>
      <c r="D304" s="729">
        <v>3.7499999999999999E-3</v>
      </c>
      <c r="E304" s="729">
        <f t="shared" si="24"/>
        <v>0.41965566714490676</v>
      </c>
      <c r="F304" s="729">
        <f t="shared" si="20"/>
        <v>-0.20277444323810676</v>
      </c>
      <c r="G304" s="729">
        <f t="shared" si="21"/>
        <v>3.2188758248682006</v>
      </c>
      <c r="H304" s="729">
        <f t="shared" si="22"/>
        <v>-1.6094379124341003</v>
      </c>
      <c r="I304" s="729">
        <f t="shared" si="23"/>
        <v>-5.585999438999818</v>
      </c>
      <c r="J304" s="40"/>
    </row>
    <row r="305" spans="1:10">
      <c r="A305" s="729">
        <v>294</v>
      </c>
      <c r="B305" s="729">
        <v>25</v>
      </c>
      <c r="C305" s="729">
        <v>0.21</v>
      </c>
      <c r="D305" s="729">
        <v>3.7499999999999999E-3</v>
      </c>
      <c r="E305" s="729">
        <f t="shared" si="24"/>
        <v>0.42109038737446197</v>
      </c>
      <c r="F305" s="729">
        <f t="shared" si="20"/>
        <v>-0.19910478951373123</v>
      </c>
      <c r="G305" s="729">
        <f t="shared" si="21"/>
        <v>3.2188758248682006</v>
      </c>
      <c r="H305" s="729">
        <f t="shared" si="22"/>
        <v>-1.5606477482646683</v>
      </c>
      <c r="I305" s="729">
        <f t="shared" si="23"/>
        <v>-5.585999438999818</v>
      </c>
      <c r="J305" s="40"/>
    </row>
    <row r="306" spans="1:10">
      <c r="A306" s="729">
        <v>295</v>
      </c>
      <c r="B306" s="729">
        <v>25</v>
      </c>
      <c r="C306" s="729">
        <v>0.22</v>
      </c>
      <c r="D306" s="729">
        <v>3.806818181818182E-3</v>
      </c>
      <c r="E306" s="729">
        <f t="shared" si="24"/>
        <v>0.42252510760401724</v>
      </c>
      <c r="F306" s="729">
        <f t="shared" si="20"/>
        <v>-0.19543781505735866</v>
      </c>
      <c r="G306" s="729">
        <f t="shared" si="21"/>
        <v>3.2188758248682006</v>
      </c>
      <c r="H306" s="729">
        <f t="shared" si="22"/>
        <v>-1.5141277326297755</v>
      </c>
      <c r="I306" s="729">
        <f t="shared" si="23"/>
        <v>-5.5709615616352774</v>
      </c>
      <c r="J306" s="40"/>
    </row>
    <row r="307" spans="1:10">
      <c r="A307" s="729">
        <v>296</v>
      </c>
      <c r="B307" s="729">
        <v>25</v>
      </c>
      <c r="C307" s="729">
        <v>0.23</v>
      </c>
      <c r="D307" s="729">
        <v>3.8352272727272727E-3</v>
      </c>
      <c r="E307" s="729">
        <f t="shared" si="24"/>
        <v>0.42395982783357244</v>
      </c>
      <c r="F307" s="729">
        <f t="shared" si="20"/>
        <v>-0.1917734667218631</v>
      </c>
      <c r="G307" s="729">
        <f t="shared" si="21"/>
        <v>3.2188758248682006</v>
      </c>
      <c r="H307" s="729">
        <f t="shared" si="22"/>
        <v>-1.4696759700589417</v>
      </c>
      <c r="I307" s="729">
        <f t="shared" si="23"/>
        <v>-5.5635265831477589</v>
      </c>
      <c r="J307" s="40"/>
    </row>
    <row r="308" spans="1:10">
      <c r="A308" s="729">
        <v>297</v>
      </c>
      <c r="B308" s="729">
        <v>25</v>
      </c>
      <c r="C308" s="729">
        <v>0.25</v>
      </c>
      <c r="D308" s="729">
        <v>3.8636363636363638E-3</v>
      </c>
      <c r="E308" s="729">
        <f t="shared" si="24"/>
        <v>0.42539454806312771</v>
      </c>
      <c r="F308" s="729">
        <f t="shared" si="20"/>
        <v>-0.18811169161522445</v>
      </c>
      <c r="G308" s="729">
        <f t="shared" si="21"/>
        <v>3.2188758248682006</v>
      </c>
      <c r="H308" s="729">
        <f t="shared" si="22"/>
        <v>-1.3862943611198906</v>
      </c>
      <c r="I308" s="729">
        <f t="shared" si="23"/>
        <v>-5.5561464758501362</v>
      </c>
      <c r="J308" s="40"/>
    </row>
    <row r="309" spans="1:10">
      <c r="A309" s="729">
        <v>298</v>
      </c>
      <c r="B309" s="729">
        <v>25</v>
      </c>
      <c r="C309" s="729">
        <v>0.25</v>
      </c>
      <c r="D309" s="729">
        <v>3.9772727272727277E-3</v>
      </c>
      <c r="E309" s="729">
        <f t="shared" si="24"/>
        <v>0.42682926829268292</v>
      </c>
      <c r="F309" s="729">
        <f t="shared" si="20"/>
        <v>-0.1844524370947431</v>
      </c>
      <c r="G309" s="729">
        <f t="shared" si="21"/>
        <v>3.2188758248682006</v>
      </c>
      <c r="H309" s="729">
        <f t="shared" si="22"/>
        <v>-1.3862943611198906</v>
      </c>
      <c r="I309" s="729">
        <f t="shared" si="23"/>
        <v>-5.5271589389768838</v>
      </c>
      <c r="J309" s="40"/>
    </row>
    <row r="310" spans="1:10">
      <c r="A310" s="729">
        <v>299</v>
      </c>
      <c r="B310" s="729">
        <v>25</v>
      </c>
      <c r="C310" s="729">
        <v>0.25</v>
      </c>
      <c r="D310" s="729">
        <v>4.261363636363636E-3</v>
      </c>
      <c r="E310" s="729">
        <f t="shared" si="24"/>
        <v>0.42826398852223818</v>
      </c>
      <c r="F310" s="729">
        <f t="shared" si="20"/>
        <v>-0.1807956507613169</v>
      </c>
      <c r="G310" s="729">
        <f t="shared" si="21"/>
        <v>3.2188758248682006</v>
      </c>
      <c r="H310" s="729">
        <f t="shared" si="22"/>
        <v>-1.3862943611198906</v>
      </c>
      <c r="I310" s="729">
        <f t="shared" si="23"/>
        <v>-5.458166067489933</v>
      </c>
      <c r="J310" s="40"/>
    </row>
    <row r="311" spans="1:10">
      <c r="A311" s="729">
        <v>300</v>
      </c>
      <c r="B311" s="729">
        <v>25</v>
      </c>
      <c r="C311" s="729">
        <v>0.25</v>
      </c>
      <c r="D311" s="729">
        <v>4.261363636363636E-3</v>
      </c>
      <c r="E311" s="729">
        <f t="shared" si="24"/>
        <v>0.42969870875179339</v>
      </c>
      <c r="F311" s="729">
        <f t="shared" si="20"/>
        <v>-0.17714128045378297</v>
      </c>
      <c r="G311" s="729">
        <f t="shared" si="21"/>
        <v>3.2188758248682006</v>
      </c>
      <c r="H311" s="729">
        <f t="shared" si="22"/>
        <v>-1.3862943611198906</v>
      </c>
      <c r="I311" s="729">
        <f t="shared" si="23"/>
        <v>-5.458166067489933</v>
      </c>
      <c r="J311" s="40"/>
    </row>
    <row r="312" spans="1:10">
      <c r="A312" s="729">
        <v>301</v>
      </c>
      <c r="B312" s="729">
        <v>25</v>
      </c>
      <c r="C312" s="729">
        <v>0.26</v>
      </c>
      <c r="D312" s="729">
        <v>4.261363636363636E-3</v>
      </c>
      <c r="E312" s="729">
        <f t="shared" si="24"/>
        <v>0.43113342898134865</v>
      </c>
      <c r="F312" s="729">
        <f t="shared" si="20"/>
        <v>-0.1734892742433187</v>
      </c>
      <c r="G312" s="729">
        <f t="shared" si="21"/>
        <v>3.2188758248682006</v>
      </c>
      <c r="H312" s="729">
        <f t="shared" si="22"/>
        <v>-1.3470736479666092</v>
      </c>
      <c r="I312" s="729">
        <f t="shared" si="23"/>
        <v>-5.458166067489933</v>
      </c>
      <c r="J312" s="40"/>
    </row>
    <row r="313" spans="1:10">
      <c r="A313" s="729">
        <v>302</v>
      </c>
      <c r="B313" s="729">
        <v>25</v>
      </c>
      <c r="C313" s="729">
        <v>0.27</v>
      </c>
      <c r="D313" s="729">
        <v>4.261363636363636E-3</v>
      </c>
      <c r="E313" s="729">
        <f t="shared" si="24"/>
        <v>0.43256814921090386</v>
      </c>
      <c r="F313" s="729">
        <f t="shared" si="20"/>
        <v>-0.16983958042790409</v>
      </c>
      <c r="G313" s="729">
        <f t="shared" si="21"/>
        <v>3.2188758248682006</v>
      </c>
      <c r="H313" s="729">
        <f t="shared" si="22"/>
        <v>-1.3093333199837622</v>
      </c>
      <c r="I313" s="729">
        <f t="shared" si="23"/>
        <v>-5.458166067489933</v>
      </c>
      <c r="J313" s="40"/>
    </row>
    <row r="314" spans="1:10">
      <c r="A314" s="729">
        <v>303</v>
      </c>
      <c r="B314" s="729">
        <v>25</v>
      </c>
      <c r="C314" s="729">
        <v>0.3</v>
      </c>
      <c r="D314" s="729">
        <v>4.261363636363636E-3</v>
      </c>
      <c r="E314" s="729">
        <f t="shared" si="24"/>
        <v>0.43400286944045913</v>
      </c>
      <c r="F314" s="729">
        <f t="shared" si="20"/>
        <v>-0.16619214752683975</v>
      </c>
      <c r="G314" s="729">
        <f t="shared" si="21"/>
        <v>3.2188758248682006</v>
      </c>
      <c r="H314" s="729">
        <f t="shared" si="22"/>
        <v>-1.2039728043259361</v>
      </c>
      <c r="I314" s="729">
        <f t="shared" si="23"/>
        <v>-5.458166067489933</v>
      </c>
      <c r="J314" s="40"/>
    </row>
    <row r="315" spans="1:10">
      <c r="A315" s="729">
        <v>304</v>
      </c>
      <c r="B315" s="729">
        <v>25</v>
      </c>
      <c r="C315" s="729">
        <v>0.3</v>
      </c>
      <c r="D315" s="729">
        <v>4.261363636363636E-3</v>
      </c>
      <c r="E315" s="729">
        <f t="shared" si="24"/>
        <v>0.43543758967001434</v>
      </c>
      <c r="F315" s="729">
        <f t="shared" si="20"/>
        <v>-0.1625469242753235</v>
      </c>
      <c r="G315" s="729">
        <f t="shared" si="21"/>
        <v>3.2188758248682006</v>
      </c>
      <c r="H315" s="729">
        <f t="shared" si="22"/>
        <v>-1.2039728043259361</v>
      </c>
      <c r="I315" s="729">
        <f t="shared" si="23"/>
        <v>-5.458166067489933</v>
      </c>
      <c r="J315" s="40"/>
    </row>
    <row r="316" spans="1:10">
      <c r="A316" s="729">
        <v>305</v>
      </c>
      <c r="B316" s="729">
        <v>25</v>
      </c>
      <c r="C316" s="729">
        <v>0.3</v>
      </c>
      <c r="D316" s="729">
        <v>4.261363636363636E-3</v>
      </c>
      <c r="E316" s="729">
        <f t="shared" si="24"/>
        <v>0.4368723098995696</v>
      </c>
      <c r="F316" s="729">
        <f t="shared" si="20"/>
        <v>-0.15890385961907952</v>
      </c>
      <c r="G316" s="729">
        <f t="shared" si="21"/>
        <v>3.2188758248682006</v>
      </c>
      <c r="H316" s="729">
        <f t="shared" si="22"/>
        <v>-1.2039728043259361</v>
      </c>
      <c r="I316" s="729">
        <f t="shared" si="23"/>
        <v>-5.458166067489933</v>
      </c>
      <c r="J316" s="40"/>
    </row>
    <row r="317" spans="1:10">
      <c r="A317" s="729">
        <v>306</v>
      </c>
      <c r="B317" s="729">
        <v>25</v>
      </c>
      <c r="C317" s="729">
        <v>0.3</v>
      </c>
      <c r="D317" s="841">
        <v>4.5454545454545452E-3</v>
      </c>
      <c r="E317" s="729">
        <f t="shared" si="24"/>
        <v>0.43830703012912481</v>
      </c>
      <c r="F317" s="729">
        <f t="shared" si="20"/>
        <v>-0.15526290270904269</v>
      </c>
      <c r="G317" s="729">
        <f t="shared" si="21"/>
        <v>3.2188758248682006</v>
      </c>
      <c r="H317" s="729">
        <f t="shared" si="22"/>
        <v>-1.2039728043259361</v>
      </c>
      <c r="I317" s="729">
        <f t="shared" si="23"/>
        <v>-5.393627546352362</v>
      </c>
      <c r="J317" s="40"/>
    </row>
    <row r="318" spans="1:10">
      <c r="A318" s="729">
        <v>307</v>
      </c>
      <c r="B318" s="729">
        <v>25</v>
      </c>
      <c r="C318" s="729">
        <v>0.3</v>
      </c>
      <c r="D318" s="729">
        <v>4.5454545454545461E-3</v>
      </c>
      <c r="E318" s="729">
        <f t="shared" si="24"/>
        <v>0.43974175035868007</v>
      </c>
      <c r="F318" s="729">
        <f t="shared" si="20"/>
        <v>-0.1516240028960924</v>
      </c>
      <c r="G318" s="729">
        <f t="shared" si="21"/>
        <v>3.2188758248682006</v>
      </c>
      <c r="H318" s="729">
        <f t="shared" si="22"/>
        <v>-1.2039728043259361</v>
      </c>
      <c r="I318" s="729">
        <f t="shared" si="23"/>
        <v>-5.3936275463523611</v>
      </c>
      <c r="J318" s="40"/>
    </row>
    <row r="319" spans="1:10">
      <c r="A319" s="729">
        <v>308</v>
      </c>
      <c r="B319" s="729">
        <v>25</v>
      </c>
      <c r="C319" s="729">
        <v>0.3</v>
      </c>
      <c r="D319" s="729">
        <v>4.5454545454545461E-3</v>
      </c>
      <c r="E319" s="729">
        <f t="shared" si="24"/>
        <v>0.44117647058823528</v>
      </c>
      <c r="F319" s="729">
        <f t="shared" si="20"/>
        <v>-0.14798710972583889</v>
      </c>
      <c r="G319" s="729">
        <f t="shared" si="21"/>
        <v>3.2188758248682006</v>
      </c>
      <c r="H319" s="729">
        <f t="shared" si="22"/>
        <v>-1.2039728043259361</v>
      </c>
      <c r="I319" s="729">
        <f t="shared" si="23"/>
        <v>-5.3936275463523611</v>
      </c>
      <c r="J319" s="40"/>
    </row>
    <row r="320" spans="1:10">
      <c r="A320" s="729">
        <v>309</v>
      </c>
      <c r="B320" s="729">
        <v>25</v>
      </c>
      <c r="C320" s="729">
        <v>0.3</v>
      </c>
      <c r="D320" s="729">
        <v>4.8295454545454544E-3</v>
      </c>
      <c r="E320" s="729">
        <f t="shared" si="24"/>
        <v>0.44261119081779055</v>
      </c>
      <c r="F320" s="729">
        <f t="shared" si="20"/>
        <v>-0.14435217293345595</v>
      </c>
      <c r="G320" s="729">
        <f t="shared" si="21"/>
        <v>3.2188758248682006</v>
      </c>
      <c r="H320" s="729">
        <f t="shared" si="22"/>
        <v>-1.2039728043259361</v>
      </c>
      <c r="I320" s="729">
        <f t="shared" si="23"/>
        <v>-5.3330029245359265</v>
      </c>
      <c r="J320" s="40"/>
    </row>
    <row r="321" spans="1:10">
      <c r="A321" s="729">
        <v>310</v>
      </c>
      <c r="B321" s="729">
        <v>25</v>
      </c>
      <c r="C321" s="729">
        <v>0.3</v>
      </c>
      <c r="D321" s="729">
        <v>4.8295454545454544E-3</v>
      </c>
      <c r="E321" s="729">
        <f t="shared" si="24"/>
        <v>0.44404591104734575</v>
      </c>
      <c r="F321" s="729">
        <f t="shared" si="20"/>
        <v>-0.14071914243856326</v>
      </c>
      <c r="G321" s="729">
        <f t="shared" si="21"/>
        <v>3.2188758248682006</v>
      </c>
      <c r="H321" s="729">
        <f t="shared" si="22"/>
        <v>-1.2039728043259361</v>
      </c>
      <c r="I321" s="729">
        <f t="shared" si="23"/>
        <v>-5.3330029245359265</v>
      </c>
      <c r="J321" s="40"/>
    </row>
    <row r="322" spans="1:10">
      <c r="A322" s="729">
        <v>311</v>
      </c>
      <c r="B322" s="729">
        <v>27</v>
      </c>
      <c r="C322" s="729">
        <v>0.3</v>
      </c>
      <c r="D322" s="729">
        <v>4.8295454545454544E-3</v>
      </c>
      <c r="E322" s="729">
        <f t="shared" si="24"/>
        <v>0.44548063127690102</v>
      </c>
      <c r="F322" s="729">
        <f t="shared" si="20"/>
        <v>-0.13708796834015238</v>
      </c>
      <c r="G322" s="729">
        <f t="shared" si="21"/>
        <v>3.2958368660043291</v>
      </c>
      <c r="H322" s="729">
        <f t="shared" si="22"/>
        <v>-1.2039728043259361</v>
      </c>
      <c r="I322" s="729">
        <f t="shared" si="23"/>
        <v>-5.3330029245359265</v>
      </c>
      <c r="J322" s="40"/>
    </row>
    <row r="323" spans="1:10">
      <c r="A323" s="729">
        <v>312</v>
      </c>
      <c r="B323" s="729">
        <v>27</v>
      </c>
      <c r="C323" s="729">
        <v>0.3</v>
      </c>
      <c r="D323" s="841">
        <v>4.8295454545454544E-3</v>
      </c>
      <c r="E323" s="729">
        <f t="shared" si="24"/>
        <v>0.44691535150645623</v>
      </c>
      <c r="F323" s="729">
        <f t="shared" si="20"/>
        <v>-0.13345860091155928</v>
      </c>
      <c r="G323" s="729">
        <f t="shared" si="21"/>
        <v>3.2958368660043291</v>
      </c>
      <c r="H323" s="729">
        <f t="shared" si="22"/>
        <v>-1.2039728043259361</v>
      </c>
      <c r="I323" s="729">
        <f t="shared" si="23"/>
        <v>-5.3330029245359265</v>
      </c>
      <c r="J323" s="40"/>
    </row>
    <row r="324" spans="1:10">
      <c r="A324" s="729">
        <v>313</v>
      </c>
      <c r="B324" s="729">
        <v>30</v>
      </c>
      <c r="C324" s="729">
        <v>0.3</v>
      </c>
      <c r="D324" s="729">
        <v>5.1136363636363627E-3</v>
      </c>
      <c r="E324" s="729">
        <f t="shared" si="24"/>
        <v>0.44835007173601149</v>
      </c>
      <c r="F324" s="729">
        <f t="shared" si="20"/>
        <v>-0.12983099059547812</v>
      </c>
      <c r="G324" s="729">
        <f t="shared" si="21"/>
        <v>3.4011973816621555</v>
      </c>
      <c r="H324" s="729">
        <f t="shared" si="22"/>
        <v>-1.2039728043259361</v>
      </c>
      <c r="I324" s="729">
        <f t="shared" si="23"/>
        <v>-5.2758445106959782</v>
      </c>
      <c r="J324" s="40"/>
    </row>
    <row r="325" spans="1:10">
      <c r="A325" s="729">
        <v>314</v>
      </c>
      <c r="B325" s="729">
        <v>30</v>
      </c>
      <c r="C325" s="729">
        <v>0.3</v>
      </c>
      <c r="D325" s="729">
        <v>5.3977272727272728E-3</v>
      </c>
      <c r="E325" s="729">
        <f t="shared" si="24"/>
        <v>0.4497847919655667</v>
      </c>
      <c r="F325" s="729">
        <f t="shared" si="20"/>
        <v>-0.12620508799901872</v>
      </c>
      <c r="G325" s="729">
        <f t="shared" si="21"/>
        <v>3.4011973816621555</v>
      </c>
      <c r="H325" s="729">
        <f t="shared" si="22"/>
        <v>-1.2039728043259361</v>
      </c>
      <c r="I325" s="729">
        <f t="shared" si="23"/>
        <v>-5.2217772894257024</v>
      </c>
      <c r="J325" s="40"/>
    </row>
    <row r="326" spans="1:10">
      <c r="A326" s="729">
        <v>315</v>
      </c>
      <c r="B326" s="729">
        <v>30</v>
      </c>
      <c r="C326" s="729">
        <v>0.3</v>
      </c>
      <c r="D326" s="729">
        <v>5.6249999999999998E-3</v>
      </c>
      <c r="E326" s="729">
        <f t="shared" si="24"/>
        <v>0.45121951219512196</v>
      </c>
      <c r="F326" s="729">
        <f t="shared" si="20"/>
        <v>-0.12258084388880242</v>
      </c>
      <c r="G326" s="729">
        <f t="shared" si="21"/>
        <v>3.4011973816621555</v>
      </c>
      <c r="H326" s="729">
        <f t="shared" si="22"/>
        <v>-1.2039728043259361</v>
      </c>
      <c r="I326" s="729">
        <f t="shared" si="23"/>
        <v>-5.1805343308916534</v>
      </c>
      <c r="J326" s="40"/>
    </row>
    <row r="327" spans="1:10">
      <c r="A327" s="729">
        <v>316</v>
      </c>
      <c r="B327" s="729">
        <v>30</v>
      </c>
      <c r="C327" s="729">
        <v>0.3</v>
      </c>
      <c r="D327" s="729">
        <v>5.681818181818182E-3</v>
      </c>
      <c r="E327" s="729">
        <f t="shared" si="24"/>
        <v>0.45265423242467717</v>
      </c>
      <c r="F327" s="729">
        <f t="shared" si="20"/>
        <v>-0.11895820918609937</v>
      </c>
      <c r="G327" s="729">
        <f t="shared" si="21"/>
        <v>3.4011973816621555</v>
      </c>
      <c r="H327" s="729">
        <f t="shared" si="22"/>
        <v>-1.2039728043259361</v>
      </c>
      <c r="I327" s="729">
        <f t="shared" si="23"/>
        <v>-5.1704839950381514</v>
      </c>
      <c r="J327" s="40"/>
    </row>
    <row r="328" spans="1:10">
      <c r="A328" s="729">
        <v>317</v>
      </c>
      <c r="B328" s="729">
        <v>30</v>
      </c>
      <c r="C328" s="729">
        <v>0.3</v>
      </c>
      <c r="D328" s="729">
        <v>5.681818181818182E-3</v>
      </c>
      <c r="E328" s="729">
        <f t="shared" si="24"/>
        <v>0.45408895265423244</v>
      </c>
      <c r="F328" s="729">
        <f t="shared" si="20"/>
        <v>-0.11533713496200139</v>
      </c>
      <c r="G328" s="729">
        <f t="shared" si="21"/>
        <v>3.4011973816621555</v>
      </c>
      <c r="H328" s="729">
        <f t="shared" si="22"/>
        <v>-1.2039728043259361</v>
      </c>
      <c r="I328" s="729">
        <f t="shared" si="23"/>
        <v>-5.1704839950381514</v>
      </c>
      <c r="J328" s="40"/>
    </row>
    <row r="329" spans="1:10">
      <c r="A329" s="729">
        <v>318</v>
      </c>
      <c r="B329" s="729">
        <v>30</v>
      </c>
      <c r="C329" s="729">
        <v>0.3</v>
      </c>
      <c r="D329" s="729">
        <v>5.681818181818182E-3</v>
      </c>
      <c r="E329" s="729">
        <f t="shared" si="24"/>
        <v>0.45552367288378764</v>
      </c>
      <c r="F329" s="729">
        <f t="shared" si="20"/>
        <v>-0.1117175724326336</v>
      </c>
      <c r="G329" s="729">
        <f t="shared" si="21"/>
        <v>3.4011973816621555</v>
      </c>
      <c r="H329" s="729">
        <f t="shared" si="22"/>
        <v>-1.2039728043259361</v>
      </c>
      <c r="I329" s="729">
        <f t="shared" si="23"/>
        <v>-5.1704839950381514</v>
      </c>
      <c r="J329" s="40"/>
    </row>
    <row r="330" spans="1:10">
      <c r="A330" s="729">
        <v>319</v>
      </c>
      <c r="B330" s="729">
        <v>30</v>
      </c>
      <c r="C330" s="729">
        <v>0.3</v>
      </c>
      <c r="D330" s="729">
        <v>5.681818181818182E-3</v>
      </c>
      <c r="E330" s="729">
        <f t="shared" si="24"/>
        <v>0.45695839311334291</v>
      </c>
      <c r="F330" s="729">
        <f t="shared" si="20"/>
        <v>-0.10809947295439938</v>
      </c>
      <c r="G330" s="729">
        <f t="shared" si="21"/>
        <v>3.4011973816621555</v>
      </c>
      <c r="H330" s="729">
        <f t="shared" si="22"/>
        <v>-1.2039728043259361</v>
      </c>
      <c r="I330" s="729">
        <f t="shared" si="23"/>
        <v>-5.1704839950381514</v>
      </c>
      <c r="J330" s="40"/>
    </row>
    <row r="331" spans="1:10">
      <c r="A331" s="729">
        <v>320</v>
      </c>
      <c r="B331" s="729">
        <v>30</v>
      </c>
      <c r="C331" s="729">
        <v>0.3</v>
      </c>
      <c r="D331" s="729">
        <v>5.681818181818182E-3</v>
      </c>
      <c r="E331" s="729">
        <f t="shared" si="24"/>
        <v>0.45839311334289812</v>
      </c>
      <c r="F331" s="729">
        <f t="shared" si="20"/>
        <v>-0.10448278801926142</v>
      </c>
      <c r="G331" s="729">
        <f t="shared" si="21"/>
        <v>3.4011973816621555</v>
      </c>
      <c r="H331" s="729">
        <f t="shared" si="22"/>
        <v>-1.2039728043259361</v>
      </c>
      <c r="I331" s="729">
        <f t="shared" si="23"/>
        <v>-5.1704839950381514</v>
      </c>
      <c r="J331" s="40"/>
    </row>
    <row r="332" spans="1:10">
      <c r="A332" s="729">
        <v>321</v>
      </c>
      <c r="B332" s="729">
        <v>30</v>
      </c>
      <c r="C332" s="729">
        <v>0.3</v>
      </c>
      <c r="D332" s="729">
        <v>5.681818181818182E-3</v>
      </c>
      <c r="E332" s="729">
        <f t="shared" si="24"/>
        <v>0.45982783357245338</v>
      </c>
      <c r="F332" s="729">
        <f t="shared" ref="F332:F395" si="25">NORMSINV(E332)</f>
        <v>-0.1008674692500537</v>
      </c>
      <c r="G332" s="729">
        <f t="shared" ref="G332:G395" si="26">LN(B332)</f>
        <v>3.4011973816621555</v>
      </c>
      <c r="H332" s="729">
        <f t="shared" ref="H332:H395" si="27">LN(C332)</f>
        <v>-1.2039728043259361</v>
      </c>
      <c r="I332" s="729">
        <f t="shared" ref="I332:I395" si="28">LN(D332)</f>
        <v>-5.1704839950381514</v>
      </c>
      <c r="J332" s="40"/>
    </row>
    <row r="333" spans="1:10">
      <c r="A333" s="729">
        <v>322</v>
      </c>
      <c r="B333" s="729">
        <v>30</v>
      </c>
      <c r="C333" s="729">
        <v>0.3</v>
      </c>
      <c r="D333" s="729">
        <v>5.681818181818182E-3</v>
      </c>
      <c r="E333" s="729">
        <f t="shared" ref="E333:E396" si="29">(A333-0.5)/697</f>
        <v>0.46126255380200859</v>
      </c>
      <c r="F333" s="729">
        <f t="shared" si="25"/>
        <v>-9.7253468395827061E-2</v>
      </c>
      <c r="G333" s="729">
        <f t="shared" si="26"/>
        <v>3.4011973816621555</v>
      </c>
      <c r="H333" s="729">
        <f t="shared" si="27"/>
        <v>-1.2039728043259361</v>
      </c>
      <c r="I333" s="729">
        <f t="shared" si="28"/>
        <v>-5.1704839950381514</v>
      </c>
      <c r="J333" s="40"/>
    </row>
    <row r="334" spans="1:10">
      <c r="A334" s="729">
        <v>323</v>
      </c>
      <c r="B334" s="729">
        <v>30</v>
      </c>
      <c r="C334" s="729">
        <v>0.3</v>
      </c>
      <c r="D334" s="729">
        <v>5.681818181818182E-3</v>
      </c>
      <c r="E334" s="729">
        <f t="shared" si="29"/>
        <v>0.46269727403156385</v>
      </c>
      <c r="F334" s="729">
        <f t="shared" si="25"/>
        <v>-9.3640737327223486E-2</v>
      </c>
      <c r="G334" s="729">
        <f t="shared" si="26"/>
        <v>3.4011973816621555</v>
      </c>
      <c r="H334" s="729">
        <f t="shared" si="27"/>
        <v>-1.2039728043259361</v>
      </c>
      <c r="I334" s="729">
        <f t="shared" si="28"/>
        <v>-5.1704839950381514</v>
      </c>
      <c r="J334" s="40"/>
    </row>
    <row r="335" spans="1:10">
      <c r="A335" s="729">
        <v>324</v>
      </c>
      <c r="B335" s="729">
        <v>30</v>
      </c>
      <c r="C335" s="729">
        <v>0.3</v>
      </c>
      <c r="D335" s="729">
        <v>5.681818181818182E-3</v>
      </c>
      <c r="E335" s="729">
        <f t="shared" si="29"/>
        <v>0.46413199426111906</v>
      </c>
      <c r="F335" s="729">
        <f t="shared" si="25"/>
        <v>-9.0029228031881417E-2</v>
      </c>
      <c r="G335" s="729">
        <f t="shared" si="26"/>
        <v>3.4011973816621555</v>
      </c>
      <c r="H335" s="729">
        <f t="shared" si="27"/>
        <v>-1.2039728043259361</v>
      </c>
      <c r="I335" s="729">
        <f t="shared" si="28"/>
        <v>-5.1704839950381514</v>
      </c>
      <c r="J335" s="40"/>
    </row>
    <row r="336" spans="1:10">
      <c r="A336" s="729">
        <v>325</v>
      </c>
      <c r="B336" s="729">
        <v>30</v>
      </c>
      <c r="C336" s="729">
        <v>0.3</v>
      </c>
      <c r="D336" s="729">
        <v>5.681818181818182E-3</v>
      </c>
      <c r="E336" s="729">
        <f t="shared" si="29"/>
        <v>0.46556671449067433</v>
      </c>
      <c r="F336" s="729">
        <f t="shared" si="25"/>
        <v>-8.641889260986757E-2</v>
      </c>
      <c r="G336" s="729">
        <f t="shared" si="26"/>
        <v>3.4011973816621555</v>
      </c>
      <c r="H336" s="729">
        <f t="shared" si="27"/>
        <v>-1.2039728043259361</v>
      </c>
      <c r="I336" s="729">
        <f t="shared" si="28"/>
        <v>-5.1704839950381514</v>
      </c>
      <c r="J336" s="40"/>
    </row>
    <row r="337" spans="1:10">
      <c r="A337" s="729">
        <v>326</v>
      </c>
      <c r="B337" s="729">
        <v>30</v>
      </c>
      <c r="C337" s="729">
        <v>0.3</v>
      </c>
      <c r="D337" s="729">
        <v>5.681818181818182E-3</v>
      </c>
      <c r="E337" s="729">
        <f t="shared" si="29"/>
        <v>0.46700143472022954</v>
      </c>
      <c r="F337" s="729">
        <f t="shared" si="25"/>
        <v>-8.2809683269137416E-2</v>
      </c>
      <c r="G337" s="729">
        <f t="shared" si="26"/>
        <v>3.4011973816621555</v>
      </c>
      <c r="H337" s="729">
        <f t="shared" si="27"/>
        <v>-1.2039728043259361</v>
      </c>
      <c r="I337" s="729">
        <f t="shared" si="28"/>
        <v>-5.1704839950381514</v>
      </c>
      <c r="J337" s="40"/>
    </row>
    <row r="338" spans="1:10">
      <c r="A338" s="729">
        <v>327</v>
      </c>
      <c r="B338" s="729">
        <v>30</v>
      </c>
      <c r="C338" s="729">
        <v>0.3</v>
      </c>
      <c r="D338" s="729">
        <v>5.681818181818182E-3</v>
      </c>
      <c r="E338" s="729">
        <f t="shared" si="29"/>
        <v>0.4684361549497848</v>
      </c>
      <c r="F338" s="729">
        <f t="shared" si="25"/>
        <v>-7.9201552321019775E-2</v>
      </c>
      <c r="G338" s="729">
        <f t="shared" si="26"/>
        <v>3.4011973816621555</v>
      </c>
      <c r="H338" s="729">
        <f t="shared" si="27"/>
        <v>-1.2039728043259361</v>
      </c>
      <c r="I338" s="729">
        <f t="shared" si="28"/>
        <v>-5.1704839950381514</v>
      </c>
      <c r="J338" s="40"/>
    </row>
    <row r="339" spans="1:10">
      <c r="A339" s="729">
        <v>328</v>
      </c>
      <c r="B339" s="729">
        <v>30</v>
      </c>
      <c r="C339" s="729">
        <v>0.3</v>
      </c>
      <c r="D339" s="729">
        <v>5.681818181818182E-3</v>
      </c>
      <c r="E339" s="729">
        <f t="shared" si="29"/>
        <v>0.46987087517934001</v>
      </c>
      <c r="F339" s="729">
        <f t="shared" si="25"/>
        <v>-7.5594452175728147E-2</v>
      </c>
      <c r="G339" s="729">
        <f t="shared" si="26"/>
        <v>3.4011973816621555</v>
      </c>
      <c r="H339" s="729">
        <f t="shared" si="27"/>
        <v>-1.2039728043259361</v>
      </c>
      <c r="I339" s="729">
        <f t="shared" si="28"/>
        <v>-5.1704839950381514</v>
      </c>
      <c r="J339" s="40"/>
    </row>
    <row r="340" spans="1:10">
      <c r="A340" s="729">
        <v>329</v>
      </c>
      <c r="B340" s="729">
        <v>30</v>
      </c>
      <c r="C340" s="729">
        <v>0.3</v>
      </c>
      <c r="D340" s="729">
        <v>5.681818181818182E-3</v>
      </c>
      <c r="E340" s="729">
        <f t="shared" si="29"/>
        <v>0.47130559540889527</v>
      </c>
      <c r="F340" s="729">
        <f t="shared" si="25"/>
        <v>-7.1988335337893561E-2</v>
      </c>
      <c r="G340" s="729">
        <f t="shared" si="26"/>
        <v>3.4011973816621555</v>
      </c>
      <c r="H340" s="729">
        <f t="shared" si="27"/>
        <v>-1.2039728043259361</v>
      </c>
      <c r="I340" s="729">
        <f t="shared" si="28"/>
        <v>-5.1704839950381514</v>
      </c>
      <c r="J340" s="40"/>
    </row>
    <row r="341" spans="1:10">
      <c r="A341" s="729">
        <v>330</v>
      </c>
      <c r="B341" s="729">
        <v>30</v>
      </c>
      <c r="C341" s="729">
        <v>0.3</v>
      </c>
      <c r="D341" s="729">
        <v>5.681818181818182E-3</v>
      </c>
      <c r="E341" s="729">
        <f t="shared" si="29"/>
        <v>0.47274031563845048</v>
      </c>
      <c r="F341" s="729">
        <f t="shared" si="25"/>
        <v>-6.8383154402122046E-2</v>
      </c>
      <c r="G341" s="729">
        <f t="shared" si="26"/>
        <v>3.4011973816621555</v>
      </c>
      <c r="H341" s="729">
        <f t="shared" si="27"/>
        <v>-1.2039728043259361</v>
      </c>
      <c r="I341" s="729">
        <f t="shared" si="28"/>
        <v>-5.1704839950381514</v>
      </c>
      <c r="J341" s="40"/>
    </row>
    <row r="342" spans="1:10">
      <c r="A342" s="729">
        <v>331</v>
      </c>
      <c r="B342" s="729">
        <v>30</v>
      </c>
      <c r="C342" s="729">
        <v>0.3</v>
      </c>
      <c r="D342" s="729">
        <v>5.681818181818182E-3</v>
      </c>
      <c r="E342" s="729">
        <f t="shared" si="29"/>
        <v>0.47417503586800575</v>
      </c>
      <c r="F342" s="729">
        <f t="shared" si="25"/>
        <v>-6.4778862048571514E-2</v>
      </c>
      <c r="G342" s="729">
        <f t="shared" si="26"/>
        <v>3.4011973816621555</v>
      </c>
      <c r="H342" s="729">
        <f t="shared" si="27"/>
        <v>-1.2039728043259361</v>
      </c>
      <c r="I342" s="729">
        <f t="shared" si="28"/>
        <v>-5.1704839950381514</v>
      </c>
      <c r="J342" s="40"/>
    </row>
    <row r="343" spans="1:10">
      <c r="A343" s="729">
        <v>332</v>
      </c>
      <c r="B343" s="729">
        <v>30</v>
      </c>
      <c r="C343" s="729">
        <v>0.3</v>
      </c>
      <c r="D343" s="729">
        <v>5.681818181818182E-3</v>
      </c>
      <c r="E343" s="729">
        <f t="shared" si="29"/>
        <v>0.47560975609756095</v>
      </c>
      <c r="F343" s="729">
        <f t="shared" si="25"/>
        <v>-6.1175411038551106E-2</v>
      </c>
      <c r="G343" s="729">
        <f t="shared" si="26"/>
        <v>3.4011973816621555</v>
      </c>
      <c r="H343" s="729">
        <f t="shared" si="27"/>
        <v>-1.2039728043259361</v>
      </c>
      <c r="I343" s="729">
        <f t="shared" si="28"/>
        <v>-5.1704839950381514</v>
      </c>
      <c r="J343" s="40"/>
    </row>
    <row r="344" spans="1:10">
      <c r="A344" s="729">
        <v>333</v>
      </c>
      <c r="B344" s="729">
        <v>30</v>
      </c>
      <c r="C344" s="729">
        <v>0.3</v>
      </c>
      <c r="D344" s="729">
        <v>5.681818181818182E-3</v>
      </c>
      <c r="E344" s="729">
        <f t="shared" si="29"/>
        <v>0.47704447632711622</v>
      </c>
      <c r="F344" s="729">
        <f t="shared" si="25"/>
        <v>-5.757275421013755E-2</v>
      </c>
      <c r="G344" s="729">
        <f t="shared" si="26"/>
        <v>3.4011973816621555</v>
      </c>
      <c r="H344" s="729">
        <f t="shared" si="27"/>
        <v>-1.2039728043259361</v>
      </c>
      <c r="I344" s="729">
        <f t="shared" si="28"/>
        <v>-5.1704839950381514</v>
      </c>
      <c r="J344" s="40"/>
    </row>
    <row r="345" spans="1:10">
      <c r="A345" s="729">
        <v>334</v>
      </c>
      <c r="B345" s="729">
        <v>30</v>
      </c>
      <c r="C345" s="729">
        <v>0.3</v>
      </c>
      <c r="D345" s="729">
        <v>5.681818181818182E-3</v>
      </c>
      <c r="E345" s="729">
        <f t="shared" si="29"/>
        <v>0.47847919655667143</v>
      </c>
      <c r="F345" s="729">
        <f t="shared" si="25"/>
        <v>-5.3970844473812077E-2</v>
      </c>
      <c r="G345" s="729">
        <f t="shared" si="26"/>
        <v>3.4011973816621555</v>
      </c>
      <c r="H345" s="729">
        <f t="shared" si="27"/>
        <v>-1.2039728043259361</v>
      </c>
      <c r="I345" s="729">
        <f t="shared" si="28"/>
        <v>-5.1704839950381514</v>
      </c>
      <c r="J345" s="40"/>
    </row>
    <row r="346" spans="1:10">
      <c r="A346" s="729">
        <v>335</v>
      </c>
      <c r="B346" s="729">
        <v>30</v>
      </c>
      <c r="C346" s="327">
        <v>0.3</v>
      </c>
      <c r="D346" s="729">
        <v>5.681818181818182E-3</v>
      </c>
      <c r="E346" s="729">
        <f t="shared" si="29"/>
        <v>0.47991391678622669</v>
      </c>
      <c r="F346" s="729">
        <f t="shared" si="25"/>
        <v>-5.0369634808112261E-2</v>
      </c>
      <c r="G346" s="729">
        <f t="shared" si="26"/>
        <v>3.4011973816621555</v>
      </c>
      <c r="H346" s="729">
        <f t="shared" si="27"/>
        <v>-1.2039728043259361</v>
      </c>
      <c r="I346" s="729">
        <f t="shared" si="28"/>
        <v>-5.1704839950381514</v>
      </c>
      <c r="J346" s="40"/>
    </row>
    <row r="347" spans="1:10">
      <c r="A347" s="729">
        <v>336</v>
      </c>
      <c r="B347" s="729">
        <v>30</v>
      </c>
      <c r="C347" s="729">
        <v>0.32</v>
      </c>
      <c r="D347" s="729">
        <v>5.681818181818182E-3</v>
      </c>
      <c r="E347" s="729">
        <f t="shared" si="29"/>
        <v>0.4813486370157819</v>
      </c>
      <c r="F347" s="729">
        <f t="shared" si="25"/>
        <v>-4.6769078255302139E-2</v>
      </c>
      <c r="G347" s="729">
        <f t="shared" si="26"/>
        <v>3.4011973816621555</v>
      </c>
      <c r="H347" s="729">
        <f t="shared" si="27"/>
        <v>-1.1394342831883648</v>
      </c>
      <c r="I347" s="729">
        <f t="shared" si="28"/>
        <v>-5.1704839950381514</v>
      </c>
      <c r="J347" s="40"/>
    </row>
    <row r="348" spans="1:10">
      <c r="A348" s="729">
        <v>337</v>
      </c>
      <c r="B348" s="729">
        <v>30</v>
      </c>
      <c r="C348" s="729">
        <v>0.38</v>
      </c>
      <c r="D348" s="729">
        <v>5.681818181818182E-3</v>
      </c>
      <c r="E348" s="729">
        <f t="shared" si="29"/>
        <v>0.48278335724533716</v>
      </c>
      <c r="F348" s="729">
        <f t="shared" si="25"/>
        <v>-4.3169127917055197E-2</v>
      </c>
      <c r="G348" s="729">
        <f t="shared" si="26"/>
        <v>3.4011973816621555</v>
      </c>
      <c r="H348" s="729">
        <f t="shared" si="27"/>
        <v>-0.96758402626170559</v>
      </c>
      <c r="I348" s="729">
        <f t="shared" si="28"/>
        <v>-5.1704839950381514</v>
      </c>
      <c r="J348" s="40"/>
    </row>
    <row r="349" spans="1:10">
      <c r="A349" s="729">
        <v>338</v>
      </c>
      <c r="B349" s="729">
        <v>30</v>
      </c>
      <c r="C349" s="729">
        <v>0.38</v>
      </c>
      <c r="D349" s="729">
        <v>5.9659090909090903E-3</v>
      </c>
      <c r="E349" s="729">
        <f t="shared" si="29"/>
        <v>0.48421807747489237</v>
      </c>
      <c r="F349" s="729">
        <f t="shared" si="25"/>
        <v>-3.9569736950153638E-2</v>
      </c>
      <c r="G349" s="729">
        <f t="shared" si="26"/>
        <v>3.4011973816621555</v>
      </c>
      <c r="H349" s="729">
        <f t="shared" si="27"/>
        <v>-0.96758402626170559</v>
      </c>
      <c r="I349" s="729">
        <f t="shared" si="28"/>
        <v>-5.1216938308687201</v>
      </c>
      <c r="J349" s="40"/>
    </row>
    <row r="350" spans="1:10">
      <c r="A350" s="729">
        <v>339</v>
      </c>
      <c r="B350" s="729">
        <v>30</v>
      </c>
      <c r="C350" s="729">
        <v>0.4</v>
      </c>
      <c r="D350" s="729">
        <v>6.2499999999999995E-3</v>
      </c>
      <c r="E350" s="729">
        <f t="shared" si="29"/>
        <v>0.48565279770444764</v>
      </c>
      <c r="F350" s="729">
        <f t="shared" si="25"/>
        <v>-3.5970858562198442E-2</v>
      </c>
      <c r="G350" s="729">
        <f t="shared" si="26"/>
        <v>3.4011973816621555</v>
      </c>
      <c r="H350" s="729">
        <f t="shared" si="27"/>
        <v>-0.916290731874155</v>
      </c>
      <c r="I350" s="729">
        <f t="shared" si="28"/>
        <v>-5.0751738152338266</v>
      </c>
      <c r="J350" s="40"/>
    </row>
    <row r="351" spans="1:10">
      <c r="A351" s="729">
        <v>340</v>
      </c>
      <c r="B351" s="729">
        <v>30</v>
      </c>
      <c r="C351" s="729">
        <v>0.4</v>
      </c>
      <c r="D351" s="729">
        <v>6.6477272727272739E-3</v>
      </c>
      <c r="E351" s="729">
        <f t="shared" si="29"/>
        <v>0.48708751793400284</v>
      </c>
      <c r="F351" s="729">
        <f t="shared" si="25"/>
        <v>-3.2372446007333612E-2</v>
      </c>
      <c r="G351" s="729">
        <f t="shared" si="26"/>
        <v>3.4011973816621555</v>
      </c>
      <c r="H351" s="729">
        <f t="shared" si="27"/>
        <v>-0.916290731874155</v>
      </c>
      <c r="I351" s="729">
        <f t="shared" si="28"/>
        <v>-5.0134802462284869</v>
      </c>
      <c r="J351" s="40"/>
    </row>
    <row r="352" spans="1:10">
      <c r="A352" s="729">
        <v>341</v>
      </c>
      <c r="B352" s="729">
        <v>30</v>
      </c>
      <c r="C352" s="729">
        <v>0.4</v>
      </c>
      <c r="D352" s="729">
        <v>6.8181818181818179E-3</v>
      </c>
      <c r="E352" s="729">
        <f t="shared" si="29"/>
        <v>0.48852223816355811</v>
      </c>
      <c r="F352" s="729">
        <f t="shared" si="25"/>
        <v>-2.8774452581979137E-2</v>
      </c>
      <c r="G352" s="729">
        <f t="shared" si="26"/>
        <v>3.4011973816621555</v>
      </c>
      <c r="H352" s="729">
        <f t="shared" si="27"/>
        <v>-0.916290731874155</v>
      </c>
      <c r="I352" s="729">
        <f t="shared" si="28"/>
        <v>-4.9881624382441974</v>
      </c>
      <c r="J352" s="40"/>
    </row>
    <row r="353" spans="1:10">
      <c r="A353" s="729">
        <v>342</v>
      </c>
      <c r="B353" s="729">
        <v>30</v>
      </c>
      <c r="C353" s="729">
        <v>0.4</v>
      </c>
      <c r="D353" s="729">
        <v>6.9602272727272724E-3</v>
      </c>
      <c r="E353" s="729">
        <f t="shared" si="29"/>
        <v>0.48995695839311332</v>
      </c>
      <c r="F353" s="729">
        <f t="shared" si="25"/>
        <v>-2.517683162057625E-2</v>
      </c>
      <c r="G353" s="729">
        <f t="shared" si="26"/>
        <v>3.4011973816621555</v>
      </c>
      <c r="H353" s="729">
        <f t="shared" si="27"/>
        <v>-0.916290731874155</v>
      </c>
      <c r="I353" s="729">
        <f t="shared" si="28"/>
        <v>-4.9675431510414612</v>
      </c>
      <c r="J353" s="40"/>
    </row>
    <row r="354" spans="1:10">
      <c r="A354" s="729">
        <v>343</v>
      </c>
      <c r="B354" s="729">
        <v>30</v>
      </c>
      <c r="C354" s="729">
        <v>0.4</v>
      </c>
      <c r="D354" s="729">
        <v>7.102272727272727E-3</v>
      </c>
      <c r="E354" s="729">
        <f t="shared" si="29"/>
        <v>0.49139167862266858</v>
      </c>
      <c r="F354" s="729">
        <f t="shared" si="25"/>
        <v>-2.1579536491339233E-2</v>
      </c>
      <c r="G354" s="729">
        <f t="shared" si="26"/>
        <v>3.4011973816621555</v>
      </c>
      <c r="H354" s="729">
        <f t="shared" si="27"/>
        <v>-0.916290731874155</v>
      </c>
      <c r="I354" s="729">
        <f t="shared" si="28"/>
        <v>-4.9473404437239417</v>
      </c>
      <c r="J354" s="40"/>
    </row>
    <row r="355" spans="1:10">
      <c r="A355" s="729">
        <v>344</v>
      </c>
      <c r="B355" s="729">
        <v>30</v>
      </c>
      <c r="C355" s="729">
        <v>0.4</v>
      </c>
      <c r="D355" s="729">
        <v>7.102272727272727E-3</v>
      </c>
      <c r="E355" s="729">
        <f t="shared" si="29"/>
        <v>0.49282639885222379</v>
      </c>
      <c r="F355" s="729">
        <f t="shared" si="25"/>
        <v>-1.7982520592017562E-2</v>
      </c>
      <c r="G355" s="729">
        <f t="shared" si="26"/>
        <v>3.4011973816621555</v>
      </c>
      <c r="H355" s="729">
        <f t="shared" si="27"/>
        <v>-0.916290731874155</v>
      </c>
      <c r="I355" s="729">
        <f t="shared" si="28"/>
        <v>-4.9473404437239417</v>
      </c>
      <c r="J355" s="40"/>
    </row>
    <row r="356" spans="1:10">
      <c r="A356" s="729">
        <v>345</v>
      </c>
      <c r="B356" s="729">
        <v>30</v>
      </c>
      <c r="C356" s="729">
        <v>0.44</v>
      </c>
      <c r="D356" s="729">
        <v>7.102272727272727E-3</v>
      </c>
      <c r="E356" s="729">
        <f t="shared" si="29"/>
        <v>0.49426111908177905</v>
      </c>
      <c r="F356" s="729">
        <f t="shared" si="25"/>
        <v>-1.4385737345662652E-2</v>
      </c>
      <c r="G356" s="729">
        <f t="shared" si="26"/>
        <v>3.4011973816621555</v>
      </c>
      <c r="H356" s="729">
        <f t="shared" si="27"/>
        <v>-0.82098055206983023</v>
      </c>
      <c r="I356" s="729">
        <f t="shared" si="28"/>
        <v>-4.9473404437239417</v>
      </c>
      <c r="J356" s="40"/>
    </row>
    <row r="357" spans="1:10">
      <c r="A357" s="729">
        <v>346</v>
      </c>
      <c r="B357" s="729">
        <v>30</v>
      </c>
      <c r="C357" s="729">
        <v>0.49</v>
      </c>
      <c r="D357" s="729">
        <v>7.102272727272727E-3</v>
      </c>
      <c r="E357" s="729">
        <f t="shared" si="29"/>
        <v>0.49569583931133426</v>
      </c>
      <c r="F357" s="729">
        <f t="shared" si="25"/>
        <v>-1.0789140196402829E-2</v>
      </c>
      <c r="G357" s="729">
        <f t="shared" si="26"/>
        <v>3.4011973816621555</v>
      </c>
      <c r="H357" s="729">
        <f t="shared" si="27"/>
        <v>-0.71334988787746478</v>
      </c>
      <c r="I357" s="729">
        <f t="shared" si="28"/>
        <v>-4.9473404437239417</v>
      </c>
      <c r="J357" s="40"/>
    </row>
    <row r="358" spans="1:10">
      <c r="A358" s="729">
        <v>347</v>
      </c>
      <c r="B358" s="729">
        <v>30</v>
      </c>
      <c r="C358" s="729">
        <v>0.5</v>
      </c>
      <c r="D358" s="729">
        <v>7.102272727272727E-3</v>
      </c>
      <c r="E358" s="729">
        <f t="shared" si="29"/>
        <v>0.49713055954088953</v>
      </c>
      <c r="F358" s="729">
        <f t="shared" si="25"/>
        <v>-7.1926826052210197E-3</v>
      </c>
      <c r="G358" s="729">
        <f t="shared" si="26"/>
        <v>3.4011973816621555</v>
      </c>
      <c r="H358" s="729">
        <f t="shared" si="27"/>
        <v>-0.69314718055994529</v>
      </c>
      <c r="I358" s="729">
        <f t="shared" si="28"/>
        <v>-4.9473404437239417</v>
      </c>
      <c r="J358" s="40"/>
    </row>
    <row r="359" spans="1:10">
      <c r="A359" s="729">
        <v>348</v>
      </c>
      <c r="B359" s="729">
        <v>30</v>
      </c>
      <c r="C359" s="729">
        <v>0.5</v>
      </c>
      <c r="D359" s="729">
        <v>7.102272727272727E-3</v>
      </c>
      <c r="E359" s="729">
        <f t="shared" si="29"/>
        <v>0.49856527977044474</v>
      </c>
      <c r="F359" s="729">
        <f t="shared" si="25"/>
        <v>-3.5963180457385959E-3</v>
      </c>
      <c r="G359" s="729">
        <f t="shared" si="26"/>
        <v>3.4011973816621555</v>
      </c>
      <c r="H359" s="729">
        <f t="shared" si="27"/>
        <v>-0.69314718055994529</v>
      </c>
      <c r="I359" s="729">
        <f t="shared" si="28"/>
        <v>-4.9473404437239417</v>
      </c>
      <c r="J359" s="40"/>
    </row>
    <row r="360" spans="1:10">
      <c r="A360" s="729">
        <v>349</v>
      </c>
      <c r="B360" s="729">
        <v>30</v>
      </c>
      <c r="C360" s="729">
        <v>0.5</v>
      </c>
      <c r="D360" s="729">
        <v>7.102272727272727E-3</v>
      </c>
      <c r="E360" s="729">
        <f t="shared" si="29"/>
        <v>0.5</v>
      </c>
      <c r="F360" s="729">
        <f t="shared" si="25"/>
        <v>0</v>
      </c>
      <c r="G360" s="729">
        <f t="shared" si="26"/>
        <v>3.4011973816621555</v>
      </c>
      <c r="H360" s="729">
        <f t="shared" si="27"/>
        <v>-0.69314718055994529</v>
      </c>
      <c r="I360" s="729">
        <f t="shared" si="28"/>
        <v>-4.9473404437239417</v>
      </c>
      <c r="J360" s="40"/>
    </row>
    <row r="361" spans="1:10">
      <c r="A361" s="729">
        <v>350</v>
      </c>
      <c r="B361" s="729">
        <v>30</v>
      </c>
      <c r="C361" s="729">
        <v>0.5</v>
      </c>
      <c r="D361" s="729">
        <v>7.102272727272727E-3</v>
      </c>
      <c r="E361" s="729">
        <f t="shared" si="29"/>
        <v>0.50143472022955526</v>
      </c>
      <c r="F361" s="729">
        <f t="shared" si="25"/>
        <v>3.5963180457385959E-3</v>
      </c>
      <c r="G361" s="729">
        <f t="shared" si="26"/>
        <v>3.4011973816621555</v>
      </c>
      <c r="H361" s="729">
        <f t="shared" si="27"/>
        <v>-0.69314718055994529</v>
      </c>
      <c r="I361" s="729">
        <f t="shared" si="28"/>
        <v>-4.9473404437239417</v>
      </c>
      <c r="J361" s="40"/>
    </row>
    <row r="362" spans="1:10">
      <c r="A362" s="729">
        <v>351</v>
      </c>
      <c r="B362" s="729">
        <v>30</v>
      </c>
      <c r="C362" s="729">
        <v>0.5</v>
      </c>
      <c r="D362" s="729">
        <v>7.102272727272727E-3</v>
      </c>
      <c r="E362" s="729">
        <f t="shared" si="29"/>
        <v>0.50286944045911053</v>
      </c>
      <c r="F362" s="729">
        <f t="shared" si="25"/>
        <v>7.1926826052211594E-3</v>
      </c>
      <c r="G362" s="729">
        <f t="shared" si="26"/>
        <v>3.4011973816621555</v>
      </c>
      <c r="H362" s="729">
        <f t="shared" si="27"/>
        <v>-0.69314718055994529</v>
      </c>
      <c r="I362" s="729">
        <f t="shared" si="28"/>
        <v>-4.9473404437239417</v>
      </c>
      <c r="J362" s="40"/>
    </row>
    <row r="363" spans="1:10">
      <c r="A363" s="729">
        <v>352</v>
      </c>
      <c r="B363" s="729">
        <v>30</v>
      </c>
      <c r="C363" s="729">
        <v>0.5</v>
      </c>
      <c r="D363" s="729">
        <v>7.102272727272727E-3</v>
      </c>
      <c r="E363" s="729">
        <f t="shared" si="29"/>
        <v>0.50430416068866568</v>
      </c>
      <c r="F363" s="729">
        <f t="shared" si="25"/>
        <v>1.078914019640269E-2</v>
      </c>
      <c r="G363" s="729">
        <f t="shared" si="26"/>
        <v>3.4011973816621555</v>
      </c>
      <c r="H363" s="729">
        <f t="shared" si="27"/>
        <v>-0.69314718055994529</v>
      </c>
      <c r="I363" s="729">
        <f t="shared" si="28"/>
        <v>-4.9473404437239417</v>
      </c>
      <c r="J363" s="40"/>
    </row>
    <row r="364" spans="1:10">
      <c r="A364" s="729">
        <v>353</v>
      </c>
      <c r="B364" s="729">
        <v>30</v>
      </c>
      <c r="C364" s="729">
        <v>0.5</v>
      </c>
      <c r="D364" s="729">
        <v>7.3863636363636362E-3</v>
      </c>
      <c r="E364" s="729">
        <f t="shared" si="29"/>
        <v>0.50573888091822095</v>
      </c>
      <c r="F364" s="729">
        <f t="shared" si="25"/>
        <v>1.4385737345662652E-2</v>
      </c>
      <c r="G364" s="729">
        <f t="shared" si="26"/>
        <v>3.4011973816621555</v>
      </c>
      <c r="H364" s="729">
        <f t="shared" si="27"/>
        <v>-0.69314718055994529</v>
      </c>
      <c r="I364" s="729">
        <f t="shared" si="28"/>
        <v>-4.908119730570661</v>
      </c>
      <c r="J364" s="40"/>
    </row>
    <row r="365" spans="1:10">
      <c r="A365" s="729">
        <v>354</v>
      </c>
      <c r="B365" s="729">
        <v>33</v>
      </c>
      <c r="C365" s="729">
        <v>0.5</v>
      </c>
      <c r="D365" s="729">
        <v>7.3863636363636362E-3</v>
      </c>
      <c r="E365" s="729">
        <f t="shared" si="29"/>
        <v>0.50717360114777621</v>
      </c>
      <c r="F365" s="729">
        <f t="shared" si="25"/>
        <v>1.7982520592017562E-2</v>
      </c>
      <c r="G365" s="729">
        <f t="shared" si="26"/>
        <v>3.4965075614664802</v>
      </c>
      <c r="H365" s="729">
        <f t="shared" si="27"/>
        <v>-0.69314718055994529</v>
      </c>
      <c r="I365" s="729">
        <f t="shared" si="28"/>
        <v>-4.908119730570661</v>
      </c>
      <c r="J365" s="40"/>
    </row>
    <row r="366" spans="1:10">
      <c r="A366" s="729">
        <v>355</v>
      </c>
      <c r="B366" s="729">
        <v>33</v>
      </c>
      <c r="C366" s="729">
        <v>0.5</v>
      </c>
      <c r="D366" s="729">
        <v>7.3863636363636362E-3</v>
      </c>
      <c r="E366" s="729">
        <f t="shared" si="29"/>
        <v>0.50860832137733147</v>
      </c>
      <c r="F366" s="729">
        <f t="shared" si="25"/>
        <v>2.1579536491339372E-2</v>
      </c>
      <c r="G366" s="729">
        <f t="shared" si="26"/>
        <v>3.4965075614664802</v>
      </c>
      <c r="H366" s="729">
        <f t="shared" si="27"/>
        <v>-0.69314718055994529</v>
      </c>
      <c r="I366" s="729">
        <f t="shared" si="28"/>
        <v>-4.908119730570661</v>
      </c>
      <c r="J366" s="40"/>
    </row>
    <row r="367" spans="1:10">
      <c r="A367" s="729">
        <v>356</v>
      </c>
      <c r="B367" s="729">
        <v>33</v>
      </c>
      <c r="C367" s="729">
        <v>0.5</v>
      </c>
      <c r="D367" s="729">
        <v>7.4999999999999997E-3</v>
      </c>
      <c r="E367" s="729">
        <f t="shared" si="29"/>
        <v>0.51004304160688663</v>
      </c>
      <c r="F367" s="729">
        <f t="shared" si="25"/>
        <v>2.5176831620576112E-2</v>
      </c>
      <c r="G367" s="729">
        <f t="shared" si="26"/>
        <v>3.4965075614664802</v>
      </c>
      <c r="H367" s="729">
        <f t="shared" si="27"/>
        <v>-0.69314718055994529</v>
      </c>
      <c r="I367" s="729">
        <f t="shared" si="28"/>
        <v>-4.8928522584398726</v>
      </c>
      <c r="J367" s="40"/>
    </row>
    <row r="368" spans="1:10">
      <c r="A368" s="729">
        <v>357</v>
      </c>
      <c r="B368" s="729">
        <v>33</v>
      </c>
      <c r="C368" s="729">
        <v>0.5</v>
      </c>
      <c r="D368" s="729">
        <v>7.5284090909090908E-3</v>
      </c>
      <c r="E368" s="729">
        <f t="shared" si="29"/>
        <v>0.51147776183644189</v>
      </c>
      <c r="F368" s="729">
        <f t="shared" si="25"/>
        <v>2.8774452581979137E-2</v>
      </c>
      <c r="G368" s="729">
        <f t="shared" si="26"/>
        <v>3.4965075614664802</v>
      </c>
      <c r="H368" s="729">
        <f t="shared" si="27"/>
        <v>-0.69314718055994529</v>
      </c>
      <c r="I368" s="729">
        <f t="shared" si="28"/>
        <v>-4.8890715355999665</v>
      </c>
      <c r="J368" s="40"/>
    </row>
    <row r="369" spans="1:10">
      <c r="A369" s="729">
        <v>358</v>
      </c>
      <c r="B369" s="729">
        <v>33</v>
      </c>
      <c r="C369" s="729">
        <v>0.5</v>
      </c>
      <c r="D369" s="729">
        <v>7.7272727272727276E-3</v>
      </c>
      <c r="E369" s="729">
        <f t="shared" si="29"/>
        <v>0.51291248206599716</v>
      </c>
      <c r="F369" s="729">
        <f t="shared" si="25"/>
        <v>3.2372446007333612E-2</v>
      </c>
      <c r="G369" s="729">
        <f t="shared" si="26"/>
        <v>3.4965075614664802</v>
      </c>
      <c r="H369" s="729">
        <f t="shared" si="27"/>
        <v>-0.69314718055994529</v>
      </c>
      <c r="I369" s="729">
        <f t="shared" si="28"/>
        <v>-4.8629992952901908</v>
      </c>
      <c r="J369" s="40"/>
    </row>
    <row r="370" spans="1:10">
      <c r="A370" s="729">
        <v>359</v>
      </c>
      <c r="B370" s="729">
        <v>33</v>
      </c>
      <c r="C370" s="729">
        <v>0.5</v>
      </c>
      <c r="D370" s="729">
        <v>7.8125E-3</v>
      </c>
      <c r="E370" s="729">
        <f t="shared" si="29"/>
        <v>0.51434720229555242</v>
      </c>
      <c r="F370" s="729">
        <f t="shared" si="25"/>
        <v>3.5970858562198581E-2</v>
      </c>
      <c r="G370" s="729">
        <f t="shared" si="26"/>
        <v>3.4965075614664802</v>
      </c>
      <c r="H370" s="729">
        <f t="shared" si="27"/>
        <v>-0.69314718055994529</v>
      </c>
      <c r="I370" s="729">
        <f t="shared" si="28"/>
        <v>-4.8520302639196169</v>
      </c>
      <c r="J370" s="40"/>
    </row>
    <row r="371" spans="1:10">
      <c r="A371" s="729">
        <v>360</v>
      </c>
      <c r="B371" s="729">
        <v>33</v>
      </c>
      <c r="C371" s="729">
        <v>0.5</v>
      </c>
      <c r="D371" s="729">
        <v>7.8125E-3</v>
      </c>
      <c r="E371" s="729">
        <f t="shared" si="29"/>
        <v>0.51578192252510757</v>
      </c>
      <c r="F371" s="729">
        <f t="shared" si="25"/>
        <v>3.9569736950153492E-2</v>
      </c>
      <c r="G371" s="729">
        <f t="shared" si="26"/>
        <v>3.4965075614664802</v>
      </c>
      <c r="H371" s="729">
        <f t="shared" si="27"/>
        <v>-0.69314718055994529</v>
      </c>
      <c r="I371" s="729">
        <f t="shared" si="28"/>
        <v>-4.8520302639196169</v>
      </c>
      <c r="J371" s="40"/>
    </row>
    <row r="372" spans="1:10">
      <c r="A372" s="729">
        <v>361</v>
      </c>
      <c r="B372" s="729">
        <v>33</v>
      </c>
      <c r="C372" s="729">
        <v>0.5</v>
      </c>
      <c r="D372" s="729">
        <v>7.9545454545454555E-3</v>
      </c>
      <c r="E372" s="729">
        <f t="shared" si="29"/>
        <v>0.51721664275466284</v>
      </c>
      <c r="F372" s="729">
        <f t="shared" si="25"/>
        <v>4.3169127917055197E-2</v>
      </c>
      <c r="G372" s="729">
        <f t="shared" si="26"/>
        <v>3.4965075614664802</v>
      </c>
      <c r="H372" s="729">
        <f t="shared" si="27"/>
        <v>-0.69314718055994529</v>
      </c>
      <c r="I372" s="729">
        <f t="shared" si="28"/>
        <v>-4.8340117584169384</v>
      </c>
      <c r="J372" s="40"/>
    </row>
    <row r="373" spans="1:10">
      <c r="A373" s="729">
        <v>362</v>
      </c>
      <c r="B373" s="729">
        <v>33</v>
      </c>
      <c r="C373" s="729">
        <v>0.5</v>
      </c>
      <c r="D373" s="729">
        <v>8.3806818181818166E-3</v>
      </c>
      <c r="E373" s="729">
        <f t="shared" si="29"/>
        <v>0.5186513629842181</v>
      </c>
      <c r="F373" s="729">
        <f t="shared" si="25"/>
        <v>4.6769078255302139E-2</v>
      </c>
      <c r="G373" s="729">
        <f t="shared" si="26"/>
        <v>3.4965075614664802</v>
      </c>
      <c r="H373" s="729">
        <f t="shared" si="27"/>
        <v>-0.69314718055994529</v>
      </c>
      <c r="I373" s="729">
        <f t="shared" si="28"/>
        <v>-4.7818260052463692</v>
      </c>
      <c r="J373" s="40"/>
    </row>
    <row r="374" spans="1:10">
      <c r="A374" s="729">
        <v>363</v>
      </c>
      <c r="B374" s="729">
        <v>33</v>
      </c>
      <c r="C374" s="729">
        <v>0.5</v>
      </c>
      <c r="D374" s="729">
        <v>8.5227272727272721E-3</v>
      </c>
      <c r="E374" s="729">
        <f t="shared" si="29"/>
        <v>0.52008608321377336</v>
      </c>
      <c r="F374" s="729">
        <f t="shared" si="25"/>
        <v>5.03696348081124E-2</v>
      </c>
      <c r="G374" s="729">
        <f t="shared" si="26"/>
        <v>3.4965075614664802</v>
      </c>
      <c r="H374" s="729">
        <f t="shared" si="27"/>
        <v>-0.69314718055994529</v>
      </c>
      <c r="I374" s="729">
        <f t="shared" si="28"/>
        <v>-4.7650188869299877</v>
      </c>
      <c r="J374" s="40"/>
    </row>
    <row r="375" spans="1:10">
      <c r="A375" s="729">
        <v>364</v>
      </c>
      <c r="B375" s="729">
        <v>33</v>
      </c>
      <c r="C375" s="729">
        <v>0.5</v>
      </c>
      <c r="D375" s="729">
        <v>8.5227272727272721E-3</v>
      </c>
      <c r="E375" s="729">
        <f t="shared" si="29"/>
        <v>0.52152080344332852</v>
      </c>
      <c r="F375" s="729">
        <f t="shared" si="25"/>
        <v>5.3970844473811931E-2</v>
      </c>
      <c r="G375" s="729">
        <f t="shared" si="26"/>
        <v>3.4965075614664802</v>
      </c>
      <c r="H375" s="729">
        <f t="shared" si="27"/>
        <v>-0.69314718055994529</v>
      </c>
      <c r="I375" s="729">
        <f t="shared" si="28"/>
        <v>-4.7650188869299877</v>
      </c>
      <c r="J375" s="40"/>
    </row>
    <row r="376" spans="1:10">
      <c r="A376" s="729">
        <v>365</v>
      </c>
      <c r="B376" s="729">
        <v>33</v>
      </c>
      <c r="C376" s="729">
        <v>0.5</v>
      </c>
      <c r="D376" s="729">
        <v>8.5227272727272721E-3</v>
      </c>
      <c r="E376" s="729">
        <f t="shared" si="29"/>
        <v>0.52295552367288378</v>
      </c>
      <c r="F376" s="729">
        <f t="shared" si="25"/>
        <v>5.757275421013755E-2</v>
      </c>
      <c r="G376" s="729">
        <f t="shared" si="26"/>
        <v>3.4965075614664802</v>
      </c>
      <c r="H376" s="729">
        <f t="shared" si="27"/>
        <v>-0.69314718055994529</v>
      </c>
      <c r="I376" s="729">
        <f t="shared" si="28"/>
        <v>-4.7650188869299877</v>
      </c>
      <c r="J376" s="40"/>
    </row>
    <row r="377" spans="1:10">
      <c r="A377" s="729">
        <v>366</v>
      </c>
      <c r="B377" s="729">
        <v>33</v>
      </c>
      <c r="C377" s="729">
        <v>0.5</v>
      </c>
      <c r="D377" s="729">
        <v>8.5227272727272721E-3</v>
      </c>
      <c r="E377" s="729">
        <f t="shared" si="29"/>
        <v>0.52439024390243905</v>
      </c>
      <c r="F377" s="729">
        <f t="shared" si="25"/>
        <v>6.1175411038551106E-2</v>
      </c>
      <c r="G377" s="729">
        <f t="shared" si="26"/>
        <v>3.4965075614664802</v>
      </c>
      <c r="H377" s="729">
        <f t="shared" si="27"/>
        <v>-0.69314718055994529</v>
      </c>
      <c r="I377" s="729">
        <f t="shared" si="28"/>
        <v>-4.7650188869299877</v>
      </c>
      <c r="J377" s="40"/>
    </row>
    <row r="378" spans="1:10">
      <c r="A378" s="729">
        <v>367</v>
      </c>
      <c r="B378" s="729">
        <v>33</v>
      </c>
      <c r="C378" s="729">
        <v>0.5</v>
      </c>
      <c r="D378" s="729">
        <v>8.5227272727272721E-3</v>
      </c>
      <c r="E378" s="729">
        <f t="shared" si="29"/>
        <v>0.52582496413199431</v>
      </c>
      <c r="F378" s="729">
        <f t="shared" si="25"/>
        <v>6.4778862048571667E-2</v>
      </c>
      <c r="G378" s="729">
        <f t="shared" si="26"/>
        <v>3.4965075614664802</v>
      </c>
      <c r="H378" s="729">
        <f t="shared" si="27"/>
        <v>-0.69314718055994529</v>
      </c>
      <c r="I378" s="729">
        <f t="shared" si="28"/>
        <v>-4.7650188869299877</v>
      </c>
      <c r="J378" s="40"/>
    </row>
    <row r="379" spans="1:10">
      <c r="A379" s="729">
        <v>368</v>
      </c>
      <c r="B379" s="729">
        <v>33</v>
      </c>
      <c r="C379" s="729">
        <v>0.5</v>
      </c>
      <c r="D379" s="729">
        <v>8.5227272727272721E-3</v>
      </c>
      <c r="E379" s="729">
        <f t="shared" si="29"/>
        <v>0.52725968436154946</v>
      </c>
      <c r="F379" s="729">
        <f t="shared" si="25"/>
        <v>6.8383154402121907E-2</v>
      </c>
      <c r="G379" s="729">
        <f t="shared" si="26"/>
        <v>3.4965075614664802</v>
      </c>
      <c r="H379" s="729">
        <f t="shared" si="27"/>
        <v>-0.69314718055994529</v>
      </c>
      <c r="I379" s="729">
        <f t="shared" si="28"/>
        <v>-4.7650188869299877</v>
      </c>
      <c r="J379" s="40"/>
    </row>
    <row r="380" spans="1:10">
      <c r="A380" s="729">
        <v>369</v>
      </c>
      <c r="B380" s="729">
        <v>33</v>
      </c>
      <c r="C380" s="729">
        <v>0.5</v>
      </c>
      <c r="D380" s="729">
        <v>8.5227272727272721E-3</v>
      </c>
      <c r="E380" s="729">
        <f t="shared" si="29"/>
        <v>0.52869440459110473</v>
      </c>
      <c r="F380" s="729">
        <f t="shared" si="25"/>
        <v>7.1988335337893561E-2</v>
      </c>
      <c r="G380" s="729">
        <f t="shared" si="26"/>
        <v>3.4965075614664802</v>
      </c>
      <c r="H380" s="729">
        <f t="shared" si="27"/>
        <v>-0.69314718055994529</v>
      </c>
      <c r="I380" s="729">
        <f t="shared" si="28"/>
        <v>-4.7650188869299877</v>
      </c>
      <c r="J380" s="40"/>
    </row>
    <row r="381" spans="1:10">
      <c r="A381" s="729">
        <v>370</v>
      </c>
      <c r="B381" s="729">
        <v>33</v>
      </c>
      <c r="C381" s="729">
        <v>0.5</v>
      </c>
      <c r="D381" s="729">
        <v>8.5227272727272721E-3</v>
      </c>
      <c r="E381" s="729">
        <f t="shared" si="29"/>
        <v>0.53012912482065999</v>
      </c>
      <c r="F381" s="729">
        <f t="shared" si="25"/>
        <v>7.5594452175728147E-2</v>
      </c>
      <c r="G381" s="729">
        <f t="shared" si="26"/>
        <v>3.4965075614664802</v>
      </c>
      <c r="H381" s="729">
        <f t="shared" si="27"/>
        <v>-0.69314718055994529</v>
      </c>
      <c r="I381" s="729">
        <f t="shared" si="28"/>
        <v>-4.7650188869299877</v>
      </c>
      <c r="J381" s="40"/>
    </row>
    <row r="382" spans="1:10">
      <c r="A382" s="729">
        <v>371</v>
      </c>
      <c r="B382" s="729">
        <v>33</v>
      </c>
      <c r="C382" s="729">
        <v>0.5</v>
      </c>
      <c r="D382" s="729">
        <v>8.5227272727272721E-3</v>
      </c>
      <c r="E382" s="729">
        <f t="shared" si="29"/>
        <v>0.53156384505021526</v>
      </c>
      <c r="F382" s="729">
        <f t="shared" si="25"/>
        <v>7.9201552321019913E-2</v>
      </c>
      <c r="G382" s="729">
        <f t="shared" si="26"/>
        <v>3.4965075614664802</v>
      </c>
      <c r="H382" s="729">
        <f t="shared" si="27"/>
        <v>-0.69314718055994529</v>
      </c>
      <c r="I382" s="729">
        <f t="shared" si="28"/>
        <v>-4.7650188869299877</v>
      </c>
      <c r="J382" s="40"/>
    </row>
    <row r="383" spans="1:10">
      <c r="A383" s="729">
        <v>372</v>
      </c>
      <c r="B383" s="729">
        <v>33</v>
      </c>
      <c r="C383" s="729">
        <v>0.5</v>
      </c>
      <c r="D383" s="729">
        <v>8.5227272727272721E-3</v>
      </c>
      <c r="E383" s="729">
        <f t="shared" si="29"/>
        <v>0.53299856527977041</v>
      </c>
      <c r="F383" s="729">
        <f t="shared" si="25"/>
        <v>8.2809683269137277E-2</v>
      </c>
      <c r="G383" s="729">
        <f t="shared" si="26"/>
        <v>3.4965075614664802</v>
      </c>
      <c r="H383" s="729">
        <f t="shared" si="27"/>
        <v>-0.69314718055994529</v>
      </c>
      <c r="I383" s="729">
        <f t="shared" si="28"/>
        <v>-4.7650188869299877</v>
      </c>
      <c r="J383" s="40"/>
    </row>
    <row r="384" spans="1:10">
      <c r="A384" s="729">
        <v>373</v>
      </c>
      <c r="B384" s="729">
        <v>33</v>
      </c>
      <c r="C384" s="729">
        <v>0.5</v>
      </c>
      <c r="D384" s="729">
        <v>8.5227272727272721E-3</v>
      </c>
      <c r="E384" s="729">
        <f t="shared" si="29"/>
        <v>0.53443328550932567</v>
      </c>
      <c r="F384" s="729">
        <f t="shared" si="25"/>
        <v>8.641889260986757E-2</v>
      </c>
      <c r="G384" s="729">
        <f t="shared" si="26"/>
        <v>3.4965075614664802</v>
      </c>
      <c r="H384" s="729">
        <f t="shared" si="27"/>
        <v>-0.69314718055994529</v>
      </c>
      <c r="I384" s="729">
        <f t="shared" si="28"/>
        <v>-4.7650188869299877</v>
      </c>
      <c r="J384" s="40"/>
    </row>
    <row r="385" spans="1:10">
      <c r="A385" s="729">
        <v>374</v>
      </c>
      <c r="B385" s="729">
        <v>33</v>
      </c>
      <c r="C385" s="729">
        <v>0.5</v>
      </c>
      <c r="D385" s="729">
        <v>8.5227272727272721E-3</v>
      </c>
      <c r="E385" s="729">
        <f t="shared" si="29"/>
        <v>0.53586800573888094</v>
      </c>
      <c r="F385" s="729">
        <f t="shared" si="25"/>
        <v>9.0029228031881417E-2</v>
      </c>
      <c r="G385" s="729">
        <f t="shared" si="26"/>
        <v>3.4965075614664802</v>
      </c>
      <c r="H385" s="729">
        <f t="shared" si="27"/>
        <v>-0.69314718055994529</v>
      </c>
      <c r="I385" s="729">
        <f t="shared" si="28"/>
        <v>-4.7650188869299877</v>
      </c>
      <c r="J385" s="40"/>
    </row>
    <row r="386" spans="1:10">
      <c r="A386" s="729">
        <v>375</v>
      </c>
      <c r="B386" s="729">
        <v>33</v>
      </c>
      <c r="C386" s="729">
        <v>0.5</v>
      </c>
      <c r="D386" s="729">
        <v>8.5227272727272721E-3</v>
      </c>
      <c r="E386" s="729">
        <f t="shared" si="29"/>
        <v>0.5373027259684362</v>
      </c>
      <c r="F386" s="729">
        <f t="shared" si="25"/>
        <v>9.3640737327223611E-2</v>
      </c>
      <c r="G386" s="729">
        <f t="shared" si="26"/>
        <v>3.4965075614664802</v>
      </c>
      <c r="H386" s="729">
        <f t="shared" si="27"/>
        <v>-0.69314718055994529</v>
      </c>
      <c r="I386" s="729">
        <f t="shared" si="28"/>
        <v>-4.7650188869299877</v>
      </c>
      <c r="J386" s="40"/>
    </row>
    <row r="387" spans="1:10">
      <c r="A387" s="729">
        <v>376</v>
      </c>
      <c r="B387" s="729">
        <v>33</v>
      </c>
      <c r="C387" s="729">
        <v>0.5</v>
      </c>
      <c r="D387" s="729">
        <v>8.5227272727272721E-3</v>
      </c>
      <c r="E387" s="729">
        <f t="shared" si="29"/>
        <v>0.53873744619799135</v>
      </c>
      <c r="F387" s="729">
        <f t="shared" si="25"/>
        <v>9.7253468395826922E-2</v>
      </c>
      <c r="G387" s="729">
        <f t="shared" si="26"/>
        <v>3.4965075614664802</v>
      </c>
      <c r="H387" s="729">
        <f t="shared" si="27"/>
        <v>-0.69314718055994529</v>
      </c>
      <c r="I387" s="729">
        <f t="shared" si="28"/>
        <v>-4.7650188869299877</v>
      </c>
      <c r="J387" s="40"/>
    </row>
    <row r="388" spans="1:10">
      <c r="A388" s="729">
        <v>377</v>
      </c>
      <c r="B388" s="729">
        <v>33</v>
      </c>
      <c r="C388" s="729">
        <v>0.5</v>
      </c>
      <c r="D388" s="729">
        <v>8.5227272727272721E-3</v>
      </c>
      <c r="E388" s="729">
        <f t="shared" si="29"/>
        <v>0.54017216642754662</v>
      </c>
      <c r="F388" s="729">
        <f t="shared" si="25"/>
        <v>0.1008674692500537</v>
      </c>
      <c r="G388" s="729">
        <f t="shared" si="26"/>
        <v>3.4965075614664802</v>
      </c>
      <c r="H388" s="729">
        <f t="shared" si="27"/>
        <v>-0.69314718055994529</v>
      </c>
      <c r="I388" s="729">
        <f t="shared" si="28"/>
        <v>-4.7650188869299877</v>
      </c>
      <c r="J388" s="40"/>
    </row>
    <row r="389" spans="1:10">
      <c r="A389" s="729">
        <v>378</v>
      </c>
      <c r="B389" s="729">
        <v>33</v>
      </c>
      <c r="C389" s="729">
        <v>0.5</v>
      </c>
      <c r="D389" s="729">
        <v>8.5227272727272721E-3</v>
      </c>
      <c r="E389" s="729">
        <f t="shared" si="29"/>
        <v>0.54160688665710188</v>
      </c>
      <c r="F389" s="729">
        <f t="shared" si="25"/>
        <v>0.10448278801926142</v>
      </c>
      <c r="G389" s="729">
        <f t="shared" si="26"/>
        <v>3.4965075614664802</v>
      </c>
      <c r="H389" s="729">
        <f t="shared" si="27"/>
        <v>-0.69314718055994529</v>
      </c>
      <c r="I389" s="729">
        <f t="shared" si="28"/>
        <v>-4.7650188869299877</v>
      </c>
      <c r="J389" s="40"/>
    </row>
    <row r="390" spans="1:10">
      <c r="A390" s="729">
        <v>379</v>
      </c>
      <c r="B390" s="729">
        <v>33</v>
      </c>
      <c r="C390" s="729">
        <v>0.5</v>
      </c>
      <c r="D390" s="841">
        <v>8.5227272727272721E-3</v>
      </c>
      <c r="E390" s="729">
        <f t="shared" si="29"/>
        <v>0.54304160688665715</v>
      </c>
      <c r="F390" s="729">
        <f t="shared" si="25"/>
        <v>0.10809947295439951</v>
      </c>
      <c r="G390" s="729">
        <f t="shared" si="26"/>
        <v>3.4965075614664802</v>
      </c>
      <c r="H390" s="729">
        <f t="shared" si="27"/>
        <v>-0.69314718055994529</v>
      </c>
      <c r="I390" s="729">
        <f t="shared" si="28"/>
        <v>-4.7650188869299877</v>
      </c>
      <c r="J390" s="40"/>
    </row>
    <row r="391" spans="1:10">
      <c r="A391" s="729">
        <v>380</v>
      </c>
      <c r="B391" s="729">
        <v>33</v>
      </c>
      <c r="C391" s="729">
        <v>0.5</v>
      </c>
      <c r="D391" s="729">
        <v>9.0909090909090922E-3</v>
      </c>
      <c r="E391" s="729">
        <f t="shared" si="29"/>
        <v>0.5444763271162123</v>
      </c>
      <c r="F391" s="729">
        <f t="shared" si="25"/>
        <v>0.11171757243263346</v>
      </c>
      <c r="G391" s="729">
        <f t="shared" si="26"/>
        <v>3.4965075614664802</v>
      </c>
      <c r="H391" s="729">
        <f t="shared" si="27"/>
        <v>-0.69314718055994529</v>
      </c>
      <c r="I391" s="729">
        <f t="shared" si="28"/>
        <v>-4.7004803657924157</v>
      </c>
      <c r="J391" s="40"/>
    </row>
    <row r="392" spans="1:10">
      <c r="A392" s="729">
        <v>381</v>
      </c>
      <c r="B392" s="729">
        <v>33</v>
      </c>
      <c r="C392" s="729">
        <v>0.5</v>
      </c>
      <c r="D392" s="729">
        <v>9.3749999999999997E-3</v>
      </c>
      <c r="E392" s="729">
        <f t="shared" si="29"/>
        <v>0.54591104734576756</v>
      </c>
      <c r="F392" s="729">
        <f t="shared" si="25"/>
        <v>0.11533713496200139</v>
      </c>
      <c r="G392" s="729">
        <f t="shared" si="26"/>
        <v>3.4965075614664802</v>
      </c>
      <c r="H392" s="729">
        <f t="shared" si="27"/>
        <v>-0.69314718055994529</v>
      </c>
      <c r="I392" s="729">
        <f t="shared" si="28"/>
        <v>-4.6697087071256629</v>
      </c>
      <c r="J392" s="40"/>
    </row>
    <row r="393" spans="1:10">
      <c r="A393" s="729">
        <v>382</v>
      </c>
      <c r="B393" s="729">
        <v>33</v>
      </c>
      <c r="C393" s="729">
        <v>0.5</v>
      </c>
      <c r="D393" s="729">
        <v>9.3749999999999997E-3</v>
      </c>
      <c r="E393" s="729">
        <f t="shared" si="29"/>
        <v>0.54734576757532283</v>
      </c>
      <c r="F393" s="729">
        <f t="shared" si="25"/>
        <v>0.11895820918609937</v>
      </c>
      <c r="G393" s="729">
        <f t="shared" si="26"/>
        <v>3.4965075614664802</v>
      </c>
      <c r="H393" s="729">
        <f t="shared" si="27"/>
        <v>-0.69314718055994529</v>
      </c>
      <c r="I393" s="729">
        <f t="shared" si="28"/>
        <v>-4.6697087071256629</v>
      </c>
      <c r="J393" s="40"/>
    </row>
    <row r="394" spans="1:10">
      <c r="A394" s="729">
        <v>383</v>
      </c>
      <c r="B394" s="729">
        <v>33</v>
      </c>
      <c r="C394" s="729">
        <v>0.5</v>
      </c>
      <c r="D394" s="729">
        <v>9.3749999999999997E-3</v>
      </c>
      <c r="E394" s="729">
        <f t="shared" si="29"/>
        <v>0.54878048780487809</v>
      </c>
      <c r="F394" s="729">
        <f t="shared" si="25"/>
        <v>0.12258084388880255</v>
      </c>
      <c r="G394" s="729">
        <f t="shared" si="26"/>
        <v>3.4965075614664802</v>
      </c>
      <c r="H394" s="729">
        <f t="shared" si="27"/>
        <v>-0.69314718055994529</v>
      </c>
      <c r="I394" s="729">
        <f t="shared" si="28"/>
        <v>-4.6697087071256629</v>
      </c>
      <c r="J394" s="40"/>
    </row>
    <row r="395" spans="1:10">
      <c r="A395" s="729">
        <v>384</v>
      </c>
      <c r="B395" s="729">
        <v>33</v>
      </c>
      <c r="C395" s="729">
        <v>0.5</v>
      </c>
      <c r="D395" s="729">
        <v>9.3749999999999997E-3</v>
      </c>
      <c r="E395" s="729">
        <f t="shared" si="29"/>
        <v>0.55021520803443325</v>
      </c>
      <c r="F395" s="729">
        <f t="shared" si="25"/>
        <v>0.12620508799901858</v>
      </c>
      <c r="G395" s="729">
        <f t="shared" si="26"/>
        <v>3.4965075614664802</v>
      </c>
      <c r="H395" s="729">
        <f t="shared" si="27"/>
        <v>-0.69314718055994529</v>
      </c>
      <c r="I395" s="729">
        <f t="shared" si="28"/>
        <v>-4.6697087071256629</v>
      </c>
      <c r="J395" s="40"/>
    </row>
    <row r="396" spans="1:10">
      <c r="A396" s="729">
        <v>385</v>
      </c>
      <c r="B396" s="729">
        <v>33</v>
      </c>
      <c r="C396" s="729">
        <v>0.5</v>
      </c>
      <c r="D396" s="729">
        <v>9.6590909090909088E-3</v>
      </c>
      <c r="E396" s="729">
        <f t="shared" si="29"/>
        <v>0.55164992826398851</v>
      </c>
      <c r="F396" s="729">
        <f t="shared" ref="F396:F459" si="30">NORMSINV(E396)</f>
        <v>0.12983099059547812</v>
      </c>
      <c r="G396" s="729">
        <f t="shared" ref="G396:G459" si="31">LN(B396)</f>
        <v>3.4965075614664802</v>
      </c>
      <c r="H396" s="729">
        <f t="shared" ref="H396:H459" si="32">LN(C396)</f>
        <v>-0.69314718055994529</v>
      </c>
      <c r="I396" s="729">
        <f t="shared" ref="I396:I459" si="33">LN(D396)</f>
        <v>-4.6398557439759811</v>
      </c>
      <c r="J396" s="40"/>
    </row>
    <row r="397" spans="1:10">
      <c r="A397" s="729">
        <v>386</v>
      </c>
      <c r="B397" s="729">
        <v>33</v>
      </c>
      <c r="C397" s="729">
        <v>0.5</v>
      </c>
      <c r="D397" s="729">
        <v>9.6590909090909088E-3</v>
      </c>
      <c r="E397" s="729">
        <f t="shared" ref="E397:E460" si="34">(A397-0.5)/697</f>
        <v>0.55308464849354377</v>
      </c>
      <c r="F397" s="729">
        <f t="shared" si="30"/>
        <v>0.13345860091155928</v>
      </c>
      <c r="G397" s="729">
        <f t="shared" si="31"/>
        <v>3.4965075614664802</v>
      </c>
      <c r="H397" s="729">
        <f t="shared" si="32"/>
        <v>-0.69314718055994529</v>
      </c>
      <c r="I397" s="729">
        <f t="shared" si="33"/>
        <v>-4.6398557439759811</v>
      </c>
      <c r="J397" s="40"/>
    </row>
    <row r="398" spans="1:10">
      <c r="A398" s="729">
        <v>387</v>
      </c>
      <c r="B398" s="729">
        <v>33</v>
      </c>
      <c r="C398" s="729">
        <v>0.5</v>
      </c>
      <c r="D398" s="729">
        <v>9.6590909090909088E-3</v>
      </c>
      <c r="E398" s="729">
        <f t="shared" si="34"/>
        <v>0.55451936872309904</v>
      </c>
      <c r="F398" s="729">
        <f t="shared" si="30"/>
        <v>0.13708796834015252</v>
      </c>
      <c r="G398" s="729">
        <f t="shared" si="31"/>
        <v>3.4965075614664802</v>
      </c>
      <c r="H398" s="729">
        <f t="shared" si="32"/>
        <v>-0.69314718055994529</v>
      </c>
      <c r="I398" s="729">
        <f t="shared" si="33"/>
        <v>-4.6398557439759811</v>
      </c>
      <c r="J398" s="40"/>
    </row>
    <row r="399" spans="1:10">
      <c r="A399" s="729">
        <v>388</v>
      </c>
      <c r="B399" s="729">
        <v>33</v>
      </c>
      <c r="C399" s="729">
        <v>0.5</v>
      </c>
      <c r="D399" s="729">
        <v>9.943181818181818E-3</v>
      </c>
      <c r="E399" s="729">
        <f t="shared" si="34"/>
        <v>0.55595408895265419</v>
      </c>
      <c r="F399" s="729">
        <f t="shared" si="30"/>
        <v>0.14071914243856312</v>
      </c>
      <c r="G399" s="729">
        <f t="shared" si="31"/>
        <v>3.4965075614664802</v>
      </c>
      <c r="H399" s="729">
        <f t="shared" si="32"/>
        <v>-0.69314718055994529</v>
      </c>
      <c r="I399" s="729">
        <f t="shared" si="33"/>
        <v>-4.6108682071027287</v>
      </c>
      <c r="J399" s="40"/>
    </row>
    <row r="400" spans="1:10">
      <c r="A400" s="729">
        <v>389</v>
      </c>
      <c r="B400" s="729">
        <v>33</v>
      </c>
      <c r="C400" s="729">
        <v>0.5</v>
      </c>
      <c r="D400" s="729">
        <v>1.0795454545454546E-2</v>
      </c>
      <c r="E400" s="729">
        <f t="shared" si="34"/>
        <v>0.55738880918220945</v>
      </c>
      <c r="F400" s="729">
        <f t="shared" si="30"/>
        <v>0.14435217293345595</v>
      </c>
      <c r="G400" s="729">
        <f t="shared" si="31"/>
        <v>3.4965075614664802</v>
      </c>
      <c r="H400" s="729">
        <f t="shared" si="32"/>
        <v>-0.69314718055994529</v>
      </c>
      <c r="I400" s="729">
        <f t="shared" si="33"/>
        <v>-4.528630108865757</v>
      </c>
      <c r="J400" s="40"/>
    </row>
    <row r="401" spans="1:10">
      <c r="A401" s="729">
        <v>390</v>
      </c>
      <c r="B401" s="729">
        <v>33</v>
      </c>
      <c r="C401" s="729">
        <v>0.5</v>
      </c>
      <c r="D401" s="729">
        <v>1.1363636363636364E-2</v>
      </c>
      <c r="E401" s="729">
        <f t="shared" si="34"/>
        <v>0.55882352941176472</v>
      </c>
      <c r="F401" s="729">
        <f t="shared" si="30"/>
        <v>0.14798710972583889</v>
      </c>
      <c r="G401" s="729">
        <f t="shared" si="31"/>
        <v>3.4965075614664802</v>
      </c>
      <c r="H401" s="729">
        <f t="shared" si="32"/>
        <v>-0.69314718055994529</v>
      </c>
      <c r="I401" s="729">
        <f t="shared" si="33"/>
        <v>-4.4773368144782069</v>
      </c>
      <c r="J401" s="40"/>
    </row>
    <row r="402" spans="1:10">
      <c r="A402" s="729">
        <v>391</v>
      </c>
      <c r="B402" s="729">
        <v>40</v>
      </c>
      <c r="C402" s="729">
        <v>0.5</v>
      </c>
      <c r="D402" s="729">
        <v>1.1363636363636364E-2</v>
      </c>
      <c r="E402" s="729">
        <f t="shared" si="34"/>
        <v>0.56025824964131998</v>
      </c>
      <c r="F402" s="729">
        <f t="shared" si="30"/>
        <v>0.15162400289609254</v>
      </c>
      <c r="G402" s="729">
        <f t="shared" si="31"/>
        <v>3.6888794541139363</v>
      </c>
      <c r="H402" s="729">
        <f t="shared" si="32"/>
        <v>-0.69314718055994529</v>
      </c>
      <c r="I402" s="729">
        <f t="shared" si="33"/>
        <v>-4.4773368144782069</v>
      </c>
      <c r="J402" s="40"/>
    </row>
    <row r="403" spans="1:10">
      <c r="A403" s="729">
        <v>392</v>
      </c>
      <c r="B403" s="729">
        <v>40</v>
      </c>
      <c r="C403" s="729">
        <v>0.5</v>
      </c>
      <c r="D403" s="729">
        <v>1.1363636363636364E-2</v>
      </c>
      <c r="E403" s="729">
        <f t="shared" si="34"/>
        <v>0.56169296987087514</v>
      </c>
      <c r="F403" s="729">
        <f t="shared" si="30"/>
        <v>0.15526290270904256</v>
      </c>
      <c r="G403" s="729">
        <f t="shared" si="31"/>
        <v>3.6888794541139363</v>
      </c>
      <c r="H403" s="729">
        <f t="shared" si="32"/>
        <v>-0.69314718055994529</v>
      </c>
      <c r="I403" s="729">
        <f t="shared" si="33"/>
        <v>-4.4773368144782069</v>
      </c>
      <c r="J403" s="40"/>
    </row>
    <row r="404" spans="1:10">
      <c r="A404" s="729">
        <v>393</v>
      </c>
      <c r="B404" s="729">
        <v>40</v>
      </c>
      <c r="C404" s="729">
        <v>0.5</v>
      </c>
      <c r="D404" s="729">
        <v>1.1363636363636364E-2</v>
      </c>
      <c r="E404" s="729">
        <f t="shared" si="34"/>
        <v>0.5631276901004304</v>
      </c>
      <c r="F404" s="729">
        <f t="shared" si="30"/>
        <v>0.15890385961907952</v>
      </c>
      <c r="G404" s="729">
        <f t="shared" si="31"/>
        <v>3.6888794541139363</v>
      </c>
      <c r="H404" s="729">
        <f t="shared" si="32"/>
        <v>-0.69314718055994529</v>
      </c>
      <c r="I404" s="729">
        <f t="shared" si="33"/>
        <v>-4.4773368144782069</v>
      </c>
      <c r="J404" s="40"/>
    </row>
    <row r="405" spans="1:10">
      <c r="A405" s="729">
        <v>394</v>
      </c>
      <c r="B405" s="729">
        <v>40</v>
      </c>
      <c r="C405" s="729">
        <v>0.5</v>
      </c>
      <c r="D405" s="729">
        <v>1.1363636363636364E-2</v>
      </c>
      <c r="E405" s="729">
        <f t="shared" si="34"/>
        <v>0.56456241032998566</v>
      </c>
      <c r="F405" s="729">
        <f t="shared" si="30"/>
        <v>0.1625469242753235</v>
      </c>
      <c r="G405" s="729">
        <f t="shared" si="31"/>
        <v>3.6888794541139363</v>
      </c>
      <c r="H405" s="729">
        <f t="shared" si="32"/>
        <v>-0.69314718055994529</v>
      </c>
      <c r="I405" s="729">
        <f t="shared" si="33"/>
        <v>-4.4773368144782069</v>
      </c>
      <c r="J405" s="40"/>
    </row>
    <row r="406" spans="1:10">
      <c r="A406" s="729">
        <v>395</v>
      </c>
      <c r="B406" s="729">
        <v>40</v>
      </c>
      <c r="C406" s="729">
        <v>0.5</v>
      </c>
      <c r="D406" s="729">
        <v>1.1363636363636364E-2</v>
      </c>
      <c r="E406" s="729">
        <f t="shared" si="34"/>
        <v>0.56599713055954093</v>
      </c>
      <c r="F406" s="729">
        <f t="shared" si="30"/>
        <v>0.16619214752683986</v>
      </c>
      <c r="G406" s="729">
        <f t="shared" si="31"/>
        <v>3.6888794541139363</v>
      </c>
      <c r="H406" s="729">
        <f t="shared" si="32"/>
        <v>-0.69314718055994529</v>
      </c>
      <c r="I406" s="729">
        <f t="shared" si="33"/>
        <v>-4.4773368144782069</v>
      </c>
      <c r="J406" s="40"/>
    </row>
    <row r="407" spans="1:10">
      <c r="A407" s="729">
        <v>396</v>
      </c>
      <c r="B407" s="729">
        <v>40</v>
      </c>
      <c r="C407" s="729">
        <v>0.5</v>
      </c>
      <c r="D407" s="729">
        <v>1.1363636363636364E-2</v>
      </c>
      <c r="E407" s="729">
        <f t="shared" si="34"/>
        <v>0.56743185078909608</v>
      </c>
      <c r="F407" s="729">
        <f t="shared" si="30"/>
        <v>0.16983958042790395</v>
      </c>
      <c r="G407" s="729">
        <f t="shared" si="31"/>
        <v>3.6888794541139363</v>
      </c>
      <c r="H407" s="729">
        <f t="shared" si="32"/>
        <v>-0.69314718055994529</v>
      </c>
      <c r="I407" s="729">
        <f t="shared" si="33"/>
        <v>-4.4773368144782069</v>
      </c>
      <c r="J407" s="40"/>
    </row>
    <row r="408" spans="1:10">
      <c r="A408" s="729">
        <v>397</v>
      </c>
      <c r="B408" s="729">
        <v>40</v>
      </c>
      <c r="C408" s="729">
        <v>0.5</v>
      </c>
      <c r="D408" s="729">
        <v>1.1363636363636364E-2</v>
      </c>
      <c r="E408" s="729">
        <f t="shared" si="34"/>
        <v>0.56886657101865135</v>
      </c>
      <c r="F408" s="729">
        <f t="shared" si="30"/>
        <v>0.1734892742433187</v>
      </c>
      <c r="G408" s="729">
        <f t="shared" si="31"/>
        <v>3.6888794541139363</v>
      </c>
      <c r="H408" s="729">
        <f t="shared" si="32"/>
        <v>-0.69314718055994529</v>
      </c>
      <c r="I408" s="729">
        <f t="shared" si="33"/>
        <v>-4.4773368144782069</v>
      </c>
      <c r="J408" s="40"/>
    </row>
    <row r="409" spans="1:10">
      <c r="A409" s="729">
        <v>398</v>
      </c>
      <c r="B409" s="729">
        <v>40</v>
      </c>
      <c r="C409" s="729">
        <v>0.5</v>
      </c>
      <c r="D409" s="729">
        <v>1.1363636363636364E-2</v>
      </c>
      <c r="E409" s="729">
        <f t="shared" si="34"/>
        <v>0.57030129124820661</v>
      </c>
      <c r="F409" s="729">
        <f t="shared" si="30"/>
        <v>0.17714128045378297</v>
      </c>
      <c r="G409" s="729">
        <f t="shared" si="31"/>
        <v>3.6888794541139363</v>
      </c>
      <c r="H409" s="729">
        <f t="shared" si="32"/>
        <v>-0.69314718055994529</v>
      </c>
      <c r="I409" s="729">
        <f t="shared" si="33"/>
        <v>-4.4773368144782069</v>
      </c>
      <c r="J409" s="40"/>
    </row>
    <row r="410" spans="1:10">
      <c r="A410" s="729">
        <v>399</v>
      </c>
      <c r="B410" s="729">
        <v>40</v>
      </c>
      <c r="C410" s="729">
        <v>0.5</v>
      </c>
      <c r="D410" s="729">
        <v>1.1420454545454546E-2</v>
      </c>
      <c r="E410" s="729">
        <f t="shared" si="34"/>
        <v>0.57173601147776187</v>
      </c>
      <c r="F410" s="729">
        <f t="shared" si="30"/>
        <v>0.18079565076131701</v>
      </c>
      <c r="G410" s="729">
        <f t="shared" si="31"/>
        <v>3.6888794541139363</v>
      </c>
      <c r="H410" s="729">
        <f t="shared" si="32"/>
        <v>-0.69314718055994529</v>
      </c>
      <c r="I410" s="729">
        <f t="shared" si="33"/>
        <v>-4.4723492729671674</v>
      </c>
      <c r="J410" s="40"/>
    </row>
    <row r="411" spans="1:10">
      <c r="A411" s="729">
        <v>400</v>
      </c>
      <c r="B411" s="729">
        <v>40</v>
      </c>
      <c r="C411" s="729">
        <v>0.5</v>
      </c>
      <c r="D411" s="32">
        <v>1.1647727272727271E-2</v>
      </c>
      <c r="E411" s="729">
        <f t="shared" si="34"/>
        <v>0.57317073170731703</v>
      </c>
      <c r="F411" s="729">
        <f t="shared" si="30"/>
        <v>0.18445243709474296</v>
      </c>
      <c r="G411" s="729">
        <f t="shared" si="31"/>
        <v>3.6888794541139363</v>
      </c>
      <c r="H411" s="729">
        <f t="shared" si="32"/>
        <v>-0.69314718055994529</v>
      </c>
      <c r="I411" s="729">
        <f t="shared" si="33"/>
        <v>-4.4526442018878347</v>
      </c>
      <c r="J411" s="40"/>
    </row>
    <row r="412" spans="1:10">
      <c r="A412" s="729">
        <v>401</v>
      </c>
      <c r="B412" s="729">
        <v>40</v>
      </c>
      <c r="C412" s="729">
        <v>0.5</v>
      </c>
      <c r="D412" s="729">
        <v>1.1931818181818181E-2</v>
      </c>
      <c r="E412" s="729">
        <f t="shared" si="34"/>
        <v>0.57460545193687229</v>
      </c>
      <c r="F412" s="729">
        <f t="shared" si="30"/>
        <v>0.18811169161522445</v>
      </c>
      <c r="G412" s="729">
        <f t="shared" si="31"/>
        <v>3.6888794541139363</v>
      </c>
      <c r="H412" s="729">
        <f t="shared" si="32"/>
        <v>-0.69314718055994529</v>
      </c>
      <c r="I412" s="729">
        <f t="shared" si="33"/>
        <v>-4.4285466503087747</v>
      </c>
      <c r="J412" s="40"/>
    </row>
    <row r="413" spans="1:10">
      <c r="A413" s="729">
        <v>402</v>
      </c>
      <c r="B413" s="729">
        <v>40</v>
      </c>
      <c r="C413" s="729">
        <v>0.5</v>
      </c>
      <c r="D413" s="729">
        <v>1.1931818181818181E-2</v>
      </c>
      <c r="E413" s="729">
        <f t="shared" si="34"/>
        <v>0.57604017216642756</v>
      </c>
      <c r="F413" s="729">
        <f t="shared" si="30"/>
        <v>0.1917734667218631</v>
      </c>
      <c r="G413" s="729">
        <f t="shared" si="31"/>
        <v>3.6888794541139363</v>
      </c>
      <c r="H413" s="729">
        <f t="shared" si="32"/>
        <v>-0.69314718055994529</v>
      </c>
      <c r="I413" s="729">
        <f t="shared" si="33"/>
        <v>-4.4285466503087747</v>
      </c>
      <c r="J413" s="40"/>
    </row>
    <row r="414" spans="1:10">
      <c r="A414" s="729">
        <v>403</v>
      </c>
      <c r="B414" s="729">
        <v>40</v>
      </c>
      <c r="C414" s="729">
        <v>0.5</v>
      </c>
      <c r="D414" s="32">
        <v>1.2499999999999999E-2</v>
      </c>
      <c r="E414" s="729">
        <f t="shared" si="34"/>
        <v>0.57747489239598282</v>
      </c>
      <c r="F414" s="729">
        <f t="shared" si="30"/>
        <v>0.19543781505735883</v>
      </c>
      <c r="G414" s="729">
        <f t="shared" si="31"/>
        <v>3.6888794541139363</v>
      </c>
      <c r="H414" s="729">
        <f t="shared" si="32"/>
        <v>-0.69314718055994529</v>
      </c>
      <c r="I414" s="729">
        <f t="shared" si="33"/>
        <v>-4.3820266346738821</v>
      </c>
      <c r="J414" s="40"/>
    </row>
    <row r="415" spans="1:10">
      <c r="A415" s="729">
        <v>404</v>
      </c>
      <c r="B415" s="729">
        <v>40</v>
      </c>
      <c r="C415" s="729">
        <v>0.5</v>
      </c>
      <c r="D415" s="729">
        <v>1.3068181818181817E-2</v>
      </c>
      <c r="E415" s="729">
        <f t="shared" si="34"/>
        <v>0.57890961262553797</v>
      </c>
      <c r="F415" s="729">
        <f t="shared" si="30"/>
        <v>0.19910478951373109</v>
      </c>
      <c r="G415" s="729">
        <f t="shared" si="31"/>
        <v>3.6888794541139363</v>
      </c>
      <c r="H415" s="729">
        <f t="shared" si="32"/>
        <v>-0.69314718055994529</v>
      </c>
      <c r="I415" s="729">
        <f t="shared" si="33"/>
        <v>-4.3375748721030476</v>
      </c>
      <c r="J415" s="40"/>
    </row>
    <row r="416" spans="1:10">
      <c r="A416" s="729">
        <v>405</v>
      </c>
      <c r="B416" s="729">
        <v>40</v>
      </c>
      <c r="C416" s="729">
        <v>0.5</v>
      </c>
      <c r="D416" s="729">
        <v>1.3068181818181817E-2</v>
      </c>
      <c r="E416" s="729">
        <f t="shared" si="34"/>
        <v>0.58034433285509324</v>
      </c>
      <c r="F416" s="729">
        <f t="shared" si="30"/>
        <v>0.20277444323810676</v>
      </c>
      <c r="G416" s="729">
        <f t="shared" si="31"/>
        <v>3.6888794541139363</v>
      </c>
      <c r="H416" s="729">
        <f t="shared" si="32"/>
        <v>-0.69314718055994529</v>
      </c>
      <c r="I416" s="729">
        <f t="shared" si="33"/>
        <v>-4.3375748721030476</v>
      </c>
      <c r="J416" s="40"/>
    </row>
    <row r="417" spans="1:10">
      <c r="A417" s="729">
        <v>406</v>
      </c>
      <c r="B417" s="729">
        <v>40</v>
      </c>
      <c r="C417" s="729">
        <v>0.5</v>
      </c>
      <c r="D417" s="729">
        <v>1.3636363636363636E-2</v>
      </c>
      <c r="E417" s="729">
        <f t="shared" si="34"/>
        <v>0.5817790530846485</v>
      </c>
      <c r="F417" s="729">
        <f t="shared" si="30"/>
        <v>0.20644682963857081</v>
      </c>
      <c r="G417" s="729">
        <f t="shared" si="31"/>
        <v>3.6888794541139363</v>
      </c>
      <c r="H417" s="729">
        <f t="shared" si="32"/>
        <v>-0.69314718055994529</v>
      </c>
      <c r="I417" s="729">
        <f t="shared" si="33"/>
        <v>-4.295015257684252</v>
      </c>
      <c r="J417" s="40"/>
    </row>
    <row r="418" spans="1:10">
      <c r="A418" s="729">
        <v>407</v>
      </c>
      <c r="B418" s="729">
        <v>40</v>
      </c>
      <c r="C418" s="729">
        <v>0.5</v>
      </c>
      <c r="D418" s="729">
        <v>1.3636363636363636E-2</v>
      </c>
      <c r="E418" s="729">
        <f t="shared" si="34"/>
        <v>0.58321377331420376</v>
      </c>
      <c r="F418" s="729">
        <f t="shared" si="30"/>
        <v>0.21012200239008824</v>
      </c>
      <c r="G418" s="729">
        <f t="shared" si="31"/>
        <v>3.6888794541139363</v>
      </c>
      <c r="H418" s="729">
        <f t="shared" si="32"/>
        <v>-0.69314718055994529</v>
      </c>
      <c r="I418" s="729">
        <f t="shared" si="33"/>
        <v>-4.295015257684252</v>
      </c>
      <c r="J418" s="40"/>
    </row>
    <row r="419" spans="1:10">
      <c r="A419" s="729">
        <v>408</v>
      </c>
      <c r="B419" s="729">
        <v>40</v>
      </c>
      <c r="C419" s="729">
        <v>0.5</v>
      </c>
      <c r="D419" s="729">
        <v>1.3636363636363636E-2</v>
      </c>
      <c r="E419" s="729">
        <f t="shared" si="34"/>
        <v>0.58464849354375892</v>
      </c>
      <c r="F419" s="729">
        <f t="shared" si="30"/>
        <v>0.2138000154404939</v>
      </c>
      <c r="G419" s="729">
        <f t="shared" si="31"/>
        <v>3.6888794541139363</v>
      </c>
      <c r="H419" s="729">
        <f t="shared" si="32"/>
        <v>-0.69314718055994529</v>
      </c>
      <c r="I419" s="729">
        <f t="shared" si="33"/>
        <v>-4.295015257684252</v>
      </c>
      <c r="J419" s="40"/>
    </row>
    <row r="420" spans="1:10">
      <c r="A420" s="729">
        <v>409</v>
      </c>
      <c r="B420" s="729">
        <v>40</v>
      </c>
      <c r="C420" s="729">
        <v>0.5</v>
      </c>
      <c r="D420" s="729">
        <v>1.3636363636363636E-2</v>
      </c>
      <c r="E420" s="729">
        <f t="shared" si="34"/>
        <v>0.58608321377331418</v>
      </c>
      <c r="F420" s="729">
        <f t="shared" si="30"/>
        <v>0.21748092301655558</v>
      </c>
      <c r="G420" s="729">
        <f t="shared" si="31"/>
        <v>3.6888794541139363</v>
      </c>
      <c r="H420" s="729">
        <f t="shared" si="32"/>
        <v>-0.69314718055994529</v>
      </c>
      <c r="I420" s="729">
        <f t="shared" si="33"/>
        <v>-4.295015257684252</v>
      </c>
      <c r="J420" s="40"/>
    </row>
    <row r="421" spans="1:10">
      <c r="A421" s="729">
        <v>410</v>
      </c>
      <c r="B421" s="729">
        <v>40</v>
      </c>
      <c r="C421" s="729">
        <v>0.5</v>
      </c>
      <c r="D421" s="729">
        <v>1.4204545454545454E-2</v>
      </c>
      <c r="E421" s="729">
        <f t="shared" si="34"/>
        <v>0.58751793400286945</v>
      </c>
      <c r="F421" s="729">
        <f t="shared" si="30"/>
        <v>0.221164779630108</v>
      </c>
      <c r="G421" s="729">
        <f t="shared" si="31"/>
        <v>3.6888794541139363</v>
      </c>
      <c r="H421" s="729">
        <f t="shared" si="32"/>
        <v>-0.69314718055994529</v>
      </c>
      <c r="I421" s="729">
        <f t="shared" si="33"/>
        <v>-4.2541932631639972</v>
      </c>
      <c r="J421" s="40"/>
    </row>
    <row r="422" spans="1:10">
      <c r="A422" s="729">
        <v>411</v>
      </c>
      <c r="B422" s="729">
        <v>40</v>
      </c>
      <c r="C422" s="729">
        <v>0.5</v>
      </c>
      <c r="D422" s="729">
        <v>1.4204545454545454E-2</v>
      </c>
      <c r="E422" s="729">
        <f t="shared" si="34"/>
        <v>0.58895265423242471</v>
      </c>
      <c r="F422" s="729">
        <f t="shared" si="30"/>
        <v>0.22485164008426498</v>
      </c>
      <c r="G422" s="729">
        <f t="shared" si="31"/>
        <v>3.6888794541139363</v>
      </c>
      <c r="H422" s="729">
        <f t="shared" si="32"/>
        <v>-0.69314718055994529</v>
      </c>
      <c r="I422" s="729">
        <f t="shared" si="33"/>
        <v>-4.2541932631639972</v>
      </c>
      <c r="J422" s="40"/>
    </row>
    <row r="423" spans="1:10">
      <c r="A423" s="729">
        <v>412</v>
      </c>
      <c r="B423" s="729">
        <v>40</v>
      </c>
      <c r="C423" s="729">
        <v>0.5</v>
      </c>
      <c r="D423" s="729">
        <v>1.4204545454545454E-2</v>
      </c>
      <c r="E423" s="729">
        <f t="shared" si="34"/>
        <v>0.59038737446197986</v>
      </c>
      <c r="F423" s="729">
        <f t="shared" si="30"/>
        <v>0.22854155947970711</v>
      </c>
      <c r="G423" s="729">
        <f t="shared" si="31"/>
        <v>3.6888794541139363</v>
      </c>
      <c r="H423" s="729">
        <f t="shared" si="32"/>
        <v>-0.69314718055994529</v>
      </c>
      <c r="I423" s="729">
        <f t="shared" si="33"/>
        <v>-4.2541932631639972</v>
      </c>
      <c r="J423" s="40"/>
    </row>
    <row r="424" spans="1:10">
      <c r="A424" s="729">
        <v>413</v>
      </c>
      <c r="B424" s="729">
        <v>40</v>
      </c>
      <c r="C424" s="729">
        <v>0.5</v>
      </c>
      <c r="D424" s="729">
        <v>1.4204545454545454E-2</v>
      </c>
      <c r="E424" s="729">
        <f t="shared" si="34"/>
        <v>0.59182209469153513</v>
      </c>
      <c r="F424" s="729">
        <f t="shared" si="30"/>
        <v>0.23223459322105058</v>
      </c>
      <c r="G424" s="729">
        <f t="shared" si="31"/>
        <v>3.6888794541139363</v>
      </c>
      <c r="H424" s="729">
        <f t="shared" si="32"/>
        <v>-0.69314718055994529</v>
      </c>
      <c r="I424" s="729">
        <f t="shared" si="33"/>
        <v>-4.2541932631639972</v>
      </c>
      <c r="J424" s="40"/>
    </row>
    <row r="425" spans="1:10">
      <c r="A425" s="729">
        <v>414</v>
      </c>
      <c r="B425" s="729">
        <v>40</v>
      </c>
      <c r="C425" s="729">
        <v>0.5</v>
      </c>
      <c r="D425" s="729">
        <v>1.4204545454545454E-2</v>
      </c>
      <c r="E425" s="729">
        <f t="shared" si="34"/>
        <v>0.59325681492109039</v>
      </c>
      <c r="F425" s="729">
        <f t="shared" si="30"/>
        <v>0.23593079702329492</v>
      </c>
      <c r="G425" s="729">
        <f t="shared" si="31"/>
        <v>3.6888794541139363</v>
      </c>
      <c r="H425" s="729">
        <f t="shared" si="32"/>
        <v>-0.69314718055994529</v>
      </c>
      <c r="I425" s="729">
        <f t="shared" si="33"/>
        <v>-4.2541932631639972</v>
      </c>
      <c r="J425" s="40"/>
    </row>
    <row r="426" spans="1:10">
      <c r="A426" s="729">
        <v>415</v>
      </c>
      <c r="B426" s="729">
        <v>50</v>
      </c>
      <c r="C426" s="729">
        <v>0.5</v>
      </c>
      <c r="D426" s="729">
        <v>1.4204545454545454E-2</v>
      </c>
      <c r="E426" s="729">
        <f t="shared" si="34"/>
        <v>0.59469153515064566</v>
      </c>
      <c r="F426" s="729">
        <f t="shared" si="30"/>
        <v>0.23963022691835645</v>
      </c>
      <c r="G426" s="729">
        <f t="shared" si="31"/>
        <v>3.912023005428146</v>
      </c>
      <c r="H426" s="729">
        <f t="shared" si="32"/>
        <v>-0.69314718055994529</v>
      </c>
      <c r="I426" s="729">
        <f t="shared" si="33"/>
        <v>-4.2541932631639972</v>
      </c>
      <c r="J426" s="40"/>
    </row>
    <row r="427" spans="1:10">
      <c r="A427" s="729">
        <v>416</v>
      </c>
      <c r="B427" s="729">
        <v>50</v>
      </c>
      <c r="C427" s="729">
        <v>0.5</v>
      </c>
      <c r="D427" s="729">
        <v>1.4204545454545454E-2</v>
      </c>
      <c r="E427" s="729">
        <f t="shared" si="34"/>
        <v>0.59612625538020081</v>
      </c>
      <c r="F427" s="729">
        <f t="shared" si="30"/>
        <v>0.24333293926168623</v>
      </c>
      <c r="G427" s="729">
        <f t="shared" si="31"/>
        <v>3.912023005428146</v>
      </c>
      <c r="H427" s="729">
        <f t="shared" si="32"/>
        <v>-0.69314718055994529</v>
      </c>
      <c r="I427" s="729">
        <f t="shared" si="33"/>
        <v>-4.2541932631639972</v>
      </c>
      <c r="J427" s="40"/>
    </row>
    <row r="428" spans="1:10">
      <c r="A428" s="729">
        <v>417</v>
      </c>
      <c r="B428" s="729">
        <v>50</v>
      </c>
      <c r="C428" s="729">
        <v>0.5</v>
      </c>
      <c r="D428" s="729">
        <v>1.4204545454545454E-2</v>
      </c>
      <c r="E428" s="729">
        <f t="shared" si="34"/>
        <v>0.59756097560975607</v>
      </c>
      <c r="F428" s="729">
        <f t="shared" si="30"/>
        <v>0.2470389907389772</v>
      </c>
      <c r="G428" s="729">
        <f t="shared" si="31"/>
        <v>3.912023005428146</v>
      </c>
      <c r="H428" s="729">
        <f t="shared" si="32"/>
        <v>-0.69314718055994529</v>
      </c>
      <c r="I428" s="729">
        <f t="shared" si="33"/>
        <v>-4.2541932631639972</v>
      </c>
      <c r="J428" s="40"/>
    </row>
    <row r="429" spans="1:10">
      <c r="A429" s="729">
        <v>418</v>
      </c>
      <c r="B429" s="729">
        <v>50</v>
      </c>
      <c r="C429" s="729">
        <v>0.5</v>
      </c>
      <c r="D429" s="729">
        <v>1.4204545454545454E-2</v>
      </c>
      <c r="E429" s="729">
        <f t="shared" si="34"/>
        <v>0.59899569583931134</v>
      </c>
      <c r="F429" s="729">
        <f t="shared" si="30"/>
        <v>0.25074843837295846</v>
      </c>
      <c r="G429" s="729">
        <f t="shared" si="31"/>
        <v>3.912023005428146</v>
      </c>
      <c r="H429" s="729">
        <f t="shared" si="32"/>
        <v>-0.69314718055994529</v>
      </c>
      <c r="I429" s="729">
        <f t="shared" si="33"/>
        <v>-4.2541932631639972</v>
      </c>
      <c r="J429" s="40"/>
    </row>
    <row r="430" spans="1:10">
      <c r="A430" s="729">
        <v>419</v>
      </c>
      <c r="B430" s="729">
        <v>50</v>
      </c>
      <c r="C430" s="729">
        <v>0.5</v>
      </c>
      <c r="D430" s="729">
        <v>1.4204545454545454E-2</v>
      </c>
      <c r="E430" s="729">
        <f t="shared" si="34"/>
        <v>0.6004304160688666</v>
      </c>
      <c r="F430" s="729">
        <f t="shared" si="30"/>
        <v>0.25446133953028477</v>
      </c>
      <c r="G430" s="729">
        <f t="shared" si="31"/>
        <v>3.912023005428146</v>
      </c>
      <c r="H430" s="729">
        <f t="shared" si="32"/>
        <v>-0.69314718055994529</v>
      </c>
      <c r="I430" s="729">
        <f t="shared" si="33"/>
        <v>-4.2541932631639972</v>
      </c>
      <c r="J430" s="40"/>
    </row>
    <row r="431" spans="1:10">
      <c r="A431" s="729">
        <v>420</v>
      </c>
      <c r="B431" s="729">
        <v>50</v>
      </c>
      <c r="C431" s="729">
        <v>0.5</v>
      </c>
      <c r="D431" s="729">
        <v>1.4204545454545454E-2</v>
      </c>
      <c r="E431" s="729">
        <f t="shared" si="34"/>
        <v>0.60186513629842175</v>
      </c>
      <c r="F431" s="729">
        <f t="shared" si="30"/>
        <v>0.25817775192851883</v>
      </c>
      <c r="G431" s="729">
        <f t="shared" si="31"/>
        <v>3.912023005428146</v>
      </c>
      <c r="H431" s="729">
        <f t="shared" si="32"/>
        <v>-0.69314718055994529</v>
      </c>
      <c r="I431" s="729">
        <f t="shared" si="33"/>
        <v>-4.2541932631639972</v>
      </c>
      <c r="J431" s="40"/>
    </row>
    <row r="432" spans="1:10">
      <c r="A432" s="729">
        <v>421</v>
      </c>
      <c r="B432" s="729">
        <v>50</v>
      </c>
      <c r="C432" s="729">
        <v>0.5</v>
      </c>
      <c r="D432" s="729">
        <v>1.4204545454545454E-2</v>
      </c>
      <c r="E432" s="729">
        <f t="shared" si="34"/>
        <v>0.60329985652797702</v>
      </c>
      <c r="F432" s="729">
        <f t="shared" si="30"/>
        <v>0.26189773364321228</v>
      </c>
      <c r="G432" s="729">
        <f t="shared" si="31"/>
        <v>3.912023005428146</v>
      </c>
      <c r="H432" s="729">
        <f t="shared" si="32"/>
        <v>-0.69314718055994529</v>
      </c>
      <c r="I432" s="729">
        <f t="shared" si="33"/>
        <v>-4.2541932631639972</v>
      </c>
      <c r="J432" s="40"/>
    </row>
    <row r="433" spans="1:10">
      <c r="A433" s="729">
        <v>422</v>
      </c>
      <c r="B433" s="729">
        <v>50</v>
      </c>
      <c r="C433" s="729">
        <v>0.5</v>
      </c>
      <c r="D433" s="729">
        <v>1.4204545454545454E-2</v>
      </c>
      <c r="E433" s="729">
        <f t="shared" si="34"/>
        <v>0.60473457675753228</v>
      </c>
      <c r="F433" s="729">
        <f t="shared" si="30"/>
        <v>0.26562134311508367</v>
      </c>
      <c r="G433" s="729">
        <f t="shared" si="31"/>
        <v>3.912023005428146</v>
      </c>
      <c r="H433" s="729">
        <f t="shared" si="32"/>
        <v>-0.69314718055994529</v>
      </c>
      <c r="I433" s="729">
        <f t="shared" si="33"/>
        <v>-4.2541932631639972</v>
      </c>
      <c r="J433" s="40"/>
    </row>
    <row r="434" spans="1:10">
      <c r="A434" s="729">
        <v>423</v>
      </c>
      <c r="B434" s="729">
        <v>50</v>
      </c>
      <c r="C434" s="729">
        <v>0.5</v>
      </c>
      <c r="D434" s="729">
        <v>1.4204545454545454E-2</v>
      </c>
      <c r="E434" s="729">
        <f t="shared" si="34"/>
        <v>0.60616929698708755</v>
      </c>
      <c r="F434" s="729">
        <f t="shared" si="30"/>
        <v>0.26934863915729962</v>
      </c>
      <c r="G434" s="729">
        <f t="shared" si="31"/>
        <v>3.912023005428146</v>
      </c>
      <c r="H434" s="729">
        <f t="shared" si="32"/>
        <v>-0.69314718055994529</v>
      </c>
      <c r="I434" s="729">
        <f t="shared" si="33"/>
        <v>-4.2541932631639972</v>
      </c>
      <c r="J434" s="40"/>
    </row>
    <row r="435" spans="1:10">
      <c r="A435" s="729">
        <v>424</v>
      </c>
      <c r="B435" s="729">
        <v>50</v>
      </c>
      <c r="C435" s="729">
        <v>0.5</v>
      </c>
      <c r="D435" s="729">
        <v>1.4204545454545454E-2</v>
      </c>
      <c r="E435" s="729">
        <f t="shared" si="34"/>
        <v>0.6076040172166427</v>
      </c>
      <c r="F435" s="729">
        <f t="shared" si="30"/>
        <v>0.27307968096286084</v>
      </c>
      <c r="G435" s="729">
        <f t="shared" si="31"/>
        <v>3.912023005428146</v>
      </c>
      <c r="H435" s="729">
        <f t="shared" si="32"/>
        <v>-0.69314718055994529</v>
      </c>
      <c r="I435" s="729">
        <f t="shared" si="33"/>
        <v>-4.2541932631639972</v>
      </c>
      <c r="J435" s="40"/>
    </row>
    <row r="436" spans="1:10">
      <c r="A436" s="729">
        <v>425</v>
      </c>
      <c r="B436" s="729">
        <v>50</v>
      </c>
      <c r="C436" s="729">
        <v>0.5</v>
      </c>
      <c r="D436" s="729">
        <v>1.4204545454545454E-2</v>
      </c>
      <c r="E436" s="729">
        <f t="shared" si="34"/>
        <v>0.60903873744619796</v>
      </c>
      <c r="F436" s="729">
        <f t="shared" si="30"/>
        <v>0.27681452811209489</v>
      </c>
      <c r="G436" s="729">
        <f t="shared" si="31"/>
        <v>3.912023005428146</v>
      </c>
      <c r="H436" s="729">
        <f t="shared" si="32"/>
        <v>-0.69314718055994529</v>
      </c>
      <c r="I436" s="729">
        <f t="shared" si="33"/>
        <v>-4.2541932631639972</v>
      </c>
      <c r="J436" s="40"/>
    </row>
    <row r="437" spans="1:10">
      <c r="A437" s="729">
        <v>426</v>
      </c>
      <c r="B437" s="729">
        <v>50</v>
      </c>
      <c r="C437" s="729">
        <v>0.5</v>
      </c>
      <c r="D437" s="729">
        <v>1.4204545454545454E-2</v>
      </c>
      <c r="E437" s="729">
        <f t="shared" si="34"/>
        <v>0.61047345767575323</v>
      </c>
      <c r="F437" s="729">
        <f t="shared" si="30"/>
        <v>0.28055324058025682</v>
      </c>
      <c r="G437" s="729">
        <f t="shared" si="31"/>
        <v>3.912023005428146</v>
      </c>
      <c r="H437" s="729">
        <f t="shared" si="32"/>
        <v>-0.69314718055994529</v>
      </c>
      <c r="I437" s="729">
        <f t="shared" si="33"/>
        <v>-4.2541932631639972</v>
      </c>
      <c r="J437" s="40"/>
    </row>
    <row r="438" spans="1:10">
      <c r="A438" s="729">
        <v>427</v>
      </c>
      <c r="B438" s="729">
        <v>50</v>
      </c>
      <c r="C438" s="729">
        <v>0.5</v>
      </c>
      <c r="D438" s="729">
        <v>1.4204545454545454E-2</v>
      </c>
      <c r="E438" s="729">
        <f t="shared" si="34"/>
        <v>0.61190817790530849</v>
      </c>
      <c r="F438" s="729">
        <f t="shared" si="30"/>
        <v>0.28429587874524437</v>
      </c>
      <c r="G438" s="729">
        <f t="shared" si="31"/>
        <v>3.912023005428146</v>
      </c>
      <c r="H438" s="729">
        <f t="shared" si="32"/>
        <v>-0.69314718055994529</v>
      </c>
      <c r="I438" s="729">
        <f t="shared" si="33"/>
        <v>-4.2541932631639972</v>
      </c>
      <c r="J438" s="40"/>
    </row>
    <row r="439" spans="1:10">
      <c r="A439" s="729">
        <v>428</v>
      </c>
      <c r="B439" s="729">
        <v>50</v>
      </c>
      <c r="C439" s="729">
        <v>0.5</v>
      </c>
      <c r="D439" s="729">
        <v>1.4204545454545454E-2</v>
      </c>
      <c r="E439" s="729">
        <f t="shared" si="34"/>
        <v>0.61334289813486376</v>
      </c>
      <c r="F439" s="729">
        <f t="shared" si="30"/>
        <v>0.28804250339542731</v>
      </c>
      <c r="G439" s="729">
        <f t="shared" si="31"/>
        <v>3.912023005428146</v>
      </c>
      <c r="H439" s="729">
        <f t="shared" si="32"/>
        <v>-0.69314718055994529</v>
      </c>
      <c r="I439" s="729">
        <f t="shared" si="33"/>
        <v>-4.2541932631639972</v>
      </c>
      <c r="J439" s="40"/>
    </row>
    <row r="440" spans="1:10">
      <c r="A440" s="729">
        <v>429</v>
      </c>
      <c r="B440" s="729">
        <v>50</v>
      </c>
      <c r="C440" s="729">
        <v>0.5</v>
      </c>
      <c r="D440" s="729">
        <v>1.4204545454545454E-2</v>
      </c>
      <c r="E440" s="729">
        <f t="shared" si="34"/>
        <v>0.61477761836441891</v>
      </c>
      <c r="F440" s="729">
        <f t="shared" si="30"/>
        <v>0.29179317573759439</v>
      </c>
      <c r="G440" s="729">
        <f t="shared" si="31"/>
        <v>3.912023005428146</v>
      </c>
      <c r="H440" s="729">
        <f t="shared" si="32"/>
        <v>-0.69314718055994529</v>
      </c>
      <c r="I440" s="729">
        <f t="shared" si="33"/>
        <v>-4.2541932631639972</v>
      </c>
      <c r="J440" s="40"/>
    </row>
    <row r="441" spans="1:10">
      <c r="A441" s="729">
        <v>430</v>
      </c>
      <c r="B441" s="729">
        <v>50</v>
      </c>
      <c r="C441" s="729">
        <v>0.5</v>
      </c>
      <c r="D441" s="729">
        <v>1.4204545454545454E-2</v>
      </c>
      <c r="E441" s="729">
        <f t="shared" si="34"/>
        <v>0.61621233859397417</v>
      </c>
      <c r="F441" s="729">
        <f t="shared" si="30"/>
        <v>0.29554795740502249</v>
      </c>
      <c r="G441" s="729">
        <f t="shared" si="31"/>
        <v>3.912023005428146</v>
      </c>
      <c r="H441" s="729">
        <f t="shared" si="32"/>
        <v>-0.69314718055994529</v>
      </c>
      <c r="I441" s="729">
        <f t="shared" si="33"/>
        <v>-4.2541932631639972</v>
      </c>
      <c r="J441" s="40"/>
    </row>
    <row r="442" spans="1:10">
      <c r="A442" s="729">
        <v>431</v>
      </c>
      <c r="B442" s="729">
        <v>50</v>
      </c>
      <c r="C442" s="729">
        <v>0.5</v>
      </c>
      <c r="D442" s="729">
        <v>1.4204545454545454E-2</v>
      </c>
      <c r="E442" s="729">
        <f t="shared" si="34"/>
        <v>0.61764705882352944</v>
      </c>
      <c r="F442" s="729">
        <f t="shared" si="30"/>
        <v>0.29930691046566715</v>
      </c>
      <c r="G442" s="729">
        <f t="shared" si="31"/>
        <v>3.912023005428146</v>
      </c>
      <c r="H442" s="729">
        <f t="shared" si="32"/>
        <v>-0.69314718055994529</v>
      </c>
      <c r="I442" s="729">
        <f t="shared" si="33"/>
        <v>-4.2541932631639972</v>
      </c>
      <c r="J442" s="40"/>
    </row>
    <row r="443" spans="1:10">
      <c r="A443" s="729">
        <v>432</v>
      </c>
      <c r="B443" s="729">
        <v>50</v>
      </c>
      <c r="C443" s="729">
        <v>0.5</v>
      </c>
      <c r="D443" s="729">
        <v>1.4204545454545454E-2</v>
      </c>
      <c r="E443" s="729">
        <f t="shared" si="34"/>
        <v>0.6190817790530847</v>
      </c>
      <c r="F443" s="729">
        <f t="shared" si="30"/>
        <v>0.30307009743048224</v>
      </c>
      <c r="G443" s="729">
        <f t="shared" si="31"/>
        <v>3.912023005428146</v>
      </c>
      <c r="H443" s="729">
        <f t="shared" si="32"/>
        <v>-0.69314718055994529</v>
      </c>
      <c r="I443" s="729">
        <f t="shared" si="33"/>
        <v>-4.2541932631639972</v>
      </c>
      <c r="J443" s="40"/>
    </row>
    <row r="444" spans="1:10">
      <c r="A444" s="729">
        <v>433</v>
      </c>
      <c r="B444" s="729">
        <v>50</v>
      </c>
      <c r="C444" s="729">
        <v>0.5</v>
      </c>
      <c r="D444" s="729">
        <v>1.4204545454545454E-2</v>
      </c>
      <c r="E444" s="729">
        <f t="shared" si="34"/>
        <v>0.62051649928263986</v>
      </c>
      <c r="F444" s="729">
        <f t="shared" si="30"/>
        <v>0.30683758126186828</v>
      </c>
      <c r="G444" s="729">
        <f t="shared" si="31"/>
        <v>3.912023005428146</v>
      </c>
      <c r="H444" s="729">
        <f t="shared" si="32"/>
        <v>-0.69314718055994529</v>
      </c>
      <c r="I444" s="729">
        <f t="shared" si="33"/>
        <v>-4.2541932631639972</v>
      </c>
      <c r="J444" s="40"/>
    </row>
    <row r="445" spans="1:10">
      <c r="A445" s="729">
        <v>434</v>
      </c>
      <c r="B445" s="729">
        <v>50</v>
      </c>
      <c r="C445" s="729">
        <v>0.5</v>
      </c>
      <c r="D445" s="729">
        <v>1.4204545454545454E-2</v>
      </c>
      <c r="E445" s="729">
        <f t="shared" si="34"/>
        <v>0.62195121951219512</v>
      </c>
      <c r="F445" s="729">
        <f t="shared" si="30"/>
        <v>0.31060942538225567</v>
      </c>
      <c r="G445" s="729">
        <f t="shared" si="31"/>
        <v>3.912023005428146</v>
      </c>
      <c r="H445" s="729">
        <f t="shared" si="32"/>
        <v>-0.69314718055994529</v>
      </c>
      <c r="I445" s="729">
        <f t="shared" si="33"/>
        <v>-4.2541932631639972</v>
      </c>
      <c r="J445" s="40"/>
    </row>
    <row r="446" spans="1:10">
      <c r="A446" s="729">
        <v>435</v>
      </c>
      <c r="B446" s="729">
        <v>50</v>
      </c>
      <c r="C446" s="729">
        <v>0.5</v>
      </c>
      <c r="D446" s="729">
        <v>1.4204545454545454E-2</v>
      </c>
      <c r="E446" s="729">
        <f t="shared" si="34"/>
        <v>0.62338593974175038</v>
      </c>
      <c r="F446" s="729">
        <f t="shared" si="30"/>
        <v>0.31438569368282104</v>
      </c>
      <c r="G446" s="729">
        <f t="shared" si="31"/>
        <v>3.912023005428146</v>
      </c>
      <c r="H446" s="729">
        <f t="shared" si="32"/>
        <v>-0.69314718055994529</v>
      </c>
      <c r="I446" s="729">
        <f t="shared" si="33"/>
        <v>-4.2541932631639972</v>
      </c>
      <c r="J446" s="40"/>
    </row>
    <row r="447" spans="1:10">
      <c r="A447" s="729">
        <v>436</v>
      </c>
      <c r="B447" s="729">
        <v>50</v>
      </c>
      <c r="C447" s="729">
        <v>0.51</v>
      </c>
      <c r="D447" s="729">
        <v>1.4204545454545454E-2</v>
      </c>
      <c r="E447" s="729">
        <f t="shared" si="34"/>
        <v>0.62482065997130565</v>
      </c>
      <c r="F447" s="729">
        <f t="shared" si="30"/>
        <v>0.31816645053234688</v>
      </c>
      <c r="G447" s="729">
        <f t="shared" si="31"/>
        <v>3.912023005428146</v>
      </c>
      <c r="H447" s="729">
        <f t="shared" si="32"/>
        <v>-0.67334455326376563</v>
      </c>
      <c r="I447" s="729">
        <f t="shared" si="33"/>
        <v>-4.2541932631639972</v>
      </c>
      <c r="J447" s="40"/>
    </row>
    <row r="448" spans="1:10">
      <c r="A448" s="729">
        <v>437</v>
      </c>
      <c r="B448" s="729">
        <v>50</v>
      </c>
      <c r="C448" s="729">
        <v>0.52</v>
      </c>
      <c r="D448" s="729">
        <v>1.4204545454545454E-2</v>
      </c>
      <c r="E448" s="729">
        <f t="shared" si="34"/>
        <v>0.6262553802008608</v>
      </c>
      <c r="F448" s="729">
        <f t="shared" si="30"/>
        <v>0.32195176078622229</v>
      </c>
      <c r="G448" s="729">
        <f t="shared" si="31"/>
        <v>3.912023005428146</v>
      </c>
      <c r="H448" s="729">
        <f t="shared" si="32"/>
        <v>-0.65392646740666394</v>
      </c>
      <c r="I448" s="729">
        <f t="shared" si="33"/>
        <v>-4.2541932631639972</v>
      </c>
      <c r="J448" s="40"/>
    </row>
    <row r="449" spans="1:10">
      <c r="A449" s="729">
        <v>438</v>
      </c>
      <c r="B449" s="729">
        <v>50</v>
      </c>
      <c r="C449" s="729">
        <v>0.52</v>
      </c>
      <c r="D449" s="729">
        <v>1.4204545454545454E-2</v>
      </c>
      <c r="E449" s="729">
        <f t="shared" si="34"/>
        <v>0.62769010043041606</v>
      </c>
      <c r="F449" s="729">
        <f t="shared" si="30"/>
        <v>0.32574168979559226</v>
      </c>
      <c r="G449" s="729">
        <f t="shared" si="31"/>
        <v>3.912023005428146</v>
      </c>
      <c r="H449" s="729">
        <f t="shared" si="32"/>
        <v>-0.65392646740666394</v>
      </c>
      <c r="I449" s="729">
        <f t="shared" si="33"/>
        <v>-4.2541932631639972</v>
      </c>
      <c r="J449" s="40"/>
    </row>
    <row r="450" spans="1:10">
      <c r="A450" s="729">
        <v>439</v>
      </c>
      <c r="B450" s="729">
        <v>50</v>
      </c>
      <c r="C450" s="729">
        <v>0.53</v>
      </c>
      <c r="D450" s="729">
        <v>1.4204545454545454E-2</v>
      </c>
      <c r="E450" s="729">
        <f t="shared" si="34"/>
        <v>0.62912482065997133</v>
      </c>
      <c r="F450" s="729">
        <f t="shared" si="30"/>
        <v>0.32953630341665485</v>
      </c>
      <c r="G450" s="729">
        <f t="shared" si="31"/>
        <v>3.912023005428146</v>
      </c>
      <c r="H450" s="729">
        <f t="shared" si="32"/>
        <v>-0.6348782724359695</v>
      </c>
      <c r="I450" s="729">
        <f t="shared" si="33"/>
        <v>-4.2541932631639972</v>
      </c>
      <c r="J450" s="40"/>
    </row>
    <row r="451" spans="1:10">
      <c r="A451" s="729">
        <v>440</v>
      </c>
      <c r="B451" s="729">
        <v>50</v>
      </c>
      <c r="C451" s="729">
        <v>0.53</v>
      </c>
      <c r="D451" s="729">
        <v>1.4204545454545454E-2</v>
      </c>
      <c r="E451" s="729">
        <f t="shared" si="34"/>
        <v>0.63055954088952659</v>
      </c>
      <c r="F451" s="729">
        <f t="shared" si="30"/>
        <v>0.33333566802011438</v>
      </c>
      <c r="G451" s="729">
        <f t="shared" si="31"/>
        <v>3.912023005428146</v>
      </c>
      <c r="H451" s="729">
        <f t="shared" si="32"/>
        <v>-0.6348782724359695</v>
      </c>
      <c r="I451" s="729">
        <f t="shared" si="33"/>
        <v>-4.2541932631639972</v>
      </c>
      <c r="J451" s="40"/>
    </row>
    <row r="452" spans="1:10">
      <c r="A452" s="729">
        <v>441</v>
      </c>
      <c r="B452" s="729">
        <v>50</v>
      </c>
      <c r="C452" s="729">
        <v>0.55000000000000004</v>
      </c>
      <c r="D452" s="729">
        <v>1.4204545454545454E-2</v>
      </c>
      <c r="E452" s="729">
        <f t="shared" si="34"/>
        <v>0.63199426111908175</v>
      </c>
      <c r="F452" s="729">
        <f t="shared" si="30"/>
        <v>0.33713985050079226</v>
      </c>
      <c r="G452" s="729">
        <f t="shared" si="31"/>
        <v>3.912023005428146</v>
      </c>
      <c r="H452" s="729">
        <f t="shared" si="32"/>
        <v>-0.59783700075562041</v>
      </c>
      <c r="I452" s="729">
        <f t="shared" si="33"/>
        <v>-4.2541932631639972</v>
      </c>
      <c r="J452" s="40"/>
    </row>
    <row r="453" spans="1:10">
      <c r="A453" s="729">
        <v>442</v>
      </c>
      <c r="B453" s="729">
        <v>50</v>
      </c>
      <c r="C453" s="729">
        <v>0.55000000000000004</v>
      </c>
      <c r="D453" s="729">
        <v>1.4204545454545454E-2</v>
      </c>
      <c r="E453" s="729">
        <f t="shared" si="34"/>
        <v>0.63342898134863701</v>
      </c>
      <c r="F453" s="729">
        <f t="shared" si="30"/>
        <v>0.34094891828739998</v>
      </c>
      <c r="G453" s="729">
        <f t="shared" si="31"/>
        <v>3.912023005428146</v>
      </c>
      <c r="H453" s="729">
        <f t="shared" si="32"/>
        <v>-0.59783700075562041</v>
      </c>
      <c r="I453" s="729">
        <f t="shared" si="33"/>
        <v>-4.2541932631639972</v>
      </c>
      <c r="J453" s="40"/>
    </row>
    <row r="454" spans="1:10">
      <c r="A454" s="729">
        <v>443</v>
      </c>
      <c r="B454" s="729">
        <v>50</v>
      </c>
      <c r="C454" s="729">
        <v>0.56000000000000005</v>
      </c>
      <c r="D454" s="729">
        <v>1.4204545454545454E-2</v>
      </c>
      <c r="E454" s="729">
        <f t="shared" si="34"/>
        <v>0.63486370157819227</v>
      </c>
      <c r="F454" s="729">
        <f t="shared" si="30"/>
        <v>0.34476293935247532</v>
      </c>
      <c r="G454" s="729">
        <f t="shared" si="31"/>
        <v>3.912023005428146</v>
      </c>
      <c r="H454" s="729">
        <f t="shared" si="32"/>
        <v>-0.57981849525294205</v>
      </c>
      <c r="I454" s="729">
        <f t="shared" si="33"/>
        <v>-4.2541932631639972</v>
      </c>
      <c r="J454" s="40"/>
    </row>
    <row r="455" spans="1:10">
      <c r="A455" s="729">
        <v>444</v>
      </c>
      <c r="B455" s="729">
        <v>50</v>
      </c>
      <c r="C455" s="729">
        <v>0.56000000000000005</v>
      </c>
      <c r="D455" s="729">
        <v>1.4204545454545454E-2</v>
      </c>
      <c r="E455" s="729">
        <f t="shared" si="34"/>
        <v>0.63629842180774754</v>
      </c>
      <c r="F455" s="729">
        <f t="shared" si="30"/>
        <v>0.34858198222249237</v>
      </c>
      <c r="G455" s="729">
        <f t="shared" si="31"/>
        <v>3.912023005428146</v>
      </c>
      <c r="H455" s="729">
        <f t="shared" si="32"/>
        <v>-0.57981849525294205</v>
      </c>
      <c r="I455" s="729">
        <f t="shared" si="33"/>
        <v>-4.2541932631639972</v>
      </c>
      <c r="J455" s="40"/>
    </row>
    <row r="456" spans="1:10">
      <c r="A456" s="729">
        <v>445</v>
      </c>
      <c r="B456" s="729">
        <v>50</v>
      </c>
      <c r="C456" s="327">
        <v>0.56999999999999995</v>
      </c>
      <c r="D456" s="729">
        <v>1.4488636363636363E-2</v>
      </c>
      <c r="E456" s="729">
        <f t="shared" si="34"/>
        <v>0.63773314203730269</v>
      </c>
      <c r="F456" s="729">
        <f t="shared" si="30"/>
        <v>0.3524061159881422</v>
      </c>
      <c r="G456" s="729">
        <f t="shared" si="31"/>
        <v>3.912023005428146</v>
      </c>
      <c r="H456" s="729">
        <f t="shared" si="32"/>
        <v>-0.56211891815354131</v>
      </c>
      <c r="I456" s="729">
        <f t="shared" si="33"/>
        <v>-4.2343906358678174</v>
      </c>
      <c r="J456" s="40"/>
    </row>
    <row r="457" spans="1:10">
      <c r="A457" s="729">
        <v>446</v>
      </c>
      <c r="B457" s="729">
        <v>50</v>
      </c>
      <c r="C457" s="729">
        <v>0.59</v>
      </c>
      <c r="D457" s="729">
        <v>1.4488636363636363E-2</v>
      </c>
      <c r="E457" s="729">
        <f t="shared" si="34"/>
        <v>0.63916786226685796</v>
      </c>
      <c r="F457" s="729">
        <f t="shared" si="30"/>
        <v>0.35623541031479528</v>
      </c>
      <c r="G457" s="729">
        <f t="shared" si="31"/>
        <v>3.912023005428146</v>
      </c>
      <c r="H457" s="729">
        <f t="shared" si="32"/>
        <v>-0.52763274208237199</v>
      </c>
      <c r="I457" s="729">
        <f t="shared" si="33"/>
        <v>-4.2343906358678174</v>
      </c>
      <c r="J457" s="40"/>
    </row>
    <row r="458" spans="1:10">
      <c r="A458" s="729">
        <v>447</v>
      </c>
      <c r="B458" s="729">
        <v>50</v>
      </c>
      <c r="C458" s="729">
        <v>0.6</v>
      </c>
      <c r="D458" s="729">
        <v>1.4999999999999999E-2</v>
      </c>
      <c r="E458" s="729">
        <f t="shared" si="34"/>
        <v>0.64060258249641322</v>
      </c>
      <c r="F458" s="729">
        <f t="shared" si="30"/>
        <v>0.36006993545314314</v>
      </c>
      <c r="G458" s="729">
        <f t="shared" si="31"/>
        <v>3.912023005428146</v>
      </c>
      <c r="H458" s="729">
        <f t="shared" si="32"/>
        <v>-0.51082562376599072</v>
      </c>
      <c r="I458" s="729">
        <f t="shared" si="33"/>
        <v>-4.1997050778799272</v>
      </c>
      <c r="J458" s="40"/>
    </row>
    <row r="459" spans="1:10">
      <c r="A459" s="729">
        <v>448</v>
      </c>
      <c r="B459" s="729">
        <v>50</v>
      </c>
      <c r="C459" s="729">
        <v>0.6</v>
      </c>
      <c r="D459" s="729">
        <v>1.5340909090909091E-2</v>
      </c>
      <c r="E459" s="729">
        <f t="shared" si="34"/>
        <v>0.64203730272596848</v>
      </c>
      <c r="F459" s="729">
        <f t="shared" si="30"/>
        <v>0.36390976225002963</v>
      </c>
      <c r="G459" s="729">
        <f t="shared" si="31"/>
        <v>3.912023005428146</v>
      </c>
      <c r="H459" s="729">
        <f t="shared" si="32"/>
        <v>-0.51082562376599072</v>
      </c>
      <c r="I459" s="729">
        <f t="shared" si="33"/>
        <v>-4.1772322220278681</v>
      </c>
      <c r="J459" s="40"/>
    </row>
    <row r="460" spans="1:10">
      <c r="A460" s="729">
        <v>449</v>
      </c>
      <c r="B460" s="729">
        <v>50</v>
      </c>
      <c r="C460" s="729">
        <v>0.6</v>
      </c>
      <c r="D460" s="729">
        <v>1.5909090909090911E-2</v>
      </c>
      <c r="E460" s="729">
        <f t="shared" si="34"/>
        <v>0.64347202295552364</v>
      </c>
      <c r="F460" s="729">
        <f t="shared" ref="F460:F523" si="35">NORMSINV(E460)</f>
        <v>0.3677549621594744</v>
      </c>
      <c r="G460" s="729">
        <f t="shared" ref="G460:G523" si="36">LN(B460)</f>
        <v>3.912023005428146</v>
      </c>
      <c r="H460" s="729">
        <f t="shared" ref="H460:H523" si="37">LN(C460)</f>
        <v>-0.51082562376599072</v>
      </c>
      <c r="I460" s="729">
        <f t="shared" ref="I460:I523" si="38">LN(D460)</f>
        <v>-4.140864577856993</v>
      </c>
      <c r="J460" s="40"/>
    </row>
    <row r="461" spans="1:10">
      <c r="A461" s="729">
        <v>450</v>
      </c>
      <c r="B461" s="729">
        <v>50</v>
      </c>
      <c r="C461" s="729">
        <v>0.6</v>
      </c>
      <c r="D461" s="729">
        <v>1.7045454545454544E-2</v>
      </c>
      <c r="E461" s="729">
        <f t="shared" ref="E461:E524" si="39">(A461-0.5)/697</f>
        <v>0.6449067431850789</v>
      </c>
      <c r="F461" s="729">
        <f t="shared" si="35"/>
        <v>0.37160560725389336</v>
      </c>
      <c r="G461" s="729">
        <f t="shared" si="36"/>
        <v>3.912023005428146</v>
      </c>
      <c r="H461" s="729">
        <f t="shared" si="37"/>
        <v>-0.51082562376599072</v>
      </c>
      <c r="I461" s="729">
        <f t="shared" si="38"/>
        <v>-4.0718717063700423</v>
      </c>
      <c r="J461" s="40"/>
    </row>
    <row r="462" spans="1:10">
      <c r="A462" s="729">
        <v>451</v>
      </c>
      <c r="B462" s="729">
        <v>50</v>
      </c>
      <c r="C462" s="729">
        <v>0.6</v>
      </c>
      <c r="D462" s="729">
        <v>1.7045454545454544E-2</v>
      </c>
      <c r="E462" s="729">
        <f t="shared" si="39"/>
        <v>0.64634146341463417</v>
      </c>
      <c r="F462" s="729">
        <f t="shared" si="35"/>
        <v>0.37546177023551847</v>
      </c>
      <c r="G462" s="729">
        <f t="shared" si="36"/>
        <v>3.912023005428146</v>
      </c>
      <c r="H462" s="729">
        <f t="shared" si="37"/>
        <v>-0.51082562376599072</v>
      </c>
      <c r="I462" s="729">
        <f t="shared" si="38"/>
        <v>-4.0718717063700423</v>
      </c>
      <c r="J462" s="40"/>
    </row>
    <row r="463" spans="1:10">
      <c r="A463" s="729">
        <v>452</v>
      </c>
      <c r="B463" s="729">
        <v>50</v>
      </c>
      <c r="C463" s="729">
        <v>0.6</v>
      </c>
      <c r="D463" s="729">
        <v>1.7045454545454544E-2</v>
      </c>
      <c r="E463" s="729">
        <f t="shared" si="39"/>
        <v>0.64777618364418943</v>
      </c>
      <c r="F463" s="729">
        <f t="shared" si="35"/>
        <v>0.3793235244480278</v>
      </c>
      <c r="G463" s="729">
        <f t="shared" si="36"/>
        <v>3.912023005428146</v>
      </c>
      <c r="H463" s="729">
        <f t="shared" si="37"/>
        <v>-0.51082562376599072</v>
      </c>
      <c r="I463" s="729">
        <f t="shared" si="38"/>
        <v>-4.0718717063700423</v>
      </c>
      <c r="J463" s="40"/>
    </row>
    <row r="464" spans="1:10">
      <c r="A464" s="729">
        <v>453</v>
      </c>
      <c r="B464" s="729">
        <v>50</v>
      </c>
      <c r="C464" s="729">
        <v>0.6</v>
      </c>
      <c r="D464" s="729">
        <v>1.7045454545454544E-2</v>
      </c>
      <c r="E464" s="729">
        <f t="shared" si="39"/>
        <v>0.64921090387374458</v>
      </c>
      <c r="F464" s="729">
        <f t="shared" si="35"/>
        <v>0.38319094388838565</v>
      </c>
      <c r="G464" s="729">
        <f t="shared" si="36"/>
        <v>3.912023005428146</v>
      </c>
      <c r="H464" s="729">
        <f t="shared" si="37"/>
        <v>-0.51082562376599072</v>
      </c>
      <c r="I464" s="729">
        <f t="shared" si="38"/>
        <v>-4.0718717063700423</v>
      </c>
      <c r="J464" s="40"/>
    </row>
    <row r="465" spans="1:10">
      <c r="A465" s="729">
        <v>454</v>
      </c>
      <c r="B465" s="729">
        <v>50</v>
      </c>
      <c r="C465" s="729">
        <v>0.7</v>
      </c>
      <c r="D465" s="729">
        <v>1.7045454545454544E-2</v>
      </c>
      <c r="E465" s="729">
        <f t="shared" si="39"/>
        <v>0.65064562410329985</v>
      </c>
      <c r="F465" s="729">
        <f t="shared" si="35"/>
        <v>0.38706410321890156</v>
      </c>
      <c r="G465" s="729">
        <f t="shared" si="36"/>
        <v>3.912023005428146</v>
      </c>
      <c r="H465" s="729">
        <f t="shared" si="37"/>
        <v>-0.35667494393873245</v>
      </c>
      <c r="I465" s="729">
        <f t="shared" si="38"/>
        <v>-4.0718717063700423</v>
      </c>
      <c r="J465" s="40"/>
    </row>
    <row r="466" spans="1:10">
      <c r="A466" s="729">
        <v>455</v>
      </c>
      <c r="B466" s="729">
        <v>50</v>
      </c>
      <c r="C466" s="729">
        <v>0.7</v>
      </c>
      <c r="D466" s="729">
        <v>1.7045454545454544E-2</v>
      </c>
      <c r="E466" s="729">
        <f t="shared" si="39"/>
        <v>0.65208034433285511</v>
      </c>
      <c r="F466" s="729">
        <f t="shared" si="35"/>
        <v>0.39094307777950976</v>
      </c>
      <c r="G466" s="729">
        <f t="shared" si="36"/>
        <v>3.912023005428146</v>
      </c>
      <c r="H466" s="729">
        <f t="shared" si="37"/>
        <v>-0.35667494393873245</v>
      </c>
      <c r="I466" s="729">
        <f t="shared" si="38"/>
        <v>-4.0718717063700423</v>
      </c>
      <c r="J466" s="40"/>
    </row>
    <row r="467" spans="1:10">
      <c r="A467" s="729">
        <v>456</v>
      </c>
      <c r="B467" s="729">
        <v>50</v>
      </c>
      <c r="C467" s="729">
        <v>0.7</v>
      </c>
      <c r="D467" s="729">
        <v>1.7045454545454544E-2</v>
      </c>
      <c r="E467" s="729">
        <f t="shared" si="39"/>
        <v>0.65351506456241037</v>
      </c>
      <c r="F467" s="729">
        <f t="shared" si="35"/>
        <v>0.39482794360028001</v>
      </c>
      <c r="G467" s="729">
        <f t="shared" si="36"/>
        <v>3.912023005428146</v>
      </c>
      <c r="H467" s="729">
        <f t="shared" si="37"/>
        <v>-0.35667494393873245</v>
      </c>
      <c r="I467" s="729">
        <f t="shared" si="38"/>
        <v>-4.0718717063700423</v>
      </c>
      <c r="J467" s="40"/>
    </row>
    <row r="468" spans="1:10">
      <c r="A468" s="729">
        <v>457</v>
      </c>
      <c r="B468" s="729">
        <v>50</v>
      </c>
      <c r="C468" s="729">
        <v>0.75</v>
      </c>
      <c r="D468" s="729">
        <v>1.7045454545454544E-2</v>
      </c>
      <c r="E468" s="729">
        <f t="shared" si="39"/>
        <v>0.65494978479196553</v>
      </c>
      <c r="F468" s="729">
        <f t="shared" si="35"/>
        <v>0.39871877741416084</v>
      </c>
      <c r="G468" s="729">
        <f t="shared" si="36"/>
        <v>3.912023005428146</v>
      </c>
      <c r="H468" s="729">
        <f t="shared" si="37"/>
        <v>-0.2876820724517809</v>
      </c>
      <c r="I468" s="729">
        <f t="shared" si="38"/>
        <v>-4.0718717063700423</v>
      </c>
      <c r="J468" s="40"/>
    </row>
    <row r="469" spans="1:10">
      <c r="A469" s="729">
        <v>458</v>
      </c>
      <c r="B469" s="729">
        <v>50</v>
      </c>
      <c r="C469" s="327">
        <v>0.75</v>
      </c>
      <c r="D469" s="729">
        <v>1.8323863636363635E-2</v>
      </c>
      <c r="E469" s="729">
        <f t="shared" si="39"/>
        <v>0.65638450502152079</v>
      </c>
      <c r="F469" s="729">
        <f t="shared" si="35"/>
        <v>0.40261565666996529</v>
      </c>
      <c r="G469" s="729">
        <f t="shared" si="36"/>
        <v>3.912023005428146</v>
      </c>
      <c r="H469" s="729">
        <f t="shared" si="37"/>
        <v>-0.2876820724517809</v>
      </c>
      <c r="I469" s="729">
        <f t="shared" si="38"/>
        <v>-3.9995510447904161</v>
      </c>
      <c r="J469" s="40"/>
    </row>
    <row r="470" spans="1:10">
      <c r="A470" s="729">
        <v>459</v>
      </c>
      <c r="B470" s="729">
        <v>50</v>
      </c>
      <c r="C470" s="729">
        <v>0.8</v>
      </c>
      <c r="D470" s="729">
        <v>1.8749999999999999E-2</v>
      </c>
      <c r="E470" s="729">
        <f t="shared" si="39"/>
        <v>0.65781922525107606</v>
      </c>
      <c r="F470" s="729">
        <f t="shared" si="35"/>
        <v>0.4065186595455999</v>
      </c>
      <c r="G470" s="729">
        <f t="shared" si="36"/>
        <v>3.912023005428146</v>
      </c>
      <c r="H470" s="729">
        <f t="shared" si="37"/>
        <v>-0.22314355131420971</v>
      </c>
      <c r="I470" s="729">
        <f t="shared" si="38"/>
        <v>-3.9765615265657175</v>
      </c>
      <c r="J470" s="40"/>
    </row>
    <row r="471" spans="1:10">
      <c r="A471" s="729">
        <v>460</v>
      </c>
      <c r="B471" s="729">
        <v>50</v>
      </c>
      <c r="C471" s="729">
        <v>0.8</v>
      </c>
      <c r="D471" s="729">
        <v>1.8749999999999999E-2</v>
      </c>
      <c r="E471" s="729">
        <f t="shared" si="39"/>
        <v>0.65925394548063132</v>
      </c>
      <c r="F471" s="729">
        <f t="shared" si="35"/>
        <v>0.41042786496154915</v>
      </c>
      <c r="G471" s="729">
        <f t="shared" si="36"/>
        <v>3.912023005428146</v>
      </c>
      <c r="H471" s="729">
        <f t="shared" si="37"/>
        <v>-0.22314355131420971</v>
      </c>
      <c r="I471" s="729">
        <f t="shared" si="38"/>
        <v>-3.9765615265657175</v>
      </c>
      <c r="J471" s="40"/>
    </row>
    <row r="472" spans="1:10">
      <c r="A472" s="729">
        <v>461</v>
      </c>
      <c r="B472" s="729">
        <v>50</v>
      </c>
      <c r="C472" s="729">
        <v>0.8</v>
      </c>
      <c r="D472" s="729">
        <v>1.8749999999999999E-2</v>
      </c>
      <c r="E472" s="729">
        <f t="shared" si="39"/>
        <v>0.66068866571018647</v>
      </c>
      <c r="F472" s="729">
        <f t="shared" si="35"/>
        <v>0.41434335259461841</v>
      </c>
      <c r="G472" s="729">
        <f t="shared" si="36"/>
        <v>3.912023005428146</v>
      </c>
      <c r="H472" s="729">
        <f t="shared" si="37"/>
        <v>-0.22314355131420971</v>
      </c>
      <c r="I472" s="729">
        <f t="shared" si="38"/>
        <v>-3.9765615265657175</v>
      </c>
      <c r="J472" s="40"/>
    </row>
    <row r="473" spans="1:10">
      <c r="A473" s="729">
        <v>462</v>
      </c>
      <c r="B473" s="729">
        <v>50</v>
      </c>
      <c r="C473" s="729">
        <v>0.8</v>
      </c>
      <c r="D473" s="729">
        <v>1.9318181818181818E-2</v>
      </c>
      <c r="E473" s="729">
        <f t="shared" si="39"/>
        <v>0.66212338593974174</v>
      </c>
      <c r="F473" s="729">
        <f t="shared" si="35"/>
        <v>0.41826520289194324</v>
      </c>
      <c r="G473" s="729">
        <f t="shared" si="36"/>
        <v>3.912023005428146</v>
      </c>
      <c r="H473" s="729">
        <f t="shared" si="37"/>
        <v>-0.22314355131420971</v>
      </c>
      <c r="I473" s="729">
        <f t="shared" si="38"/>
        <v>-3.9467085634160362</v>
      </c>
      <c r="J473" s="40"/>
    </row>
    <row r="474" spans="1:10">
      <c r="A474" s="729">
        <v>463</v>
      </c>
      <c r="B474" s="729">
        <v>50</v>
      </c>
      <c r="C474" s="729">
        <v>0.8</v>
      </c>
      <c r="D474" s="729">
        <v>1.9318181818181818E-2</v>
      </c>
      <c r="E474" s="729">
        <f t="shared" si="39"/>
        <v>0.663558106169297</v>
      </c>
      <c r="F474" s="729">
        <f t="shared" si="35"/>
        <v>0.42219349708526982</v>
      </c>
      <c r="G474" s="729">
        <f t="shared" si="36"/>
        <v>3.912023005428146</v>
      </c>
      <c r="H474" s="729">
        <f t="shared" si="37"/>
        <v>-0.22314355131420971</v>
      </c>
      <c r="I474" s="729">
        <f t="shared" si="38"/>
        <v>-3.9467085634160362</v>
      </c>
      <c r="J474" s="40"/>
    </row>
    <row r="475" spans="1:10">
      <c r="A475" s="729">
        <v>464</v>
      </c>
      <c r="B475" s="729">
        <v>50</v>
      </c>
      <c r="C475" s="729">
        <v>0.8</v>
      </c>
      <c r="D475" s="729">
        <v>1.9886363636363636E-2</v>
      </c>
      <c r="E475" s="729">
        <f t="shared" si="39"/>
        <v>0.66499282639885227</v>
      </c>
      <c r="F475" s="729">
        <f t="shared" si="35"/>
        <v>0.42612831720551736</v>
      </c>
      <c r="G475" s="729">
        <f t="shared" si="36"/>
        <v>3.912023005428146</v>
      </c>
      <c r="H475" s="729">
        <f t="shared" si="37"/>
        <v>-0.22314355131420971</v>
      </c>
      <c r="I475" s="729">
        <f t="shared" si="38"/>
        <v>-3.9177210265427838</v>
      </c>
      <c r="J475" s="40"/>
    </row>
    <row r="476" spans="1:10">
      <c r="A476" s="729">
        <v>465</v>
      </c>
      <c r="B476" s="729">
        <v>50</v>
      </c>
      <c r="C476" s="729">
        <v>0.82</v>
      </c>
      <c r="D476" s="729">
        <v>1.9886363636363636E-2</v>
      </c>
      <c r="E476" s="729">
        <f t="shared" si="39"/>
        <v>0.66642754662840742</v>
      </c>
      <c r="F476" s="729">
        <f t="shared" si="35"/>
        <v>0.43006974609762583</v>
      </c>
      <c r="G476" s="729">
        <f t="shared" si="36"/>
        <v>3.912023005428146</v>
      </c>
      <c r="H476" s="729">
        <f t="shared" si="37"/>
        <v>-0.19845093872383832</v>
      </c>
      <c r="I476" s="729">
        <f t="shared" si="38"/>
        <v>-3.9177210265427838</v>
      </c>
      <c r="J476" s="40"/>
    </row>
    <row r="477" spans="1:10">
      <c r="A477" s="729">
        <v>466</v>
      </c>
      <c r="B477" s="729">
        <v>50</v>
      </c>
      <c r="C477" s="729">
        <v>0.9</v>
      </c>
      <c r="D477" s="729">
        <v>2.130681818181818E-2</v>
      </c>
      <c r="E477" s="729">
        <f t="shared" si="39"/>
        <v>0.66786226685796268</v>
      </c>
      <c r="F477" s="729">
        <f t="shared" si="35"/>
        <v>0.4340178674357012</v>
      </c>
      <c r="G477" s="729">
        <f t="shared" si="36"/>
        <v>3.912023005428146</v>
      </c>
      <c r="H477" s="729">
        <f t="shared" si="37"/>
        <v>-0.10536051565782628</v>
      </c>
      <c r="I477" s="729">
        <f t="shared" si="38"/>
        <v>-3.8487281550558325</v>
      </c>
      <c r="J477" s="40"/>
    </row>
    <row r="478" spans="1:10">
      <c r="A478" s="729">
        <v>467</v>
      </c>
      <c r="B478" s="729">
        <v>50</v>
      </c>
      <c r="C478" s="729">
        <v>0.9</v>
      </c>
      <c r="D478" s="729">
        <v>2.130681818181818E-2</v>
      </c>
      <c r="E478" s="729">
        <f t="shared" si="39"/>
        <v>0.66929698708751795</v>
      </c>
      <c r="F478" s="729">
        <f t="shared" si="35"/>
        <v>0.43797276573845845</v>
      </c>
      <c r="G478" s="729">
        <f t="shared" si="36"/>
        <v>3.912023005428146</v>
      </c>
      <c r="H478" s="729">
        <f t="shared" si="37"/>
        <v>-0.10536051565782628</v>
      </c>
      <c r="I478" s="729">
        <f t="shared" si="38"/>
        <v>-3.8487281550558325</v>
      </c>
      <c r="J478" s="40"/>
    </row>
    <row r="479" spans="1:10">
      <c r="A479" s="729">
        <v>468</v>
      </c>
      <c r="B479" s="729">
        <v>50</v>
      </c>
      <c r="C479" s="729">
        <v>1</v>
      </c>
      <c r="D479" s="729">
        <v>2.130681818181818E-2</v>
      </c>
      <c r="E479" s="729">
        <f t="shared" si="39"/>
        <v>0.67073170731707321</v>
      </c>
      <c r="F479" s="729">
        <f t="shared" si="35"/>
        <v>0.4419345263849786</v>
      </c>
      <c r="G479" s="729">
        <f t="shared" si="36"/>
        <v>3.912023005428146</v>
      </c>
      <c r="H479" s="729">
        <f t="shared" si="37"/>
        <v>0</v>
      </c>
      <c r="I479" s="729">
        <f t="shared" si="38"/>
        <v>-3.8487281550558325</v>
      </c>
      <c r="J479" s="40"/>
    </row>
    <row r="480" spans="1:10">
      <c r="A480" s="729">
        <v>469</v>
      </c>
      <c r="B480" s="729">
        <v>50</v>
      </c>
      <c r="C480" s="729">
        <v>1</v>
      </c>
      <c r="D480" s="729">
        <v>2.130681818181818E-2</v>
      </c>
      <c r="E480" s="729">
        <f t="shared" si="39"/>
        <v>0.67216642754662836</v>
      </c>
      <c r="F480" s="729">
        <f t="shared" si="35"/>
        <v>0.44590323563078271</v>
      </c>
      <c r="G480" s="729">
        <f t="shared" si="36"/>
        <v>3.912023005428146</v>
      </c>
      <c r="H480" s="729">
        <f t="shared" si="37"/>
        <v>0</v>
      </c>
      <c r="I480" s="729">
        <f t="shared" si="38"/>
        <v>-3.8487281550558325</v>
      </c>
      <c r="J480" s="40"/>
    </row>
    <row r="481" spans="1:10">
      <c r="A481" s="729">
        <v>470</v>
      </c>
      <c r="B481" s="729">
        <v>50</v>
      </c>
      <c r="C481" s="729">
        <v>1</v>
      </c>
      <c r="D481" s="841">
        <v>2.130681818181818E-2</v>
      </c>
      <c r="E481" s="729">
        <f t="shared" si="39"/>
        <v>0.67360114777618363</v>
      </c>
      <c r="F481" s="729">
        <f t="shared" si="35"/>
        <v>0.44987898062423393</v>
      </c>
      <c r="G481" s="729">
        <f t="shared" si="36"/>
        <v>3.912023005428146</v>
      </c>
      <c r="H481" s="729">
        <f t="shared" si="37"/>
        <v>0</v>
      </c>
      <c r="I481" s="729">
        <f t="shared" si="38"/>
        <v>-3.8487281550558325</v>
      </c>
      <c r="J481" s="40"/>
    </row>
    <row r="482" spans="1:10">
      <c r="A482" s="729">
        <v>471</v>
      </c>
      <c r="B482" s="729">
        <v>50</v>
      </c>
      <c r="C482" s="729">
        <v>1</v>
      </c>
      <c r="D482" s="729">
        <v>2.2727272727272728E-2</v>
      </c>
      <c r="E482" s="729">
        <f t="shared" si="39"/>
        <v>0.67503586800573889</v>
      </c>
      <c r="F482" s="729">
        <f t="shared" si="35"/>
        <v>0.45386184942327196</v>
      </c>
      <c r="G482" s="729">
        <f t="shared" si="36"/>
        <v>3.912023005428146</v>
      </c>
      <c r="H482" s="729">
        <f t="shared" si="37"/>
        <v>0</v>
      </c>
      <c r="I482" s="729">
        <f t="shared" si="38"/>
        <v>-3.784189633918261</v>
      </c>
      <c r="J482" s="40"/>
    </row>
    <row r="483" spans="1:10">
      <c r="A483" s="729">
        <v>472</v>
      </c>
      <c r="B483" s="729">
        <v>50</v>
      </c>
      <c r="C483" s="729">
        <v>1</v>
      </c>
      <c r="D483" s="729">
        <v>2.2727272727272728E-2</v>
      </c>
      <c r="E483" s="729">
        <f t="shared" si="39"/>
        <v>0.67647058823529416</v>
      </c>
      <c r="F483" s="729">
        <f t="shared" si="35"/>
        <v>0.45785193101249527</v>
      </c>
      <c r="G483" s="729">
        <f t="shared" si="36"/>
        <v>3.912023005428146</v>
      </c>
      <c r="H483" s="729">
        <f t="shared" si="37"/>
        <v>0</v>
      </c>
      <c r="I483" s="729">
        <f t="shared" si="38"/>
        <v>-3.784189633918261</v>
      </c>
      <c r="J483" s="40"/>
    </row>
    <row r="484" spans="1:10">
      <c r="A484" s="729">
        <v>473</v>
      </c>
      <c r="B484" s="729">
        <v>50</v>
      </c>
      <c r="C484" s="729">
        <v>1</v>
      </c>
      <c r="D484" s="729">
        <v>2.2727272727272728E-2</v>
      </c>
      <c r="E484" s="729">
        <f t="shared" si="39"/>
        <v>0.67790530846484931</v>
      </c>
      <c r="F484" s="729">
        <f t="shared" si="35"/>
        <v>0.46184931532059431</v>
      </c>
      <c r="G484" s="729">
        <f t="shared" si="36"/>
        <v>3.912023005428146</v>
      </c>
      <c r="H484" s="729">
        <f t="shared" si="37"/>
        <v>0</v>
      </c>
      <c r="I484" s="729">
        <f t="shared" si="38"/>
        <v>-3.784189633918261</v>
      </c>
      <c r="J484" s="40"/>
    </row>
    <row r="485" spans="1:10">
      <c r="A485" s="729">
        <v>474</v>
      </c>
      <c r="B485" s="729">
        <v>50</v>
      </c>
      <c r="C485" s="729">
        <v>1</v>
      </c>
      <c r="D485" s="729">
        <v>2.2727272727272728E-2</v>
      </c>
      <c r="E485" s="729">
        <f t="shared" si="39"/>
        <v>0.67934002869440457</v>
      </c>
      <c r="F485" s="729">
        <f t="shared" si="35"/>
        <v>0.4658540932381508</v>
      </c>
      <c r="G485" s="729">
        <f t="shared" si="36"/>
        <v>3.912023005428146</v>
      </c>
      <c r="H485" s="729">
        <f t="shared" si="37"/>
        <v>0</v>
      </c>
      <c r="I485" s="729">
        <f t="shared" si="38"/>
        <v>-3.784189633918261</v>
      </c>
      <c r="J485" s="40"/>
    </row>
    <row r="486" spans="1:10">
      <c r="A486" s="729">
        <v>475</v>
      </c>
      <c r="B486" s="729">
        <v>50</v>
      </c>
      <c r="C486" s="729">
        <v>1</v>
      </c>
      <c r="D486" s="729">
        <v>2.2727272727272728E-2</v>
      </c>
      <c r="E486" s="729">
        <f t="shared" si="39"/>
        <v>0.68077474892395984</v>
      </c>
      <c r="F486" s="729">
        <f t="shared" si="35"/>
        <v>0.46986635663580567</v>
      </c>
      <c r="G486" s="729">
        <f t="shared" si="36"/>
        <v>3.912023005428146</v>
      </c>
      <c r="H486" s="729">
        <f t="shared" si="37"/>
        <v>0</v>
      </c>
      <c r="I486" s="729">
        <f t="shared" si="38"/>
        <v>-3.784189633918261</v>
      </c>
      <c r="J486" s="40"/>
    </row>
    <row r="487" spans="1:10">
      <c r="A487" s="729">
        <v>476</v>
      </c>
      <c r="B487" s="729">
        <v>50</v>
      </c>
      <c r="C487" s="729">
        <v>1</v>
      </c>
      <c r="D487" s="729">
        <v>2.2727272727272728E-2</v>
      </c>
      <c r="E487" s="729">
        <f t="shared" si="39"/>
        <v>0.6822094691535151</v>
      </c>
      <c r="F487" s="729">
        <f t="shared" si="35"/>
        <v>0.47388619838281337</v>
      </c>
      <c r="G487" s="729">
        <f t="shared" si="36"/>
        <v>3.912023005428146</v>
      </c>
      <c r="H487" s="729">
        <f t="shared" si="37"/>
        <v>0</v>
      </c>
      <c r="I487" s="729">
        <f t="shared" si="38"/>
        <v>-3.784189633918261</v>
      </c>
      <c r="J487" s="40"/>
    </row>
    <row r="488" spans="1:10">
      <c r="A488" s="729">
        <v>477</v>
      </c>
      <c r="B488" s="729">
        <v>50</v>
      </c>
      <c r="C488" s="729">
        <v>1</v>
      </c>
      <c r="D488" s="729">
        <v>2.2727272727272728E-2</v>
      </c>
      <c r="E488" s="729">
        <f t="shared" si="39"/>
        <v>0.68364418938307026</v>
      </c>
      <c r="F488" s="729">
        <f t="shared" si="35"/>
        <v>0.47791371236598701</v>
      </c>
      <c r="G488" s="729">
        <f t="shared" si="36"/>
        <v>3.912023005428146</v>
      </c>
      <c r="H488" s="729">
        <f t="shared" si="37"/>
        <v>0</v>
      </c>
      <c r="I488" s="729">
        <f t="shared" si="38"/>
        <v>-3.784189633918261</v>
      </c>
      <c r="J488" s="40"/>
    </row>
    <row r="489" spans="1:10">
      <c r="A489" s="729">
        <v>478</v>
      </c>
      <c r="B489" s="729">
        <v>50</v>
      </c>
      <c r="C489" s="729">
        <v>1</v>
      </c>
      <c r="D489" s="729">
        <v>2.2727272727272728E-2</v>
      </c>
      <c r="E489" s="729">
        <f t="shared" si="39"/>
        <v>0.68507890961262552</v>
      </c>
      <c r="F489" s="729">
        <f t="shared" si="35"/>
        <v>0.48194899350904996</v>
      </c>
      <c r="G489" s="729">
        <f t="shared" si="36"/>
        <v>3.912023005428146</v>
      </c>
      <c r="H489" s="729">
        <f t="shared" si="37"/>
        <v>0</v>
      </c>
      <c r="I489" s="729">
        <f t="shared" si="38"/>
        <v>-3.784189633918261</v>
      </c>
      <c r="J489" s="40"/>
    </row>
    <row r="490" spans="1:10">
      <c r="A490" s="729">
        <v>479</v>
      </c>
      <c r="B490" s="729">
        <v>50</v>
      </c>
      <c r="C490" s="729">
        <v>1</v>
      </c>
      <c r="D490" s="729">
        <v>2.2727272727272728E-2</v>
      </c>
      <c r="E490" s="729">
        <f t="shared" si="39"/>
        <v>0.68651362984218078</v>
      </c>
      <c r="F490" s="729">
        <f t="shared" si="35"/>
        <v>0.48599213779239869</v>
      </c>
      <c r="G490" s="729">
        <f t="shared" si="36"/>
        <v>3.912023005428146</v>
      </c>
      <c r="H490" s="729">
        <f t="shared" si="37"/>
        <v>0</v>
      </c>
      <c r="I490" s="729">
        <f t="shared" si="38"/>
        <v>-3.784189633918261</v>
      </c>
      <c r="J490" s="40"/>
    </row>
    <row r="491" spans="1:10">
      <c r="A491" s="729">
        <v>480</v>
      </c>
      <c r="B491" s="729">
        <v>50</v>
      </c>
      <c r="C491" s="729">
        <v>1</v>
      </c>
      <c r="D491" s="729">
        <v>2.2840909090909092E-2</v>
      </c>
      <c r="E491" s="729">
        <f t="shared" si="39"/>
        <v>0.68794835007173605</v>
      </c>
      <c r="F491" s="729">
        <f t="shared" si="35"/>
        <v>0.49004324227329499</v>
      </c>
      <c r="G491" s="729">
        <f t="shared" si="36"/>
        <v>3.912023005428146</v>
      </c>
      <c r="H491" s="729">
        <f t="shared" si="37"/>
        <v>0</v>
      </c>
      <c r="I491" s="729">
        <f t="shared" si="38"/>
        <v>-3.779202092407222</v>
      </c>
      <c r="J491" s="40"/>
    </row>
    <row r="492" spans="1:10">
      <c r="A492" s="729">
        <v>481</v>
      </c>
      <c r="B492" s="729">
        <v>50</v>
      </c>
      <c r="C492" s="729">
        <v>1</v>
      </c>
      <c r="D492" s="729">
        <v>2.4147727272727272E-2</v>
      </c>
      <c r="E492" s="729">
        <f t="shared" si="39"/>
        <v>0.6893830703012912</v>
      </c>
      <c r="F492" s="729">
        <f t="shared" si="35"/>
        <v>0.49410240510649461</v>
      </c>
      <c r="G492" s="729">
        <f t="shared" si="36"/>
        <v>3.912023005428146</v>
      </c>
      <c r="H492" s="729">
        <f t="shared" si="37"/>
        <v>0</v>
      </c>
      <c r="I492" s="729">
        <f t="shared" si="38"/>
        <v>-3.7235650121018264</v>
      </c>
      <c r="J492" s="40"/>
    </row>
    <row r="493" spans="1:10">
      <c r="A493" s="729">
        <v>482</v>
      </c>
      <c r="B493" s="729">
        <v>50</v>
      </c>
      <c r="C493" s="729">
        <v>1</v>
      </c>
      <c r="D493" s="729">
        <v>2.4857954545454544E-2</v>
      </c>
      <c r="E493" s="729">
        <f t="shared" si="39"/>
        <v>0.69081779053084647</v>
      </c>
      <c r="F493" s="729">
        <f t="shared" si="35"/>
        <v>0.49816972556532685</v>
      </c>
      <c r="G493" s="729">
        <f t="shared" si="36"/>
        <v>3.912023005428146</v>
      </c>
      <c r="H493" s="729">
        <f t="shared" si="37"/>
        <v>0</v>
      </c>
      <c r="I493" s="729">
        <f t="shared" si="38"/>
        <v>-3.694577475228574</v>
      </c>
      <c r="J493" s="40"/>
    </row>
    <row r="494" spans="1:10">
      <c r="A494" s="729">
        <v>483</v>
      </c>
      <c r="B494" s="729">
        <v>50</v>
      </c>
      <c r="C494" s="729">
        <v>1</v>
      </c>
      <c r="D494" s="32">
        <v>2.5142045454545455E-2</v>
      </c>
      <c r="E494" s="729">
        <f t="shared" si="39"/>
        <v>0.69225251076040173</v>
      </c>
      <c r="F494" s="729">
        <f t="shared" si="35"/>
        <v>0.50224530406323542</v>
      </c>
      <c r="G494" s="729">
        <f t="shared" si="36"/>
        <v>3.912023005428146</v>
      </c>
      <c r="H494" s="729">
        <f t="shared" si="37"/>
        <v>0</v>
      </c>
      <c r="I494" s="729">
        <f t="shared" si="38"/>
        <v>-3.6832137165782588</v>
      </c>
      <c r="J494" s="40"/>
    </row>
    <row r="495" spans="1:10">
      <c r="A495" s="729">
        <v>484</v>
      </c>
      <c r="B495" s="729">
        <v>50</v>
      </c>
      <c r="C495" s="729">
        <v>1</v>
      </c>
      <c r="D495" s="729">
        <v>2.5568181818181816E-2</v>
      </c>
      <c r="E495" s="729">
        <f t="shared" si="39"/>
        <v>0.69368723098995699</v>
      </c>
      <c r="F495" s="729">
        <f t="shared" si="35"/>
        <v>0.50632924217579534</v>
      </c>
      <c r="G495" s="729">
        <f t="shared" si="36"/>
        <v>3.912023005428146</v>
      </c>
      <c r="H495" s="729">
        <f t="shared" si="37"/>
        <v>0</v>
      </c>
      <c r="I495" s="729">
        <f t="shared" si="38"/>
        <v>-3.6664065982618776</v>
      </c>
      <c r="J495" s="40"/>
    </row>
    <row r="496" spans="1:10">
      <c r="A496" s="729">
        <v>485</v>
      </c>
      <c r="B496" s="729">
        <v>50</v>
      </c>
      <c r="C496" s="729">
        <v>1</v>
      </c>
      <c r="D496" s="729">
        <v>2.5568181818181816E-2</v>
      </c>
      <c r="E496" s="729">
        <f t="shared" si="39"/>
        <v>0.69512195121951215</v>
      </c>
      <c r="F496" s="729">
        <f t="shared" si="35"/>
        <v>0.51042164266321888</v>
      </c>
      <c r="G496" s="729">
        <f t="shared" si="36"/>
        <v>3.912023005428146</v>
      </c>
      <c r="H496" s="729">
        <f t="shared" si="37"/>
        <v>0</v>
      </c>
      <c r="I496" s="729">
        <f t="shared" si="38"/>
        <v>-3.6664065982618776</v>
      </c>
      <c r="J496" s="40"/>
    </row>
    <row r="497" spans="1:10">
      <c r="A497" s="729">
        <v>486</v>
      </c>
      <c r="B497" s="729">
        <v>50</v>
      </c>
      <c r="C497" s="729">
        <v>1</v>
      </c>
      <c r="D497" s="729">
        <v>2.5568181818181816E-2</v>
      </c>
      <c r="E497" s="729">
        <f t="shared" si="39"/>
        <v>0.69655667144906741</v>
      </c>
      <c r="F497" s="729">
        <f t="shared" si="35"/>
        <v>0.51452260949336326</v>
      </c>
      <c r="G497" s="729">
        <f t="shared" si="36"/>
        <v>3.912023005428146</v>
      </c>
      <c r="H497" s="729">
        <f t="shared" si="37"/>
        <v>0</v>
      </c>
      <c r="I497" s="729">
        <f t="shared" si="38"/>
        <v>-3.6664065982618776</v>
      </c>
      <c r="J497" s="40"/>
    </row>
    <row r="498" spans="1:10">
      <c r="A498" s="729">
        <v>487</v>
      </c>
      <c r="B498" s="729">
        <v>50</v>
      </c>
      <c r="C498" s="729">
        <v>1</v>
      </c>
      <c r="D498" s="729">
        <v>2.5568181818181816E-2</v>
      </c>
      <c r="E498" s="729">
        <f t="shared" si="39"/>
        <v>0.69799139167862267</v>
      </c>
      <c r="F498" s="729">
        <f t="shared" si="35"/>
        <v>0.51863224786525508</v>
      </c>
      <c r="G498" s="729">
        <f t="shared" si="36"/>
        <v>3.912023005428146</v>
      </c>
      <c r="H498" s="729">
        <f t="shared" si="37"/>
        <v>0</v>
      </c>
      <c r="I498" s="729">
        <f t="shared" si="38"/>
        <v>-3.6664065982618776</v>
      </c>
      <c r="J498" s="40"/>
    </row>
    <row r="499" spans="1:10">
      <c r="A499" s="729">
        <v>488</v>
      </c>
      <c r="B499" s="729">
        <v>50</v>
      </c>
      <c r="C499" s="729">
        <v>1</v>
      </c>
      <c r="D499" s="729">
        <v>2.6249999999999999E-2</v>
      </c>
      <c r="E499" s="729">
        <f t="shared" si="39"/>
        <v>0.69942611190817794</v>
      </c>
      <c r="F499" s="729">
        <f t="shared" si="35"/>
        <v>0.52275066423314542</v>
      </c>
      <c r="G499" s="729">
        <f t="shared" si="36"/>
        <v>3.912023005428146</v>
      </c>
      <c r="H499" s="729">
        <f t="shared" si="37"/>
        <v>0</v>
      </c>
      <c r="I499" s="729">
        <f t="shared" si="38"/>
        <v>-3.6400892899445045</v>
      </c>
      <c r="J499" s="40"/>
    </row>
    <row r="500" spans="1:10">
      <c r="A500" s="729">
        <v>489</v>
      </c>
      <c r="B500" s="729">
        <v>50</v>
      </c>
      <c r="C500" s="729">
        <v>1</v>
      </c>
      <c r="D500" s="729">
        <v>2.784090909090909E-2</v>
      </c>
      <c r="E500" s="729">
        <f t="shared" si="39"/>
        <v>0.70086083213773309</v>
      </c>
      <c r="F500" s="729">
        <f t="shared" si="35"/>
        <v>0.52687796633111184</v>
      </c>
      <c r="G500" s="729">
        <f t="shared" si="36"/>
        <v>3.912023005428146</v>
      </c>
      <c r="H500" s="729">
        <f t="shared" si="37"/>
        <v>0</v>
      </c>
      <c r="I500" s="729">
        <f t="shared" si="38"/>
        <v>-3.5812487899215708</v>
      </c>
      <c r="J500" s="40"/>
    </row>
    <row r="501" spans="1:10">
      <c r="A501" s="729">
        <v>490</v>
      </c>
      <c r="B501" s="729">
        <v>50</v>
      </c>
      <c r="C501" s="729">
        <v>1</v>
      </c>
      <c r="D501" s="729">
        <v>2.8124999999999997E-2</v>
      </c>
      <c r="E501" s="729">
        <f t="shared" si="39"/>
        <v>0.70229555236728836</v>
      </c>
      <c r="F501" s="729">
        <f t="shared" si="35"/>
        <v>0.53101426319822265</v>
      </c>
      <c r="G501" s="729">
        <f t="shared" si="36"/>
        <v>3.912023005428146</v>
      </c>
      <c r="H501" s="729">
        <f t="shared" si="37"/>
        <v>0</v>
      </c>
      <c r="I501" s="729">
        <f t="shared" si="38"/>
        <v>-3.5710964184575529</v>
      </c>
      <c r="J501" s="40"/>
    </row>
    <row r="502" spans="1:10">
      <c r="A502" s="729">
        <v>491</v>
      </c>
      <c r="B502" s="729">
        <v>50</v>
      </c>
      <c r="C502" s="729">
        <v>1</v>
      </c>
      <c r="D502" s="729">
        <v>2.8409090909090908E-2</v>
      </c>
      <c r="E502" s="729">
        <f t="shared" si="39"/>
        <v>0.70373027259684362</v>
      </c>
      <c r="F502" s="729">
        <f t="shared" si="35"/>
        <v>0.53515966520427649</v>
      </c>
      <c r="G502" s="729">
        <f t="shared" si="36"/>
        <v>3.912023005428146</v>
      </c>
      <c r="H502" s="729">
        <f t="shared" si="37"/>
        <v>0</v>
      </c>
      <c r="I502" s="729">
        <f t="shared" si="38"/>
        <v>-3.5610460826040513</v>
      </c>
      <c r="J502" s="40"/>
    </row>
    <row r="503" spans="1:10">
      <c r="A503" s="729">
        <v>492</v>
      </c>
      <c r="B503" s="729">
        <v>50</v>
      </c>
      <c r="C503" s="729">
        <v>1</v>
      </c>
      <c r="D503" s="729">
        <v>2.8409090909090908E-2</v>
      </c>
      <c r="E503" s="729">
        <f t="shared" si="39"/>
        <v>0.70516499282639888</v>
      </c>
      <c r="F503" s="729">
        <f t="shared" si="35"/>
        <v>0.53931428407614013</v>
      </c>
      <c r="G503" s="729">
        <f t="shared" si="36"/>
        <v>3.912023005428146</v>
      </c>
      <c r="H503" s="729">
        <f t="shared" si="37"/>
        <v>0</v>
      </c>
      <c r="I503" s="729">
        <f t="shared" si="38"/>
        <v>-3.5610460826040513</v>
      </c>
      <c r="J503" s="40"/>
    </row>
    <row r="504" spans="1:10">
      <c r="A504" s="729">
        <v>493</v>
      </c>
      <c r="B504" s="729">
        <v>50</v>
      </c>
      <c r="C504" s="729">
        <v>1</v>
      </c>
      <c r="D504" s="729">
        <v>2.8409090909090908E-2</v>
      </c>
      <c r="E504" s="729">
        <f t="shared" si="39"/>
        <v>0.70659971305595404</v>
      </c>
      <c r="F504" s="729">
        <f t="shared" si="35"/>
        <v>0.54347823292469388</v>
      </c>
      <c r="G504" s="729">
        <f t="shared" si="36"/>
        <v>3.912023005428146</v>
      </c>
      <c r="H504" s="729">
        <f t="shared" si="37"/>
        <v>0</v>
      </c>
      <c r="I504" s="729">
        <f t="shared" si="38"/>
        <v>-3.5610460826040513</v>
      </c>
      <c r="J504" s="40"/>
    </row>
    <row r="505" spans="1:10">
      <c r="A505" s="729">
        <v>494</v>
      </c>
      <c r="B505" s="729">
        <v>50</v>
      </c>
      <c r="C505" s="729">
        <v>1</v>
      </c>
      <c r="D505" s="729">
        <v>2.8409090909090908E-2</v>
      </c>
      <c r="E505" s="729">
        <f t="shared" si="39"/>
        <v>0.7080344332855093</v>
      </c>
      <c r="F505" s="729">
        <f t="shared" si="35"/>
        <v>0.54765162627241204</v>
      </c>
      <c r="G505" s="729">
        <f t="shared" si="36"/>
        <v>3.912023005428146</v>
      </c>
      <c r="H505" s="729">
        <f t="shared" si="37"/>
        <v>0</v>
      </c>
      <c r="I505" s="729">
        <f t="shared" si="38"/>
        <v>-3.5610460826040513</v>
      </c>
      <c r="J505" s="40"/>
    </row>
    <row r="506" spans="1:10">
      <c r="A506" s="729">
        <v>495</v>
      </c>
      <c r="B506" s="729">
        <v>50</v>
      </c>
      <c r="C506" s="729">
        <v>1</v>
      </c>
      <c r="D506" s="729">
        <v>2.8409090909090908E-2</v>
      </c>
      <c r="E506" s="729">
        <f t="shared" si="39"/>
        <v>0.70946915351506457</v>
      </c>
      <c r="F506" s="729">
        <f t="shared" si="35"/>
        <v>0.55183458008158426</v>
      </c>
      <c r="G506" s="729">
        <f t="shared" si="36"/>
        <v>3.912023005428146</v>
      </c>
      <c r="H506" s="729">
        <f t="shared" si="37"/>
        <v>0</v>
      </c>
      <c r="I506" s="729">
        <f t="shared" si="38"/>
        <v>-3.5610460826040513</v>
      </c>
      <c r="J506" s="40"/>
    </row>
    <row r="507" spans="1:10">
      <c r="A507" s="729">
        <v>496</v>
      </c>
      <c r="B507" s="729">
        <v>50</v>
      </c>
      <c r="C507" s="729">
        <v>1</v>
      </c>
      <c r="D507" s="729">
        <v>2.8409090909090908E-2</v>
      </c>
      <c r="E507" s="729">
        <f t="shared" si="39"/>
        <v>0.71090387374461983</v>
      </c>
      <c r="F507" s="729">
        <f t="shared" si="35"/>
        <v>0.55602721178320957</v>
      </c>
      <c r="G507" s="729">
        <f t="shared" si="36"/>
        <v>3.912023005428146</v>
      </c>
      <c r="H507" s="729">
        <f t="shared" si="37"/>
        <v>0</v>
      </c>
      <c r="I507" s="729">
        <f t="shared" si="38"/>
        <v>-3.5610460826040513</v>
      </c>
      <c r="J507" s="40"/>
    </row>
    <row r="508" spans="1:10">
      <c r="A508" s="729">
        <v>497</v>
      </c>
      <c r="B508" s="729">
        <v>50</v>
      </c>
      <c r="C508" s="729">
        <v>1</v>
      </c>
      <c r="D508" s="729">
        <v>2.8409090909090908E-2</v>
      </c>
      <c r="E508" s="729">
        <f t="shared" si="39"/>
        <v>0.71233859397417498</v>
      </c>
      <c r="F508" s="729">
        <f t="shared" si="35"/>
        <v>0.56022964030657418</v>
      </c>
      <c r="G508" s="729">
        <f t="shared" si="36"/>
        <v>3.912023005428146</v>
      </c>
      <c r="H508" s="729">
        <f t="shared" si="37"/>
        <v>0</v>
      </c>
      <c r="I508" s="729">
        <f t="shared" si="38"/>
        <v>-3.5610460826040513</v>
      </c>
      <c r="J508" s="40"/>
    </row>
    <row r="509" spans="1:10">
      <c r="A509" s="729">
        <v>498</v>
      </c>
      <c r="B509" s="729">
        <v>50</v>
      </c>
      <c r="C509" s="729">
        <v>1</v>
      </c>
      <c r="D509" s="729">
        <v>2.8409090909090908E-2</v>
      </c>
      <c r="E509" s="729">
        <f t="shared" si="39"/>
        <v>0.71377331420373025</v>
      </c>
      <c r="F509" s="729">
        <f t="shared" si="35"/>
        <v>0.56444198610953655</v>
      </c>
      <c r="G509" s="729">
        <f t="shared" si="36"/>
        <v>3.912023005428146</v>
      </c>
      <c r="H509" s="729">
        <f t="shared" si="37"/>
        <v>0</v>
      </c>
      <c r="I509" s="729">
        <f t="shared" si="38"/>
        <v>-3.5610460826040513</v>
      </c>
      <c r="J509" s="40"/>
    </row>
    <row r="510" spans="1:10">
      <c r="A510" s="729">
        <v>499</v>
      </c>
      <c r="B510" s="729">
        <v>50</v>
      </c>
      <c r="C510" s="729">
        <v>1</v>
      </c>
      <c r="D510" s="729">
        <v>2.8409090909090908E-2</v>
      </c>
      <c r="E510" s="729">
        <f t="shared" si="39"/>
        <v>0.71520803443328551</v>
      </c>
      <c r="F510" s="729">
        <f t="shared" si="35"/>
        <v>0.56866437120954061</v>
      </c>
      <c r="G510" s="729">
        <f t="shared" si="36"/>
        <v>3.912023005428146</v>
      </c>
      <c r="H510" s="729">
        <f t="shared" si="37"/>
        <v>0</v>
      </c>
      <c r="I510" s="729">
        <f t="shared" si="38"/>
        <v>-3.5610460826040513</v>
      </c>
      <c r="J510" s="40"/>
    </row>
    <row r="511" spans="1:10">
      <c r="A511" s="729">
        <v>500</v>
      </c>
      <c r="B511" s="729">
        <v>50</v>
      </c>
      <c r="C511" s="729">
        <v>1</v>
      </c>
      <c r="D511" s="729">
        <v>2.8409090909090908E-2</v>
      </c>
      <c r="E511" s="729">
        <f t="shared" si="39"/>
        <v>0.71664275466284078</v>
      </c>
      <c r="F511" s="729">
        <f t="shared" si="35"/>
        <v>0.57289691921537744</v>
      </c>
      <c r="G511" s="729">
        <f t="shared" si="36"/>
        <v>3.912023005428146</v>
      </c>
      <c r="H511" s="729">
        <f t="shared" si="37"/>
        <v>0</v>
      </c>
      <c r="I511" s="729">
        <f t="shared" si="38"/>
        <v>-3.5610460826040513</v>
      </c>
      <c r="J511" s="40"/>
    </row>
    <row r="512" spans="1:10">
      <c r="A512" s="729">
        <v>501</v>
      </c>
      <c r="B512" s="729">
        <v>50</v>
      </c>
      <c r="C512" s="729">
        <v>1</v>
      </c>
      <c r="D512" s="729">
        <v>2.8409090909090908E-2</v>
      </c>
      <c r="E512" s="729">
        <f t="shared" si="39"/>
        <v>0.71807747489239593</v>
      </c>
      <c r="F512" s="729">
        <f t="shared" si="35"/>
        <v>0.57713975535972017</v>
      </c>
      <c r="G512" s="729">
        <f t="shared" si="36"/>
        <v>3.912023005428146</v>
      </c>
      <c r="H512" s="729">
        <f t="shared" si="37"/>
        <v>0</v>
      </c>
      <c r="I512" s="729">
        <f t="shared" si="38"/>
        <v>-3.5610460826040513</v>
      </c>
      <c r="J512" s="40"/>
    </row>
    <row r="513" spans="1:10">
      <c r="A513" s="729">
        <v>502</v>
      </c>
      <c r="B513" s="729">
        <v>50</v>
      </c>
      <c r="C513" s="729">
        <v>1</v>
      </c>
      <c r="D513" s="729">
        <v>2.8409090909090908E-2</v>
      </c>
      <c r="E513" s="729">
        <f t="shared" si="39"/>
        <v>0.71951219512195119</v>
      </c>
      <c r="F513" s="729">
        <f t="shared" si="35"/>
        <v>0.58139300653245585</v>
      </c>
      <c r="G513" s="729">
        <f t="shared" si="36"/>
        <v>3.912023005428146</v>
      </c>
      <c r="H513" s="729">
        <f t="shared" si="37"/>
        <v>0</v>
      </c>
      <c r="I513" s="729">
        <f t="shared" si="38"/>
        <v>-3.5610460826040513</v>
      </c>
      <c r="J513" s="40"/>
    </row>
    <row r="514" spans="1:10">
      <c r="A514" s="729">
        <v>503</v>
      </c>
      <c r="B514" s="729">
        <v>50</v>
      </c>
      <c r="C514" s="729">
        <v>1</v>
      </c>
      <c r="D514" s="729">
        <v>2.8409090909090908E-2</v>
      </c>
      <c r="E514" s="729">
        <f t="shared" si="39"/>
        <v>0.72094691535150646</v>
      </c>
      <c r="F514" s="729">
        <f t="shared" si="35"/>
        <v>0.585656801314831</v>
      </c>
      <c r="G514" s="729">
        <f t="shared" si="36"/>
        <v>3.912023005428146</v>
      </c>
      <c r="H514" s="729">
        <f t="shared" si="37"/>
        <v>0</v>
      </c>
      <c r="I514" s="729">
        <f t="shared" si="38"/>
        <v>-3.5610460826040513</v>
      </c>
      <c r="J514" s="40"/>
    </row>
    <row r="515" spans="1:10">
      <c r="A515" s="729">
        <v>504</v>
      </c>
      <c r="B515" s="729">
        <v>50</v>
      </c>
      <c r="C515" s="729">
        <v>1</v>
      </c>
      <c r="D515" s="729">
        <v>2.8409090909090908E-2</v>
      </c>
      <c r="E515" s="729">
        <f t="shared" si="39"/>
        <v>0.72238163558106172</v>
      </c>
      <c r="F515" s="729">
        <f t="shared" si="35"/>
        <v>0.58993127001444812</v>
      </c>
      <c r="G515" s="729">
        <f t="shared" si="36"/>
        <v>3.912023005428146</v>
      </c>
      <c r="H515" s="729">
        <f t="shared" si="37"/>
        <v>0</v>
      </c>
      <c r="I515" s="729">
        <f t="shared" si="38"/>
        <v>-3.5610460826040513</v>
      </c>
      <c r="J515" s="40"/>
    </row>
    <row r="516" spans="1:10">
      <c r="A516" s="729">
        <v>505</v>
      </c>
      <c r="B516" s="729">
        <v>50</v>
      </c>
      <c r="C516" s="729">
        <v>1</v>
      </c>
      <c r="D516" s="729">
        <v>2.8409090909090908E-2</v>
      </c>
      <c r="E516" s="729">
        <f t="shared" si="39"/>
        <v>0.72381635581061698</v>
      </c>
      <c r="F516" s="729">
        <f t="shared" si="35"/>
        <v>0.59421654470112983</v>
      </c>
      <c r="G516" s="729">
        <f t="shared" si="36"/>
        <v>3.912023005428146</v>
      </c>
      <c r="H516" s="729">
        <f t="shared" si="37"/>
        <v>0</v>
      </c>
      <c r="I516" s="729">
        <f t="shared" si="38"/>
        <v>-3.5610460826040513</v>
      </c>
      <c r="J516" s="40"/>
    </row>
    <row r="517" spans="1:10">
      <c r="A517" s="729">
        <v>506</v>
      </c>
      <c r="B517" s="729">
        <v>50</v>
      </c>
      <c r="C517" s="729">
        <v>1</v>
      </c>
      <c r="D517" s="729">
        <v>2.8409090909090908E-2</v>
      </c>
      <c r="E517" s="729">
        <f t="shared" si="39"/>
        <v>0.72525107604017214</v>
      </c>
      <c r="F517" s="729">
        <f t="shared" si="35"/>
        <v>0.59851275924367631</v>
      </c>
      <c r="G517" s="729">
        <f t="shared" si="36"/>
        <v>3.912023005428146</v>
      </c>
      <c r="H517" s="729">
        <f t="shared" si="37"/>
        <v>0</v>
      </c>
      <c r="I517" s="729">
        <f t="shared" si="38"/>
        <v>-3.5610460826040513</v>
      </c>
      <c r="J517" s="40"/>
    </row>
    <row r="518" spans="1:10">
      <c r="A518" s="729">
        <v>507</v>
      </c>
      <c r="B518" s="729">
        <v>50</v>
      </c>
      <c r="C518" s="729">
        <v>1</v>
      </c>
      <c r="D518" s="729">
        <v>2.8409090909090908E-2</v>
      </c>
      <c r="E518" s="729">
        <f t="shared" si="39"/>
        <v>0.7266857962697274</v>
      </c>
      <c r="F518" s="729">
        <f t="shared" si="35"/>
        <v>0.60282004934755651</v>
      </c>
      <c r="G518" s="729">
        <f t="shared" si="36"/>
        <v>3.912023005428146</v>
      </c>
      <c r="H518" s="729">
        <f t="shared" si="37"/>
        <v>0</v>
      </c>
      <c r="I518" s="729">
        <f t="shared" si="38"/>
        <v>-3.5610460826040513</v>
      </c>
      <c r="J518" s="40"/>
    </row>
    <row r="519" spans="1:10">
      <c r="A519" s="729">
        <v>508</v>
      </c>
      <c r="B519" s="729">
        <v>50</v>
      </c>
      <c r="C519" s="729">
        <v>1</v>
      </c>
      <c r="D519" s="729">
        <v>2.8409090909090908E-2</v>
      </c>
      <c r="E519" s="729">
        <f t="shared" si="39"/>
        <v>0.72812051649928267</v>
      </c>
      <c r="F519" s="729">
        <f t="shared" si="35"/>
        <v>0.60713855259354255</v>
      </c>
      <c r="G519" s="729">
        <f t="shared" si="36"/>
        <v>3.912023005428146</v>
      </c>
      <c r="H519" s="729">
        <f t="shared" si="37"/>
        <v>0</v>
      </c>
      <c r="I519" s="729">
        <f t="shared" si="38"/>
        <v>-3.5610460826040513</v>
      </c>
      <c r="J519" s="40"/>
    </row>
    <row r="520" spans="1:10">
      <c r="A520" s="729">
        <v>509</v>
      </c>
      <c r="B520" s="729">
        <v>50</v>
      </c>
      <c r="C520" s="729">
        <v>1</v>
      </c>
      <c r="D520" s="729">
        <v>2.8409090909090908E-2</v>
      </c>
      <c r="E520" s="729">
        <f t="shared" si="39"/>
        <v>0.72955523672883793</v>
      </c>
      <c r="F520" s="729">
        <f t="shared" si="35"/>
        <v>0.61146840847733364</v>
      </c>
      <c r="G520" s="729">
        <f t="shared" si="36"/>
        <v>3.912023005428146</v>
      </c>
      <c r="H520" s="729">
        <f t="shared" si="37"/>
        <v>0</v>
      </c>
      <c r="I520" s="729">
        <f t="shared" si="38"/>
        <v>-3.5610460826040513</v>
      </c>
      <c r="J520" s="40"/>
    </row>
    <row r="521" spans="1:10">
      <c r="A521" s="729">
        <v>510</v>
      </c>
      <c r="B521" s="729">
        <v>50</v>
      </c>
      <c r="C521" s="729">
        <v>1</v>
      </c>
      <c r="D521" s="729">
        <v>2.8409090909090908E-2</v>
      </c>
      <c r="E521" s="729">
        <f t="shared" si="39"/>
        <v>0.73098995695839308</v>
      </c>
      <c r="F521" s="729">
        <f t="shared" si="35"/>
        <v>0.61580975845019303</v>
      </c>
      <c r="G521" s="729">
        <f t="shared" si="36"/>
        <v>3.912023005428146</v>
      </c>
      <c r="H521" s="729">
        <f t="shared" si="37"/>
        <v>0</v>
      </c>
      <c r="I521" s="729">
        <f t="shared" si="38"/>
        <v>-3.5610460826040513</v>
      </c>
      <c r="J521" s="40"/>
    </row>
    <row r="522" spans="1:10">
      <c r="A522" s="729">
        <v>511</v>
      </c>
      <c r="B522" s="729">
        <v>50</v>
      </c>
      <c r="C522" s="729">
        <v>1</v>
      </c>
      <c r="D522" s="729">
        <v>2.8409090909090908E-2</v>
      </c>
      <c r="E522" s="729">
        <f t="shared" si="39"/>
        <v>0.73242467718794835</v>
      </c>
      <c r="F522" s="729">
        <f t="shared" si="35"/>
        <v>0.62016274596063059</v>
      </c>
      <c r="G522" s="729">
        <f t="shared" si="36"/>
        <v>3.912023005428146</v>
      </c>
      <c r="H522" s="729">
        <f t="shared" si="37"/>
        <v>0</v>
      </c>
      <c r="I522" s="729">
        <f t="shared" si="38"/>
        <v>-3.5610460826040513</v>
      </c>
      <c r="J522" s="40"/>
    </row>
    <row r="523" spans="1:10">
      <c r="A523" s="729">
        <v>512</v>
      </c>
      <c r="B523" s="729">
        <v>50</v>
      </c>
      <c r="C523" s="729">
        <v>1</v>
      </c>
      <c r="D523" s="729">
        <v>2.8409090909090908E-2</v>
      </c>
      <c r="E523" s="729">
        <f t="shared" si="39"/>
        <v>0.73385939741750361</v>
      </c>
      <c r="F523" s="729">
        <f t="shared" si="35"/>
        <v>0.62452751649716276</v>
      </c>
      <c r="G523" s="729">
        <f t="shared" si="36"/>
        <v>3.912023005428146</v>
      </c>
      <c r="H523" s="729">
        <f t="shared" si="37"/>
        <v>0</v>
      </c>
      <c r="I523" s="729">
        <f t="shared" si="38"/>
        <v>-3.5610460826040513</v>
      </c>
      <c r="J523" s="40"/>
    </row>
    <row r="524" spans="1:10">
      <c r="A524" s="729">
        <v>513</v>
      </c>
      <c r="B524" s="729">
        <v>50</v>
      </c>
      <c r="C524" s="729">
        <v>1</v>
      </c>
      <c r="D524" s="729">
        <v>2.8409090909090908E-2</v>
      </c>
      <c r="E524" s="729">
        <f t="shared" si="39"/>
        <v>0.73529411764705888</v>
      </c>
      <c r="F524" s="729">
        <f t="shared" ref="F524:F587" si="40">NORMSINV(E524)</f>
        <v>0.62890421763218995</v>
      </c>
      <c r="G524" s="729">
        <f t="shared" ref="G524:G587" si="41">LN(B524)</f>
        <v>3.912023005428146</v>
      </c>
      <c r="H524" s="729">
        <f t="shared" ref="H524:H587" si="42">LN(C524)</f>
        <v>0</v>
      </c>
      <c r="I524" s="729">
        <f t="shared" ref="I524:I587" si="43">LN(D524)</f>
        <v>-3.5610460826040513</v>
      </c>
      <c r="J524" s="40"/>
    </row>
    <row r="525" spans="1:10">
      <c r="A525" s="729">
        <v>514</v>
      </c>
      <c r="B525" s="729">
        <v>50</v>
      </c>
      <c r="C525" s="729">
        <v>1</v>
      </c>
      <c r="D525" s="729">
        <v>2.8409090909090908E-2</v>
      </c>
      <c r="E525" s="729">
        <f t="shared" ref="E525:E588" si="44">(A525-0.5)/697</f>
        <v>0.73672883787661403</v>
      </c>
      <c r="F525" s="729">
        <f t="shared" si="40"/>
        <v>0.63329299906701919</v>
      </c>
      <c r="G525" s="729">
        <f t="shared" si="41"/>
        <v>3.912023005428146</v>
      </c>
      <c r="H525" s="729">
        <f t="shared" si="42"/>
        <v>0</v>
      </c>
      <c r="I525" s="729">
        <f t="shared" si="43"/>
        <v>-3.5610460826040513</v>
      </c>
      <c r="J525" s="40"/>
    </row>
    <row r="526" spans="1:10">
      <c r="A526" s="729">
        <v>515</v>
      </c>
      <c r="B526" s="729">
        <v>50</v>
      </c>
      <c r="C526" s="729">
        <v>1</v>
      </c>
      <c r="D526" s="32">
        <v>2.8409090909090908E-2</v>
      </c>
      <c r="E526" s="729">
        <f t="shared" si="44"/>
        <v>0.73816355810616929</v>
      </c>
      <c r="F526" s="729">
        <f t="shared" si="40"/>
        <v>0.6376940126780779</v>
      </c>
      <c r="G526" s="729">
        <f t="shared" si="41"/>
        <v>3.912023005428146</v>
      </c>
      <c r="H526" s="729">
        <f t="shared" si="42"/>
        <v>0</v>
      </c>
      <c r="I526" s="729">
        <f t="shared" si="43"/>
        <v>-3.5610460826040513</v>
      </c>
      <c r="J526" s="40"/>
    </row>
    <row r="527" spans="1:10">
      <c r="A527" s="729">
        <v>516</v>
      </c>
      <c r="B527" s="729">
        <v>50</v>
      </c>
      <c r="C527" s="729">
        <v>1</v>
      </c>
      <c r="D527" s="729">
        <v>2.9034090909090909E-2</v>
      </c>
      <c r="E527" s="729">
        <f t="shared" si="44"/>
        <v>0.73959827833572456</v>
      </c>
      <c r="F527" s="729">
        <f t="shared" si="40"/>
        <v>0.64210741256434611</v>
      </c>
      <c r="G527" s="729">
        <f t="shared" si="41"/>
        <v>3.912023005428146</v>
      </c>
      <c r="H527" s="729">
        <f t="shared" si="42"/>
        <v>0</v>
      </c>
      <c r="I527" s="729">
        <f t="shared" si="43"/>
        <v>-3.5392845908225388</v>
      </c>
      <c r="J527" s="40"/>
    </row>
    <row r="528" spans="1:10">
      <c r="A528" s="729">
        <v>517</v>
      </c>
      <c r="B528" s="729">
        <v>50</v>
      </c>
      <c r="C528" s="729">
        <v>1</v>
      </c>
      <c r="D528" s="729">
        <v>2.9119318181818177E-2</v>
      </c>
      <c r="E528" s="729">
        <f t="shared" si="44"/>
        <v>0.74103299856527982</v>
      </c>
      <c r="F528" s="729">
        <f t="shared" si="40"/>
        <v>0.64653335509605991</v>
      </c>
      <c r="G528" s="729">
        <f t="shared" si="41"/>
        <v>3.912023005428146</v>
      </c>
      <c r="H528" s="729">
        <f t="shared" si="42"/>
        <v>0</v>
      </c>
      <c r="I528" s="729">
        <f t="shared" si="43"/>
        <v>-3.5363534700136801</v>
      </c>
      <c r="J528" s="40"/>
    </row>
    <row r="529" spans="1:10">
      <c r="A529" s="729">
        <v>518</v>
      </c>
      <c r="B529" s="729">
        <v>50</v>
      </c>
      <c r="C529" s="729">
        <v>1</v>
      </c>
      <c r="D529" s="729">
        <v>2.9545454545454545E-2</v>
      </c>
      <c r="E529" s="729">
        <f t="shared" si="44"/>
        <v>0.74246771879483497</v>
      </c>
      <c r="F529" s="729">
        <f t="shared" si="40"/>
        <v>0.65097199896471536</v>
      </c>
      <c r="G529" s="729">
        <f t="shared" si="41"/>
        <v>3.912023005428146</v>
      </c>
      <c r="H529" s="729">
        <f t="shared" si="42"/>
        <v>0</v>
      </c>
      <c r="I529" s="729">
        <f t="shared" si="43"/>
        <v>-3.5218253694507702</v>
      </c>
      <c r="J529" s="40"/>
    </row>
    <row r="530" spans="1:10">
      <c r="A530" s="729">
        <v>519</v>
      </c>
      <c r="B530" s="729">
        <v>50</v>
      </c>
      <c r="C530" s="729">
        <v>1</v>
      </c>
      <c r="D530" s="729">
        <v>2.9829545454545456E-2</v>
      </c>
      <c r="E530" s="729">
        <f t="shared" si="44"/>
        <v>0.74390243902439024</v>
      </c>
      <c r="F530" s="729">
        <f t="shared" si="40"/>
        <v>0.65542350523442661</v>
      </c>
      <c r="G530" s="729">
        <f t="shared" si="41"/>
        <v>3.912023005428146</v>
      </c>
      <c r="H530" s="729">
        <f t="shared" si="42"/>
        <v>0</v>
      </c>
      <c r="I530" s="729">
        <f t="shared" si="43"/>
        <v>-3.5122559184346192</v>
      </c>
      <c r="J530" s="40"/>
    </row>
    <row r="531" spans="1:10">
      <c r="A531" s="729">
        <v>520</v>
      </c>
      <c r="B531" s="729">
        <v>50</v>
      </c>
      <c r="C531" s="729">
        <v>1</v>
      </c>
      <c r="D531" s="729">
        <v>3.0113636363636363E-2</v>
      </c>
      <c r="E531" s="729">
        <f t="shared" si="44"/>
        <v>0.7453371592539455</v>
      </c>
      <c r="F531" s="729">
        <f t="shared" si="40"/>
        <v>0.65988803739467305</v>
      </c>
      <c r="G531" s="729">
        <f t="shared" si="41"/>
        <v>3.912023005428146</v>
      </c>
      <c r="H531" s="729">
        <f t="shared" si="42"/>
        <v>0</v>
      </c>
      <c r="I531" s="729">
        <f t="shared" si="43"/>
        <v>-3.5027771744800758</v>
      </c>
      <c r="J531" s="40"/>
    </row>
    <row r="532" spans="1:10">
      <c r="A532" s="729">
        <v>521</v>
      </c>
      <c r="B532" s="729">
        <v>50</v>
      </c>
      <c r="C532" s="729">
        <v>1</v>
      </c>
      <c r="D532" s="729">
        <v>3.0681818181818182E-2</v>
      </c>
      <c r="E532" s="729">
        <f t="shared" si="44"/>
        <v>0.74677187948350077</v>
      </c>
      <c r="F532" s="729">
        <f t="shared" si="40"/>
        <v>0.66436576141448833</v>
      </c>
      <c r="G532" s="729">
        <f t="shared" si="41"/>
        <v>3.912023005428146</v>
      </c>
      <c r="H532" s="729">
        <f t="shared" si="42"/>
        <v>0</v>
      </c>
      <c r="I532" s="729">
        <f t="shared" si="43"/>
        <v>-3.4840850414679232</v>
      </c>
      <c r="J532" s="40"/>
    </row>
    <row r="533" spans="1:10">
      <c r="A533" s="729">
        <v>522</v>
      </c>
      <c r="B533" s="729">
        <v>50</v>
      </c>
      <c r="C533" s="729">
        <v>1</v>
      </c>
      <c r="D533" s="729">
        <v>3.0965909090909093E-2</v>
      </c>
      <c r="E533" s="729">
        <f t="shared" si="44"/>
        <v>0.74820659971305592</v>
      </c>
      <c r="F533" s="729">
        <f t="shared" si="40"/>
        <v>0.66885684579813964</v>
      </c>
      <c r="G533" s="729">
        <f t="shared" si="41"/>
        <v>3.912023005428146</v>
      </c>
      <c r="H533" s="729">
        <f t="shared" si="42"/>
        <v>0</v>
      </c>
      <c r="I533" s="729">
        <f t="shared" si="43"/>
        <v>-3.4748683863629992</v>
      </c>
      <c r="J533" s="40"/>
    </row>
    <row r="534" spans="1:10">
      <c r="A534" s="729">
        <v>523</v>
      </c>
      <c r="B534" s="729">
        <v>50</v>
      </c>
      <c r="C534" s="729">
        <v>1</v>
      </c>
      <c r="D534" s="729">
        <v>3.1534090909090907E-2</v>
      </c>
      <c r="E534" s="729">
        <f t="shared" si="44"/>
        <v>0.74964131994261118</v>
      </c>
      <c r="F534" s="729">
        <f t="shared" si="40"/>
        <v>0.67336146164234179</v>
      </c>
      <c r="G534" s="729">
        <f t="shared" si="41"/>
        <v>3.912023005428146</v>
      </c>
      <c r="H534" s="729">
        <f t="shared" si="42"/>
        <v>0</v>
      </c>
      <c r="I534" s="729">
        <f t="shared" si="43"/>
        <v>-3.4566860672798088</v>
      </c>
      <c r="J534" s="40"/>
    </row>
    <row r="535" spans="1:10">
      <c r="A535" s="729">
        <v>524</v>
      </c>
      <c r="B535" s="729">
        <v>50</v>
      </c>
      <c r="C535" s="729">
        <v>1</v>
      </c>
      <c r="D535" s="729">
        <v>3.1818181818181822E-2</v>
      </c>
      <c r="E535" s="729">
        <f t="shared" si="44"/>
        <v>0.75107604017216645</v>
      </c>
      <c r="F535" s="729">
        <f t="shared" si="40"/>
        <v>0.67787978269506355</v>
      </c>
      <c r="G535" s="729">
        <f t="shared" si="41"/>
        <v>3.912023005428146</v>
      </c>
      <c r="H535" s="729">
        <f t="shared" si="42"/>
        <v>0</v>
      </c>
      <c r="I535" s="729">
        <f t="shared" si="43"/>
        <v>-3.4477173972970481</v>
      </c>
      <c r="J535" s="40"/>
    </row>
    <row r="536" spans="1:10">
      <c r="A536" s="729">
        <v>525</v>
      </c>
      <c r="B536" s="729">
        <v>50</v>
      </c>
      <c r="C536" s="729">
        <v>1</v>
      </c>
      <c r="D536" s="729">
        <v>3.1818181818181822E-2</v>
      </c>
      <c r="E536" s="729">
        <f t="shared" si="44"/>
        <v>0.75251076040172171</v>
      </c>
      <c r="F536" s="729">
        <f t="shared" si="40"/>
        <v>0.68241198541597936</v>
      </c>
      <c r="G536" s="729">
        <f t="shared" si="41"/>
        <v>3.912023005428146</v>
      </c>
      <c r="H536" s="729">
        <f t="shared" si="42"/>
        <v>0</v>
      </c>
      <c r="I536" s="729">
        <f t="shared" si="43"/>
        <v>-3.4477173972970481</v>
      </c>
      <c r="J536" s="40"/>
    </row>
    <row r="537" spans="1:10">
      <c r="A537" s="729">
        <v>526</v>
      </c>
      <c r="B537" s="729">
        <v>50</v>
      </c>
      <c r="C537" s="729">
        <v>1</v>
      </c>
      <c r="D537" s="841">
        <v>3.238636363636363E-2</v>
      </c>
      <c r="E537" s="729">
        <f t="shared" si="44"/>
        <v>0.75394548063127687</v>
      </c>
      <c r="F537" s="729">
        <f t="shared" si="40"/>
        <v>0.68695824903861946</v>
      </c>
      <c r="G537" s="729">
        <f t="shared" si="41"/>
        <v>3.912023005428146</v>
      </c>
      <c r="H537" s="729">
        <f t="shared" si="42"/>
        <v>0</v>
      </c>
      <c r="I537" s="729">
        <f t="shared" si="43"/>
        <v>-3.4300178201976474</v>
      </c>
      <c r="J537" s="40"/>
    </row>
    <row r="538" spans="1:10">
      <c r="A538" s="729">
        <v>527</v>
      </c>
      <c r="B538" s="729">
        <v>50</v>
      </c>
      <c r="C538" s="729">
        <v>1</v>
      </c>
      <c r="D538" s="729">
        <v>3.4090909090909088E-2</v>
      </c>
      <c r="E538" s="729">
        <f t="shared" si="44"/>
        <v>0.75538020086083213</v>
      </c>
      <c r="F538" s="729">
        <f t="shared" si="40"/>
        <v>0.69151875563428244</v>
      </c>
      <c r="G538" s="729">
        <f t="shared" si="41"/>
        <v>3.912023005428146</v>
      </c>
      <c r="H538" s="729">
        <f t="shared" si="42"/>
        <v>0</v>
      </c>
      <c r="I538" s="729">
        <f t="shared" si="43"/>
        <v>-3.3787245258100969</v>
      </c>
      <c r="J538" s="40"/>
    </row>
    <row r="539" spans="1:10">
      <c r="A539" s="729">
        <v>528</v>
      </c>
      <c r="B539" s="729">
        <v>50</v>
      </c>
      <c r="C539" s="729">
        <v>1</v>
      </c>
      <c r="D539" s="729">
        <v>3.4090909090909088E-2</v>
      </c>
      <c r="E539" s="729">
        <f t="shared" si="44"/>
        <v>0.75681492109038739</v>
      </c>
      <c r="F539" s="729">
        <f t="shared" si="40"/>
        <v>0.6960936901777649</v>
      </c>
      <c r="G539" s="729">
        <f t="shared" si="41"/>
        <v>3.912023005428146</v>
      </c>
      <c r="H539" s="729">
        <f t="shared" si="42"/>
        <v>0</v>
      </c>
      <c r="I539" s="729">
        <f t="shared" si="43"/>
        <v>-3.3787245258100969</v>
      </c>
      <c r="J539" s="40"/>
    </row>
    <row r="540" spans="1:10">
      <c r="A540" s="729">
        <v>529</v>
      </c>
      <c r="B540" s="729">
        <v>50</v>
      </c>
      <c r="C540" s="729">
        <v>1</v>
      </c>
      <c r="D540" s="729">
        <v>3.4090909090909088E-2</v>
      </c>
      <c r="E540" s="729">
        <f t="shared" si="44"/>
        <v>0.75824964131994266</v>
      </c>
      <c r="F540" s="729">
        <f t="shared" si="40"/>
        <v>0.70068324061497644</v>
      </c>
      <c r="G540" s="729">
        <f t="shared" si="41"/>
        <v>3.912023005428146</v>
      </c>
      <c r="H540" s="729">
        <f t="shared" si="42"/>
        <v>0</v>
      </c>
      <c r="I540" s="729">
        <f t="shared" si="43"/>
        <v>-3.3787245258100969</v>
      </c>
      <c r="J540" s="40"/>
    </row>
    <row r="541" spans="1:10">
      <c r="A541" s="729">
        <v>530</v>
      </c>
      <c r="B541" s="327">
        <v>50</v>
      </c>
      <c r="C541" s="729">
        <v>1</v>
      </c>
      <c r="D541" s="729">
        <v>3.4090909090909088E-2</v>
      </c>
      <c r="E541" s="729">
        <f t="shared" si="44"/>
        <v>0.75968436154949781</v>
      </c>
      <c r="F541" s="729">
        <f t="shared" si="40"/>
        <v>0.70528759793250428</v>
      </c>
      <c r="G541" s="729">
        <f t="shared" si="41"/>
        <v>3.912023005428146</v>
      </c>
      <c r="H541" s="729">
        <f t="shared" si="42"/>
        <v>0</v>
      </c>
      <c r="I541" s="729">
        <f t="shared" si="43"/>
        <v>-3.3787245258100969</v>
      </c>
      <c r="J541" s="40"/>
    </row>
    <row r="542" spans="1:10">
      <c r="A542" s="729">
        <v>531</v>
      </c>
      <c r="B542" s="327">
        <v>50</v>
      </c>
      <c r="C542" s="729">
        <v>1</v>
      </c>
      <c r="D542" s="729">
        <v>3.4090909090909088E-2</v>
      </c>
      <c r="E542" s="729">
        <f t="shared" si="44"/>
        <v>0.76111908177905307</v>
      </c>
      <c r="F542" s="729">
        <f t="shared" si="40"/>
        <v>0.70990695622919808</v>
      </c>
      <c r="G542" s="729">
        <f t="shared" si="41"/>
        <v>3.912023005428146</v>
      </c>
      <c r="H542" s="729">
        <f t="shared" si="42"/>
        <v>0</v>
      </c>
      <c r="I542" s="729">
        <f t="shared" si="43"/>
        <v>-3.3787245258100969</v>
      </c>
      <c r="J542" s="40"/>
    </row>
    <row r="543" spans="1:10">
      <c r="A543" s="729">
        <v>532</v>
      </c>
      <c r="B543" s="729">
        <v>50</v>
      </c>
      <c r="C543" s="729">
        <v>1</v>
      </c>
      <c r="D543" s="729">
        <v>3.4090909090909088E-2</v>
      </c>
      <c r="E543" s="729">
        <f t="shared" si="44"/>
        <v>0.76255380200860834</v>
      </c>
      <c r="F543" s="729">
        <f t="shared" si="40"/>
        <v>0.7145415127898378</v>
      </c>
      <c r="G543" s="729">
        <f t="shared" si="41"/>
        <v>3.912023005428146</v>
      </c>
      <c r="H543" s="729">
        <f t="shared" si="42"/>
        <v>0</v>
      </c>
      <c r="I543" s="729">
        <f t="shared" si="43"/>
        <v>-3.3787245258100969</v>
      </c>
      <c r="J543" s="40"/>
    </row>
    <row r="544" spans="1:10">
      <c r="A544" s="729">
        <v>533</v>
      </c>
      <c r="B544" s="729">
        <v>50</v>
      </c>
      <c r="C544" s="729">
        <v>1</v>
      </c>
      <c r="D544" s="729">
        <v>3.4090909090909088E-2</v>
      </c>
      <c r="E544" s="729">
        <f t="shared" si="44"/>
        <v>0.7639885222381636</v>
      </c>
      <c r="F544" s="729">
        <f t="shared" si="40"/>
        <v>0.71919146816097945</v>
      </c>
      <c r="G544" s="729">
        <f t="shared" si="41"/>
        <v>3.912023005428146</v>
      </c>
      <c r="H544" s="729">
        <f t="shared" si="42"/>
        <v>0</v>
      </c>
      <c r="I544" s="729">
        <f t="shared" si="43"/>
        <v>-3.3787245258100969</v>
      </c>
      <c r="J544" s="40"/>
    </row>
    <row r="545" spans="1:10">
      <c r="A545" s="729">
        <v>534</v>
      </c>
      <c r="B545" s="729">
        <v>50</v>
      </c>
      <c r="C545" s="729">
        <v>1</v>
      </c>
      <c r="D545" s="729">
        <v>3.4090909090909088E-2</v>
      </c>
      <c r="E545" s="729">
        <f t="shared" si="44"/>
        <v>0.76542324246771876</v>
      </c>
      <c r="F545" s="729">
        <f t="shared" si="40"/>
        <v>0.7238570262290237</v>
      </c>
      <c r="G545" s="729">
        <f t="shared" si="41"/>
        <v>3.912023005428146</v>
      </c>
      <c r="H545" s="729">
        <f t="shared" si="42"/>
        <v>0</v>
      </c>
      <c r="I545" s="729">
        <f t="shared" si="43"/>
        <v>-3.3787245258100969</v>
      </c>
      <c r="J545" s="40"/>
    </row>
    <row r="546" spans="1:10">
      <c r="A546" s="729">
        <v>535</v>
      </c>
      <c r="B546" s="729">
        <v>50</v>
      </c>
      <c r="C546" s="729">
        <v>1</v>
      </c>
      <c r="D546" s="729">
        <v>3.4090909090909088E-2</v>
      </c>
      <c r="E546" s="729">
        <f t="shared" si="44"/>
        <v>0.76685796269727402</v>
      </c>
      <c r="F546" s="729">
        <f t="shared" si="40"/>
        <v>0.72853839430062861</v>
      </c>
      <c r="G546" s="729">
        <f t="shared" si="41"/>
        <v>3.912023005428146</v>
      </c>
      <c r="H546" s="729">
        <f t="shared" si="42"/>
        <v>0</v>
      </c>
      <c r="I546" s="729">
        <f t="shared" si="43"/>
        <v>-3.3787245258100969</v>
      </c>
      <c r="J546" s="40"/>
    </row>
    <row r="547" spans="1:10">
      <c r="A547" s="729">
        <v>536</v>
      </c>
      <c r="B547" s="729">
        <v>50</v>
      </c>
      <c r="C547" s="729">
        <v>1.01</v>
      </c>
      <c r="D547" s="729">
        <v>3.4090909090909088E-2</v>
      </c>
      <c r="E547" s="729">
        <f t="shared" si="44"/>
        <v>0.76829268292682928</v>
      </c>
      <c r="F547" s="729">
        <f t="shared" si="40"/>
        <v>0.73323578318551175</v>
      </c>
      <c r="G547" s="729">
        <f t="shared" si="41"/>
        <v>3.912023005428146</v>
      </c>
      <c r="H547" s="729">
        <f t="shared" si="42"/>
        <v>9.950330853168092E-3</v>
      </c>
      <c r="I547" s="729">
        <f t="shared" si="43"/>
        <v>-3.3787245258100969</v>
      </c>
      <c r="J547" s="40"/>
    </row>
    <row r="548" spans="1:10">
      <c r="A548" s="729">
        <v>537</v>
      </c>
      <c r="B548" s="729">
        <v>50</v>
      </c>
      <c r="C548" s="729">
        <v>1.05</v>
      </c>
      <c r="D548" s="729">
        <v>3.4090909090909088E-2</v>
      </c>
      <c r="E548" s="729">
        <f t="shared" si="44"/>
        <v>0.76972740315638455</v>
      </c>
      <c r="F548" s="729">
        <f t="shared" si="40"/>
        <v>0.73794940728176162</v>
      </c>
      <c r="G548" s="729">
        <f t="shared" si="41"/>
        <v>3.912023005428146</v>
      </c>
      <c r="H548" s="729">
        <f t="shared" si="42"/>
        <v>4.8790164169432049E-2</v>
      </c>
      <c r="I548" s="729">
        <f t="shared" si="43"/>
        <v>-3.3787245258100969</v>
      </c>
      <c r="J548" s="40"/>
    </row>
    <row r="549" spans="1:10">
      <c r="A549" s="729">
        <v>538</v>
      </c>
      <c r="B549" s="729">
        <v>50</v>
      </c>
      <c r="C549" s="729">
        <v>1.06</v>
      </c>
      <c r="D549" s="32">
        <v>3.4943181818181818E-2</v>
      </c>
      <c r="E549" s="729">
        <f t="shared" si="44"/>
        <v>0.7711621233859397</v>
      </c>
      <c r="F549" s="729">
        <f t="shared" si="40"/>
        <v>0.74267948466372624</v>
      </c>
      <c r="G549" s="729">
        <f t="shared" si="41"/>
        <v>3.912023005428146</v>
      </c>
      <c r="H549" s="729">
        <f t="shared" si="42"/>
        <v>5.8268908123975824E-2</v>
      </c>
      <c r="I549" s="729">
        <f t="shared" si="43"/>
        <v>-3.3540319132197252</v>
      </c>
      <c r="J549" s="40"/>
    </row>
    <row r="550" spans="1:10">
      <c r="A550" s="729">
        <v>539</v>
      </c>
      <c r="B550" s="729">
        <v>50</v>
      </c>
      <c r="C550" s="729">
        <v>1.0900000000000001</v>
      </c>
      <c r="D550" s="729">
        <v>3.5511363636363633E-2</v>
      </c>
      <c r="E550" s="729">
        <f t="shared" si="44"/>
        <v>0.77259684361549497</v>
      </c>
      <c r="F550" s="729">
        <f t="shared" si="40"/>
        <v>0.74742623717258982</v>
      </c>
      <c r="G550" s="729">
        <f t="shared" si="41"/>
        <v>3.912023005428146</v>
      </c>
      <c r="H550" s="729">
        <f t="shared" si="42"/>
        <v>8.6177696241052412E-2</v>
      </c>
      <c r="I550" s="729">
        <f t="shared" si="43"/>
        <v>-3.3379025312898416</v>
      </c>
      <c r="J550" s="40"/>
    </row>
    <row r="551" spans="1:10">
      <c r="A551" s="729">
        <v>540</v>
      </c>
      <c r="B551" s="729">
        <v>50</v>
      </c>
      <c r="C551" s="729">
        <v>1.1000000000000001</v>
      </c>
      <c r="D551" s="729">
        <v>3.565340909090909E-2</v>
      </c>
      <c r="E551" s="729">
        <f t="shared" si="44"/>
        <v>0.77403156384505023</v>
      </c>
      <c r="F551" s="729">
        <f t="shared" si="40"/>
        <v>0.75218989050973062</v>
      </c>
      <c r="G551" s="729">
        <f t="shared" si="41"/>
        <v>3.912023005428146</v>
      </c>
      <c r="H551" s="729">
        <f t="shared" si="42"/>
        <v>9.5310179804324935E-2</v>
      </c>
      <c r="I551" s="729">
        <f t="shared" si="43"/>
        <v>-3.3339105100203041</v>
      </c>
      <c r="J551" s="40"/>
    </row>
    <row r="552" spans="1:10">
      <c r="A552" s="729">
        <v>541</v>
      </c>
      <c r="B552" s="729">
        <v>50</v>
      </c>
      <c r="C552" s="729">
        <v>1.1200000000000001</v>
      </c>
      <c r="D552" s="729">
        <v>3.6363636363636362E-2</v>
      </c>
      <c r="E552" s="729">
        <f t="shared" si="44"/>
        <v>0.77546628407460549</v>
      </c>
      <c r="F552" s="729">
        <f t="shared" si="40"/>
        <v>0.75697067433296872</v>
      </c>
      <c r="G552" s="729">
        <f t="shared" si="41"/>
        <v>3.912023005428146</v>
      </c>
      <c r="H552" s="729">
        <f t="shared" si="42"/>
        <v>0.11332868530700327</v>
      </c>
      <c r="I552" s="729">
        <f t="shared" si="43"/>
        <v>-3.3141860046725258</v>
      </c>
      <c r="J552" s="40"/>
    </row>
    <row r="553" spans="1:10">
      <c r="A553" s="729">
        <v>542</v>
      </c>
      <c r="B553" s="729">
        <v>50</v>
      </c>
      <c r="C553" s="729">
        <v>1.1200000000000001</v>
      </c>
      <c r="D553" s="729">
        <v>3.6363636363636369E-2</v>
      </c>
      <c r="E553" s="729">
        <f t="shared" si="44"/>
        <v>0.77690100430416065</v>
      </c>
      <c r="F553" s="729">
        <f t="shared" si="40"/>
        <v>0.76176882235580157</v>
      </c>
      <c r="G553" s="729">
        <f t="shared" si="41"/>
        <v>3.912023005428146</v>
      </c>
      <c r="H553" s="729">
        <f t="shared" si="42"/>
        <v>0.11332868530700327</v>
      </c>
      <c r="I553" s="729">
        <f t="shared" si="43"/>
        <v>-3.3141860046725253</v>
      </c>
      <c r="J553" s="40"/>
    </row>
    <row r="554" spans="1:10">
      <c r="A554" s="729">
        <v>543</v>
      </c>
      <c r="B554" s="729">
        <v>50</v>
      </c>
      <c r="C554" s="729">
        <v>1.2</v>
      </c>
      <c r="D554" s="729">
        <v>3.7499999999999999E-2</v>
      </c>
      <c r="E554" s="729">
        <f t="shared" si="44"/>
        <v>0.77833572453371591</v>
      </c>
      <c r="F554" s="729">
        <f t="shared" si="40"/>
        <v>0.76658457244976175</v>
      </c>
      <c r="G554" s="729">
        <f t="shared" si="41"/>
        <v>3.912023005428146</v>
      </c>
      <c r="H554" s="729">
        <f t="shared" si="42"/>
        <v>0.18232155679395459</v>
      </c>
      <c r="I554" s="729">
        <f t="shared" si="43"/>
        <v>-3.2834143460057721</v>
      </c>
      <c r="J554" s="40"/>
    </row>
    <row r="555" spans="1:10">
      <c r="A555" s="729">
        <v>544</v>
      </c>
      <c r="B555" s="729">
        <v>50</v>
      </c>
      <c r="C555" s="729">
        <v>1.2</v>
      </c>
      <c r="D555" s="729">
        <v>3.7499999999999999E-2</v>
      </c>
      <c r="E555" s="729">
        <f t="shared" si="44"/>
        <v>0.77977044476327118</v>
      </c>
      <c r="F555" s="729">
        <f t="shared" si="40"/>
        <v>0.77141816674998875</v>
      </c>
      <c r="G555" s="729">
        <f t="shared" si="41"/>
        <v>3.912023005428146</v>
      </c>
      <c r="H555" s="729">
        <f t="shared" si="42"/>
        <v>0.18232155679395459</v>
      </c>
      <c r="I555" s="729">
        <f t="shared" si="43"/>
        <v>-3.2834143460057721</v>
      </c>
      <c r="J555" s="40"/>
    </row>
    <row r="556" spans="1:10">
      <c r="A556" s="729">
        <v>545</v>
      </c>
      <c r="B556" s="729">
        <v>50</v>
      </c>
      <c r="C556" s="729">
        <v>1.2</v>
      </c>
      <c r="D556" s="729">
        <v>3.7499999999999999E-2</v>
      </c>
      <c r="E556" s="729">
        <f t="shared" si="44"/>
        <v>0.78120516499282644</v>
      </c>
      <c r="F556" s="729">
        <f t="shared" si="40"/>
        <v>0.77626985176416885</v>
      </c>
      <c r="G556" s="729">
        <f t="shared" si="41"/>
        <v>3.912023005428146</v>
      </c>
      <c r="H556" s="729">
        <f t="shared" si="42"/>
        <v>0.18232155679395459</v>
      </c>
      <c r="I556" s="729">
        <f t="shared" si="43"/>
        <v>-3.2834143460057721</v>
      </c>
      <c r="J556" s="40"/>
    </row>
    <row r="557" spans="1:10">
      <c r="A557" s="729">
        <v>546</v>
      </c>
      <c r="B557" s="729">
        <v>50</v>
      </c>
      <c r="C557" s="729">
        <v>1.2</v>
      </c>
      <c r="D557" s="729">
        <v>3.7499999999999999E-2</v>
      </c>
      <c r="E557" s="729">
        <f t="shared" si="44"/>
        <v>0.78263988522238159</v>
      </c>
      <c r="F557" s="729">
        <f t="shared" si="40"/>
        <v>0.78113987848493949</v>
      </c>
      <c r="G557" s="729">
        <f t="shared" si="41"/>
        <v>3.912023005428146</v>
      </c>
      <c r="H557" s="729">
        <f t="shared" si="42"/>
        <v>0.18232155679395459</v>
      </c>
      <c r="I557" s="729">
        <f t="shared" si="43"/>
        <v>-3.2834143460057721</v>
      </c>
      <c r="J557" s="40"/>
    </row>
    <row r="558" spans="1:10">
      <c r="A558" s="729">
        <v>547</v>
      </c>
      <c r="B558" s="729">
        <v>50</v>
      </c>
      <c r="C558" s="729">
        <v>1.2</v>
      </c>
      <c r="D558" s="729">
        <v>3.806818181818182E-2</v>
      </c>
      <c r="E558" s="729">
        <f t="shared" si="44"/>
        <v>0.78407460545193686</v>
      </c>
      <c r="F558" s="729">
        <f t="shared" si="40"/>
        <v>0.78602850250592737</v>
      </c>
      <c r="G558" s="729">
        <f t="shared" si="41"/>
        <v>3.912023005428146</v>
      </c>
      <c r="H558" s="729">
        <f t="shared" si="42"/>
        <v>0.18232155679395459</v>
      </c>
      <c r="I558" s="729">
        <f t="shared" si="43"/>
        <v>-3.2683764686412315</v>
      </c>
      <c r="J558" s="40"/>
    </row>
    <row r="559" spans="1:10">
      <c r="A559" s="729">
        <v>548</v>
      </c>
      <c r="B559" s="729">
        <v>50</v>
      </c>
      <c r="C559" s="729">
        <v>1.23</v>
      </c>
      <c r="D559" s="729">
        <v>3.9630681818181815E-2</v>
      </c>
      <c r="E559" s="729">
        <f t="shared" si="44"/>
        <v>0.78550932568149212</v>
      </c>
      <c r="F559" s="729">
        <f t="shared" si="40"/>
        <v>0.7909359841415402</v>
      </c>
      <c r="G559" s="729">
        <f t="shared" si="41"/>
        <v>3.912023005428146</v>
      </c>
      <c r="H559" s="729">
        <f t="shared" si="42"/>
        <v>0.20701416938432612</v>
      </c>
      <c r="I559" s="729">
        <f t="shared" si="43"/>
        <v>-3.2281516673307227</v>
      </c>
      <c r="J559" s="40"/>
    </row>
    <row r="560" spans="1:10">
      <c r="A560" s="729">
        <v>549</v>
      </c>
      <c r="B560" s="729">
        <v>60</v>
      </c>
      <c r="C560" s="327">
        <v>1.26</v>
      </c>
      <c r="D560" s="729">
        <v>3.988636363636363E-2</v>
      </c>
      <c r="E560" s="729">
        <f t="shared" si="44"/>
        <v>0.78694404591104739</v>
      </c>
      <c r="F560" s="729">
        <f t="shared" si="40"/>
        <v>0.79586258855065695</v>
      </c>
      <c r="G560" s="729">
        <f t="shared" si="41"/>
        <v>4.0943445622221004</v>
      </c>
      <c r="H560" s="729">
        <f t="shared" si="42"/>
        <v>0.23111172096338664</v>
      </c>
      <c r="I560" s="729">
        <f t="shared" si="43"/>
        <v>-3.2217207770004324</v>
      </c>
      <c r="J560" s="40"/>
    </row>
    <row r="561" spans="1:10">
      <c r="A561" s="729">
        <v>550</v>
      </c>
      <c r="B561" s="729">
        <v>60</v>
      </c>
      <c r="C561" s="729">
        <v>1.28</v>
      </c>
      <c r="D561" s="729">
        <v>4.0909090909090902E-2</v>
      </c>
      <c r="E561" s="729">
        <f t="shared" si="44"/>
        <v>0.78837876614060254</v>
      </c>
      <c r="F561" s="729">
        <f t="shared" si="40"/>
        <v>0.80080858586440196</v>
      </c>
      <c r="G561" s="729">
        <f t="shared" si="41"/>
        <v>4.0943445622221004</v>
      </c>
      <c r="H561" s="729">
        <f t="shared" si="42"/>
        <v>0.24686007793152581</v>
      </c>
      <c r="I561" s="729">
        <f t="shared" si="43"/>
        <v>-3.1964029690161424</v>
      </c>
      <c r="J561" s="40"/>
    </row>
    <row r="562" spans="1:10">
      <c r="A562" s="729">
        <v>551</v>
      </c>
      <c r="B562" s="729">
        <v>60</v>
      </c>
      <c r="C562" s="729">
        <v>1.29</v>
      </c>
      <c r="D562" s="729">
        <v>4.0909090909090902E-2</v>
      </c>
      <c r="E562" s="729">
        <f t="shared" si="44"/>
        <v>0.7898134863701578</v>
      </c>
      <c r="F562" s="729">
        <f t="shared" si="40"/>
        <v>0.80577425131812597</v>
      </c>
      <c r="G562" s="729">
        <f t="shared" si="41"/>
        <v>4.0943445622221004</v>
      </c>
      <c r="H562" s="729">
        <f t="shared" si="42"/>
        <v>0.25464221837358075</v>
      </c>
      <c r="I562" s="729">
        <f t="shared" si="43"/>
        <v>-3.1964029690161424</v>
      </c>
      <c r="J562" s="40"/>
    </row>
    <row r="563" spans="1:10">
      <c r="A563" s="729">
        <v>552</v>
      </c>
      <c r="B563" s="729">
        <v>60</v>
      </c>
      <c r="C563" s="729">
        <v>1.3</v>
      </c>
      <c r="D563" s="729">
        <v>4.1420454545454545E-2</v>
      </c>
      <c r="E563" s="729">
        <f t="shared" si="44"/>
        <v>0.79124820659971307</v>
      </c>
      <c r="F563" s="729">
        <f t="shared" si="40"/>
        <v>0.81075986538779188</v>
      </c>
      <c r="G563" s="729">
        <f t="shared" si="41"/>
        <v>4.0943445622221004</v>
      </c>
      <c r="H563" s="729">
        <f t="shared" si="42"/>
        <v>0.26236426446749106</v>
      </c>
      <c r="I563" s="729">
        <f t="shared" si="43"/>
        <v>-3.1839804490175849</v>
      </c>
      <c r="J563" s="40"/>
    </row>
    <row r="564" spans="1:10">
      <c r="A564" s="729">
        <v>553</v>
      </c>
      <c r="B564" s="729">
        <v>60</v>
      </c>
      <c r="C564" s="729">
        <v>1.3</v>
      </c>
      <c r="D564" s="729">
        <v>4.2329545454545453E-2</v>
      </c>
      <c r="E564" s="729">
        <f t="shared" si="44"/>
        <v>0.79268292682926833</v>
      </c>
      <c r="F564" s="729">
        <f t="shared" si="40"/>
        <v>0.81576571393093433</v>
      </c>
      <c r="G564" s="729">
        <f t="shared" si="41"/>
        <v>4.0943445622221004</v>
      </c>
      <c r="H564" s="729">
        <f t="shared" si="42"/>
        <v>0.26236426446749106</v>
      </c>
      <c r="I564" s="729">
        <f t="shared" si="43"/>
        <v>-3.1622699626466835</v>
      </c>
      <c r="J564" s="40"/>
    </row>
    <row r="565" spans="1:10">
      <c r="A565" s="729">
        <v>554</v>
      </c>
      <c r="B565" s="729">
        <v>60</v>
      </c>
      <c r="C565" s="729">
        <v>1.34</v>
      </c>
      <c r="D565" s="729">
        <v>4.261363636363636E-2</v>
      </c>
      <c r="E565" s="729">
        <f t="shared" si="44"/>
        <v>0.79411764705882348</v>
      </c>
      <c r="F565" s="729">
        <f t="shared" si="40"/>
        <v>0.82079208833238049</v>
      </c>
      <c r="G565" s="729">
        <f t="shared" si="41"/>
        <v>4.0943445622221004</v>
      </c>
      <c r="H565" s="729">
        <f t="shared" si="42"/>
        <v>0.29266961396282004</v>
      </c>
      <c r="I565" s="729">
        <f t="shared" si="43"/>
        <v>-3.1555809744958871</v>
      </c>
      <c r="J565" s="40"/>
    </row>
    <row r="566" spans="1:10">
      <c r="A566" s="729">
        <v>555</v>
      </c>
      <c r="B566" s="729">
        <v>60</v>
      </c>
      <c r="C566" s="729">
        <v>1.38</v>
      </c>
      <c r="D566" s="729">
        <v>4.261363636363636E-2</v>
      </c>
      <c r="E566" s="729">
        <f t="shared" si="44"/>
        <v>0.79555236728837875</v>
      </c>
      <c r="F566" s="729">
        <f t="shared" si="40"/>
        <v>0.82583928565492504</v>
      </c>
      <c r="G566" s="729">
        <f t="shared" si="41"/>
        <v>4.0943445622221004</v>
      </c>
      <c r="H566" s="729">
        <f t="shared" si="42"/>
        <v>0.32208349916911322</v>
      </c>
      <c r="I566" s="729">
        <f t="shared" si="43"/>
        <v>-3.1555809744958871</v>
      </c>
      <c r="J566" s="40"/>
    </row>
    <row r="567" spans="1:10">
      <c r="A567" s="729">
        <v>556</v>
      </c>
      <c r="B567" s="729">
        <v>60</v>
      </c>
      <c r="C567" s="729">
        <v>1.4</v>
      </c>
      <c r="D567" s="729">
        <v>4.261363636363636E-2</v>
      </c>
      <c r="E567" s="729">
        <f t="shared" si="44"/>
        <v>0.79698708751793401</v>
      </c>
      <c r="F567" s="729">
        <f t="shared" si="40"/>
        <v>0.83090760879516901</v>
      </c>
      <c r="G567" s="729">
        <f t="shared" si="41"/>
        <v>4.0943445622221004</v>
      </c>
      <c r="H567" s="729">
        <f t="shared" si="42"/>
        <v>0.33647223662121289</v>
      </c>
      <c r="I567" s="729">
        <f t="shared" si="43"/>
        <v>-3.1555809744958871</v>
      </c>
      <c r="J567" s="40"/>
    </row>
    <row r="568" spans="1:10">
      <c r="A568" s="729">
        <v>557</v>
      </c>
      <c r="B568" s="729">
        <v>60</v>
      </c>
      <c r="C568" s="729">
        <v>1.4</v>
      </c>
      <c r="D568" s="729">
        <v>4.261363636363636E-2</v>
      </c>
      <c r="E568" s="729">
        <f t="shared" si="44"/>
        <v>0.79842180774748928</v>
      </c>
      <c r="F568" s="729">
        <f t="shared" si="40"/>
        <v>0.83599736664473989</v>
      </c>
      <c r="G568" s="729">
        <f t="shared" si="41"/>
        <v>4.0943445622221004</v>
      </c>
      <c r="H568" s="729">
        <f t="shared" si="42"/>
        <v>0.33647223662121289</v>
      </c>
      <c r="I568" s="729">
        <f t="shared" si="43"/>
        <v>-3.1555809744958871</v>
      </c>
      <c r="J568" s="40"/>
    </row>
    <row r="569" spans="1:10">
      <c r="A569" s="729">
        <v>558</v>
      </c>
      <c r="B569" s="729">
        <v>60</v>
      </c>
      <c r="C569" s="729">
        <v>1.49</v>
      </c>
      <c r="D569" s="729">
        <v>4.261363636363636E-2</v>
      </c>
      <c r="E569" s="729">
        <f t="shared" si="44"/>
        <v>0.79985652797704443</v>
      </c>
      <c r="F569" s="729">
        <f t="shared" si="40"/>
        <v>0.84110887425710779</v>
      </c>
      <c r="G569" s="729">
        <f t="shared" si="41"/>
        <v>4.0943445622221004</v>
      </c>
      <c r="H569" s="729">
        <f t="shared" si="42"/>
        <v>0.39877611995736778</v>
      </c>
      <c r="I569" s="729">
        <f t="shared" si="43"/>
        <v>-3.1555809744958871</v>
      </c>
      <c r="J569" s="40"/>
    </row>
    <row r="570" spans="1:10">
      <c r="A570" s="729">
        <v>559</v>
      </c>
      <c r="B570" s="729">
        <v>60</v>
      </c>
      <c r="C570" s="729">
        <v>1.5</v>
      </c>
      <c r="D570" s="729">
        <v>4.261363636363636E-2</v>
      </c>
      <c r="E570" s="729">
        <f t="shared" si="44"/>
        <v>0.80129124820659969</v>
      </c>
      <c r="F570" s="729">
        <f t="shared" si="40"/>
        <v>0.84624245302025092</v>
      </c>
      <c r="G570" s="729">
        <f t="shared" si="41"/>
        <v>4.0943445622221004</v>
      </c>
      <c r="H570" s="729">
        <f t="shared" si="42"/>
        <v>0.40546510810816438</v>
      </c>
      <c r="I570" s="729">
        <f t="shared" si="43"/>
        <v>-3.1555809744958871</v>
      </c>
      <c r="J570" s="40"/>
    </row>
    <row r="571" spans="1:10">
      <c r="A571" s="729">
        <v>560</v>
      </c>
      <c r="B571" s="729">
        <v>60</v>
      </c>
      <c r="C571" s="729">
        <v>1.5</v>
      </c>
      <c r="D571" s="32">
        <v>4.261363636363636E-2</v>
      </c>
      <c r="E571" s="729">
        <f t="shared" si="44"/>
        <v>0.80272596843615496</v>
      </c>
      <c r="F571" s="729">
        <f t="shared" si="40"/>
        <v>0.85139843083539857</v>
      </c>
      <c r="G571" s="729">
        <f t="shared" si="41"/>
        <v>4.0943445622221004</v>
      </c>
      <c r="H571" s="729">
        <f t="shared" si="42"/>
        <v>0.40546510810816438</v>
      </c>
      <c r="I571" s="729">
        <f t="shared" si="43"/>
        <v>-3.1555809744958871</v>
      </c>
      <c r="J571" s="40"/>
    </row>
    <row r="572" spans="1:10">
      <c r="A572" s="729">
        <v>561</v>
      </c>
      <c r="B572" s="729">
        <v>60</v>
      </c>
      <c r="C572" s="729">
        <v>1.5</v>
      </c>
      <c r="D572" s="729">
        <v>4.360795454545454E-2</v>
      </c>
      <c r="E572" s="729">
        <f t="shared" si="44"/>
        <v>0.80416068866571022</v>
      </c>
      <c r="F572" s="729">
        <f t="shared" si="40"/>
        <v>0.85657714230213899</v>
      </c>
      <c r="G572" s="729">
        <f t="shared" si="41"/>
        <v>4.0943445622221004</v>
      </c>
      <c r="H572" s="729">
        <f t="shared" si="42"/>
        <v>0.40546510810816438</v>
      </c>
      <c r="I572" s="729">
        <f t="shared" si="43"/>
        <v>-3.1325157015648912</v>
      </c>
      <c r="J572" s="40"/>
    </row>
    <row r="573" spans="1:10">
      <c r="A573" s="729">
        <v>562</v>
      </c>
      <c r="B573" s="729">
        <v>60</v>
      </c>
      <c r="C573" s="729">
        <v>1.5</v>
      </c>
      <c r="D573" s="729">
        <v>4.3750000000000004E-2</v>
      </c>
      <c r="E573" s="729">
        <f t="shared" si="44"/>
        <v>0.80559540889526537</v>
      </c>
      <c r="F573" s="729">
        <f t="shared" si="40"/>
        <v>0.86177892891013963</v>
      </c>
      <c r="G573" s="729">
        <f t="shared" si="41"/>
        <v>4.0943445622221004</v>
      </c>
      <c r="H573" s="729">
        <f t="shared" si="42"/>
        <v>0.40546510810816438</v>
      </c>
      <c r="I573" s="729">
        <f t="shared" si="43"/>
        <v>-3.1292636661785136</v>
      </c>
      <c r="J573" s="40"/>
    </row>
    <row r="574" spans="1:10">
      <c r="A574" s="729">
        <v>563</v>
      </c>
      <c r="B574" s="729">
        <v>60</v>
      </c>
      <c r="C574" s="729">
        <v>1.5</v>
      </c>
      <c r="D574" s="729">
        <v>4.4318181818181819E-2</v>
      </c>
      <c r="E574" s="729">
        <f t="shared" si="44"/>
        <v>0.80703012912482064</v>
      </c>
      <c r="F574" s="729">
        <f t="shared" si="40"/>
        <v>0.86700413923779085</v>
      </c>
      <c r="G574" s="729">
        <f t="shared" si="41"/>
        <v>4.0943445622221004</v>
      </c>
      <c r="H574" s="729">
        <f t="shared" si="42"/>
        <v>0.40546510810816438</v>
      </c>
      <c r="I574" s="729">
        <f t="shared" si="43"/>
        <v>-3.1163602613426056</v>
      </c>
      <c r="J574" s="40"/>
    </row>
    <row r="575" spans="1:10">
      <c r="A575" s="729">
        <v>564</v>
      </c>
      <c r="B575" s="729">
        <v>60</v>
      </c>
      <c r="C575" s="729">
        <v>1.5</v>
      </c>
      <c r="D575" s="729">
        <v>4.5454545454545456E-2</v>
      </c>
      <c r="E575" s="729">
        <f t="shared" si="44"/>
        <v>0.8084648493543759</v>
      </c>
      <c r="F575" s="729">
        <f t="shared" si="40"/>
        <v>0.87225312915806497</v>
      </c>
      <c r="G575" s="729">
        <f t="shared" si="41"/>
        <v>4.0943445622221004</v>
      </c>
      <c r="H575" s="729">
        <f t="shared" si="42"/>
        <v>0.40546510810816438</v>
      </c>
      <c r="I575" s="729">
        <f t="shared" si="43"/>
        <v>-3.0910424533583156</v>
      </c>
      <c r="J575" s="40"/>
    </row>
    <row r="576" spans="1:10">
      <c r="A576" s="729">
        <v>565</v>
      </c>
      <c r="B576" s="729">
        <v>60</v>
      </c>
      <c r="C576" s="729">
        <v>1.5</v>
      </c>
      <c r="D576" s="729">
        <v>4.5454545454545456E-2</v>
      </c>
      <c r="E576" s="729">
        <f t="shared" si="44"/>
        <v>0.80989956958393117</v>
      </c>
      <c r="F576" s="729">
        <f t="shared" si="40"/>
        <v>0.87752626205190132</v>
      </c>
      <c r="G576" s="729">
        <f t="shared" si="41"/>
        <v>4.0943445622221004</v>
      </c>
      <c r="H576" s="729">
        <f t="shared" si="42"/>
        <v>0.40546510810816438</v>
      </c>
      <c r="I576" s="729">
        <f t="shared" si="43"/>
        <v>-3.0910424533583156</v>
      </c>
      <c r="J576" s="40"/>
    </row>
    <row r="577" spans="1:10">
      <c r="A577" s="729">
        <v>566</v>
      </c>
      <c r="B577" s="729">
        <v>67</v>
      </c>
      <c r="C577" s="729">
        <v>1.5</v>
      </c>
      <c r="D577" s="729">
        <v>4.8409090909090902E-2</v>
      </c>
      <c r="E577" s="729">
        <f t="shared" si="44"/>
        <v>0.81133428981348632</v>
      </c>
      <c r="F577" s="729">
        <f t="shared" si="40"/>
        <v>0.88282390902948049</v>
      </c>
      <c r="G577" s="729">
        <f t="shared" si="41"/>
        <v>4.2046926193909657</v>
      </c>
      <c r="H577" s="729">
        <f t="shared" si="42"/>
        <v>0.40546510810816438</v>
      </c>
      <c r="I577" s="729">
        <f t="shared" si="43"/>
        <v>-3.0280676541969274</v>
      </c>
      <c r="J577" s="40"/>
    </row>
    <row r="578" spans="1:10">
      <c r="A578" s="729">
        <v>567</v>
      </c>
      <c r="B578" s="729">
        <v>67</v>
      </c>
      <c r="C578" s="729">
        <v>1.5</v>
      </c>
      <c r="D578" s="729">
        <v>4.9147727272727273E-2</v>
      </c>
      <c r="E578" s="729">
        <f t="shared" si="44"/>
        <v>0.81276901004304158</v>
      </c>
      <c r="F578" s="729">
        <f t="shared" si="40"/>
        <v>0.88814644915971153</v>
      </c>
      <c r="G578" s="729">
        <f t="shared" si="41"/>
        <v>4.2046926193909657</v>
      </c>
      <c r="H578" s="729">
        <f t="shared" si="42"/>
        <v>0.40546510810816438</v>
      </c>
      <c r="I578" s="729">
        <f t="shared" si="43"/>
        <v>-3.0129246740943638</v>
      </c>
      <c r="J578" s="40"/>
    </row>
    <row r="579" spans="1:10">
      <c r="A579" s="729">
        <v>568</v>
      </c>
      <c r="B579" s="729">
        <v>67</v>
      </c>
      <c r="C579" s="729">
        <v>1.5</v>
      </c>
      <c r="D579" s="729">
        <v>5.1136363636363633E-2</v>
      </c>
      <c r="E579" s="729">
        <f t="shared" si="44"/>
        <v>0.81420373027259685</v>
      </c>
      <c r="F579" s="729">
        <f t="shared" si="40"/>
        <v>0.89349426970832468</v>
      </c>
      <c r="G579" s="729">
        <f t="shared" si="41"/>
        <v>4.2046926193909657</v>
      </c>
      <c r="H579" s="729">
        <f t="shared" si="42"/>
        <v>0.40546510810816438</v>
      </c>
      <c r="I579" s="729">
        <f t="shared" si="43"/>
        <v>-2.9732594177019327</v>
      </c>
      <c r="J579" s="40"/>
    </row>
    <row r="580" spans="1:10">
      <c r="A580" s="729">
        <v>569</v>
      </c>
      <c r="B580" s="729">
        <v>67</v>
      </c>
      <c r="C580" s="729">
        <v>1.5</v>
      </c>
      <c r="D580" s="729">
        <v>5.1704545454545454E-2</v>
      </c>
      <c r="E580" s="729">
        <f t="shared" si="44"/>
        <v>0.81563845050215211</v>
      </c>
      <c r="F580" s="729">
        <f t="shared" si="40"/>
        <v>0.89886776638494181</v>
      </c>
      <c r="G580" s="729">
        <f t="shared" si="41"/>
        <v>4.2046926193909657</v>
      </c>
      <c r="H580" s="729">
        <f t="shared" si="42"/>
        <v>0.40546510810816438</v>
      </c>
      <c r="I580" s="729">
        <f t="shared" si="43"/>
        <v>-2.9622095815153475</v>
      </c>
      <c r="J580" s="40"/>
    </row>
    <row r="581" spans="1:10">
      <c r="A581" s="729">
        <v>570</v>
      </c>
      <c r="B581" s="729">
        <v>70</v>
      </c>
      <c r="C581" s="729">
        <v>1.5</v>
      </c>
      <c r="D581" s="729">
        <v>5.1988636363636362E-2</v>
      </c>
      <c r="E581" s="729">
        <f t="shared" si="44"/>
        <v>0.81707317073170727</v>
      </c>
      <c r="F581" s="729">
        <f t="shared" si="40"/>
        <v>0.90426734359956806</v>
      </c>
      <c r="G581" s="729">
        <f t="shared" si="41"/>
        <v>4.2484952420493594</v>
      </c>
      <c r="H581" s="729">
        <f t="shared" si="42"/>
        <v>0.40546510810816438</v>
      </c>
      <c r="I581" s="729">
        <f t="shared" si="43"/>
        <v>-2.9567301157507218</v>
      </c>
      <c r="J581" s="40"/>
    </row>
    <row r="582" spans="1:10">
      <c r="A582" s="729">
        <v>571</v>
      </c>
      <c r="B582" s="729">
        <v>70</v>
      </c>
      <c r="C582" s="729">
        <v>1.53</v>
      </c>
      <c r="D582" s="729">
        <v>5.4545454545454543E-2</v>
      </c>
      <c r="E582" s="729">
        <f t="shared" si="44"/>
        <v>0.81850789096126253</v>
      </c>
      <c r="F582" s="729">
        <f t="shared" si="40"/>
        <v>0.90969341472890075</v>
      </c>
      <c r="G582" s="729">
        <f t="shared" si="41"/>
        <v>4.2484952420493594</v>
      </c>
      <c r="H582" s="729">
        <f t="shared" si="42"/>
        <v>0.42526773540434409</v>
      </c>
      <c r="I582" s="729">
        <f t="shared" si="43"/>
        <v>-2.9087208965643612</v>
      </c>
      <c r="J582" s="40"/>
    </row>
    <row r="583" spans="1:10">
      <c r="A583" s="729">
        <v>572</v>
      </c>
      <c r="B583" s="729">
        <v>70</v>
      </c>
      <c r="C583" s="729">
        <v>1.65</v>
      </c>
      <c r="D583" s="729">
        <v>5.4545454545454543E-2</v>
      </c>
      <c r="E583" s="729">
        <f t="shared" si="44"/>
        <v>0.81994261119081779</v>
      </c>
      <c r="F583" s="729">
        <f t="shared" si="40"/>
        <v>0.91514640239295164</v>
      </c>
      <c r="G583" s="729">
        <f t="shared" si="41"/>
        <v>4.2484952420493594</v>
      </c>
      <c r="H583" s="729">
        <f t="shared" si="42"/>
        <v>0.50077528791248915</v>
      </c>
      <c r="I583" s="729">
        <f t="shared" si="43"/>
        <v>-2.9087208965643612</v>
      </c>
      <c r="J583" s="40"/>
    </row>
    <row r="584" spans="1:10">
      <c r="A584" s="729">
        <v>573</v>
      </c>
      <c r="B584" s="729">
        <v>70</v>
      </c>
      <c r="C584" s="729">
        <v>1.7</v>
      </c>
      <c r="D584" s="729">
        <v>5.6818181818181816E-2</v>
      </c>
      <c r="E584" s="729">
        <f t="shared" si="44"/>
        <v>0.82137733142037306</v>
      </c>
      <c r="F584" s="729">
        <f t="shared" si="40"/>
        <v>0.92062673874243972</v>
      </c>
      <c r="G584" s="729">
        <f t="shared" si="41"/>
        <v>4.2484952420493594</v>
      </c>
      <c r="H584" s="729">
        <f t="shared" si="42"/>
        <v>0.53062825106217038</v>
      </c>
      <c r="I584" s="729">
        <f t="shared" si="43"/>
        <v>-2.8678989020441059</v>
      </c>
      <c r="J584" s="40"/>
    </row>
    <row r="585" spans="1:10">
      <c r="A585" s="729">
        <v>574</v>
      </c>
      <c r="B585" s="729">
        <v>70</v>
      </c>
      <c r="C585" s="729">
        <v>1.73</v>
      </c>
      <c r="D585" s="729">
        <v>5.6818181818181816E-2</v>
      </c>
      <c r="E585" s="729">
        <f t="shared" si="44"/>
        <v>0.82281205164992821</v>
      </c>
      <c r="F585" s="729">
        <f t="shared" si="40"/>
        <v>0.92613486575748416</v>
      </c>
      <c r="G585" s="729">
        <f t="shared" si="41"/>
        <v>4.2484952420493594</v>
      </c>
      <c r="H585" s="729">
        <f t="shared" si="42"/>
        <v>0.5481214085096876</v>
      </c>
      <c r="I585" s="729">
        <f t="shared" si="43"/>
        <v>-2.8678989020441059</v>
      </c>
      <c r="J585" s="40"/>
    </row>
    <row r="586" spans="1:10">
      <c r="A586" s="729">
        <v>575</v>
      </c>
      <c r="B586" s="729">
        <v>70</v>
      </c>
      <c r="C586" s="729">
        <v>1.75</v>
      </c>
      <c r="D586" s="729">
        <v>5.6818181818181816E-2</v>
      </c>
      <c r="E586" s="729">
        <f t="shared" si="44"/>
        <v>0.82424677187948348</v>
      </c>
      <c r="F586" s="729">
        <f t="shared" si="40"/>
        <v>0.93167123555812814</v>
      </c>
      <c r="G586" s="729">
        <f t="shared" si="41"/>
        <v>4.2484952420493594</v>
      </c>
      <c r="H586" s="729">
        <f t="shared" si="42"/>
        <v>0.55961578793542266</v>
      </c>
      <c r="I586" s="729">
        <f t="shared" si="43"/>
        <v>-2.8678989020441059</v>
      </c>
      <c r="J586" s="40"/>
    </row>
    <row r="587" spans="1:10">
      <c r="A587" s="729">
        <v>576</v>
      </c>
      <c r="B587" s="729">
        <v>70</v>
      </c>
      <c r="C587" s="729">
        <v>1.77</v>
      </c>
      <c r="D587" s="729">
        <v>5.6818181818181816E-2</v>
      </c>
      <c r="E587" s="729">
        <f t="shared" si="44"/>
        <v>0.82568149210903874</v>
      </c>
      <c r="F587" s="729">
        <f t="shared" si="40"/>
        <v>0.93723631072726121</v>
      </c>
      <c r="G587" s="729">
        <f t="shared" si="41"/>
        <v>4.2484952420493594</v>
      </c>
      <c r="H587" s="729">
        <f t="shared" si="42"/>
        <v>0.5709795465857378</v>
      </c>
      <c r="I587" s="729">
        <f t="shared" si="43"/>
        <v>-2.8678989020441059</v>
      </c>
      <c r="J587" s="40"/>
    </row>
    <row r="588" spans="1:10">
      <c r="A588" s="729">
        <v>577</v>
      </c>
      <c r="B588" s="729">
        <v>70</v>
      </c>
      <c r="C588" s="729">
        <v>1.8</v>
      </c>
      <c r="D588" s="729">
        <v>5.6818181818181816E-2</v>
      </c>
      <c r="E588" s="729">
        <f t="shared" si="44"/>
        <v>0.827116212338594</v>
      </c>
      <c r="F588" s="729">
        <f t="shared" ref="F588:F651" si="45">NORMSINV(E588)</f>
        <v>0.94283056464655479</v>
      </c>
      <c r="G588" s="729">
        <f t="shared" ref="G588:G651" si="46">LN(B588)</f>
        <v>4.2484952420493594</v>
      </c>
      <c r="H588" s="729">
        <f t="shared" ref="H588:H651" si="47">LN(C588)</f>
        <v>0.58778666490211906</v>
      </c>
      <c r="I588" s="729">
        <f t="shared" ref="I588:I651" si="48">LN(D588)</f>
        <v>-2.8678989020441059</v>
      </c>
      <c r="J588" s="40"/>
    </row>
    <row r="589" spans="1:10">
      <c r="A589" s="729">
        <v>578</v>
      </c>
      <c r="B589" s="729">
        <v>70</v>
      </c>
      <c r="C589" s="327">
        <v>1.82</v>
      </c>
      <c r="D589" s="729">
        <v>5.6818181818181816E-2</v>
      </c>
      <c r="E589" s="729">
        <f t="shared" ref="E589:E652" si="49">(A589-0.5)/697</f>
        <v>0.82855093256814916</v>
      </c>
      <c r="F589" s="729">
        <f t="shared" si="45"/>
        <v>0.94845448184602954</v>
      </c>
      <c r="G589" s="729">
        <f t="shared" si="46"/>
        <v>4.2484952420493594</v>
      </c>
      <c r="H589" s="729">
        <f t="shared" si="47"/>
        <v>0.59883650108870401</v>
      </c>
      <c r="I589" s="729">
        <f t="shared" si="48"/>
        <v>-2.8678989020441059</v>
      </c>
      <c r="J589" s="40"/>
    </row>
    <row r="590" spans="1:10">
      <c r="A590" s="729">
        <v>579</v>
      </c>
      <c r="B590" s="729">
        <v>70</v>
      </c>
      <c r="C590" s="729">
        <v>1.83</v>
      </c>
      <c r="D590" s="729">
        <v>5.6818181818181816E-2</v>
      </c>
      <c r="E590" s="729">
        <f t="shared" si="49"/>
        <v>0.82998565279770442</v>
      </c>
      <c r="F590" s="729">
        <f t="shared" si="45"/>
        <v>0.95410855836795683</v>
      </c>
      <c r="G590" s="729">
        <f t="shared" si="46"/>
        <v>4.2484952420493594</v>
      </c>
      <c r="H590" s="729">
        <f t="shared" si="47"/>
        <v>0.60431596685332956</v>
      </c>
      <c r="I590" s="729">
        <f t="shared" si="48"/>
        <v>-2.8678989020441059</v>
      </c>
      <c r="J590" s="40"/>
    </row>
    <row r="591" spans="1:10">
      <c r="A591" s="729">
        <v>580</v>
      </c>
      <c r="B591" s="729">
        <v>70</v>
      </c>
      <c r="C591" s="729">
        <v>1.9</v>
      </c>
      <c r="D591" s="729">
        <v>5.6818181818181816E-2</v>
      </c>
      <c r="E591" s="729">
        <f t="shared" si="49"/>
        <v>0.83142037302725968</v>
      </c>
      <c r="F591" s="729">
        <f t="shared" si="45"/>
        <v>0.95979330214578895</v>
      </c>
      <c r="G591" s="729">
        <f t="shared" si="46"/>
        <v>4.2484952420493594</v>
      </c>
      <c r="H591" s="729">
        <f t="shared" si="47"/>
        <v>0.64185388617239469</v>
      </c>
      <c r="I591" s="729">
        <f t="shared" si="48"/>
        <v>-2.8678989020441059</v>
      </c>
      <c r="J591" s="40"/>
    </row>
    <row r="592" spans="1:10">
      <c r="A592" s="729">
        <v>581</v>
      </c>
      <c r="B592" s="729">
        <v>70</v>
      </c>
      <c r="C592" s="729">
        <v>1.9</v>
      </c>
      <c r="D592" s="729">
        <v>5.6818181818181816E-2</v>
      </c>
      <c r="E592" s="729">
        <f t="shared" si="49"/>
        <v>0.83285509325681495</v>
      </c>
      <c r="F592" s="729">
        <f t="shared" si="45"/>
        <v>0.96550923339883943</v>
      </c>
      <c r="G592" s="729">
        <f t="shared" si="46"/>
        <v>4.2484952420493594</v>
      </c>
      <c r="H592" s="729">
        <f t="shared" si="47"/>
        <v>0.64185388617239469</v>
      </c>
      <c r="I592" s="729">
        <f t="shared" si="48"/>
        <v>-2.8678989020441059</v>
      </c>
      <c r="J592" s="40"/>
    </row>
    <row r="593" spans="1:10">
      <c r="A593" s="729">
        <v>582</v>
      </c>
      <c r="B593" s="729">
        <v>73</v>
      </c>
      <c r="C593" s="729">
        <v>2</v>
      </c>
      <c r="D593" s="729">
        <v>5.6818181818181816E-2</v>
      </c>
      <c r="E593" s="729">
        <f t="shared" si="49"/>
        <v>0.83428981348637021</v>
      </c>
      <c r="F593" s="729">
        <f t="shared" si="45"/>
        <v>0.97125688504362617</v>
      </c>
      <c r="G593" s="729">
        <f t="shared" si="46"/>
        <v>4.290459441148391</v>
      </c>
      <c r="H593" s="729">
        <f t="shared" si="47"/>
        <v>0.69314718055994529</v>
      </c>
      <c r="I593" s="729">
        <f t="shared" si="48"/>
        <v>-2.8678989020441059</v>
      </c>
      <c r="J593" s="40"/>
    </row>
    <row r="594" spans="1:10">
      <c r="A594" s="729">
        <v>583</v>
      </c>
      <c r="B594" s="729">
        <v>73</v>
      </c>
      <c r="C594" s="729">
        <v>2</v>
      </c>
      <c r="D594" s="729">
        <v>5.6818181818181816E-2</v>
      </c>
      <c r="E594" s="729">
        <f t="shared" si="49"/>
        <v>0.83572453371592537</v>
      </c>
      <c r="F594" s="729">
        <f t="shared" si="45"/>
        <v>0.97703680312256092</v>
      </c>
      <c r="G594" s="729">
        <f t="shared" si="46"/>
        <v>4.290459441148391</v>
      </c>
      <c r="H594" s="729">
        <f t="shared" si="47"/>
        <v>0.69314718055994529</v>
      </c>
      <c r="I594" s="729">
        <f t="shared" si="48"/>
        <v>-2.8678989020441059</v>
      </c>
      <c r="J594" s="40"/>
    </row>
    <row r="595" spans="1:10">
      <c r="A595" s="729">
        <v>584</v>
      </c>
      <c r="B595" s="729">
        <v>75</v>
      </c>
      <c r="C595" s="729">
        <v>2</v>
      </c>
      <c r="D595" s="729">
        <v>5.6818181818181816E-2</v>
      </c>
      <c r="E595" s="729">
        <f t="shared" si="49"/>
        <v>0.83715925394548063</v>
      </c>
      <c r="F595" s="729">
        <f t="shared" si="45"/>
        <v>0.98284954725105422</v>
      </c>
      <c r="G595" s="729">
        <f t="shared" si="46"/>
        <v>4.3174881135363101</v>
      </c>
      <c r="H595" s="729">
        <f t="shared" si="47"/>
        <v>0.69314718055994529</v>
      </c>
      <c r="I595" s="729">
        <f t="shared" si="48"/>
        <v>-2.8678989020441059</v>
      </c>
      <c r="J595" s="40"/>
    </row>
    <row r="596" spans="1:10">
      <c r="A596" s="729">
        <v>585</v>
      </c>
      <c r="B596" s="729">
        <v>75</v>
      </c>
      <c r="C596" s="729">
        <v>2</v>
      </c>
      <c r="D596" s="729">
        <v>5.6818181818181816E-2</v>
      </c>
      <c r="E596" s="729">
        <f t="shared" si="49"/>
        <v>0.83859397417503589</v>
      </c>
      <c r="F596" s="729">
        <f t="shared" si="45"/>
        <v>0.98869569108384014</v>
      </c>
      <c r="G596" s="729">
        <f t="shared" si="46"/>
        <v>4.3174881135363101</v>
      </c>
      <c r="H596" s="729">
        <f t="shared" si="47"/>
        <v>0.69314718055994529</v>
      </c>
      <c r="I596" s="729">
        <f t="shared" si="48"/>
        <v>-2.8678989020441059</v>
      </c>
      <c r="J596" s="40"/>
    </row>
    <row r="597" spans="1:10">
      <c r="A597" s="729">
        <v>586</v>
      </c>
      <c r="B597" s="729">
        <v>75</v>
      </c>
      <c r="C597" s="729">
        <v>2</v>
      </c>
      <c r="D597" s="729">
        <v>5.6818181818181816E-2</v>
      </c>
      <c r="E597" s="729">
        <f t="shared" si="49"/>
        <v>0.84002869440459116</v>
      </c>
      <c r="F597" s="729">
        <f t="shared" si="45"/>
        <v>0.99457582280166568</v>
      </c>
      <c r="G597" s="729">
        <f t="shared" si="46"/>
        <v>4.3174881135363101</v>
      </c>
      <c r="H597" s="729">
        <f t="shared" si="47"/>
        <v>0.69314718055994529</v>
      </c>
      <c r="I597" s="729">
        <f t="shared" si="48"/>
        <v>-2.8678989020441059</v>
      </c>
      <c r="J597" s="40"/>
    </row>
    <row r="598" spans="1:10">
      <c r="A598" s="729">
        <v>587</v>
      </c>
      <c r="B598" s="729">
        <v>75</v>
      </c>
      <c r="C598" s="729">
        <v>2</v>
      </c>
      <c r="D598" s="729">
        <v>5.6818181818181816E-2</v>
      </c>
      <c r="E598" s="729">
        <f t="shared" si="49"/>
        <v>0.84146341463414631</v>
      </c>
      <c r="F598" s="729">
        <f t="shared" si="45"/>
        <v>1.0004905456193149</v>
      </c>
      <c r="G598" s="729">
        <f t="shared" si="46"/>
        <v>4.3174881135363101</v>
      </c>
      <c r="H598" s="729">
        <f t="shared" si="47"/>
        <v>0.69314718055994529</v>
      </c>
      <c r="I598" s="729">
        <f t="shared" si="48"/>
        <v>-2.8678989020441059</v>
      </c>
      <c r="J598" s="40"/>
    </row>
    <row r="599" spans="1:10">
      <c r="A599" s="729">
        <v>588</v>
      </c>
      <c r="B599" s="729">
        <v>75</v>
      </c>
      <c r="C599" s="729">
        <v>2</v>
      </c>
      <c r="D599" s="729">
        <v>5.6818181818181816E-2</v>
      </c>
      <c r="E599" s="729">
        <f t="shared" si="49"/>
        <v>0.84289813486370158</v>
      </c>
      <c r="F599" s="729">
        <f t="shared" si="45"/>
        <v>1.0064404783161693</v>
      </c>
      <c r="G599" s="729">
        <f t="shared" si="46"/>
        <v>4.3174881135363101</v>
      </c>
      <c r="H599" s="729">
        <f t="shared" si="47"/>
        <v>0.69314718055994529</v>
      </c>
      <c r="I599" s="729">
        <f t="shared" si="48"/>
        <v>-2.8678989020441059</v>
      </c>
      <c r="J599" s="40"/>
    </row>
    <row r="600" spans="1:10">
      <c r="A600" s="729">
        <v>589</v>
      </c>
      <c r="B600" s="729">
        <v>75</v>
      </c>
      <c r="C600" s="729">
        <v>2</v>
      </c>
      <c r="D600" s="729">
        <v>5.6818181818181816E-2</v>
      </c>
      <c r="E600" s="729">
        <f t="shared" si="49"/>
        <v>0.84433285509325684</v>
      </c>
      <c r="F600" s="729">
        <f t="shared" si="45"/>
        <v>1.0124262557905093</v>
      </c>
      <c r="G600" s="729">
        <f t="shared" si="46"/>
        <v>4.3174881135363101</v>
      </c>
      <c r="H600" s="729">
        <f t="shared" si="47"/>
        <v>0.69314718055994529</v>
      </c>
      <c r="I600" s="729">
        <f t="shared" si="48"/>
        <v>-2.8678989020441059</v>
      </c>
      <c r="J600" s="40"/>
    </row>
    <row r="601" spans="1:10">
      <c r="A601" s="729">
        <v>590</v>
      </c>
      <c r="B601" s="729">
        <v>75</v>
      </c>
      <c r="C601" s="729">
        <v>2</v>
      </c>
      <c r="D601" s="32">
        <v>5.6818181818181816E-2</v>
      </c>
      <c r="E601" s="729">
        <f t="shared" si="49"/>
        <v>0.8457675753228121</v>
      </c>
      <c r="F601" s="729">
        <f t="shared" si="45"/>
        <v>1.0184485296388317</v>
      </c>
      <c r="G601" s="729">
        <f t="shared" si="46"/>
        <v>4.3174881135363101</v>
      </c>
      <c r="H601" s="729">
        <f t="shared" si="47"/>
        <v>0.69314718055994529</v>
      </c>
      <c r="I601" s="729">
        <f t="shared" si="48"/>
        <v>-2.8678989020441059</v>
      </c>
      <c r="J601" s="40"/>
    </row>
    <row r="602" spans="1:10">
      <c r="A602" s="729">
        <v>591</v>
      </c>
      <c r="B602" s="729">
        <v>75</v>
      </c>
      <c r="C602" s="729">
        <v>2</v>
      </c>
      <c r="D602" s="729">
        <v>5.7386363636363638E-2</v>
      </c>
      <c r="E602" s="729">
        <f t="shared" si="49"/>
        <v>0.84720229555236726</v>
      </c>
      <c r="F602" s="729">
        <f t="shared" si="45"/>
        <v>1.0245079687615979</v>
      </c>
      <c r="G602" s="729">
        <f t="shared" si="46"/>
        <v>4.3174881135363101</v>
      </c>
      <c r="H602" s="729">
        <f t="shared" si="47"/>
        <v>0.69314718055994529</v>
      </c>
      <c r="I602" s="729">
        <f t="shared" si="48"/>
        <v>-2.857948571190938</v>
      </c>
      <c r="J602" s="40"/>
    </row>
    <row r="603" spans="1:10">
      <c r="A603" s="729">
        <v>592</v>
      </c>
      <c r="B603" s="729">
        <v>75</v>
      </c>
      <c r="C603" s="729">
        <v>2</v>
      </c>
      <c r="D603" s="729">
        <v>5.7954545454545453E-2</v>
      </c>
      <c r="E603" s="729">
        <f t="shared" si="49"/>
        <v>0.84863701578192252</v>
      </c>
      <c r="F603" s="729">
        <f t="shared" si="45"/>
        <v>1.0306052599968247</v>
      </c>
      <c r="G603" s="729">
        <f t="shared" si="46"/>
        <v>4.3174881135363101</v>
      </c>
      <c r="H603" s="729">
        <f t="shared" si="47"/>
        <v>0.69314718055994529</v>
      </c>
      <c r="I603" s="729">
        <f t="shared" si="48"/>
        <v>-2.8480962747479266</v>
      </c>
      <c r="J603" s="40"/>
    </row>
    <row r="604" spans="1:10">
      <c r="A604" s="729">
        <v>593</v>
      </c>
      <c r="B604" s="729">
        <v>75</v>
      </c>
      <c r="C604" s="729">
        <v>2</v>
      </c>
      <c r="D604" s="841">
        <v>5.9659090909090912E-2</v>
      </c>
      <c r="E604" s="729">
        <f t="shared" si="49"/>
        <v>0.85007173601147779</v>
      </c>
      <c r="F604" s="729">
        <f t="shared" si="45"/>
        <v>1.0367411087831122</v>
      </c>
      <c r="G604" s="729">
        <f t="shared" si="46"/>
        <v>4.3174881135363101</v>
      </c>
      <c r="H604" s="729">
        <f t="shared" si="47"/>
        <v>0.69314718055994529</v>
      </c>
      <c r="I604" s="729">
        <f t="shared" si="48"/>
        <v>-2.8191087378746742</v>
      </c>
      <c r="J604" s="40"/>
    </row>
    <row r="605" spans="1:10">
      <c r="A605" s="729">
        <v>594</v>
      </c>
      <c r="B605" s="729">
        <v>75</v>
      </c>
      <c r="C605" s="729">
        <v>2</v>
      </c>
      <c r="D605" s="729">
        <v>6.2215909090909099E-2</v>
      </c>
      <c r="E605" s="729">
        <f t="shared" si="49"/>
        <v>0.85150645624103305</v>
      </c>
      <c r="F605" s="729">
        <f t="shared" si="45"/>
        <v>1.0429162398538068</v>
      </c>
      <c r="G605" s="729">
        <f t="shared" si="46"/>
        <v>4.3174881135363101</v>
      </c>
      <c r="H605" s="729">
        <f t="shared" si="47"/>
        <v>0.69314718055994529</v>
      </c>
      <c r="I605" s="729">
        <f t="shared" si="48"/>
        <v>-2.7771445387756417</v>
      </c>
      <c r="J605" s="40"/>
    </row>
    <row r="606" spans="1:10">
      <c r="A606" s="729">
        <v>595</v>
      </c>
      <c r="B606" s="729">
        <v>75</v>
      </c>
      <c r="C606" s="729">
        <v>2</v>
      </c>
      <c r="D606" s="729">
        <v>6.363636363636363E-2</v>
      </c>
      <c r="E606" s="729">
        <f t="shared" si="49"/>
        <v>0.8529411764705882</v>
      </c>
      <c r="F606" s="729">
        <f t="shared" si="45"/>
        <v>1.0491313979639725</v>
      </c>
      <c r="G606" s="729">
        <f t="shared" si="46"/>
        <v>4.3174881135363101</v>
      </c>
      <c r="H606" s="729">
        <f t="shared" si="47"/>
        <v>0.69314718055994529</v>
      </c>
      <c r="I606" s="729">
        <f t="shared" si="48"/>
        <v>-2.7545702167371031</v>
      </c>
      <c r="J606" s="40"/>
    </row>
    <row r="607" spans="1:10">
      <c r="A607" s="729">
        <v>596</v>
      </c>
      <c r="B607" s="729">
        <v>75</v>
      </c>
      <c r="C607" s="729">
        <v>2</v>
      </c>
      <c r="D607" s="729">
        <v>6.3636363636363644E-2</v>
      </c>
      <c r="E607" s="729">
        <f t="shared" si="49"/>
        <v>0.85437589670014347</v>
      </c>
      <c r="F607" s="729">
        <f t="shared" si="45"/>
        <v>1.055387348652183</v>
      </c>
      <c r="G607" s="729">
        <f t="shared" si="46"/>
        <v>4.3174881135363101</v>
      </c>
      <c r="H607" s="729">
        <f t="shared" si="47"/>
        <v>0.69314718055994529</v>
      </c>
      <c r="I607" s="729">
        <f t="shared" si="48"/>
        <v>-2.7545702167371027</v>
      </c>
      <c r="J607" s="40"/>
    </row>
    <row r="608" spans="1:10">
      <c r="A608" s="729">
        <v>597</v>
      </c>
      <c r="B608" s="729">
        <v>75</v>
      </c>
      <c r="C608" s="729">
        <v>2</v>
      </c>
      <c r="D608" s="729">
        <v>6.3920454545454544E-2</v>
      </c>
      <c r="E608" s="729">
        <f t="shared" si="49"/>
        <v>0.85581061692969873</v>
      </c>
      <c r="F608" s="729">
        <f t="shared" si="45"/>
        <v>1.0616848790390976</v>
      </c>
      <c r="G608" s="729">
        <f t="shared" si="46"/>
        <v>4.3174881135363101</v>
      </c>
      <c r="H608" s="729">
        <f t="shared" si="47"/>
        <v>0.69314718055994529</v>
      </c>
      <c r="I608" s="729">
        <f t="shared" si="48"/>
        <v>-2.7501158663877225</v>
      </c>
      <c r="J608" s="40"/>
    </row>
    <row r="609" spans="1:10">
      <c r="A609" s="729">
        <v>598</v>
      </c>
      <c r="B609" s="729">
        <v>75</v>
      </c>
      <c r="C609" s="729">
        <v>2</v>
      </c>
      <c r="D609" s="729">
        <v>6.3920454545454544E-2</v>
      </c>
      <c r="E609" s="729">
        <f t="shared" si="49"/>
        <v>0.857245337159254</v>
      </c>
      <c r="F609" s="729">
        <f t="shared" si="45"/>
        <v>1.0680247986649787</v>
      </c>
      <c r="G609" s="729">
        <f t="shared" si="46"/>
        <v>4.3174881135363101</v>
      </c>
      <c r="H609" s="729">
        <f t="shared" si="47"/>
        <v>0.69314718055994529</v>
      </c>
      <c r="I609" s="729">
        <f t="shared" si="48"/>
        <v>-2.7501158663877225</v>
      </c>
      <c r="J609" s="40"/>
    </row>
    <row r="610" spans="1:10">
      <c r="A610" s="729">
        <v>599</v>
      </c>
      <c r="B610" s="729">
        <v>75</v>
      </c>
      <c r="C610" s="729">
        <v>2</v>
      </c>
      <c r="D610" s="729">
        <v>6.477272727272726E-2</v>
      </c>
      <c r="E610" s="729">
        <f t="shared" si="49"/>
        <v>0.85868005738880915</v>
      </c>
      <c r="F610" s="729">
        <f t="shared" si="45"/>
        <v>1.0744079403685023</v>
      </c>
      <c r="G610" s="729">
        <f t="shared" si="46"/>
        <v>4.3174881135363101</v>
      </c>
      <c r="H610" s="729">
        <f t="shared" si="47"/>
        <v>0.69314718055994529</v>
      </c>
      <c r="I610" s="729">
        <f t="shared" si="48"/>
        <v>-2.7368706396377021</v>
      </c>
      <c r="J610" s="40"/>
    </row>
    <row r="611" spans="1:10">
      <c r="A611" s="729">
        <v>600</v>
      </c>
      <c r="B611" s="729">
        <v>77</v>
      </c>
      <c r="C611" s="729">
        <v>2</v>
      </c>
      <c r="D611" s="32">
        <v>6.5624999999999989E-2</v>
      </c>
      <c r="E611" s="729">
        <f t="shared" si="49"/>
        <v>0.86011477761836441</v>
      </c>
      <c r="F611" s="729">
        <f t="shared" si="45"/>
        <v>1.0808351612093157</v>
      </c>
      <c r="G611" s="729">
        <f t="shared" si="46"/>
        <v>4.3438054218536841</v>
      </c>
      <c r="H611" s="729">
        <f t="shared" si="47"/>
        <v>0.69314718055994529</v>
      </c>
      <c r="I611" s="729">
        <f t="shared" si="48"/>
        <v>-2.7237985580703494</v>
      </c>
      <c r="J611" s="40"/>
    </row>
    <row r="612" spans="1:10">
      <c r="A612" s="729">
        <v>601</v>
      </c>
      <c r="B612" s="729">
        <v>80</v>
      </c>
      <c r="C612" s="729">
        <v>2</v>
      </c>
      <c r="D612" s="729">
        <v>6.7500000000000004E-2</v>
      </c>
      <c r="E612" s="729">
        <f t="shared" si="49"/>
        <v>0.86154949784791968</v>
      </c>
      <c r="F612" s="729">
        <f t="shared" si="45"/>
        <v>1.0873073434369978</v>
      </c>
      <c r="G612" s="729">
        <f t="shared" si="46"/>
        <v>4.3820266346738812</v>
      </c>
      <c r="H612" s="729">
        <f t="shared" si="47"/>
        <v>0.69314718055994529</v>
      </c>
      <c r="I612" s="729">
        <f t="shared" si="48"/>
        <v>-2.695627681103653</v>
      </c>
      <c r="J612" s="40"/>
    </row>
    <row r="613" spans="1:10">
      <c r="A613" s="729">
        <v>602</v>
      </c>
      <c r="B613" s="729">
        <v>80</v>
      </c>
      <c r="C613" s="729">
        <v>2</v>
      </c>
      <c r="D613" s="729">
        <v>6.8181818181818177E-2</v>
      </c>
      <c r="E613" s="729">
        <f t="shared" si="49"/>
        <v>0.86298421807747494</v>
      </c>
      <c r="F613" s="729">
        <f t="shared" si="45"/>
        <v>1.0938253955092736</v>
      </c>
      <c r="G613" s="729">
        <f t="shared" si="46"/>
        <v>4.3820266346738812</v>
      </c>
      <c r="H613" s="729">
        <f t="shared" si="47"/>
        <v>0.69314718055994529</v>
      </c>
      <c r="I613" s="729">
        <f t="shared" si="48"/>
        <v>-2.6855773452501515</v>
      </c>
      <c r="J613" s="40"/>
    </row>
    <row r="614" spans="1:10">
      <c r="A614" s="729">
        <v>603</v>
      </c>
      <c r="B614" s="729">
        <v>80</v>
      </c>
      <c r="C614" s="729">
        <v>2</v>
      </c>
      <c r="D614" s="729">
        <v>7.1590909090909094E-2</v>
      </c>
      <c r="E614" s="729">
        <f t="shared" si="49"/>
        <v>0.86441893830703009</v>
      </c>
      <c r="F614" s="729">
        <f t="shared" si="45"/>
        <v>1.1003902531625298</v>
      </c>
      <c r="G614" s="729">
        <f t="shared" si="46"/>
        <v>4.3820266346738812</v>
      </c>
      <c r="H614" s="729">
        <f t="shared" si="47"/>
        <v>0.69314718055994529</v>
      </c>
      <c r="I614" s="729">
        <f t="shared" si="48"/>
        <v>-2.6367871810807193</v>
      </c>
      <c r="J614" s="40"/>
    </row>
    <row r="615" spans="1:10">
      <c r="A615" s="729">
        <v>604</v>
      </c>
      <c r="B615" s="729">
        <v>80</v>
      </c>
      <c r="C615" s="729">
        <v>2</v>
      </c>
      <c r="D615" s="729">
        <v>7.2585227272727273E-2</v>
      </c>
      <c r="E615" s="729">
        <f t="shared" si="49"/>
        <v>0.86585365853658536</v>
      </c>
      <c r="F615" s="729">
        <f t="shared" si="45"/>
        <v>1.107002880537908</v>
      </c>
      <c r="G615" s="729">
        <f t="shared" si="46"/>
        <v>4.3820266346738812</v>
      </c>
      <c r="H615" s="729">
        <f t="shared" si="47"/>
        <v>0.69314718055994529</v>
      </c>
      <c r="I615" s="729">
        <f t="shared" si="48"/>
        <v>-2.6229938589483837</v>
      </c>
      <c r="J615" s="40"/>
    </row>
    <row r="616" spans="1:10">
      <c r="A616" s="729">
        <v>605</v>
      </c>
      <c r="B616" s="729">
        <v>80</v>
      </c>
      <c r="C616" s="729">
        <v>2</v>
      </c>
      <c r="D616" s="32">
        <v>7.6136363636363641E-2</v>
      </c>
      <c r="E616" s="729">
        <f t="shared" si="49"/>
        <v>0.86728837876614062</v>
      </c>
      <c r="F616" s="729">
        <f t="shared" si="45"/>
        <v>1.1136642713664795</v>
      </c>
      <c r="G616" s="729">
        <f t="shared" si="46"/>
        <v>4.3820266346738812</v>
      </c>
      <c r="H616" s="729">
        <f t="shared" si="47"/>
        <v>0.69314718055994529</v>
      </c>
      <c r="I616" s="729">
        <f t="shared" si="48"/>
        <v>-2.5752292880812861</v>
      </c>
      <c r="J616" s="40"/>
    </row>
    <row r="617" spans="1:10">
      <c r="A617" s="729">
        <v>606</v>
      </c>
      <c r="B617" s="729">
        <v>80</v>
      </c>
      <c r="C617" s="729">
        <v>2</v>
      </c>
      <c r="D617" s="729">
        <v>7.6704545454545442E-2</v>
      </c>
      <c r="E617" s="729">
        <f t="shared" si="49"/>
        <v>0.86872309899569589</v>
      </c>
      <c r="F617" s="729">
        <f t="shared" si="45"/>
        <v>1.1203754502173011</v>
      </c>
      <c r="G617" s="729">
        <f t="shared" si="46"/>
        <v>4.3820266346738812</v>
      </c>
      <c r="H617" s="729">
        <f t="shared" si="47"/>
        <v>0.69314718055994529</v>
      </c>
      <c r="I617" s="729">
        <f t="shared" si="48"/>
        <v>-2.5677943095937681</v>
      </c>
      <c r="J617" s="40"/>
    </row>
    <row r="618" spans="1:10">
      <c r="A618" s="729">
        <v>607</v>
      </c>
      <c r="B618" s="729">
        <v>80</v>
      </c>
      <c r="C618" s="729">
        <v>2</v>
      </c>
      <c r="D618" s="729">
        <v>7.6704545454545456E-2</v>
      </c>
      <c r="E618" s="729">
        <f t="shared" si="49"/>
        <v>0.87015781922525104</v>
      </c>
      <c r="F618" s="729">
        <f t="shared" si="45"/>
        <v>1.1271374738124025</v>
      </c>
      <c r="G618" s="729">
        <f t="shared" si="46"/>
        <v>4.3820266346738812</v>
      </c>
      <c r="H618" s="729">
        <f t="shared" si="47"/>
        <v>0.69314718055994529</v>
      </c>
      <c r="I618" s="729">
        <f t="shared" si="48"/>
        <v>-2.5677943095937681</v>
      </c>
      <c r="J618" s="40"/>
    </row>
    <row r="619" spans="1:10">
      <c r="A619" s="729">
        <v>608</v>
      </c>
      <c r="B619" s="729">
        <v>90</v>
      </c>
      <c r="C619" s="729">
        <v>2</v>
      </c>
      <c r="D619" s="729">
        <v>7.6704545454545456E-2</v>
      </c>
      <c r="E619" s="729">
        <f t="shared" si="49"/>
        <v>0.8715925394548063</v>
      </c>
      <c r="F619" s="729">
        <f t="shared" si="45"/>
        <v>1.1339514324130875</v>
      </c>
      <c r="G619" s="729">
        <f t="shared" si="46"/>
        <v>4.499809670330265</v>
      </c>
      <c r="H619" s="729">
        <f t="shared" si="47"/>
        <v>0.69314718055994529</v>
      </c>
      <c r="I619" s="729">
        <f t="shared" si="48"/>
        <v>-2.5677943095937681</v>
      </c>
      <c r="J619" s="40"/>
    </row>
    <row r="620" spans="1:10">
      <c r="A620" s="729">
        <v>609</v>
      </c>
      <c r="B620" s="729">
        <v>90</v>
      </c>
      <c r="C620" s="729">
        <v>2</v>
      </c>
      <c r="D620" s="729">
        <v>7.6704545454545456E-2</v>
      </c>
      <c r="E620" s="729">
        <f t="shared" si="49"/>
        <v>0.87302725968436157</v>
      </c>
      <c r="F620" s="729">
        <f t="shared" si="45"/>
        <v>1.1408184512822599</v>
      </c>
      <c r="G620" s="729">
        <f t="shared" si="46"/>
        <v>4.499809670330265</v>
      </c>
      <c r="H620" s="729">
        <f t="shared" si="47"/>
        <v>0.69314718055994529</v>
      </c>
      <c r="I620" s="729">
        <f t="shared" si="48"/>
        <v>-2.5677943095937681</v>
      </c>
      <c r="J620" s="40"/>
    </row>
    <row r="621" spans="1:10">
      <c r="A621" s="729">
        <v>610</v>
      </c>
      <c r="B621" s="729">
        <v>90</v>
      </c>
      <c r="C621" s="729">
        <v>2</v>
      </c>
      <c r="D621" s="729">
        <v>8.4374999999999992E-2</v>
      </c>
      <c r="E621" s="729">
        <f t="shared" si="49"/>
        <v>0.87446197991391683</v>
      </c>
      <c r="F621" s="729">
        <f t="shared" si="45"/>
        <v>1.1477396922278678</v>
      </c>
      <c r="G621" s="729">
        <f t="shared" si="46"/>
        <v>4.499809670330265</v>
      </c>
      <c r="H621" s="729">
        <f t="shared" si="47"/>
        <v>0.69314718055994529</v>
      </c>
      <c r="I621" s="729">
        <f t="shared" si="48"/>
        <v>-2.4724841297894433</v>
      </c>
      <c r="J621" s="40"/>
    </row>
    <row r="622" spans="1:10">
      <c r="A622" s="729">
        <v>611</v>
      </c>
      <c r="B622" s="729">
        <v>90</v>
      </c>
      <c r="C622" s="729">
        <v>2</v>
      </c>
      <c r="D622" s="729">
        <v>8.5227272727272721E-2</v>
      </c>
      <c r="E622" s="729">
        <f t="shared" si="49"/>
        <v>0.87589670014347198</v>
      </c>
      <c r="F622" s="729">
        <f t="shared" si="45"/>
        <v>1.1547163552329422</v>
      </c>
      <c r="G622" s="729">
        <f t="shared" si="46"/>
        <v>4.499809670330265</v>
      </c>
      <c r="H622" s="729">
        <f t="shared" si="47"/>
        <v>0.69314718055994529</v>
      </c>
      <c r="I622" s="729">
        <f t="shared" si="48"/>
        <v>-2.4624337939359418</v>
      </c>
      <c r="J622" s="40"/>
    </row>
    <row r="623" spans="1:10">
      <c r="A623" s="729">
        <v>612</v>
      </c>
      <c r="B623" s="729">
        <v>100</v>
      </c>
      <c r="C623" s="729">
        <v>2</v>
      </c>
      <c r="D623" s="729">
        <v>8.5227272727272721E-2</v>
      </c>
      <c r="E623" s="729">
        <f t="shared" si="49"/>
        <v>0.87733142037302725</v>
      </c>
      <c r="F623" s="729">
        <f t="shared" si="45"/>
        <v>1.1617496801781668</v>
      </c>
      <c r="G623" s="729">
        <f t="shared" si="46"/>
        <v>4.6051701859880918</v>
      </c>
      <c r="H623" s="729">
        <f t="shared" si="47"/>
        <v>0.69314718055994529</v>
      </c>
      <c r="I623" s="729">
        <f t="shared" si="48"/>
        <v>-2.4624337939359418</v>
      </c>
      <c r="J623" s="40"/>
    </row>
    <row r="624" spans="1:10">
      <c r="A624" s="729">
        <v>613</v>
      </c>
      <c r="B624" s="729">
        <v>100</v>
      </c>
      <c r="C624" s="729">
        <v>2</v>
      </c>
      <c r="D624" s="729">
        <v>8.5227272727272721E-2</v>
      </c>
      <c r="E624" s="729">
        <f t="shared" si="49"/>
        <v>0.87876614060258251</v>
      </c>
      <c r="F624" s="729">
        <f t="shared" si="45"/>
        <v>1.1688409486633706</v>
      </c>
      <c r="G624" s="729">
        <f t="shared" si="46"/>
        <v>4.6051701859880918</v>
      </c>
      <c r="H624" s="729">
        <f t="shared" si="47"/>
        <v>0.69314718055994529</v>
      </c>
      <c r="I624" s="729">
        <f t="shared" si="48"/>
        <v>-2.4624337939359418</v>
      </c>
      <c r="J624" s="40"/>
    </row>
    <row r="625" spans="1:12">
      <c r="A625" s="729">
        <v>614</v>
      </c>
      <c r="B625" s="729">
        <v>100</v>
      </c>
      <c r="C625" s="729">
        <v>2</v>
      </c>
      <c r="D625" s="729">
        <v>8.5227272727272721E-2</v>
      </c>
      <c r="E625" s="729">
        <f t="shared" si="49"/>
        <v>0.88020086083213778</v>
      </c>
      <c r="F625" s="729">
        <f t="shared" si="45"/>
        <v>1.1759914859348921</v>
      </c>
      <c r="G625" s="729">
        <f t="shared" si="46"/>
        <v>4.6051701859880918</v>
      </c>
      <c r="H625" s="729">
        <f t="shared" si="47"/>
        <v>0.69314718055994529</v>
      </c>
      <c r="I625" s="729">
        <f t="shared" si="48"/>
        <v>-2.4624337939359418</v>
      </c>
      <c r="J625" s="40"/>
    </row>
    <row r="626" spans="1:12">
      <c r="A626" s="729">
        <v>615</v>
      </c>
      <c r="B626" s="729">
        <v>100</v>
      </c>
      <c r="C626" s="729">
        <v>2</v>
      </c>
      <c r="D626" s="729">
        <v>8.5227272727272721E-2</v>
      </c>
      <c r="E626" s="729">
        <f t="shared" si="49"/>
        <v>0.88163558106169293</v>
      </c>
      <c r="F626" s="729">
        <f t="shared" si="45"/>
        <v>1.1832026629263124</v>
      </c>
      <c r="G626" s="729">
        <f t="shared" si="46"/>
        <v>4.6051701859880918</v>
      </c>
      <c r="H626" s="729">
        <f t="shared" si="47"/>
        <v>0.69314718055994529</v>
      </c>
      <c r="I626" s="729">
        <f t="shared" si="48"/>
        <v>-2.4624337939359418</v>
      </c>
      <c r="J626" s="40"/>
      <c r="L626" s="40"/>
    </row>
    <row r="627" spans="1:12">
      <c r="A627" s="729">
        <v>616</v>
      </c>
      <c r="B627" s="729">
        <v>100</v>
      </c>
      <c r="C627" s="729">
        <v>2</v>
      </c>
      <c r="D627" s="729">
        <v>8.5227272727272721E-2</v>
      </c>
      <c r="E627" s="729">
        <f t="shared" si="49"/>
        <v>0.88307030129124819</v>
      </c>
      <c r="F627" s="729">
        <f t="shared" si="45"/>
        <v>1.1904758984207013</v>
      </c>
      <c r="G627" s="729">
        <f t="shared" si="46"/>
        <v>4.6051701859880918</v>
      </c>
      <c r="H627" s="729">
        <f t="shared" si="47"/>
        <v>0.69314718055994529</v>
      </c>
      <c r="I627" s="729">
        <f t="shared" si="48"/>
        <v>-2.4624337939359418</v>
      </c>
      <c r="J627" s="40"/>
      <c r="L627" s="40"/>
    </row>
    <row r="628" spans="1:12">
      <c r="A628" s="729">
        <v>617</v>
      </c>
      <c r="B628" s="729">
        <v>100</v>
      </c>
      <c r="C628" s="729">
        <v>2.0099999999999998</v>
      </c>
      <c r="D628" s="729">
        <v>8.5227272727272721E-2</v>
      </c>
      <c r="E628" s="729">
        <f t="shared" si="49"/>
        <v>0.88450502152080346</v>
      </c>
      <c r="F628" s="729">
        <f t="shared" si="45"/>
        <v>1.1978126613431899</v>
      </c>
      <c r="G628" s="729">
        <f t="shared" si="46"/>
        <v>4.6051701859880918</v>
      </c>
      <c r="H628" s="729">
        <f t="shared" si="47"/>
        <v>0.69813472207098426</v>
      </c>
      <c r="I628" s="729">
        <f t="shared" si="48"/>
        <v>-2.4624337939359418</v>
      </c>
      <c r="J628" s="40"/>
    </row>
    <row r="629" spans="1:12">
      <c r="A629" s="729">
        <v>618</v>
      </c>
      <c r="B629" s="729">
        <v>100</v>
      </c>
      <c r="C629" s="729">
        <v>2.0499999999999998</v>
      </c>
      <c r="D629" s="729">
        <v>8.6249999999999993E-2</v>
      </c>
      <c r="E629" s="729">
        <f t="shared" si="49"/>
        <v>0.88593974175035872</v>
      </c>
      <c r="F629" s="729">
        <f t="shared" si="45"/>
        <v>1.2052144731934831</v>
      </c>
      <c r="G629" s="729">
        <f t="shared" si="46"/>
        <v>4.6051701859880918</v>
      </c>
      <c r="H629" s="729">
        <f t="shared" si="47"/>
        <v>0.71783979315031676</v>
      </c>
      <c r="I629" s="729">
        <f t="shared" si="48"/>
        <v>-2.4505052230706679</v>
      </c>
      <c r="J629" s="40"/>
    </row>
    <row r="630" spans="1:12">
      <c r="A630" s="729">
        <v>619</v>
      </c>
      <c r="B630" s="729">
        <v>100</v>
      </c>
      <c r="C630" s="729">
        <v>2.06</v>
      </c>
      <c r="D630" s="729">
        <v>8.693181818181818E-2</v>
      </c>
      <c r="E630" s="729">
        <f t="shared" si="49"/>
        <v>0.88737446197991388</v>
      </c>
      <c r="F630" s="729">
        <f t="shared" si="45"/>
        <v>1.2126829106287231</v>
      </c>
      <c r="G630" s="729">
        <f t="shared" si="46"/>
        <v>4.6051701859880918</v>
      </c>
      <c r="H630" s="729">
        <f t="shared" si="47"/>
        <v>0.72270598280148979</v>
      </c>
      <c r="I630" s="729">
        <f t="shared" si="48"/>
        <v>-2.442631166639762</v>
      </c>
      <c r="J630" s="40"/>
    </row>
    <row r="631" spans="1:12">
      <c r="A631" s="729">
        <v>620</v>
      </c>
      <c r="B631" s="729">
        <v>100</v>
      </c>
      <c r="C631" s="729">
        <v>2.1</v>
      </c>
      <c r="D631" s="729">
        <v>9.0909090909090912E-2</v>
      </c>
      <c r="E631" s="729">
        <f t="shared" si="49"/>
        <v>0.88880918220946914</v>
      </c>
      <c r="F631" s="729">
        <f t="shared" si="45"/>
        <v>1.2202196082080596</v>
      </c>
      <c r="G631" s="729">
        <f t="shared" si="46"/>
        <v>4.6051701859880918</v>
      </c>
      <c r="H631" s="729">
        <f t="shared" si="47"/>
        <v>0.74193734472937733</v>
      </c>
      <c r="I631" s="729">
        <f t="shared" si="48"/>
        <v>-2.3978952727983707</v>
      </c>
      <c r="J631" s="40"/>
    </row>
    <row r="632" spans="1:12">
      <c r="A632" s="729">
        <v>621</v>
      </c>
      <c r="B632" s="729">
        <v>100</v>
      </c>
      <c r="C632" s="729">
        <v>2.14</v>
      </c>
      <c r="D632" s="32">
        <v>9.1193181818181812E-2</v>
      </c>
      <c r="E632" s="729">
        <f t="shared" si="49"/>
        <v>0.8902439024390244</v>
      </c>
      <c r="F632" s="729">
        <f t="shared" si="45"/>
        <v>1.2278262613112725</v>
      </c>
      <c r="G632" s="729">
        <f t="shared" si="46"/>
        <v>4.6051701859880918</v>
      </c>
      <c r="H632" s="729">
        <f t="shared" si="47"/>
        <v>0.76080582903376015</v>
      </c>
      <c r="I632" s="729">
        <f t="shared" si="48"/>
        <v>-2.3947751454621269</v>
      </c>
      <c r="J632" s="40"/>
    </row>
    <row r="633" spans="1:12">
      <c r="A633" s="729">
        <v>622</v>
      </c>
      <c r="B633" s="729">
        <v>100</v>
      </c>
      <c r="C633" s="729">
        <v>2.2200000000000002</v>
      </c>
      <c r="D633" s="729">
        <v>9.3579545454545457E-2</v>
      </c>
      <c r="E633" s="729">
        <f t="shared" si="49"/>
        <v>0.89167862266857967</v>
      </c>
      <c r="F633" s="729">
        <f t="shared" si="45"/>
        <v>1.2355046292449565</v>
      </c>
      <c r="G633" s="729">
        <f t="shared" si="46"/>
        <v>4.6051701859880918</v>
      </c>
      <c r="H633" s="729">
        <f t="shared" si="47"/>
        <v>0.79750719588418817</v>
      </c>
      <c r="I633" s="729">
        <f t="shared" si="48"/>
        <v>-2.3689434508486027</v>
      </c>
      <c r="J633" s="40"/>
    </row>
    <row r="634" spans="1:12">
      <c r="A634" s="729">
        <v>623</v>
      </c>
      <c r="B634" s="729">
        <v>100</v>
      </c>
      <c r="C634" s="729">
        <v>2.2400000000000002</v>
      </c>
      <c r="D634" s="729">
        <v>9.5454545454545445E-2</v>
      </c>
      <c r="E634" s="729">
        <f t="shared" si="49"/>
        <v>0.89311334289813482</v>
      </c>
      <c r="F634" s="729">
        <f t="shared" si="45"/>
        <v>1.2432565385509617</v>
      </c>
      <c r="G634" s="729">
        <f t="shared" si="46"/>
        <v>4.6051701859880918</v>
      </c>
      <c r="H634" s="729">
        <f t="shared" si="47"/>
        <v>0.80647586586694853</v>
      </c>
      <c r="I634" s="729">
        <f t="shared" si="48"/>
        <v>-2.3491051086289385</v>
      </c>
      <c r="J634" s="40"/>
    </row>
    <row r="635" spans="1:12">
      <c r="A635" s="729">
        <v>624</v>
      </c>
      <c r="B635" s="729">
        <v>100</v>
      </c>
      <c r="C635" s="729">
        <v>2.25</v>
      </c>
      <c r="D635" s="729">
        <v>9.5624999999999988E-2</v>
      </c>
      <c r="E635" s="729">
        <f t="shared" si="49"/>
        <v>0.89454806312769009</v>
      </c>
      <c r="F635" s="729">
        <f t="shared" si="45"/>
        <v>1.2510838865332123</v>
      </c>
      <c r="G635" s="729">
        <f t="shared" si="46"/>
        <v>4.6051701859880918</v>
      </c>
      <c r="H635" s="729">
        <f t="shared" si="47"/>
        <v>0.81093021621632877</v>
      </c>
      <c r="I635" s="729">
        <f t="shared" si="48"/>
        <v>-2.3473209868354372</v>
      </c>
      <c r="J635" s="40"/>
    </row>
    <row r="636" spans="1:12">
      <c r="A636" s="729">
        <v>625</v>
      </c>
      <c r="B636" s="729">
        <v>100</v>
      </c>
      <c r="C636" s="729">
        <v>2.34</v>
      </c>
      <c r="D636" s="729">
        <v>9.9715909090909077E-2</v>
      </c>
      <c r="E636" s="729">
        <f t="shared" si="49"/>
        <v>0.89598278335724535</v>
      </c>
      <c r="F636" s="729">
        <f t="shared" si="45"/>
        <v>1.2589886450204808</v>
      </c>
      <c r="G636" s="729">
        <f t="shared" si="46"/>
        <v>4.6051701859880918</v>
      </c>
      <c r="H636" s="729">
        <f t="shared" si="47"/>
        <v>0.85015092936961001</v>
      </c>
      <c r="I636" s="729">
        <f t="shared" si="48"/>
        <v>-2.3054300451262772</v>
      </c>
      <c r="J636" s="40"/>
    </row>
    <row r="637" spans="1:12">
      <c r="A637" s="729">
        <v>626</v>
      </c>
      <c r="B637" s="729">
        <v>100</v>
      </c>
      <c r="C637" s="729">
        <v>2.34</v>
      </c>
      <c r="D637" s="729">
        <v>0.10227272727272727</v>
      </c>
      <c r="E637" s="729">
        <f t="shared" si="49"/>
        <v>0.89741750358680061</v>
      </c>
      <c r="F637" s="729">
        <f t="shared" si="45"/>
        <v>1.26697286438444</v>
      </c>
      <c r="G637" s="729">
        <f t="shared" si="46"/>
        <v>4.6051701859880918</v>
      </c>
      <c r="H637" s="729">
        <f t="shared" si="47"/>
        <v>0.85015092936961001</v>
      </c>
      <c r="I637" s="729">
        <f t="shared" si="48"/>
        <v>-2.2801122371419873</v>
      </c>
      <c r="J637" s="40"/>
    </row>
    <row r="638" spans="1:12">
      <c r="A638" s="729">
        <v>627</v>
      </c>
      <c r="B638" s="729">
        <v>100</v>
      </c>
      <c r="C638" s="729">
        <v>2.46</v>
      </c>
      <c r="D638" s="841">
        <v>0.10340909090909091</v>
      </c>
      <c r="E638" s="729">
        <f t="shared" si="49"/>
        <v>0.89885222381635577</v>
      </c>
      <c r="F638" s="729">
        <f t="shared" si="45"/>
        <v>1.2750386778341529</v>
      </c>
      <c r="G638" s="729">
        <f t="shared" si="46"/>
        <v>4.6051701859880918</v>
      </c>
      <c r="H638" s="729">
        <f t="shared" si="47"/>
        <v>0.90016134994427144</v>
      </c>
      <c r="I638" s="729">
        <f t="shared" si="48"/>
        <v>-2.2690624009554021</v>
      </c>
      <c r="J638" s="40"/>
    </row>
    <row r="639" spans="1:12">
      <c r="A639" s="729">
        <v>628</v>
      </c>
      <c r="B639" s="729">
        <v>100</v>
      </c>
      <c r="C639" s="729">
        <v>2.5</v>
      </c>
      <c r="D639" s="729">
        <v>0.106875</v>
      </c>
      <c r="E639" s="729">
        <f t="shared" si="49"/>
        <v>0.90028694404591103</v>
      </c>
      <c r="F639" s="729">
        <f t="shared" si="45"/>
        <v>1.2831883060102467</v>
      </c>
      <c r="G639" s="729">
        <f t="shared" si="46"/>
        <v>4.6051701859880918</v>
      </c>
      <c r="H639" s="729">
        <f t="shared" si="47"/>
        <v>0.91629073187415511</v>
      </c>
      <c r="I639" s="729">
        <f t="shared" si="48"/>
        <v>-2.2360953517252127</v>
      </c>
      <c r="J639" s="40"/>
    </row>
    <row r="640" spans="1:12">
      <c r="A640" s="729">
        <v>629</v>
      </c>
      <c r="B640" s="729">
        <v>100</v>
      </c>
      <c r="C640" s="729">
        <v>2.5</v>
      </c>
      <c r="D640" s="729">
        <v>0.106875</v>
      </c>
      <c r="E640" s="729">
        <f t="shared" si="49"/>
        <v>0.90172166427546629</v>
      </c>
      <c r="F640" s="729">
        <f t="shared" si="45"/>
        <v>1.2914240619043673</v>
      </c>
      <c r="G640" s="729">
        <f t="shared" si="46"/>
        <v>4.6051701859880918</v>
      </c>
      <c r="H640" s="729">
        <f t="shared" si="47"/>
        <v>0.91629073187415511</v>
      </c>
      <c r="I640" s="729">
        <f t="shared" si="48"/>
        <v>-2.2360953517252127</v>
      </c>
      <c r="J640" s="40"/>
    </row>
    <row r="641" spans="1:10">
      <c r="A641" s="729">
        <v>630</v>
      </c>
      <c r="B641" s="729">
        <v>100</v>
      </c>
      <c r="C641" s="729">
        <v>2.5</v>
      </c>
      <c r="D641" s="841">
        <v>0.10738636363636363</v>
      </c>
      <c r="E641" s="729">
        <f t="shared" si="49"/>
        <v>0.90315638450502156</v>
      </c>
      <c r="F641" s="729">
        <f t="shared" si="45"/>
        <v>1.299748356132044</v>
      </c>
      <c r="G641" s="729">
        <f t="shared" si="46"/>
        <v>4.6051701859880918</v>
      </c>
      <c r="H641" s="729">
        <f t="shared" si="47"/>
        <v>0.91629073187415511</v>
      </c>
      <c r="I641" s="729">
        <f t="shared" si="48"/>
        <v>-2.2313220729725551</v>
      </c>
      <c r="J641" s="40"/>
    </row>
    <row r="642" spans="1:10">
      <c r="A642" s="729">
        <v>631</v>
      </c>
      <c r="B642" s="729">
        <v>100</v>
      </c>
      <c r="C642" s="729">
        <v>2.5099999999999998</v>
      </c>
      <c r="D642" s="729">
        <v>0.10795454545454544</v>
      </c>
      <c r="E642" s="729">
        <f t="shared" si="49"/>
        <v>0.90459110473457671</v>
      </c>
      <c r="F642" s="729">
        <f t="shared" si="45"/>
        <v>1.3081637025900663</v>
      </c>
      <c r="G642" s="729">
        <f t="shared" si="46"/>
        <v>4.6051701859880918</v>
      </c>
      <c r="H642" s="729">
        <f t="shared" si="47"/>
        <v>0.92028275314369246</v>
      </c>
      <c r="I642" s="729">
        <f t="shared" si="48"/>
        <v>-2.2260450158717116</v>
      </c>
      <c r="J642" s="40"/>
    </row>
    <row r="643" spans="1:10">
      <c r="A643" s="729">
        <v>632</v>
      </c>
      <c r="B643" s="729">
        <v>100</v>
      </c>
      <c r="C643" s="327">
        <v>2.5499999999999998</v>
      </c>
      <c r="D643" s="729">
        <v>0.11363636363636363</v>
      </c>
      <c r="E643" s="729">
        <f t="shared" si="49"/>
        <v>0.90602582496413198</v>
      </c>
      <c r="F643" s="729">
        <f t="shared" si="45"/>
        <v>1.3166727245326566</v>
      </c>
      <c r="G643" s="729">
        <f t="shared" si="46"/>
        <v>4.6051701859880918</v>
      </c>
      <c r="H643" s="729">
        <f t="shared" si="47"/>
        <v>0.93609335917033476</v>
      </c>
      <c r="I643" s="729">
        <f t="shared" si="48"/>
        <v>-2.174751721484161</v>
      </c>
      <c r="J643" s="40"/>
    </row>
    <row r="644" spans="1:10">
      <c r="A644" s="729">
        <v>633</v>
      </c>
      <c r="B644" s="729">
        <v>100</v>
      </c>
      <c r="C644" s="729">
        <v>2.7</v>
      </c>
      <c r="D644" s="729">
        <v>0.11363636363636363</v>
      </c>
      <c r="E644" s="729">
        <f t="shared" si="49"/>
        <v>0.90746054519368724</v>
      </c>
      <c r="F644" s="729">
        <f t="shared" si="45"/>
        <v>1.3252781611043922</v>
      </c>
      <c r="G644" s="729">
        <f t="shared" si="46"/>
        <v>4.6051701859880918</v>
      </c>
      <c r="H644" s="729">
        <f t="shared" si="47"/>
        <v>0.99325177301028345</v>
      </c>
      <c r="I644" s="729">
        <f t="shared" si="48"/>
        <v>-2.174751721484161</v>
      </c>
      <c r="J644" s="40"/>
    </row>
    <row r="645" spans="1:10">
      <c r="A645" s="729">
        <v>634</v>
      </c>
      <c r="B645" s="729">
        <v>100</v>
      </c>
      <c r="C645" s="729">
        <v>2.78</v>
      </c>
      <c r="D645" s="729">
        <v>0.11363636363636363</v>
      </c>
      <c r="E645" s="729">
        <f t="shared" si="49"/>
        <v>0.9088952654232425</v>
      </c>
      <c r="F645" s="729">
        <f t="shared" si="45"/>
        <v>1.3339828743718882</v>
      </c>
      <c r="G645" s="729">
        <f t="shared" si="46"/>
        <v>4.6051701859880918</v>
      </c>
      <c r="H645" s="729">
        <f t="shared" si="47"/>
        <v>1.0224509277025455</v>
      </c>
      <c r="I645" s="729">
        <f t="shared" si="48"/>
        <v>-2.174751721484161</v>
      </c>
      <c r="J645" s="40"/>
    </row>
    <row r="646" spans="1:10">
      <c r="A646" s="729">
        <v>635</v>
      </c>
      <c r="B646" s="729">
        <v>100</v>
      </c>
      <c r="C646" s="729">
        <v>2.79</v>
      </c>
      <c r="D646" s="729">
        <v>0.11363636363636363</v>
      </c>
      <c r="E646" s="729">
        <f t="shared" si="49"/>
        <v>0.91032998565279766</v>
      </c>
      <c r="F646" s="729">
        <f t="shared" si="45"/>
        <v>1.3427898569009062</v>
      </c>
      <c r="G646" s="729">
        <f t="shared" si="46"/>
        <v>4.6051701859880918</v>
      </c>
      <c r="H646" s="729">
        <f t="shared" si="47"/>
        <v>1.0260415958332743</v>
      </c>
      <c r="I646" s="729">
        <f t="shared" si="48"/>
        <v>-2.174751721484161</v>
      </c>
      <c r="J646" s="40"/>
    </row>
    <row r="647" spans="1:10">
      <c r="A647" s="729">
        <v>636</v>
      </c>
      <c r="B647" s="729">
        <v>100</v>
      </c>
      <c r="C647" s="729">
        <v>2.8</v>
      </c>
      <c r="D647" s="729">
        <v>0.11363636363636363</v>
      </c>
      <c r="E647" s="729">
        <f t="shared" si="49"/>
        <v>0.91176470588235292</v>
      </c>
      <c r="F647" s="729">
        <f t="shared" si="45"/>
        <v>1.3517022399306602</v>
      </c>
      <c r="G647" s="729">
        <f t="shared" si="46"/>
        <v>4.6051701859880918</v>
      </c>
      <c r="H647" s="729">
        <f t="shared" si="47"/>
        <v>1.0296194171811581</v>
      </c>
      <c r="I647" s="729">
        <f t="shared" si="48"/>
        <v>-2.174751721484161</v>
      </c>
      <c r="J647" s="40"/>
    </row>
    <row r="648" spans="1:10">
      <c r="A648" s="729">
        <v>637</v>
      </c>
      <c r="B648" s="729">
        <v>100</v>
      </c>
      <c r="C648" s="729">
        <v>2.84</v>
      </c>
      <c r="D648" s="729">
        <v>0.11363636363636363</v>
      </c>
      <c r="E648" s="729">
        <f t="shared" si="49"/>
        <v>0.91319942611190819</v>
      </c>
      <c r="F648" s="729">
        <f t="shared" si="45"/>
        <v>1.3607233022030081</v>
      </c>
      <c r="G648" s="729">
        <f t="shared" si="46"/>
        <v>4.6051701859880918</v>
      </c>
      <c r="H648" s="729">
        <f t="shared" si="47"/>
        <v>1.0438040521731147</v>
      </c>
      <c r="I648" s="729">
        <f t="shared" si="48"/>
        <v>-2.174751721484161</v>
      </c>
      <c r="J648" s="40"/>
    </row>
    <row r="649" spans="1:10">
      <c r="A649" s="729">
        <v>638</v>
      </c>
      <c r="B649" s="729">
        <v>100</v>
      </c>
      <c r="C649" s="729">
        <v>3</v>
      </c>
      <c r="D649" s="729">
        <v>0.11363636363636363</v>
      </c>
      <c r="E649" s="729">
        <f t="shared" si="49"/>
        <v>0.91463414634146345</v>
      </c>
      <c r="F649" s="729">
        <f t="shared" si="45"/>
        <v>1.369856479510797</v>
      </c>
      <c r="G649" s="729">
        <f t="shared" si="46"/>
        <v>4.6051701859880918</v>
      </c>
      <c r="H649" s="729">
        <f t="shared" si="47"/>
        <v>1.0986122886681098</v>
      </c>
      <c r="I649" s="729">
        <f t="shared" si="48"/>
        <v>-2.174751721484161</v>
      </c>
      <c r="J649" s="40"/>
    </row>
    <row r="650" spans="1:10">
      <c r="A650" s="729">
        <v>639</v>
      </c>
      <c r="B650" s="729">
        <v>100</v>
      </c>
      <c r="C650" s="729">
        <v>3</v>
      </c>
      <c r="D650" s="729">
        <v>0.11363636363636363</v>
      </c>
      <c r="E650" s="729">
        <f t="shared" si="49"/>
        <v>0.9160688665710186</v>
      </c>
      <c r="F650" s="729">
        <f t="shared" si="45"/>
        <v>1.3791053750371938</v>
      </c>
      <c r="G650" s="729">
        <f t="shared" si="46"/>
        <v>4.6051701859880918</v>
      </c>
      <c r="H650" s="729">
        <f t="shared" si="47"/>
        <v>1.0986122886681098</v>
      </c>
      <c r="I650" s="729">
        <f t="shared" si="48"/>
        <v>-2.174751721484161</v>
      </c>
      <c r="J650" s="40"/>
    </row>
    <row r="651" spans="1:10">
      <c r="A651" s="729">
        <v>640</v>
      </c>
      <c r="B651" s="729">
        <v>100</v>
      </c>
      <c r="C651" s="729">
        <v>3</v>
      </c>
      <c r="D651" s="32">
        <v>0.11420454545454543</v>
      </c>
      <c r="E651" s="729">
        <f t="shared" si="49"/>
        <v>0.91750358680057387</v>
      </c>
      <c r="F651" s="729">
        <f t="shared" si="45"/>
        <v>1.3884737705662995</v>
      </c>
      <c r="G651" s="729">
        <f t="shared" si="46"/>
        <v>4.6051701859880918</v>
      </c>
      <c r="H651" s="729">
        <f t="shared" si="47"/>
        <v>1.0986122886681098</v>
      </c>
      <c r="I651" s="729">
        <f t="shared" si="48"/>
        <v>-2.169764179973122</v>
      </c>
      <c r="J651" s="40"/>
    </row>
    <row r="652" spans="1:10">
      <c r="A652" s="729">
        <v>641</v>
      </c>
      <c r="B652" s="729">
        <v>100</v>
      </c>
      <c r="C652" s="729">
        <v>3</v>
      </c>
      <c r="D652" s="729">
        <v>0.11960227272727272</v>
      </c>
      <c r="E652" s="729">
        <f t="shared" si="49"/>
        <v>0.91893830703012913</v>
      </c>
      <c r="F652" s="729">
        <f t="shared" ref="F652:F708" si="50">NORMSINV(E652)</f>
        <v>1.3979656386550985</v>
      </c>
      <c r="G652" s="729">
        <f t="shared" ref="G652:G669" si="51">LN(B652)</f>
        <v>4.6051701859880918</v>
      </c>
      <c r="H652" s="729">
        <f t="shared" ref="H652:H669" si="52">LN(C652)</f>
        <v>1.0986122886681098</v>
      </c>
      <c r="I652" s="729">
        <f t="shared" ref="I652:I669" si="53">LN(D652)</f>
        <v>-2.1235834349097615</v>
      </c>
      <c r="J652" s="40"/>
    </row>
    <row r="653" spans="1:10">
      <c r="A653" s="729">
        <v>642</v>
      </c>
      <c r="B653" s="729">
        <v>100</v>
      </c>
      <c r="C653" s="729">
        <v>3</v>
      </c>
      <c r="D653" s="729">
        <v>0.12045454545454545</v>
      </c>
      <c r="E653" s="729">
        <f t="shared" ref="E653:E708" si="54">(A653-0.5)/697</f>
        <v>0.9203730272596844</v>
      </c>
      <c r="F653" s="729">
        <f t="shared" si="50"/>
        <v>1.4075851558679084</v>
      </c>
      <c r="G653" s="729">
        <f t="shared" si="51"/>
        <v>4.6051701859880918</v>
      </c>
      <c r="H653" s="729">
        <f t="shared" si="52"/>
        <v>1.0986122886681098</v>
      </c>
      <c r="I653" s="729">
        <f t="shared" si="53"/>
        <v>-2.116482813360185</v>
      </c>
      <c r="J653" s="40"/>
    </row>
    <row r="654" spans="1:10">
      <c r="A654" s="729">
        <v>643</v>
      </c>
      <c r="B654" s="729">
        <v>100</v>
      </c>
      <c r="C654" s="729">
        <v>3</v>
      </c>
      <c r="D654" s="729">
        <v>0.1221590909090909</v>
      </c>
      <c r="E654" s="729">
        <f t="shared" si="54"/>
        <v>0.92180774748923955</v>
      </c>
      <c r="F654" s="729">
        <f t="shared" si="50"/>
        <v>1.4173367171870725</v>
      </c>
      <c r="G654" s="729">
        <f t="shared" si="51"/>
        <v>4.6051701859880918</v>
      </c>
      <c r="H654" s="729">
        <f t="shared" si="52"/>
        <v>1.0986122886681098</v>
      </c>
      <c r="I654" s="729">
        <f t="shared" si="53"/>
        <v>-2.1024310599045348</v>
      </c>
      <c r="J654" s="40"/>
    </row>
    <row r="655" spans="1:10">
      <c r="A655" s="729">
        <v>644</v>
      </c>
      <c r="B655" s="729">
        <v>100</v>
      </c>
      <c r="C655" s="729">
        <v>3</v>
      </c>
      <c r="D655" s="729">
        <v>0.12272727272727273</v>
      </c>
      <c r="E655" s="729">
        <f t="shared" si="54"/>
        <v>0.92324246771879481</v>
      </c>
      <c r="F655" s="729">
        <f t="shared" si="50"/>
        <v>1.4272249517282989</v>
      </c>
      <c r="G655" s="729">
        <f t="shared" si="51"/>
        <v>4.6051701859880918</v>
      </c>
      <c r="H655" s="729">
        <f t="shared" si="52"/>
        <v>1.0986122886681098</v>
      </c>
      <c r="I655" s="729">
        <f t="shared" si="53"/>
        <v>-2.0977906803480324</v>
      </c>
      <c r="J655" s="40"/>
    </row>
    <row r="656" spans="1:10">
      <c r="A656" s="729">
        <v>645</v>
      </c>
      <c r="B656" s="729">
        <v>100</v>
      </c>
      <c r="C656" s="729">
        <v>3</v>
      </c>
      <c r="D656" s="729">
        <v>0.12443181818181817</v>
      </c>
      <c r="E656" s="729">
        <f t="shared" si="54"/>
        <v>0.92467718794835008</v>
      </c>
      <c r="F656" s="729">
        <f t="shared" si="50"/>
        <v>1.4372547399055966</v>
      </c>
      <c r="G656" s="729">
        <f t="shared" si="51"/>
        <v>4.6051701859880918</v>
      </c>
      <c r="H656" s="729">
        <f t="shared" si="52"/>
        <v>1.0986122886681098</v>
      </c>
      <c r="I656" s="729">
        <f t="shared" si="53"/>
        <v>-2.0839973582156968</v>
      </c>
      <c r="J656" s="40"/>
    </row>
    <row r="657" spans="1:10">
      <c r="A657" s="729">
        <v>646</v>
      </c>
      <c r="B657" s="729">
        <v>100</v>
      </c>
      <c r="C657" s="729">
        <v>3</v>
      </c>
      <c r="D657" s="729">
        <v>0.1275</v>
      </c>
      <c r="E657" s="729">
        <f t="shared" si="54"/>
        <v>0.92611190817790534</v>
      </c>
      <c r="F657" s="729">
        <f t="shared" si="50"/>
        <v>1.4474312322101404</v>
      </c>
      <c r="G657" s="729">
        <f t="shared" si="51"/>
        <v>4.6051701859880918</v>
      </c>
      <c r="H657" s="729">
        <f t="shared" si="52"/>
        <v>1.0986122886681098</v>
      </c>
      <c r="I657" s="729">
        <f t="shared" si="53"/>
        <v>-2.059638914383656</v>
      </c>
      <c r="J657" s="40"/>
    </row>
    <row r="658" spans="1:10">
      <c r="A658" s="729">
        <v>647</v>
      </c>
      <c r="B658" s="729">
        <v>100</v>
      </c>
      <c r="C658" s="729">
        <v>3</v>
      </c>
      <c r="D658" s="729">
        <v>0.12784090909090909</v>
      </c>
      <c r="E658" s="729">
        <f t="shared" si="54"/>
        <v>0.92754662840746049</v>
      </c>
      <c r="F658" s="729">
        <f t="shared" si="50"/>
        <v>1.457759869789466</v>
      </c>
      <c r="G658" s="729">
        <f t="shared" si="51"/>
        <v>4.6051701859880918</v>
      </c>
      <c r="H658" s="729">
        <f t="shared" si="52"/>
        <v>1.0986122886681098</v>
      </c>
      <c r="I658" s="729">
        <f t="shared" si="53"/>
        <v>-2.0569686858277771</v>
      </c>
      <c r="J658" s="40"/>
    </row>
    <row r="659" spans="1:10">
      <c r="A659" s="729">
        <v>648</v>
      </c>
      <c r="B659" s="645">
        <v>100</v>
      </c>
      <c r="C659" s="915">
        <v>3</v>
      </c>
      <c r="D659" s="729">
        <v>0.13977272727272727</v>
      </c>
      <c r="E659" s="729">
        <f t="shared" si="54"/>
        <v>0.92898134863701576</v>
      </c>
      <c r="F659" s="729">
        <f t="shared" si="50"/>
        <v>1.4682464070391823</v>
      </c>
      <c r="G659" s="729">
        <f t="shared" si="51"/>
        <v>4.6051701859880918</v>
      </c>
      <c r="H659" s="729">
        <f t="shared" si="52"/>
        <v>1.0986122886681098</v>
      </c>
      <c r="I659" s="729">
        <f t="shared" si="53"/>
        <v>-1.9677375520998346</v>
      </c>
    </row>
    <row r="660" spans="1:10">
      <c r="A660" s="327">
        <v>649</v>
      </c>
      <c r="B660" s="645">
        <v>100</v>
      </c>
      <c r="C660" s="915">
        <v>3.06</v>
      </c>
      <c r="D660" s="841">
        <v>0.14488636363636362</v>
      </c>
      <c r="E660" s="729">
        <f t="shared" si="54"/>
        <v>0.93041606886657102</v>
      </c>
      <c r="F660" s="729">
        <f t="shared" si="50"/>
        <v>1.4788969364492293</v>
      </c>
      <c r="G660" s="729">
        <f t="shared" si="51"/>
        <v>4.6051701859880918</v>
      </c>
      <c r="H660" s="729">
        <f t="shared" si="52"/>
        <v>1.1184149159642893</v>
      </c>
      <c r="I660" s="729">
        <f t="shared" si="53"/>
        <v>-1.9318055428737715</v>
      </c>
    </row>
    <row r="661" spans="1:10">
      <c r="A661" s="327">
        <v>650</v>
      </c>
      <c r="B661" s="645">
        <v>100</v>
      </c>
      <c r="C661" s="915">
        <v>3.07</v>
      </c>
      <c r="D661" s="729">
        <v>0.15340909090909091</v>
      </c>
      <c r="E661" s="729">
        <f t="shared" si="54"/>
        <v>0.93185078909612629</v>
      </c>
      <c r="F661" s="729">
        <f t="shared" si="50"/>
        <v>1.4897179159814622</v>
      </c>
      <c r="G661" s="729">
        <f t="shared" si="51"/>
        <v>4.6051701859880918</v>
      </c>
      <c r="H661" s="729">
        <f t="shared" si="52"/>
        <v>1.1216775615991057</v>
      </c>
      <c r="I661" s="729">
        <f t="shared" si="53"/>
        <v>-1.8746471290338227</v>
      </c>
    </row>
    <row r="662" spans="1:10">
      <c r="A662" s="327">
        <v>651</v>
      </c>
      <c r="B662" s="645">
        <v>100</v>
      </c>
      <c r="C662" s="915">
        <v>3.07</v>
      </c>
      <c r="D662" s="729">
        <v>0.15625</v>
      </c>
      <c r="E662" s="729">
        <f t="shared" si="54"/>
        <v>0.93328550932568144</v>
      </c>
      <c r="F662" s="729">
        <f t="shared" si="50"/>
        <v>1.5007161992959648</v>
      </c>
      <c r="G662" s="729">
        <f t="shared" si="51"/>
        <v>4.6051701859880918</v>
      </c>
      <c r="H662" s="729">
        <f t="shared" si="52"/>
        <v>1.1216775615991057</v>
      </c>
      <c r="I662" s="729">
        <f t="shared" si="53"/>
        <v>-1.8562979903656263</v>
      </c>
    </row>
    <row r="663" spans="1:10">
      <c r="A663" s="327">
        <v>652</v>
      </c>
      <c r="B663" s="729">
        <v>100</v>
      </c>
      <c r="C663" s="729">
        <v>3.2</v>
      </c>
      <c r="D663" s="729">
        <v>0.1575</v>
      </c>
      <c r="E663" s="729">
        <f t="shared" si="54"/>
        <v>0.9347202295552367</v>
      </c>
      <c r="F663" s="729">
        <f t="shared" si="50"/>
        <v>1.5118990691910674</v>
      </c>
      <c r="G663" s="729">
        <f t="shared" si="51"/>
        <v>4.6051701859880918</v>
      </c>
      <c r="H663" s="729">
        <f t="shared" si="52"/>
        <v>1.1631508098056809</v>
      </c>
      <c r="I663" s="729">
        <f t="shared" si="53"/>
        <v>-1.8483298207164494</v>
      </c>
    </row>
    <row r="664" spans="1:10">
      <c r="A664" s="327">
        <v>653</v>
      </c>
      <c r="B664" s="729">
        <v>100</v>
      </c>
      <c r="C664" s="729">
        <v>3.6</v>
      </c>
      <c r="D664" s="729">
        <v>0.15795454545454543</v>
      </c>
      <c r="E664" s="729">
        <f t="shared" si="54"/>
        <v>0.93615494978479197</v>
      </c>
      <c r="F664" s="729">
        <f t="shared" si="50"/>
        <v>1.5232742746779588</v>
      </c>
      <c r="G664" s="729">
        <f t="shared" si="51"/>
        <v>4.6051701859880918</v>
      </c>
      <c r="H664" s="729">
        <f t="shared" si="52"/>
        <v>1.2809338454620642</v>
      </c>
      <c r="I664" s="729">
        <f t="shared" si="53"/>
        <v>-1.8454479743415606</v>
      </c>
    </row>
    <row r="665" spans="1:10">
      <c r="A665" s="327">
        <v>654</v>
      </c>
      <c r="B665" s="729">
        <v>100</v>
      </c>
      <c r="C665" s="729">
        <v>3.6</v>
      </c>
      <c r="D665" s="729">
        <v>0.16249999999999998</v>
      </c>
      <c r="E665" s="729">
        <f t="shared" si="54"/>
        <v>0.93758967001434723</v>
      </c>
      <c r="F665" s="729">
        <f t="shared" si="50"/>
        <v>1.534850072176795</v>
      </c>
      <c r="G665" s="729">
        <f t="shared" si="51"/>
        <v>4.6051701859880918</v>
      </c>
      <c r="H665" s="729">
        <f t="shared" si="52"/>
        <v>1.2809338454620642</v>
      </c>
      <c r="I665" s="729">
        <f t="shared" si="53"/>
        <v>-1.8170772772123449</v>
      </c>
    </row>
    <row r="666" spans="1:10">
      <c r="A666" s="327">
        <v>655</v>
      </c>
      <c r="B666" s="729">
        <v>100</v>
      </c>
      <c r="C666" s="729">
        <v>3.66</v>
      </c>
      <c r="D666" s="729">
        <v>0.16874999999999998</v>
      </c>
      <c r="E666" s="729">
        <f t="shared" si="54"/>
        <v>0.93902439024390238</v>
      </c>
      <c r="F666" s="729">
        <f t="shared" si="50"/>
        <v>1.5466352713992295</v>
      </c>
      <c r="G666" s="729">
        <f t="shared" si="51"/>
        <v>4.6051701859880918</v>
      </c>
      <c r="H666" s="729">
        <f t="shared" si="52"/>
        <v>1.297463147413275</v>
      </c>
      <c r="I666" s="729">
        <f t="shared" si="53"/>
        <v>-1.7793369492294979</v>
      </c>
    </row>
    <row r="667" spans="1:10">
      <c r="A667" s="327">
        <v>656</v>
      </c>
      <c r="B667" s="729">
        <v>100</v>
      </c>
      <c r="C667" s="729">
        <v>4</v>
      </c>
      <c r="D667" s="729">
        <v>0.17045454545454544</v>
      </c>
      <c r="E667" s="729">
        <f t="shared" si="54"/>
        <v>0.94045911047345765</v>
      </c>
      <c r="F667" s="729">
        <f t="shared" si="50"/>
        <v>1.55863928657512</v>
      </c>
      <c r="G667" s="729">
        <f t="shared" si="51"/>
        <v>4.6051701859880918</v>
      </c>
      <c r="H667" s="729">
        <f t="shared" si="52"/>
        <v>1.3862943611198906</v>
      </c>
      <c r="I667" s="729">
        <f t="shared" si="53"/>
        <v>-1.7692866133759966</v>
      </c>
    </row>
    <row r="668" spans="1:10">
      <c r="A668" s="327">
        <v>657</v>
      </c>
      <c r="B668" s="729">
        <v>100</v>
      </c>
      <c r="C668" s="729">
        <v>4</v>
      </c>
      <c r="D668" s="729">
        <v>0.17045454545454544</v>
      </c>
      <c r="E668" s="729">
        <f t="shared" si="54"/>
        <v>0.94189383070301291</v>
      </c>
      <c r="F668" s="729">
        <f t="shared" si="50"/>
        <v>1.5708721937917547</v>
      </c>
      <c r="G668" s="729">
        <f t="shared" si="51"/>
        <v>4.6051701859880918</v>
      </c>
      <c r="H668" s="729">
        <f t="shared" si="52"/>
        <v>1.3862943611198906</v>
      </c>
      <c r="I668" s="729">
        <f t="shared" si="53"/>
        <v>-1.7692866133759966</v>
      </c>
    </row>
    <row r="669" spans="1:10">
      <c r="A669" s="327">
        <v>658</v>
      </c>
      <c r="B669" s="327">
        <v>100</v>
      </c>
      <c r="C669" s="729">
        <v>4</v>
      </c>
      <c r="D669" s="729">
        <v>0.17045454545454544</v>
      </c>
      <c r="E669" s="729">
        <f t="shared" si="54"/>
        <v>0.94332855093256818</v>
      </c>
      <c r="F669" s="729">
        <f t="shared" si="50"/>
        <v>1.5833447953464825</v>
      </c>
      <c r="G669" s="729">
        <f t="shared" si="51"/>
        <v>4.6051701859880918</v>
      </c>
      <c r="H669" s="729">
        <f t="shared" si="52"/>
        <v>1.3862943611198906</v>
      </c>
      <c r="I669" s="729">
        <f t="shared" si="53"/>
        <v>-1.7692866133759966</v>
      </c>
    </row>
    <row r="670" spans="1:10">
      <c r="A670" s="729">
        <v>659</v>
      </c>
      <c r="B670" s="327">
        <v>100</v>
      </c>
      <c r="C670" s="729">
        <v>4.01</v>
      </c>
      <c r="D670" s="729">
        <v>0.17045454545454544</v>
      </c>
      <c r="E670" s="729">
        <f t="shared" si="54"/>
        <v>0.94476327116212344</v>
      </c>
      <c r="F670" s="32">
        <f t="shared" si="50"/>
        <v>1.5960686921729104</v>
      </c>
      <c r="G670" s="729">
        <f t="shared" ref="G670:G676" si="55">LN(B670)</f>
        <v>4.6051701859880918</v>
      </c>
      <c r="H670" s="729">
        <f t="shared" ref="H670:H676" si="56">LN(C670)</f>
        <v>1.3887912413184778</v>
      </c>
      <c r="I670" s="729">
        <f t="shared" ref="I670:I676" si="57">LN(D670)</f>
        <v>-1.7692866133759966</v>
      </c>
    </row>
    <row r="671" spans="1:10">
      <c r="A671" s="729">
        <v>660</v>
      </c>
      <c r="B671" s="327">
        <v>100</v>
      </c>
      <c r="C671" s="729">
        <v>4.08</v>
      </c>
      <c r="D671" s="729">
        <v>0.17386363636363636</v>
      </c>
      <c r="E671" s="729">
        <f t="shared" si="54"/>
        <v>0.94619799139167859</v>
      </c>
      <c r="F671" s="32">
        <f t="shared" si="50"/>
        <v>1.6090563655933101</v>
      </c>
      <c r="G671" s="729">
        <f t="shared" si="55"/>
        <v>4.6051701859880918</v>
      </c>
      <c r="H671" s="729">
        <f t="shared" si="56"/>
        <v>1.4060969884160703</v>
      </c>
      <c r="I671" s="729">
        <f t="shared" si="57"/>
        <v>-1.7494839860798168</v>
      </c>
    </row>
    <row r="672" spans="1:10">
      <c r="A672" s="729">
        <v>661</v>
      </c>
      <c r="B672" s="729">
        <v>100</v>
      </c>
      <c r="C672" s="729">
        <v>4.21</v>
      </c>
      <c r="D672" s="32">
        <v>0.17443181818181816</v>
      </c>
      <c r="E672" s="729">
        <f t="shared" si="54"/>
        <v>0.94763271162123386</v>
      </c>
      <c r="F672" s="32">
        <f t="shared" si="50"/>
        <v>1.6223212698834055</v>
      </c>
      <c r="G672" s="729">
        <f t="shared" si="55"/>
        <v>4.6051701859880918</v>
      </c>
      <c r="H672" s="729">
        <f t="shared" si="56"/>
        <v>1.43746264769429</v>
      </c>
      <c r="I672" s="729">
        <f t="shared" si="57"/>
        <v>-1.7462213404450004</v>
      </c>
    </row>
    <row r="673" spans="1:9">
      <c r="A673" s="729">
        <v>662</v>
      </c>
      <c r="B673" s="729">
        <v>100</v>
      </c>
      <c r="C673" s="729">
        <v>4.22</v>
      </c>
      <c r="D673" s="32">
        <v>0.17556818181818182</v>
      </c>
      <c r="E673" s="729">
        <f t="shared" si="54"/>
        <v>0.94906743185078912</v>
      </c>
      <c r="F673" s="32">
        <f t="shared" si="50"/>
        <v>1.6358779374204711</v>
      </c>
      <c r="G673" s="729">
        <f t="shared" si="55"/>
        <v>4.6051701859880918</v>
      </c>
      <c r="H673" s="729">
        <f t="shared" si="56"/>
        <v>1.4398351280479205</v>
      </c>
      <c r="I673" s="729">
        <f t="shared" si="57"/>
        <v>-1.7397278111344521</v>
      </c>
    </row>
    <row r="674" spans="1:9">
      <c r="A674" s="729">
        <v>663</v>
      </c>
      <c r="B674" s="729">
        <v>100</v>
      </c>
      <c r="C674" s="729">
        <v>4.3</v>
      </c>
      <c r="D674" s="729">
        <v>0.19568181818181818</v>
      </c>
      <c r="E674" s="729">
        <f t="shared" si="54"/>
        <v>0.95050215208034439</v>
      </c>
      <c r="F674" s="32">
        <f t="shared" si="50"/>
        <v>1.6497420985347986</v>
      </c>
      <c r="G674" s="729">
        <f t="shared" si="55"/>
        <v>4.6051701859880918</v>
      </c>
      <c r="H674" s="729">
        <f t="shared" si="56"/>
        <v>1.4586150226995167</v>
      </c>
      <c r="I674" s="729">
        <f t="shared" si="57"/>
        <v>-1.6312653154786216</v>
      </c>
    </row>
    <row r="675" spans="1:9">
      <c r="A675" s="729">
        <v>664</v>
      </c>
      <c r="B675" s="729">
        <v>100</v>
      </c>
      <c r="C675" s="729">
        <v>4.38</v>
      </c>
      <c r="D675" s="729">
        <v>0.20795454545454542</v>
      </c>
      <c r="E675" s="729">
        <f t="shared" si="54"/>
        <v>0.95193687230989954</v>
      </c>
      <c r="F675" s="32">
        <f t="shared" si="50"/>
        <v>1.6639308186147159</v>
      </c>
      <c r="G675" s="729">
        <f t="shared" si="55"/>
        <v>4.6051701859880918</v>
      </c>
      <c r="H675" s="729">
        <f t="shared" si="56"/>
        <v>1.4770487243883548</v>
      </c>
      <c r="I675" s="729">
        <f t="shared" si="57"/>
        <v>-1.5704357546308314</v>
      </c>
    </row>
    <row r="676" spans="1:9">
      <c r="A676" s="729">
        <v>665</v>
      </c>
      <c r="B676" s="729">
        <v>100</v>
      </c>
      <c r="C676" s="327">
        <v>4.47</v>
      </c>
      <c r="D676" s="729">
        <v>0.20795454545454545</v>
      </c>
      <c r="E676" s="729">
        <f t="shared" si="54"/>
        <v>0.9533715925394548</v>
      </c>
      <c r="F676" s="32">
        <f t="shared" si="50"/>
        <v>1.6784626555485749</v>
      </c>
      <c r="G676" s="729">
        <f t="shared" si="55"/>
        <v>4.6051701859880918</v>
      </c>
      <c r="H676" s="729">
        <f t="shared" si="56"/>
        <v>1.4973884086254774</v>
      </c>
      <c r="I676" s="729">
        <f t="shared" si="57"/>
        <v>-1.5704357546308312</v>
      </c>
    </row>
    <row r="677" spans="1:9">
      <c r="A677" s="729">
        <v>666</v>
      </c>
      <c r="B677" s="729">
        <v>100</v>
      </c>
      <c r="C677" s="327">
        <v>4.5</v>
      </c>
      <c r="D677" s="729">
        <v>0.22627840909090904</v>
      </c>
      <c r="E677" s="729">
        <f t="shared" si="54"/>
        <v>0.95480631276901007</v>
      </c>
      <c r="F677" s="32">
        <f t="shared" si="50"/>
        <v>1.6933578412519463</v>
      </c>
      <c r="G677" s="729">
        <f t="shared" ref="G677:G685" si="58">LN(B677)</f>
        <v>4.6051701859880918</v>
      </c>
      <c r="H677" s="729">
        <f t="shared" ref="H677:H685" si="59">LN(C677)</f>
        <v>1.5040773967762742</v>
      </c>
      <c r="I677" s="729">
        <f t="shared" ref="I677:I685" si="60">LN(D677)</f>
        <v>-1.4859891392420397</v>
      </c>
    </row>
    <row r="678" spans="1:9">
      <c r="A678" s="729">
        <v>667</v>
      </c>
      <c r="B678" s="729">
        <v>110</v>
      </c>
      <c r="C678" s="327">
        <v>4.5</v>
      </c>
      <c r="D678" s="729">
        <v>0.22727272727272727</v>
      </c>
      <c r="E678" s="729">
        <f t="shared" si="54"/>
        <v>0.95624103299856533</v>
      </c>
      <c r="F678" s="32">
        <f t="shared" si="50"/>
        <v>1.7086384918626105</v>
      </c>
      <c r="G678" s="729">
        <f t="shared" si="58"/>
        <v>4.7004803657924166</v>
      </c>
      <c r="H678" s="729">
        <f t="shared" si="59"/>
        <v>1.5040773967762742</v>
      </c>
      <c r="I678" s="729">
        <f t="shared" si="60"/>
        <v>-1.4816045409242156</v>
      </c>
    </row>
    <row r="679" spans="1:9">
      <c r="A679" s="729">
        <v>668</v>
      </c>
      <c r="B679" s="729">
        <v>117</v>
      </c>
      <c r="C679" s="327">
        <v>4.5</v>
      </c>
      <c r="D679" s="729">
        <v>0.23977272727272725</v>
      </c>
      <c r="E679" s="729">
        <f t="shared" si="54"/>
        <v>0.95767575322812049</v>
      </c>
      <c r="F679" s="32">
        <f t="shared" si="50"/>
        <v>1.7243288522400044</v>
      </c>
      <c r="G679" s="729">
        <f t="shared" si="58"/>
        <v>4.7621739347977563</v>
      </c>
      <c r="H679" s="729">
        <f t="shared" si="59"/>
        <v>1.5040773967762742</v>
      </c>
      <c r="I679" s="729">
        <f t="shared" si="60"/>
        <v>-1.4280637739961857</v>
      </c>
    </row>
    <row r="680" spans="1:9">
      <c r="A680" s="729">
        <v>669</v>
      </c>
      <c r="B680" s="327">
        <v>120</v>
      </c>
      <c r="C680" s="729">
        <v>4.5999999999999996</v>
      </c>
      <c r="D680" s="729">
        <v>0.25</v>
      </c>
      <c r="E680" s="729">
        <f t="shared" si="54"/>
        <v>0.95911047345767575</v>
      </c>
      <c r="F680" s="32">
        <f t="shared" si="50"/>
        <v>1.7404555817471699</v>
      </c>
      <c r="G680" s="729">
        <f t="shared" si="58"/>
        <v>4.7874917427820458</v>
      </c>
      <c r="H680" s="729">
        <f t="shared" si="59"/>
        <v>1.5260563034950492</v>
      </c>
      <c r="I680" s="729">
        <f t="shared" si="60"/>
        <v>-1.3862943611198906</v>
      </c>
    </row>
    <row r="681" spans="1:9">
      <c r="A681" s="729">
        <v>670</v>
      </c>
      <c r="B681" s="327">
        <v>150</v>
      </c>
      <c r="C681" s="729">
        <v>4.6900000000000004</v>
      </c>
      <c r="D681" s="729">
        <v>0.25</v>
      </c>
      <c r="E681" s="729">
        <f t="shared" si="54"/>
        <v>0.96054519368723101</v>
      </c>
      <c r="F681" s="32">
        <f t="shared" si="50"/>
        <v>1.7570480900132046</v>
      </c>
      <c r="G681" s="729">
        <f t="shared" si="58"/>
        <v>5.0106352940962555</v>
      </c>
      <c r="H681" s="729">
        <f t="shared" si="59"/>
        <v>1.545432582458188</v>
      </c>
      <c r="I681" s="729">
        <f t="shared" si="60"/>
        <v>-1.3862943611198906</v>
      </c>
    </row>
    <row r="682" spans="1:9">
      <c r="A682" s="666">
        <v>671</v>
      </c>
      <c r="B682" s="327">
        <v>150</v>
      </c>
      <c r="C682" s="729">
        <v>4.92</v>
      </c>
      <c r="D682" s="729">
        <v>0.25397727272727272</v>
      </c>
      <c r="E682" s="729">
        <f t="shared" si="54"/>
        <v>0.96197991391678628</v>
      </c>
      <c r="F682" s="32">
        <f t="shared" si="50"/>
        <v>1.7741389335977535</v>
      </c>
      <c r="G682" s="729">
        <f t="shared" si="58"/>
        <v>5.0106352940962555</v>
      </c>
      <c r="H682" s="729">
        <f t="shared" si="59"/>
        <v>1.5933085305042167</v>
      </c>
      <c r="I682" s="729">
        <f t="shared" si="60"/>
        <v>-1.3705104934186287</v>
      </c>
    </row>
    <row r="683" spans="1:9">
      <c r="A683" s="729">
        <v>672</v>
      </c>
      <c r="B683" s="327">
        <v>150</v>
      </c>
      <c r="C683" s="729">
        <v>5</v>
      </c>
      <c r="D683" s="729">
        <v>0.26647727272727273</v>
      </c>
      <c r="E683" s="729">
        <f t="shared" si="54"/>
        <v>0.96341463414634143</v>
      </c>
      <c r="F683" s="32">
        <f t="shared" si="50"/>
        <v>1.7917642873785153</v>
      </c>
      <c r="G683" s="729">
        <f t="shared" si="58"/>
        <v>5.0106352940962555</v>
      </c>
      <c r="H683" s="729">
        <f t="shared" si="59"/>
        <v>1.6094379124341003</v>
      </c>
      <c r="I683" s="729">
        <f t="shared" si="60"/>
        <v>-1.3224663195859181</v>
      </c>
    </row>
    <row r="684" spans="1:9">
      <c r="A684" s="729">
        <v>673</v>
      </c>
      <c r="B684" s="729">
        <v>150</v>
      </c>
      <c r="C684" s="729">
        <v>5</v>
      </c>
      <c r="D684" s="729">
        <v>0.28409090909090906</v>
      </c>
      <c r="E684" s="729">
        <f t="shared" si="54"/>
        <v>0.9648493543758967</v>
      </c>
      <c r="F684" s="32">
        <f t="shared" si="50"/>
        <v>1.8099645082991047</v>
      </c>
      <c r="G684" s="729">
        <f t="shared" si="58"/>
        <v>5.0106352940962555</v>
      </c>
      <c r="H684" s="729">
        <f t="shared" si="59"/>
        <v>1.6094379124341003</v>
      </c>
      <c r="I684" s="729">
        <f t="shared" si="60"/>
        <v>-1.2584609896100059</v>
      </c>
    </row>
    <row r="685" spans="1:9">
      <c r="A685" s="729">
        <v>674</v>
      </c>
      <c r="B685" s="729">
        <v>150</v>
      </c>
      <c r="C685" s="729">
        <v>5</v>
      </c>
      <c r="D685" s="729">
        <v>0.28409090909090906</v>
      </c>
      <c r="E685" s="729">
        <f t="shared" si="54"/>
        <v>0.96628407460545196</v>
      </c>
      <c r="F685" s="32">
        <f t="shared" si="50"/>
        <v>1.8287848141880285</v>
      </c>
      <c r="G685" s="729">
        <f t="shared" si="58"/>
        <v>5.0106352940962555</v>
      </c>
      <c r="H685" s="729">
        <f t="shared" si="59"/>
        <v>1.6094379124341003</v>
      </c>
      <c r="I685" s="729">
        <f t="shared" si="60"/>
        <v>-1.2584609896100059</v>
      </c>
    </row>
    <row r="686" spans="1:9">
      <c r="A686" s="729">
        <v>675</v>
      </c>
      <c r="B686" s="729">
        <v>150</v>
      </c>
      <c r="C686" s="729">
        <v>5.0999999999999996</v>
      </c>
      <c r="D686" s="729">
        <v>0.28409090909090912</v>
      </c>
      <c r="E686" s="729">
        <f t="shared" si="54"/>
        <v>0.96771879483500722</v>
      </c>
      <c r="F686" s="32">
        <f t="shared" si="50"/>
        <v>1.8482761071770999</v>
      </c>
      <c r="G686" s="729">
        <f t="shared" ref="G686:G708" si="61">LN(B686)</f>
        <v>5.0106352940962555</v>
      </c>
      <c r="H686" s="729">
        <f t="shared" ref="H686:H708" si="62">LN(C686)</f>
        <v>1.62924053973028</v>
      </c>
      <c r="I686" s="729">
        <f t="shared" ref="I686:I708" si="63">LN(D686)</f>
        <v>-1.2584609896100056</v>
      </c>
    </row>
    <row r="687" spans="1:9">
      <c r="A687" s="729">
        <v>676</v>
      </c>
      <c r="B687" s="327">
        <v>150</v>
      </c>
      <c r="C687" s="327">
        <v>5.1100000000000003</v>
      </c>
      <c r="D687" s="729">
        <v>0.29772727272727273</v>
      </c>
      <c r="E687" s="729">
        <f t="shared" si="54"/>
        <v>0.96915351506456238</v>
      </c>
      <c r="F687" s="32">
        <f t="shared" si="50"/>
        <v>1.8684959805154608</v>
      </c>
      <c r="G687" s="729">
        <f t="shared" si="61"/>
        <v>5.0106352940962555</v>
      </c>
      <c r="H687" s="729">
        <f t="shared" si="62"/>
        <v>1.631199404215613</v>
      </c>
      <c r="I687" s="729">
        <f t="shared" si="63"/>
        <v>-1.2115774037111553</v>
      </c>
    </row>
    <row r="688" spans="1:9">
      <c r="A688" s="729">
        <v>677</v>
      </c>
      <c r="B688" s="729">
        <v>150</v>
      </c>
      <c r="C688" s="327">
        <v>5.24</v>
      </c>
      <c r="D688" s="729">
        <v>0.30553977272727273</v>
      </c>
      <c r="E688" s="729">
        <f t="shared" si="54"/>
        <v>0.97058823529411764</v>
      </c>
      <c r="F688" s="32">
        <f t="shared" si="50"/>
        <v>1.8895099603334296</v>
      </c>
      <c r="G688" s="729">
        <f t="shared" si="61"/>
        <v>5.0106352940962555</v>
      </c>
      <c r="H688" s="729">
        <f t="shared" si="62"/>
        <v>1.6563214983329508</v>
      </c>
      <c r="I688" s="729">
        <f t="shared" si="63"/>
        <v>-1.1856753198843579</v>
      </c>
    </row>
    <row r="689" spans="1:9">
      <c r="A689" s="729">
        <v>678</v>
      </c>
      <c r="B689" s="327">
        <v>167</v>
      </c>
      <c r="C689" s="327">
        <v>5.31</v>
      </c>
      <c r="D689" s="729">
        <v>0.30681818181818177</v>
      </c>
      <c r="E689" s="729">
        <f t="shared" si="54"/>
        <v>0.9720229555236729</v>
      </c>
      <c r="F689" s="32">
        <f t="shared" si="50"/>
        <v>1.9113930517135465</v>
      </c>
      <c r="G689" s="729">
        <f t="shared" si="61"/>
        <v>5.1179938124167554</v>
      </c>
      <c r="H689" s="729">
        <f t="shared" si="62"/>
        <v>1.6695918352538475</v>
      </c>
      <c r="I689" s="729">
        <f t="shared" si="63"/>
        <v>-1.1814999484738775</v>
      </c>
    </row>
    <row r="690" spans="1:9">
      <c r="A690" s="729">
        <v>679</v>
      </c>
      <c r="B690" s="327">
        <v>200</v>
      </c>
      <c r="C690" s="729">
        <v>5.49</v>
      </c>
      <c r="D690" s="729">
        <v>0.34090909090909088</v>
      </c>
      <c r="E690" s="729">
        <f t="shared" si="54"/>
        <v>0.97345767575322817</v>
      </c>
      <c r="F690" s="32">
        <f t="shared" si="50"/>
        <v>1.9342316836414382</v>
      </c>
      <c r="G690" s="729">
        <f t="shared" si="61"/>
        <v>5.2983173665480363</v>
      </c>
      <c r="H690" s="729">
        <f t="shared" si="62"/>
        <v>1.7029282555214393</v>
      </c>
      <c r="I690" s="729">
        <f t="shared" si="63"/>
        <v>-1.0761394328160512</v>
      </c>
    </row>
    <row r="691" spans="1:9">
      <c r="A691" s="729">
        <v>680</v>
      </c>
      <c r="B691" s="327">
        <v>200</v>
      </c>
      <c r="C691" s="327">
        <v>5.7</v>
      </c>
      <c r="D691" s="729">
        <v>0.34090909090909088</v>
      </c>
      <c r="E691" s="729">
        <f t="shared" si="54"/>
        <v>0.97489239598278332</v>
      </c>
      <c r="F691" s="32">
        <f t="shared" si="50"/>
        <v>1.9581261837069059</v>
      </c>
      <c r="G691" s="729">
        <f t="shared" si="61"/>
        <v>5.2983173665480363</v>
      </c>
      <c r="H691" s="729">
        <f t="shared" si="62"/>
        <v>1.7404661748405046</v>
      </c>
      <c r="I691" s="729">
        <f t="shared" si="63"/>
        <v>-1.0761394328160512</v>
      </c>
    </row>
    <row r="692" spans="1:9">
      <c r="A692" s="729">
        <v>681</v>
      </c>
      <c r="B692" s="327">
        <v>200</v>
      </c>
      <c r="C692" s="729">
        <v>5.7</v>
      </c>
      <c r="D692" s="841">
        <v>0.34090909090909088</v>
      </c>
      <c r="E692" s="729">
        <f t="shared" si="54"/>
        <v>0.97632711621233859</v>
      </c>
      <c r="F692" s="32">
        <f t="shared" si="50"/>
        <v>1.9831939666186722</v>
      </c>
      <c r="G692" s="729">
        <f t="shared" si="61"/>
        <v>5.2983173665480363</v>
      </c>
      <c r="H692" s="729">
        <f t="shared" si="62"/>
        <v>1.7404661748405046</v>
      </c>
      <c r="I692" s="729">
        <f t="shared" si="63"/>
        <v>-1.0761394328160512</v>
      </c>
    </row>
    <row r="693" spans="1:9">
      <c r="A693" s="729">
        <v>682</v>
      </c>
      <c r="B693" s="729">
        <v>200</v>
      </c>
      <c r="C693" s="729">
        <v>5.72</v>
      </c>
      <c r="D693" s="729">
        <v>0.34499999999999997</v>
      </c>
      <c r="E693" s="729">
        <f t="shared" si="54"/>
        <v>0.97776183644189385</v>
      </c>
      <c r="F693" s="32">
        <f t="shared" si="50"/>
        <v>2.0095737001013063</v>
      </c>
      <c r="G693" s="729">
        <f t="shared" si="61"/>
        <v>5.2983173665480363</v>
      </c>
      <c r="H693" s="729">
        <f t="shared" si="62"/>
        <v>1.7439688053917064</v>
      </c>
      <c r="I693" s="729">
        <f t="shared" si="63"/>
        <v>-1.0642108619507773</v>
      </c>
    </row>
    <row r="694" spans="1:9">
      <c r="A694" s="729">
        <v>683</v>
      </c>
      <c r="B694" s="729">
        <v>200</v>
      </c>
      <c r="C694" s="729">
        <v>6</v>
      </c>
      <c r="D694" s="729">
        <v>0.375</v>
      </c>
      <c r="E694" s="729">
        <f t="shared" si="54"/>
        <v>0.97919655667144911</v>
      </c>
      <c r="F694" s="32">
        <f t="shared" si="50"/>
        <v>2.037430833207329</v>
      </c>
      <c r="G694" s="729">
        <f t="shared" si="61"/>
        <v>5.2983173665480363</v>
      </c>
      <c r="H694" s="729">
        <f t="shared" si="62"/>
        <v>1.791759469228055</v>
      </c>
      <c r="I694" s="729">
        <f t="shared" si="63"/>
        <v>-0.98082925301172619</v>
      </c>
    </row>
    <row r="695" spans="1:9">
      <c r="A695" s="729">
        <v>684</v>
      </c>
      <c r="B695" s="327">
        <v>200</v>
      </c>
      <c r="C695" s="729">
        <v>6.1</v>
      </c>
      <c r="D695" s="729">
        <v>0.38181818181818183</v>
      </c>
      <c r="E695" s="729">
        <f t="shared" si="54"/>
        <v>0.98063127690100427</v>
      </c>
      <c r="F695" s="32">
        <f t="shared" si="50"/>
        <v>2.0669650622440625</v>
      </c>
      <c r="G695" s="729">
        <f t="shared" si="61"/>
        <v>5.2983173665480363</v>
      </c>
      <c r="H695" s="729">
        <f t="shared" si="62"/>
        <v>1.8082887711792655</v>
      </c>
      <c r="I695" s="729">
        <f t="shared" si="63"/>
        <v>-0.96281074750904783</v>
      </c>
    </row>
    <row r="696" spans="1:9">
      <c r="A696" s="729">
        <v>685</v>
      </c>
      <c r="B696" s="729">
        <v>300</v>
      </c>
      <c r="C696" s="729">
        <v>6.5</v>
      </c>
      <c r="D696" s="729">
        <v>0.3852272727272727</v>
      </c>
      <c r="E696" s="729">
        <f t="shared" si="54"/>
        <v>0.98206599713055953</v>
      </c>
      <c r="F696" s="32">
        <f t="shared" si="50"/>
        <v>2.0984206155569249</v>
      </c>
      <c r="G696" s="729">
        <f t="shared" si="61"/>
        <v>5.7037824746562009</v>
      </c>
      <c r="H696" s="729">
        <f t="shared" si="62"/>
        <v>1.8718021769015913</v>
      </c>
      <c r="I696" s="729">
        <f t="shared" si="63"/>
        <v>-0.95392180009180194</v>
      </c>
    </row>
    <row r="697" spans="1:9">
      <c r="A697" s="729">
        <v>686</v>
      </c>
      <c r="B697" s="729">
        <v>300</v>
      </c>
      <c r="C697" s="729">
        <v>6.8</v>
      </c>
      <c r="D697" s="729">
        <v>0.39914772727272729</v>
      </c>
      <c r="E697" s="729">
        <f t="shared" si="54"/>
        <v>0.9835007173601148</v>
      </c>
      <c r="F697" s="32">
        <f t="shared" si="50"/>
        <v>2.1321007465617647</v>
      </c>
      <c r="G697" s="729">
        <f t="shared" si="61"/>
        <v>5.7037824746562009</v>
      </c>
      <c r="H697" s="729">
        <f t="shared" si="62"/>
        <v>1.9169226121820611</v>
      </c>
      <c r="I697" s="729">
        <f t="shared" si="63"/>
        <v>-0.91842368682429654</v>
      </c>
    </row>
    <row r="698" spans="1:9">
      <c r="A698" s="729">
        <v>687</v>
      </c>
      <c r="B698" s="729">
        <v>400</v>
      </c>
      <c r="C698" s="729">
        <v>7.17</v>
      </c>
      <c r="D698" s="729">
        <v>0.56818181818181812</v>
      </c>
      <c r="E698" s="729">
        <f t="shared" si="54"/>
        <v>0.98493543758967006</v>
      </c>
      <c r="F698" s="32">
        <f t="shared" si="50"/>
        <v>2.1683886988543026</v>
      </c>
      <c r="G698" s="729">
        <f t="shared" si="61"/>
        <v>5.9914645471079817</v>
      </c>
      <c r="H698" s="729">
        <f t="shared" si="62"/>
        <v>1.969905654611529</v>
      </c>
      <c r="I698" s="729">
        <f t="shared" si="63"/>
        <v>-0.56531380905006057</v>
      </c>
    </row>
    <row r="699" spans="1:9">
      <c r="A699" s="729">
        <v>688</v>
      </c>
      <c r="B699" s="729">
        <v>400</v>
      </c>
      <c r="C699" s="729">
        <v>7.97</v>
      </c>
      <c r="D699" s="729">
        <v>0.68181818181818177</v>
      </c>
      <c r="E699" s="729">
        <f t="shared" si="54"/>
        <v>0.98637015781922521</v>
      </c>
      <c r="F699" s="32">
        <f t="shared" si="50"/>
        <v>2.2077789754764159</v>
      </c>
      <c r="G699" s="729">
        <f t="shared" si="61"/>
        <v>5.9914645471079817</v>
      </c>
      <c r="H699" s="729">
        <f t="shared" si="62"/>
        <v>2.0756844928021239</v>
      </c>
      <c r="I699" s="729">
        <f t="shared" si="63"/>
        <v>-0.38299225225610584</v>
      </c>
    </row>
    <row r="700" spans="1:9">
      <c r="A700" s="729">
        <v>689</v>
      </c>
      <c r="B700" s="729">
        <v>440</v>
      </c>
      <c r="C700" s="729">
        <v>8.4</v>
      </c>
      <c r="D700" s="729">
        <v>0.69886363636363635</v>
      </c>
      <c r="E700" s="729">
        <f t="shared" si="54"/>
        <v>0.98780487804878048</v>
      </c>
      <c r="F700" s="32">
        <f t="shared" si="50"/>
        <v>2.2509256965027937</v>
      </c>
      <c r="G700" s="729">
        <f t="shared" si="61"/>
        <v>6.0867747269123065</v>
      </c>
      <c r="H700" s="729">
        <f t="shared" si="62"/>
        <v>2.1282317058492679</v>
      </c>
      <c r="I700" s="729">
        <f t="shared" si="63"/>
        <v>-0.3582996396657343</v>
      </c>
    </row>
    <row r="701" spans="1:9">
      <c r="A701" s="729">
        <v>690</v>
      </c>
      <c r="B701" s="729">
        <v>440</v>
      </c>
      <c r="C701" s="729">
        <v>9</v>
      </c>
      <c r="D701" s="729">
        <v>0.69886363636363635</v>
      </c>
      <c r="E701" s="729">
        <f t="shared" si="54"/>
        <v>0.98923959827833574</v>
      </c>
      <c r="F701" s="32">
        <f t="shared" si="50"/>
        <v>2.2987207153509441</v>
      </c>
      <c r="G701" s="729">
        <f t="shared" si="61"/>
        <v>6.0867747269123065</v>
      </c>
      <c r="H701" s="729">
        <f t="shared" si="62"/>
        <v>2.1972245773362196</v>
      </c>
      <c r="I701" s="729">
        <f t="shared" si="63"/>
        <v>-0.3582996396657343</v>
      </c>
    </row>
    <row r="702" spans="1:9">
      <c r="A702" s="729">
        <v>691</v>
      </c>
      <c r="B702" s="729">
        <v>440</v>
      </c>
      <c r="C702" s="729">
        <v>11.3</v>
      </c>
      <c r="D702" s="729">
        <v>0.7</v>
      </c>
      <c r="E702" s="729">
        <f t="shared" si="54"/>
        <v>0.99067431850789101</v>
      </c>
      <c r="F702" s="32">
        <f t="shared" si="50"/>
        <v>2.3524267483609114</v>
      </c>
      <c r="G702" s="729">
        <f t="shared" si="61"/>
        <v>6.0867747269123065</v>
      </c>
      <c r="H702" s="729">
        <f t="shared" si="62"/>
        <v>2.4248027257182949</v>
      </c>
      <c r="I702" s="729">
        <f t="shared" si="63"/>
        <v>-0.35667494393873245</v>
      </c>
    </row>
    <row r="703" spans="1:9">
      <c r="A703" s="729">
        <v>692</v>
      </c>
      <c r="B703" s="729">
        <v>440</v>
      </c>
      <c r="C703" s="729">
        <v>12.3</v>
      </c>
      <c r="D703" s="729">
        <v>0.77556818181818177</v>
      </c>
      <c r="E703" s="729">
        <f t="shared" si="54"/>
        <v>0.99210903873744616</v>
      </c>
      <c r="F703" s="32">
        <f t="shared" si="50"/>
        <v>2.4139201053449342</v>
      </c>
      <c r="G703" s="729">
        <f t="shared" si="61"/>
        <v>6.0867747269123065</v>
      </c>
      <c r="H703" s="729">
        <f t="shared" si="62"/>
        <v>2.5095992623783721</v>
      </c>
      <c r="I703" s="729">
        <f t="shared" si="63"/>
        <v>-0.2541593804131374</v>
      </c>
    </row>
    <row r="704" spans="1:9">
      <c r="A704" s="729">
        <v>693</v>
      </c>
      <c r="B704" s="729">
        <v>440</v>
      </c>
      <c r="C704" s="729">
        <v>12.3</v>
      </c>
      <c r="D704" s="729">
        <v>1</v>
      </c>
      <c r="E704" s="729">
        <f t="shared" si="54"/>
        <v>0.99354375896700142</v>
      </c>
      <c r="F704" s="32">
        <f t="shared" si="50"/>
        <v>2.4861739822460107</v>
      </c>
      <c r="G704" s="729">
        <f t="shared" si="61"/>
        <v>6.0867747269123065</v>
      </c>
      <c r="H704" s="729">
        <f t="shared" si="62"/>
        <v>2.5095992623783721</v>
      </c>
      <c r="I704" s="729">
        <f t="shared" si="63"/>
        <v>0</v>
      </c>
    </row>
    <row r="705" spans="1:9">
      <c r="A705" s="729">
        <v>694</v>
      </c>
      <c r="B705" s="729">
        <v>500</v>
      </c>
      <c r="C705" s="729">
        <v>14.05</v>
      </c>
      <c r="D705" s="729">
        <v>1.0024999999999999</v>
      </c>
      <c r="E705" s="729">
        <f t="shared" si="54"/>
        <v>0.99497847919655669</v>
      </c>
      <c r="F705" s="32">
        <f t="shared" si="50"/>
        <v>2.5743438231658757</v>
      </c>
      <c r="G705" s="729">
        <f t="shared" si="61"/>
        <v>6.2146080984221914</v>
      </c>
      <c r="H705" s="729">
        <f t="shared" si="62"/>
        <v>2.642622395779755</v>
      </c>
      <c r="I705" s="729">
        <f t="shared" si="63"/>
        <v>2.4968801985871458E-3</v>
      </c>
    </row>
    <row r="706" spans="1:9">
      <c r="A706" s="729">
        <v>695</v>
      </c>
      <c r="B706" s="729">
        <v>600</v>
      </c>
      <c r="C706" s="729">
        <v>15.8</v>
      </c>
      <c r="D706" s="729">
        <v>1.4772727272727273</v>
      </c>
      <c r="E706" s="729">
        <f t="shared" si="54"/>
        <v>0.99641319942611195</v>
      </c>
      <c r="F706" s="32">
        <f t="shared" si="50"/>
        <v>2.6886759866657157</v>
      </c>
      <c r="G706" s="729">
        <f t="shared" si="61"/>
        <v>6.3969296552161463</v>
      </c>
      <c r="H706" s="729">
        <f t="shared" si="62"/>
        <v>2.760009940032921</v>
      </c>
      <c r="I706" s="729">
        <f t="shared" si="63"/>
        <v>0.39019763597737595</v>
      </c>
    </row>
    <row r="707" spans="1:9">
      <c r="A707" s="729">
        <v>696</v>
      </c>
      <c r="B707" s="729">
        <v>700</v>
      </c>
      <c r="C707" s="729">
        <v>20</v>
      </c>
      <c r="D707" s="729">
        <v>1.4992045454545455</v>
      </c>
      <c r="E707" s="729">
        <f t="shared" si="54"/>
        <v>0.9978479196556671</v>
      </c>
      <c r="F707" s="32">
        <f t="shared" si="50"/>
        <v>2.8549647423990074</v>
      </c>
      <c r="G707" s="729">
        <f t="shared" si="61"/>
        <v>6.5510803350434044</v>
      </c>
      <c r="H707" s="729">
        <f t="shared" si="62"/>
        <v>2.9957322735539909</v>
      </c>
      <c r="I707" s="729">
        <f t="shared" si="63"/>
        <v>0.40493466441747877</v>
      </c>
    </row>
    <row r="708" spans="1:9">
      <c r="A708" s="729">
        <v>697</v>
      </c>
      <c r="B708" s="729">
        <v>880</v>
      </c>
      <c r="C708" s="729">
        <v>27.3</v>
      </c>
      <c r="D708" s="729">
        <v>3.1698863636363632</v>
      </c>
      <c r="E708" s="729">
        <f t="shared" si="54"/>
        <v>0.99928263988522237</v>
      </c>
      <c r="F708" s="32">
        <f t="shared" si="50"/>
        <v>3.1875734310256338</v>
      </c>
      <c r="G708" s="729">
        <f t="shared" si="61"/>
        <v>6.7799219074722519</v>
      </c>
      <c r="H708" s="729">
        <f t="shared" si="62"/>
        <v>3.3068867021909143</v>
      </c>
      <c r="I708" s="729">
        <f t="shared" si="63"/>
        <v>1.1536957398133307</v>
      </c>
    </row>
    <row r="709" spans="1:9">
      <c r="A709" s="872"/>
      <c r="B709" s="332"/>
      <c r="C709" s="332"/>
      <c r="D709" s="332"/>
      <c r="E709" s="332"/>
      <c r="F709" s="332"/>
      <c r="G709" s="332"/>
      <c r="H709" s="332"/>
      <c r="I709" s="332"/>
    </row>
    <row r="710" spans="1:9">
      <c r="A710" s="872"/>
      <c r="B710" s="332"/>
      <c r="C710" s="332"/>
      <c r="D710" s="332"/>
      <c r="E710" s="332"/>
      <c r="F710" s="332"/>
      <c r="G710" s="332"/>
      <c r="H710" s="332"/>
      <c r="I710" s="332"/>
    </row>
    <row r="711" spans="1:9">
      <c r="A711" s="872"/>
      <c r="B711" s="332"/>
      <c r="C711" s="332"/>
      <c r="D711" s="332"/>
      <c r="E711" s="332"/>
      <c r="F711" s="332"/>
      <c r="G711" s="332"/>
      <c r="H711" s="332"/>
      <c r="I711" s="332"/>
    </row>
    <row r="712" spans="1:9">
      <c r="A712" s="872"/>
      <c r="B712" s="332"/>
      <c r="C712" s="332"/>
      <c r="D712" s="332"/>
      <c r="E712" s="332"/>
      <c r="F712" s="332"/>
      <c r="G712" s="332"/>
      <c r="H712" s="332"/>
      <c r="I712" s="332"/>
    </row>
    <row r="713" spans="1:9">
      <c r="A713" s="872"/>
      <c r="B713" s="332"/>
      <c r="C713" s="332"/>
      <c r="D713" s="332"/>
      <c r="E713" s="332"/>
      <c r="F713" s="332"/>
      <c r="G713" s="332"/>
      <c r="H713" s="332"/>
      <c r="I713" s="332"/>
    </row>
    <row r="714" spans="1:9">
      <c r="A714" s="872"/>
      <c r="B714" s="332"/>
      <c r="C714" s="332"/>
      <c r="D714" s="332"/>
      <c r="E714" s="332"/>
      <c r="F714" s="332"/>
      <c r="G714" s="332"/>
      <c r="H714" s="332"/>
      <c r="I714" s="332"/>
    </row>
    <row r="715" spans="1:9">
      <c r="A715" s="872"/>
      <c r="B715" s="332"/>
      <c r="C715" s="332"/>
      <c r="D715" s="332"/>
      <c r="E715" s="332"/>
      <c r="F715" s="332"/>
      <c r="G715" s="332"/>
      <c r="H715" s="332"/>
      <c r="I715" s="332"/>
    </row>
    <row r="716" spans="1:9">
      <c r="A716" s="872"/>
      <c r="B716" s="332"/>
      <c r="C716" s="332"/>
      <c r="D716" s="332"/>
      <c r="E716" s="332"/>
      <c r="F716" s="332"/>
      <c r="G716" s="332"/>
      <c r="H716" s="332"/>
      <c r="I716" s="332"/>
    </row>
    <row r="717" spans="1:9">
      <c r="A717" s="872"/>
      <c r="B717" s="332"/>
      <c r="C717" s="332"/>
      <c r="D717" s="332"/>
      <c r="E717" s="332"/>
      <c r="F717" s="332"/>
      <c r="G717" s="332"/>
      <c r="H717" s="332"/>
      <c r="I717" s="332"/>
    </row>
    <row r="718" spans="1:9">
      <c r="A718" s="872"/>
      <c r="B718" s="332"/>
      <c r="C718" s="332"/>
      <c r="D718" s="332"/>
      <c r="E718" s="332"/>
      <c r="F718" s="332"/>
      <c r="G718" s="332"/>
      <c r="H718" s="332"/>
      <c r="I718" s="332"/>
    </row>
    <row r="719" spans="1:9">
      <c r="A719" s="872"/>
      <c r="B719" s="332"/>
      <c r="C719" s="332"/>
      <c r="D719" s="332"/>
      <c r="E719" s="332"/>
      <c r="F719" s="332"/>
      <c r="G719" s="332"/>
      <c r="H719" s="332"/>
      <c r="I719" s="332"/>
    </row>
    <row r="720" spans="1:9">
      <c r="A720" s="872"/>
      <c r="B720" s="332"/>
      <c r="C720" s="332"/>
      <c r="D720" s="332"/>
      <c r="E720" s="332"/>
      <c r="F720" s="332"/>
      <c r="G720" s="332"/>
      <c r="H720" s="332"/>
      <c r="I720" s="332"/>
    </row>
    <row r="721" spans="1:9">
      <c r="A721" s="872"/>
      <c r="B721" s="332"/>
      <c r="C721" s="332"/>
      <c r="D721" s="332"/>
      <c r="E721" s="332"/>
      <c r="F721" s="332"/>
      <c r="G721" s="332"/>
      <c r="H721" s="332"/>
      <c r="I721" s="332"/>
    </row>
    <row r="722" spans="1:9">
      <c r="A722" s="872"/>
      <c r="B722" s="332"/>
      <c r="C722" s="332"/>
      <c r="D722" s="332"/>
      <c r="E722" s="332"/>
      <c r="F722" s="332"/>
      <c r="G722" s="332"/>
      <c r="H722" s="332"/>
      <c r="I722" s="332"/>
    </row>
    <row r="723" spans="1:9">
      <c r="A723" s="872"/>
      <c r="B723" s="332"/>
      <c r="C723" s="332"/>
      <c r="D723" s="332"/>
      <c r="E723" s="332"/>
      <c r="F723" s="332"/>
      <c r="G723" s="332"/>
      <c r="H723" s="332"/>
      <c r="I723" s="332"/>
    </row>
    <row r="724" spans="1:9">
      <c r="A724" s="872"/>
      <c r="B724" s="332"/>
      <c r="C724" s="332"/>
      <c r="D724" s="332"/>
      <c r="E724" s="332"/>
      <c r="F724" s="332"/>
      <c r="G724" s="332"/>
      <c r="H724" s="332"/>
      <c r="I724" s="332"/>
    </row>
    <row r="725" spans="1:9">
      <c r="A725" s="872"/>
      <c r="B725" s="332"/>
      <c r="C725" s="332"/>
      <c r="D725" s="332"/>
      <c r="E725" s="332"/>
      <c r="F725" s="332"/>
      <c r="G725" s="332"/>
      <c r="H725" s="332"/>
      <c r="I725" s="332"/>
    </row>
    <row r="726" spans="1:9">
      <c r="A726" s="872"/>
      <c r="B726" s="332"/>
      <c r="C726" s="332"/>
      <c r="D726" s="332"/>
      <c r="E726" s="332"/>
      <c r="F726" s="332"/>
      <c r="G726" s="332"/>
      <c r="H726" s="332"/>
      <c r="I726" s="332"/>
    </row>
    <row r="727" spans="1:9">
      <c r="A727" s="872"/>
      <c r="B727" s="332"/>
      <c r="C727" s="332"/>
      <c r="D727" s="332"/>
      <c r="E727" s="332"/>
      <c r="F727" s="332"/>
      <c r="G727" s="332"/>
      <c r="H727" s="332"/>
      <c r="I727" s="332"/>
    </row>
    <row r="728" spans="1:9">
      <c r="A728" s="872"/>
      <c r="B728" s="332"/>
      <c r="C728" s="332"/>
      <c r="D728" s="332"/>
      <c r="E728" s="332"/>
      <c r="F728" s="332"/>
      <c r="G728" s="332"/>
      <c r="H728" s="332"/>
      <c r="I728" s="332"/>
    </row>
    <row r="729" spans="1:9">
      <c r="A729" s="872"/>
      <c r="B729" s="332"/>
      <c r="C729" s="332"/>
      <c r="D729" s="332"/>
      <c r="E729" s="332"/>
      <c r="F729" s="332"/>
      <c r="G729" s="332"/>
      <c r="H729" s="332"/>
      <c r="I729" s="332"/>
    </row>
    <row r="730" spans="1:9">
      <c r="A730" s="872"/>
      <c r="B730" s="332"/>
      <c r="C730" s="332"/>
      <c r="D730" s="332"/>
      <c r="E730" s="332"/>
      <c r="F730" s="332"/>
      <c r="G730" s="332"/>
      <c r="H730" s="332"/>
      <c r="I730" s="332"/>
    </row>
    <row r="731" spans="1:9">
      <c r="A731" s="872"/>
      <c r="B731" s="332"/>
      <c r="C731" s="332"/>
      <c r="D731" s="332"/>
      <c r="E731" s="332"/>
      <c r="F731" s="332"/>
      <c r="G731" s="332"/>
      <c r="H731" s="332"/>
      <c r="I731" s="332"/>
    </row>
    <row r="732" spans="1:9">
      <c r="A732" s="872"/>
      <c r="B732" s="332"/>
      <c r="C732" s="332"/>
      <c r="D732" s="332"/>
      <c r="E732" s="332"/>
      <c r="F732" s="332"/>
      <c r="G732" s="332"/>
      <c r="H732" s="332"/>
      <c r="I732" s="332"/>
    </row>
    <row r="733" spans="1:9">
      <c r="A733" s="872"/>
      <c r="B733" s="332"/>
      <c r="C733" s="332"/>
      <c r="D733" s="332"/>
      <c r="E733" s="332"/>
      <c r="F733" s="332"/>
      <c r="G733" s="332"/>
      <c r="H733" s="332"/>
      <c r="I733" s="332"/>
    </row>
    <row r="734" spans="1:9">
      <c r="A734" s="872"/>
      <c r="B734" s="332"/>
      <c r="C734" s="332"/>
      <c r="D734" s="332"/>
      <c r="E734" s="332"/>
      <c r="F734" s="332"/>
      <c r="G734" s="332"/>
      <c r="H734" s="332"/>
      <c r="I734" s="332"/>
    </row>
    <row r="735" spans="1:9">
      <c r="A735" s="872"/>
      <c r="B735" s="332"/>
      <c r="C735" s="332"/>
      <c r="D735" s="332"/>
      <c r="E735" s="332"/>
      <c r="F735" s="332"/>
      <c r="G735" s="332"/>
      <c r="H735" s="332"/>
      <c r="I735" s="332"/>
    </row>
    <row r="736" spans="1:9">
      <c r="A736" s="872"/>
      <c r="B736" s="332"/>
      <c r="C736" s="332"/>
      <c r="D736" s="332"/>
      <c r="E736" s="332"/>
      <c r="F736" s="332"/>
      <c r="G736" s="332"/>
      <c r="H736" s="332"/>
      <c r="I736" s="332"/>
    </row>
    <row r="737" spans="1:9">
      <c r="A737" s="872"/>
      <c r="B737" s="332"/>
      <c r="C737" s="332"/>
      <c r="D737" s="332"/>
      <c r="E737" s="332"/>
      <c r="F737" s="332"/>
      <c r="G737" s="332"/>
      <c r="H737" s="332"/>
      <c r="I737" s="332"/>
    </row>
    <row r="738" spans="1:9">
      <c r="A738" s="872"/>
      <c r="B738" s="332"/>
      <c r="C738" s="332"/>
      <c r="D738" s="332"/>
      <c r="E738" s="332"/>
      <c r="F738" s="332"/>
      <c r="G738" s="332"/>
      <c r="H738" s="332"/>
      <c r="I738" s="332"/>
    </row>
    <row r="739" spans="1:9">
      <c r="A739" s="872"/>
      <c r="B739" s="332"/>
      <c r="C739" s="332"/>
      <c r="D739" s="332"/>
      <c r="E739" s="332"/>
      <c r="F739" s="332"/>
      <c r="G739" s="332"/>
      <c r="H739" s="332"/>
      <c r="I739" s="332"/>
    </row>
    <row r="740" spans="1:9">
      <c r="A740" s="872"/>
      <c r="B740" s="332"/>
      <c r="C740" s="332"/>
      <c r="D740" s="332"/>
      <c r="E740" s="332"/>
      <c r="F740" s="332"/>
      <c r="G740" s="332"/>
      <c r="H740" s="332"/>
      <c r="I740" s="332"/>
    </row>
    <row r="741" spans="1:9">
      <c r="A741" s="872"/>
      <c r="B741" s="332"/>
      <c r="C741" s="332"/>
      <c r="D741" s="332"/>
      <c r="E741" s="332"/>
      <c r="F741" s="332"/>
      <c r="G741" s="332"/>
      <c r="H741" s="332"/>
      <c r="I741" s="332"/>
    </row>
    <row r="742" spans="1:9">
      <c r="A742" s="872"/>
      <c r="B742" s="332"/>
      <c r="C742" s="332"/>
      <c r="D742" s="332"/>
      <c r="E742" s="332"/>
      <c r="F742" s="332"/>
      <c r="G742" s="332"/>
      <c r="H742" s="332"/>
      <c r="I742" s="332"/>
    </row>
    <row r="743" spans="1:9">
      <c r="A743" s="872"/>
      <c r="B743" s="332"/>
      <c r="C743" s="332"/>
      <c r="D743" s="332"/>
      <c r="E743" s="332"/>
      <c r="F743" s="332"/>
      <c r="G743" s="332"/>
      <c r="H743" s="332"/>
      <c r="I743" s="332"/>
    </row>
    <row r="744" spans="1:9">
      <c r="A744" s="872"/>
      <c r="B744" s="332"/>
      <c r="C744" s="332"/>
      <c r="D744" s="332"/>
      <c r="E744" s="332"/>
      <c r="F744" s="332"/>
      <c r="G744" s="332"/>
      <c r="H744" s="332"/>
      <c r="I744" s="332"/>
    </row>
    <row r="745" spans="1:9">
      <c r="A745" s="872"/>
      <c r="B745" s="332"/>
      <c r="C745" s="332"/>
      <c r="D745" s="332"/>
      <c r="E745" s="332"/>
      <c r="F745" s="332"/>
      <c r="G745" s="332"/>
      <c r="H745" s="332"/>
      <c r="I745" s="332"/>
    </row>
    <row r="746" spans="1:9">
      <c r="A746" s="872"/>
      <c r="B746" s="332"/>
      <c r="C746" s="332"/>
      <c r="D746" s="332"/>
      <c r="E746" s="332"/>
      <c r="F746" s="332"/>
      <c r="G746" s="332"/>
      <c r="H746" s="332"/>
      <c r="I746" s="332"/>
    </row>
    <row r="747" spans="1:9">
      <c r="A747" s="872"/>
      <c r="B747" s="332"/>
      <c r="C747" s="332"/>
      <c r="D747" s="332"/>
      <c r="E747" s="332"/>
      <c r="F747" s="332"/>
      <c r="G747" s="332"/>
      <c r="H747" s="332"/>
      <c r="I747" s="332"/>
    </row>
    <row r="748" spans="1:9">
      <c r="A748" s="872"/>
      <c r="B748" s="332"/>
      <c r="C748" s="332"/>
      <c r="D748" s="332"/>
      <c r="E748" s="332"/>
      <c r="F748" s="332"/>
      <c r="G748" s="332"/>
      <c r="H748" s="332"/>
      <c r="I748" s="332"/>
    </row>
    <row r="749" spans="1:9">
      <c r="A749" s="872"/>
      <c r="B749" s="332"/>
      <c r="C749" s="332"/>
      <c r="D749" s="332"/>
      <c r="E749" s="332"/>
      <c r="F749" s="332"/>
      <c r="G749" s="332"/>
      <c r="H749" s="332"/>
      <c r="I749" s="332"/>
    </row>
    <row r="750" spans="1:9">
      <c r="A750" s="872"/>
      <c r="B750" s="332"/>
      <c r="C750" s="332"/>
      <c r="D750" s="332"/>
      <c r="E750" s="332"/>
      <c r="F750" s="332"/>
      <c r="G750" s="332"/>
      <c r="H750" s="332"/>
      <c r="I750" s="332"/>
    </row>
    <row r="751" spans="1:9">
      <c r="A751" s="872"/>
      <c r="B751" s="332"/>
      <c r="C751" s="332"/>
      <c r="D751" s="332"/>
      <c r="E751" s="332"/>
      <c r="F751" s="332"/>
      <c r="G751" s="332"/>
      <c r="H751" s="332"/>
      <c r="I751" s="332"/>
    </row>
    <row r="752" spans="1:9">
      <c r="A752" s="872"/>
      <c r="B752" s="332"/>
      <c r="C752" s="332"/>
      <c r="D752" s="332"/>
      <c r="E752" s="332"/>
      <c r="F752" s="332"/>
      <c r="G752" s="332"/>
      <c r="H752" s="332"/>
      <c r="I752" s="332"/>
    </row>
    <row r="753" spans="1:9">
      <c r="A753" s="872"/>
      <c r="B753" s="332"/>
      <c r="C753" s="332"/>
      <c r="D753" s="332"/>
      <c r="E753" s="332"/>
      <c r="F753" s="332"/>
      <c r="G753" s="332"/>
      <c r="H753" s="332"/>
      <c r="I753" s="332"/>
    </row>
    <row r="754" spans="1:9">
      <c r="A754" s="872"/>
      <c r="B754" s="332"/>
      <c r="C754" s="332"/>
      <c r="D754" s="332"/>
      <c r="E754" s="332"/>
      <c r="F754" s="332"/>
      <c r="G754" s="332"/>
      <c r="H754" s="332"/>
      <c r="I754" s="332"/>
    </row>
    <row r="755" spans="1:9">
      <c r="A755" s="872"/>
      <c r="B755" s="332"/>
      <c r="C755" s="332"/>
      <c r="D755" s="332"/>
      <c r="E755" s="332"/>
      <c r="F755" s="332"/>
      <c r="G755" s="332"/>
      <c r="H755" s="332"/>
      <c r="I755" s="332"/>
    </row>
    <row r="756" spans="1:9">
      <c r="A756" s="872"/>
      <c r="B756" s="332"/>
      <c r="C756" s="332"/>
      <c r="D756" s="332"/>
      <c r="E756" s="332"/>
      <c r="F756" s="332"/>
      <c r="G756" s="332"/>
      <c r="H756" s="332"/>
      <c r="I756" s="332"/>
    </row>
    <row r="757" spans="1:9">
      <c r="A757" s="872"/>
      <c r="B757" s="332"/>
      <c r="C757" s="332"/>
      <c r="D757" s="332"/>
      <c r="E757" s="332"/>
      <c r="F757" s="332"/>
      <c r="G757" s="332"/>
      <c r="H757" s="332"/>
      <c r="I757" s="332"/>
    </row>
    <row r="758" spans="1:9">
      <c r="A758" s="872"/>
      <c r="B758" s="332"/>
      <c r="C758" s="332"/>
      <c r="D758" s="332"/>
      <c r="E758" s="332"/>
      <c r="F758" s="332"/>
      <c r="G758" s="332"/>
      <c r="H758" s="332"/>
      <c r="I758" s="332"/>
    </row>
    <row r="759" spans="1:9">
      <c r="A759" s="872"/>
      <c r="B759" s="332"/>
      <c r="C759" s="332"/>
      <c r="D759" s="332"/>
      <c r="E759" s="332"/>
      <c r="F759" s="332"/>
      <c r="G759" s="332"/>
      <c r="H759" s="332"/>
      <c r="I759" s="332"/>
    </row>
    <row r="760" spans="1:9">
      <c r="A760" s="872"/>
      <c r="B760" s="332"/>
      <c r="C760" s="332"/>
      <c r="D760" s="332"/>
      <c r="E760" s="332"/>
      <c r="F760" s="332"/>
      <c r="G760" s="332"/>
      <c r="H760" s="332"/>
      <c r="I760" s="332"/>
    </row>
    <row r="761" spans="1:9">
      <c r="A761" s="872"/>
      <c r="B761" s="332"/>
      <c r="C761" s="332"/>
      <c r="D761" s="332"/>
      <c r="E761" s="332"/>
      <c r="F761" s="332"/>
      <c r="G761" s="332"/>
      <c r="H761" s="332"/>
      <c r="I761" s="332"/>
    </row>
    <row r="762" spans="1:9">
      <c r="A762" s="872"/>
      <c r="B762" s="332"/>
      <c r="C762" s="332"/>
      <c r="D762" s="332"/>
      <c r="E762" s="332"/>
      <c r="F762" s="332"/>
      <c r="G762" s="332"/>
      <c r="H762" s="332"/>
      <c r="I762" s="332"/>
    </row>
    <row r="763" spans="1:9">
      <c r="A763" s="872"/>
      <c r="B763" s="332"/>
      <c r="C763" s="332"/>
      <c r="D763" s="332"/>
      <c r="E763" s="332"/>
      <c r="F763" s="332"/>
      <c r="G763" s="332"/>
      <c r="H763" s="332"/>
      <c r="I763" s="332"/>
    </row>
    <row r="764" spans="1:9">
      <c r="A764" s="872"/>
      <c r="B764" s="332"/>
      <c r="C764" s="332"/>
      <c r="D764" s="332"/>
      <c r="E764" s="332"/>
      <c r="F764" s="332"/>
      <c r="G764" s="332"/>
      <c r="H764" s="332"/>
      <c r="I764" s="332"/>
    </row>
    <row r="765" spans="1:9">
      <c r="A765" s="872"/>
      <c r="B765" s="332"/>
      <c r="C765" s="332"/>
      <c r="D765" s="332"/>
      <c r="E765" s="332"/>
      <c r="F765" s="332"/>
      <c r="G765" s="332"/>
      <c r="H765" s="332"/>
      <c r="I765" s="332"/>
    </row>
    <row r="766" spans="1:9">
      <c r="A766" s="872"/>
      <c r="B766" s="332"/>
      <c r="C766" s="332"/>
      <c r="D766" s="332"/>
      <c r="E766" s="332"/>
      <c r="F766" s="332"/>
      <c r="G766" s="332"/>
      <c r="H766" s="332"/>
      <c r="I766" s="332"/>
    </row>
    <row r="767" spans="1:9">
      <c r="A767" s="872"/>
      <c r="B767" s="332"/>
      <c r="C767" s="332"/>
      <c r="D767" s="332"/>
      <c r="E767" s="332"/>
      <c r="F767" s="332"/>
      <c r="G767" s="332"/>
      <c r="H767" s="332"/>
      <c r="I767" s="332"/>
    </row>
    <row r="768" spans="1:9">
      <c r="A768" s="872"/>
      <c r="B768" s="332"/>
      <c r="C768" s="332"/>
      <c r="D768" s="332"/>
      <c r="E768" s="332"/>
      <c r="F768" s="332"/>
      <c r="G768" s="332"/>
      <c r="H768" s="332"/>
      <c r="I768" s="332"/>
    </row>
    <row r="769" spans="1:9">
      <c r="A769" s="872"/>
      <c r="B769" s="332"/>
      <c r="C769" s="332"/>
      <c r="D769" s="332"/>
      <c r="E769" s="332"/>
      <c r="F769" s="332"/>
      <c r="G769" s="332"/>
      <c r="H769" s="332"/>
      <c r="I769" s="332"/>
    </row>
    <row r="770" spans="1:9">
      <c r="A770" s="872"/>
      <c r="B770" s="332"/>
      <c r="C770" s="332"/>
      <c r="D770" s="332"/>
      <c r="E770" s="332"/>
      <c r="F770" s="332"/>
      <c r="G770" s="332"/>
      <c r="H770" s="332"/>
      <c r="I770" s="332"/>
    </row>
    <row r="771" spans="1:9">
      <c r="A771" s="872"/>
      <c r="B771" s="332"/>
      <c r="C771" s="332"/>
      <c r="D771" s="332"/>
      <c r="E771" s="332"/>
      <c r="F771" s="332"/>
      <c r="G771" s="332"/>
      <c r="H771" s="332"/>
      <c r="I771" s="332"/>
    </row>
    <row r="772" spans="1:9">
      <c r="A772" s="872"/>
      <c r="B772" s="332"/>
      <c r="C772" s="332"/>
      <c r="D772" s="332"/>
      <c r="E772" s="332"/>
      <c r="F772" s="332"/>
      <c r="G772" s="332"/>
      <c r="H772" s="332"/>
      <c r="I772" s="332"/>
    </row>
    <row r="773" spans="1:9">
      <c r="A773" s="872"/>
      <c r="B773" s="332"/>
      <c r="C773" s="332"/>
      <c r="D773" s="332"/>
      <c r="E773" s="332"/>
      <c r="F773" s="332"/>
      <c r="G773" s="332"/>
      <c r="H773" s="332"/>
      <c r="I773" s="332"/>
    </row>
    <row r="774" spans="1:9">
      <c r="A774" s="872"/>
      <c r="B774" s="332"/>
      <c r="C774" s="332"/>
      <c r="D774" s="332"/>
      <c r="E774" s="332"/>
      <c r="F774" s="332"/>
      <c r="G774" s="332"/>
      <c r="H774" s="332"/>
      <c r="I774" s="332"/>
    </row>
    <row r="775" spans="1:9">
      <c r="A775" s="872"/>
      <c r="B775" s="332"/>
      <c r="C775" s="332"/>
      <c r="D775" s="332"/>
      <c r="E775" s="332"/>
      <c r="F775" s="332"/>
      <c r="G775" s="332"/>
      <c r="H775" s="332"/>
      <c r="I775" s="332"/>
    </row>
    <row r="776" spans="1:9">
      <c r="A776" s="872"/>
      <c r="B776" s="332"/>
      <c r="C776" s="332"/>
      <c r="D776" s="332"/>
      <c r="E776" s="332"/>
      <c r="F776" s="332"/>
      <c r="G776" s="332"/>
      <c r="H776" s="332"/>
      <c r="I776" s="332"/>
    </row>
    <row r="777" spans="1:9">
      <c r="A777" s="872"/>
      <c r="B777" s="332"/>
      <c r="C777" s="332"/>
      <c r="D777" s="332"/>
      <c r="E777" s="332"/>
      <c r="F777" s="332"/>
      <c r="G777" s="332"/>
      <c r="H777" s="332"/>
      <c r="I777" s="332"/>
    </row>
    <row r="778" spans="1:9">
      <c r="A778" s="872"/>
      <c r="B778" s="332"/>
      <c r="C778" s="332"/>
      <c r="D778" s="332"/>
      <c r="E778" s="332"/>
      <c r="F778" s="332"/>
      <c r="G778" s="332"/>
      <c r="H778" s="332"/>
      <c r="I778" s="332"/>
    </row>
    <row r="779" spans="1:9">
      <c r="A779" s="872"/>
      <c r="B779" s="332"/>
      <c r="C779" s="332"/>
      <c r="D779" s="332"/>
      <c r="E779" s="332"/>
      <c r="F779" s="332"/>
      <c r="G779" s="332"/>
      <c r="H779" s="332"/>
      <c r="I779" s="332"/>
    </row>
    <row r="780" spans="1:9">
      <c r="A780" s="872"/>
      <c r="B780" s="332"/>
      <c r="C780" s="332"/>
      <c r="D780" s="332"/>
      <c r="E780" s="332"/>
      <c r="F780" s="332"/>
      <c r="G780" s="332"/>
      <c r="H780" s="332"/>
      <c r="I780" s="332"/>
    </row>
    <row r="781" spans="1:9">
      <c r="A781" s="872"/>
      <c r="B781" s="332"/>
      <c r="C781" s="332"/>
      <c r="D781" s="332"/>
      <c r="E781" s="332"/>
      <c r="F781" s="332"/>
      <c r="G781" s="332"/>
      <c r="H781" s="332"/>
      <c r="I781" s="332"/>
    </row>
    <row r="782" spans="1:9">
      <c r="A782" s="872"/>
      <c r="B782" s="332"/>
      <c r="C782" s="332"/>
      <c r="D782" s="332"/>
      <c r="E782" s="332"/>
      <c r="F782" s="332"/>
      <c r="G782" s="332"/>
      <c r="H782" s="332"/>
      <c r="I782" s="332"/>
    </row>
    <row r="783" spans="1:9">
      <c r="A783" s="872"/>
      <c r="B783" s="332"/>
      <c r="C783" s="332"/>
      <c r="D783" s="332"/>
      <c r="E783" s="332"/>
      <c r="F783" s="332"/>
      <c r="G783" s="332"/>
      <c r="H783" s="332"/>
      <c r="I783" s="332"/>
    </row>
    <row r="784" spans="1:9">
      <c r="A784" s="872"/>
      <c r="B784" s="332"/>
      <c r="C784" s="332"/>
      <c r="D784" s="332"/>
      <c r="E784" s="332"/>
      <c r="F784" s="332"/>
      <c r="G784" s="332"/>
      <c r="H784" s="332"/>
      <c r="I784" s="332"/>
    </row>
    <row r="785" spans="1:9">
      <c r="A785" s="872"/>
      <c r="B785" s="332"/>
      <c r="C785" s="332"/>
      <c r="D785" s="332"/>
      <c r="E785" s="332"/>
      <c r="F785" s="332"/>
      <c r="G785" s="332"/>
      <c r="H785" s="332"/>
      <c r="I785" s="332"/>
    </row>
    <row r="786" spans="1:9">
      <c r="A786" s="872"/>
      <c r="B786" s="332"/>
      <c r="C786" s="332"/>
      <c r="D786" s="332"/>
      <c r="E786" s="332"/>
      <c r="F786" s="332"/>
      <c r="G786" s="332"/>
      <c r="H786" s="332"/>
      <c r="I786" s="332"/>
    </row>
    <row r="787" spans="1:9">
      <c r="A787" s="872"/>
      <c r="B787" s="332"/>
      <c r="C787" s="332"/>
      <c r="D787" s="332"/>
      <c r="E787" s="332"/>
      <c r="F787" s="332"/>
      <c r="G787" s="332"/>
      <c r="H787" s="332"/>
      <c r="I787" s="332"/>
    </row>
    <row r="788" spans="1:9">
      <c r="A788" s="872"/>
      <c r="B788" s="332"/>
      <c r="C788" s="332"/>
      <c r="D788" s="332"/>
      <c r="E788" s="332"/>
      <c r="F788" s="332"/>
      <c r="G788" s="332"/>
      <c r="H788" s="332"/>
      <c r="I788" s="332"/>
    </row>
    <row r="789" spans="1:9">
      <c r="A789" s="872"/>
      <c r="B789" s="332"/>
      <c r="C789" s="332"/>
      <c r="D789" s="332"/>
      <c r="E789" s="332"/>
      <c r="F789" s="332"/>
      <c r="G789" s="332"/>
      <c r="H789" s="332"/>
      <c r="I789" s="332"/>
    </row>
    <row r="790" spans="1:9">
      <c r="A790" s="872"/>
      <c r="B790" s="332"/>
      <c r="C790" s="332"/>
      <c r="D790" s="332"/>
      <c r="E790" s="332"/>
      <c r="F790" s="332"/>
      <c r="G790" s="332"/>
      <c r="H790" s="332"/>
      <c r="I790" s="332"/>
    </row>
    <row r="791" spans="1:9">
      <c r="A791" s="872"/>
      <c r="B791" s="332"/>
      <c r="C791" s="332"/>
      <c r="D791" s="332"/>
      <c r="E791" s="332"/>
      <c r="F791" s="332"/>
      <c r="G791" s="332"/>
      <c r="H791" s="332"/>
      <c r="I791" s="332"/>
    </row>
    <row r="792" spans="1:9">
      <c r="A792" s="872"/>
      <c r="B792" s="332"/>
      <c r="C792" s="332"/>
      <c r="D792" s="332"/>
      <c r="E792" s="332"/>
      <c r="F792" s="332"/>
      <c r="G792" s="332"/>
      <c r="H792" s="332"/>
      <c r="I792" s="332"/>
    </row>
    <row r="793" spans="1:9">
      <c r="A793" s="872"/>
      <c r="B793" s="332"/>
      <c r="C793" s="332"/>
      <c r="D793" s="332"/>
      <c r="E793" s="332"/>
      <c r="F793" s="332"/>
      <c r="G793" s="332"/>
      <c r="H793" s="332"/>
      <c r="I793" s="332"/>
    </row>
    <row r="794" spans="1:9">
      <c r="A794" s="872"/>
      <c r="B794" s="332"/>
      <c r="C794" s="332"/>
      <c r="D794" s="332"/>
      <c r="E794" s="332"/>
      <c r="F794" s="332"/>
      <c r="G794" s="332"/>
      <c r="H794" s="332"/>
      <c r="I794" s="332"/>
    </row>
    <row r="795" spans="1:9">
      <c r="A795" s="872"/>
      <c r="B795" s="332"/>
      <c r="C795" s="332"/>
      <c r="D795" s="332"/>
      <c r="E795" s="332"/>
      <c r="F795" s="332"/>
      <c r="G795" s="332"/>
      <c r="H795" s="332"/>
      <c r="I795" s="332"/>
    </row>
    <row r="796" spans="1:9">
      <c r="A796" s="872"/>
      <c r="B796" s="332"/>
      <c r="C796" s="332"/>
      <c r="D796" s="332"/>
      <c r="E796" s="332"/>
      <c r="F796" s="332"/>
      <c r="G796" s="332"/>
      <c r="H796" s="332"/>
      <c r="I796" s="332"/>
    </row>
    <row r="797" spans="1:9">
      <c r="A797" s="872"/>
      <c r="B797" s="332"/>
      <c r="C797" s="332"/>
      <c r="D797" s="332"/>
      <c r="E797" s="332"/>
      <c r="F797" s="332"/>
      <c r="G797" s="332"/>
      <c r="H797" s="332"/>
      <c r="I797" s="332"/>
    </row>
    <row r="798" spans="1:9">
      <c r="A798" s="872"/>
      <c r="B798" s="332"/>
      <c r="C798" s="332"/>
      <c r="D798" s="332"/>
      <c r="E798" s="332"/>
      <c r="F798" s="332"/>
      <c r="G798" s="332"/>
      <c r="H798" s="332"/>
      <c r="I798" s="332"/>
    </row>
    <row r="799" spans="1:9">
      <c r="A799" s="872"/>
      <c r="B799" s="332"/>
      <c r="C799" s="332"/>
      <c r="D799" s="332"/>
      <c r="E799" s="332"/>
      <c r="F799" s="332"/>
      <c r="G799" s="332"/>
      <c r="H799" s="332"/>
      <c r="I799" s="332"/>
    </row>
    <row r="800" spans="1:9">
      <c r="A800" s="872"/>
      <c r="B800" s="332"/>
      <c r="C800" s="332"/>
      <c r="D800" s="332"/>
      <c r="E800" s="332"/>
      <c r="F800" s="332"/>
      <c r="G800" s="332"/>
      <c r="H800" s="332"/>
      <c r="I800" s="332"/>
    </row>
    <row r="801" spans="1:9">
      <c r="A801" s="872"/>
      <c r="B801" s="332"/>
      <c r="C801" s="332"/>
      <c r="D801" s="332"/>
      <c r="E801" s="332"/>
      <c r="F801" s="332"/>
      <c r="G801" s="332"/>
      <c r="H801" s="332"/>
      <c r="I801" s="332"/>
    </row>
    <row r="802" spans="1:9">
      <c r="A802" s="872"/>
      <c r="B802" s="332"/>
      <c r="C802" s="332"/>
      <c r="D802" s="332"/>
      <c r="E802" s="332"/>
      <c r="F802" s="332"/>
      <c r="G802" s="332"/>
      <c r="H802" s="332"/>
      <c r="I802" s="332"/>
    </row>
    <row r="803" spans="1:9">
      <c r="A803" s="872"/>
      <c r="B803" s="332"/>
      <c r="C803" s="332"/>
      <c r="D803" s="332"/>
      <c r="E803" s="332"/>
      <c r="F803" s="332"/>
      <c r="G803" s="332"/>
      <c r="H803" s="332"/>
      <c r="I803" s="332"/>
    </row>
    <row r="804" spans="1:9">
      <c r="A804" s="872"/>
      <c r="B804" s="332"/>
      <c r="C804" s="332"/>
      <c r="D804" s="332"/>
      <c r="E804" s="332"/>
      <c r="F804" s="332"/>
      <c r="G804" s="332"/>
      <c r="H804" s="332"/>
      <c r="I804" s="332"/>
    </row>
    <row r="805" spans="1:9">
      <c r="A805" s="872"/>
      <c r="B805" s="332"/>
      <c r="C805" s="332"/>
      <c r="D805" s="332"/>
      <c r="E805" s="332"/>
      <c r="F805" s="332"/>
      <c r="G805" s="332"/>
      <c r="H805" s="332"/>
      <c r="I805" s="332"/>
    </row>
    <row r="806" spans="1:9">
      <c r="A806" s="872"/>
      <c r="B806" s="332"/>
      <c r="C806" s="332"/>
      <c r="D806" s="332"/>
      <c r="E806" s="332"/>
      <c r="F806" s="332"/>
      <c r="G806" s="332"/>
      <c r="H806" s="332"/>
      <c r="I806" s="332"/>
    </row>
    <row r="807" spans="1:9">
      <c r="A807" s="872"/>
      <c r="B807" s="332"/>
      <c r="C807" s="332"/>
      <c r="D807" s="332"/>
      <c r="E807" s="332"/>
      <c r="F807" s="332"/>
      <c r="G807" s="332"/>
      <c r="H807" s="332"/>
      <c r="I807" s="332"/>
    </row>
    <row r="808" spans="1:9">
      <c r="A808" s="872"/>
      <c r="B808" s="332"/>
      <c r="C808" s="332"/>
      <c r="D808" s="332"/>
      <c r="E808" s="332"/>
      <c r="F808" s="332"/>
      <c r="G808" s="332"/>
      <c r="H808" s="332"/>
      <c r="I808" s="332"/>
    </row>
    <row r="809" spans="1:9">
      <c r="A809" s="872"/>
      <c r="B809" s="332"/>
      <c r="C809" s="332"/>
      <c r="D809" s="332"/>
      <c r="E809" s="332"/>
      <c r="F809" s="332"/>
      <c r="G809" s="332"/>
      <c r="H809" s="332"/>
      <c r="I809" s="332"/>
    </row>
    <row r="810" spans="1:9">
      <c r="A810" s="872"/>
      <c r="B810" s="332"/>
      <c r="C810" s="332"/>
      <c r="D810" s="332"/>
      <c r="E810" s="332"/>
      <c r="F810" s="332"/>
      <c r="G810" s="332"/>
      <c r="H810" s="332"/>
      <c r="I810" s="332"/>
    </row>
  </sheetData>
  <sortState ref="D13:D708">
    <sortCondition ref="D13:D708"/>
  </sortState>
  <mergeCells count="1">
    <mergeCell ref="A1:I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2"/>
  <sheetViews>
    <sheetView zoomScaleNormal="100" workbookViewId="0">
      <pane ySplit="6" topLeftCell="A223" activePane="bottomLeft" state="frozen"/>
      <selection activeCell="C1" sqref="C1"/>
      <selection pane="bottomLeft" activeCell="D239" sqref="D239"/>
    </sheetView>
    <sheetView workbookViewId="1">
      <pane ySplit="6" topLeftCell="A234" activePane="bottomLeft" state="frozen"/>
      <selection pane="bottomLeft" activeCell="F244" sqref="F244"/>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73" t="s">
        <v>902</v>
      </c>
      <c r="B1" s="1074"/>
      <c r="C1" s="1074"/>
      <c r="D1" s="1074"/>
      <c r="E1" s="1074"/>
      <c r="F1" s="1074"/>
      <c r="G1" s="1074"/>
      <c r="H1" s="1215"/>
      <c r="I1" s="323"/>
      <c r="J1" s="524"/>
      <c r="K1" s="525" t="s">
        <v>803</v>
      </c>
      <c r="L1" s="322">
        <f>SUM(G7:G300)</f>
        <v>833.1900000000004</v>
      </c>
      <c r="M1" s="323" t="s">
        <v>114</v>
      </c>
    </row>
    <row r="2" spans="1:26" ht="18">
      <c r="A2" s="1076"/>
      <c r="B2" s="1077"/>
      <c r="C2" s="1077"/>
      <c r="D2" s="1077"/>
      <c r="E2" s="1077"/>
      <c r="F2" s="1077"/>
      <c r="G2" s="1077"/>
      <c r="H2" s="1216"/>
      <c r="J2" s="382"/>
      <c r="K2" s="526" t="s">
        <v>694</v>
      </c>
      <c r="L2" s="322">
        <f>SUM(H7:H300)</f>
        <v>110.79480113636356</v>
      </c>
      <c r="M2" s="323" t="s">
        <v>644</v>
      </c>
    </row>
    <row r="3" spans="1:26" ht="16.5" thickBot="1">
      <c r="A3" s="1079"/>
      <c r="B3" s="1080"/>
      <c r="C3" s="1080"/>
      <c r="D3" s="1080"/>
      <c r="E3" s="1080"/>
      <c r="F3" s="1080"/>
      <c r="G3" s="1080"/>
      <c r="H3" s="1217"/>
      <c r="I3" s="109"/>
      <c r="L3" s="315"/>
      <c r="M3" s="315"/>
      <c r="N3" s="316"/>
      <c r="O3" s="315"/>
      <c r="P3" s="315"/>
      <c r="Q3" s="315"/>
      <c r="R3" s="315"/>
      <c r="S3" s="315"/>
      <c r="T3" s="315"/>
      <c r="U3" s="315"/>
      <c r="V3" s="315"/>
      <c r="W3" s="315"/>
      <c r="X3" s="315"/>
      <c r="Y3" s="315"/>
      <c r="Z3" s="315"/>
    </row>
    <row r="4" spans="1:26" ht="15.75" customHeight="1">
      <c r="A4" s="60"/>
      <c r="B4" s="62"/>
      <c r="C4" s="61" t="s">
        <v>234</v>
      </c>
      <c r="D4" s="62"/>
      <c r="E4" s="65"/>
      <c r="F4" s="61"/>
      <c r="G4" s="62"/>
      <c r="H4" s="266"/>
      <c r="I4" s="318" t="s">
        <v>641</v>
      </c>
      <c r="J4" s="318" t="s">
        <v>641</v>
      </c>
      <c r="K4" s="318" t="s">
        <v>641</v>
      </c>
      <c r="L4" s="110"/>
      <c r="N4" s="36"/>
      <c r="O4" s="108"/>
    </row>
    <row r="5" spans="1:26" ht="15.75">
      <c r="A5" s="66" t="s">
        <v>210</v>
      </c>
      <c r="B5" s="67"/>
      <c r="C5" s="67" t="s">
        <v>166</v>
      </c>
      <c r="D5" s="67"/>
      <c r="E5" s="67"/>
      <c r="F5" s="67" t="s">
        <v>213</v>
      </c>
      <c r="G5" s="67" t="s">
        <v>214</v>
      </c>
      <c r="H5" s="267" t="s">
        <v>571</v>
      </c>
      <c r="I5" s="317" t="s">
        <v>642</v>
      </c>
      <c r="J5" s="317" t="s">
        <v>642</v>
      </c>
      <c r="K5" s="317" t="s">
        <v>642</v>
      </c>
      <c r="L5" s="110"/>
      <c r="M5" s="320"/>
      <c r="N5" s="36"/>
      <c r="O5" s="108"/>
      <c r="Q5" s="320"/>
      <c r="U5" s="108"/>
      <c r="Y5" s="108"/>
    </row>
    <row r="6" spans="1:26" ht="16.5" thickBot="1">
      <c r="A6" s="69" t="s">
        <v>211</v>
      </c>
      <c r="B6" s="70" t="s">
        <v>165</v>
      </c>
      <c r="C6" s="71" t="s">
        <v>167</v>
      </c>
      <c r="D6" s="70" t="s">
        <v>168</v>
      </c>
      <c r="E6" s="70" t="s">
        <v>169</v>
      </c>
      <c r="F6" s="71" t="s">
        <v>170</v>
      </c>
      <c r="G6" s="71" t="s">
        <v>171</v>
      </c>
      <c r="H6" s="268" t="s">
        <v>624</v>
      </c>
      <c r="I6" s="318" t="s">
        <v>639</v>
      </c>
      <c r="J6" s="319" t="s">
        <v>640</v>
      </c>
      <c r="K6" s="319" t="s">
        <v>691</v>
      </c>
      <c r="L6" s="110"/>
      <c r="N6" s="36"/>
      <c r="O6" s="108"/>
      <c r="P6" s="169"/>
      <c r="Q6" s="43"/>
      <c r="R6" s="169"/>
      <c r="X6" s="169"/>
      <c r="Y6" s="43"/>
      <c r="Z6" s="169"/>
    </row>
    <row r="7" spans="1:26" ht="15.75" thickTop="1">
      <c r="A7" s="600">
        <v>1</v>
      </c>
      <c r="B7" s="783">
        <v>18394</v>
      </c>
      <c r="C7" s="784">
        <v>0.77083333333333337</v>
      </c>
      <c r="D7" s="601" t="s">
        <v>128</v>
      </c>
      <c r="E7" s="785" t="s">
        <v>150</v>
      </c>
      <c r="F7" s="786">
        <v>77</v>
      </c>
      <c r="G7" s="786">
        <v>0.5</v>
      </c>
      <c r="H7" s="794">
        <f>+(F7/1760)*G7</f>
        <v>2.1874999999999999E-2</v>
      </c>
      <c r="I7" s="169">
        <f>LN(F7)</f>
        <v>4.3438054218536841</v>
      </c>
      <c r="J7" s="169">
        <f>LN(G7)</f>
        <v>-0.69314718055994529</v>
      </c>
      <c r="K7" s="169">
        <f>LN(H7)</f>
        <v>-3.822410846738459</v>
      </c>
    </row>
    <row r="8" spans="1:26">
      <c r="A8" s="616">
        <f>+A7+1</f>
        <v>2</v>
      </c>
      <c r="B8" s="618">
        <v>18537</v>
      </c>
      <c r="C8" s="604">
        <v>0.875</v>
      </c>
      <c r="D8" s="617" t="s">
        <v>126</v>
      </c>
      <c r="E8" s="620" t="s">
        <v>150</v>
      </c>
      <c r="F8" s="621">
        <v>33</v>
      </c>
      <c r="G8" s="621">
        <v>15.8</v>
      </c>
      <c r="H8" s="794">
        <f>+(F8/1760)*G8</f>
        <v>0.29625000000000001</v>
      </c>
      <c r="I8" s="169">
        <f t="shared" ref="I8:J71" si="0">LN(F8)</f>
        <v>3.4965075614664802</v>
      </c>
      <c r="J8" s="169">
        <f t="shared" si="0"/>
        <v>2.760009940032921</v>
      </c>
      <c r="K8" s="169">
        <f t="shared" ref="K8:K71" si="1">LN(H8)</f>
        <v>-1.216551586532796</v>
      </c>
    </row>
    <row r="9" spans="1:26">
      <c r="A9" s="616">
        <f t="shared" ref="A9:A72" si="2">+A8+1</f>
        <v>3</v>
      </c>
      <c r="B9" s="618">
        <v>18744</v>
      </c>
      <c r="C9" s="604">
        <v>0.80208333333333337</v>
      </c>
      <c r="D9" s="617" t="s">
        <v>128</v>
      </c>
      <c r="E9" s="620" t="s">
        <v>150</v>
      </c>
      <c r="F9" s="621">
        <v>10</v>
      </c>
      <c r="G9" s="621">
        <v>0.1</v>
      </c>
      <c r="H9" s="794">
        <f t="shared" ref="H9:H72" si="3">+(F9/1760)*G9</f>
        <v>5.6818181818181826E-4</v>
      </c>
      <c r="I9" s="169">
        <f t="shared" si="0"/>
        <v>2.3025850929940459</v>
      </c>
      <c r="J9" s="169">
        <f t="shared" si="0"/>
        <v>-2.3025850929940455</v>
      </c>
      <c r="K9" s="169">
        <f t="shared" si="1"/>
        <v>-7.4730690880321973</v>
      </c>
    </row>
    <row r="10" spans="1:26">
      <c r="A10" s="616">
        <f t="shared" si="2"/>
        <v>4</v>
      </c>
      <c r="B10" s="618">
        <v>18779</v>
      </c>
      <c r="C10" s="604">
        <v>0.66666666666666663</v>
      </c>
      <c r="D10" s="617" t="s">
        <v>136</v>
      </c>
      <c r="E10" s="620" t="s">
        <v>150</v>
      </c>
      <c r="F10" s="621">
        <v>17</v>
      </c>
      <c r="G10" s="621">
        <v>0.5</v>
      </c>
      <c r="H10" s="794">
        <f t="shared" si="3"/>
        <v>4.8295454545454544E-3</v>
      </c>
      <c r="I10" s="169">
        <f t="shared" si="0"/>
        <v>2.8332133440562162</v>
      </c>
      <c r="J10" s="169">
        <f t="shared" si="0"/>
        <v>-0.69314718055994529</v>
      </c>
      <c r="K10" s="169">
        <f t="shared" si="1"/>
        <v>-5.3330029245359265</v>
      </c>
    </row>
    <row r="11" spans="1:26">
      <c r="A11" s="616">
        <f t="shared" si="2"/>
        <v>5</v>
      </c>
      <c r="B11" s="618">
        <v>18785</v>
      </c>
      <c r="C11" s="604">
        <v>0.76388888888888884</v>
      </c>
      <c r="D11" s="617" t="s">
        <v>140</v>
      </c>
      <c r="E11" s="620" t="s">
        <v>150</v>
      </c>
      <c r="F11" s="621">
        <v>10</v>
      </c>
      <c r="G11" s="621">
        <v>0.1</v>
      </c>
      <c r="H11" s="794">
        <f t="shared" si="3"/>
        <v>5.6818181818181826E-4</v>
      </c>
      <c r="I11" s="169">
        <f t="shared" si="0"/>
        <v>2.3025850929940459</v>
      </c>
      <c r="J11" s="169">
        <f t="shared" si="0"/>
        <v>-2.3025850929940455</v>
      </c>
      <c r="K11" s="169">
        <f t="shared" si="1"/>
        <v>-7.4730690880321973</v>
      </c>
    </row>
    <row r="12" spans="1:26">
      <c r="A12" s="616">
        <f t="shared" si="2"/>
        <v>6</v>
      </c>
      <c r="B12" s="618">
        <v>18785</v>
      </c>
      <c r="C12" s="604">
        <v>0.78472222222222221</v>
      </c>
      <c r="D12" s="617" t="s">
        <v>141</v>
      </c>
      <c r="E12" s="620" t="s">
        <v>150</v>
      </c>
      <c r="F12" s="621">
        <v>10</v>
      </c>
      <c r="G12" s="621">
        <v>0.1</v>
      </c>
      <c r="H12" s="794">
        <f t="shared" si="3"/>
        <v>5.6818181818181826E-4</v>
      </c>
      <c r="I12" s="169">
        <f t="shared" si="0"/>
        <v>2.3025850929940459</v>
      </c>
      <c r="J12" s="169">
        <f t="shared" si="0"/>
        <v>-2.3025850929940455</v>
      </c>
      <c r="K12" s="169">
        <f t="shared" si="1"/>
        <v>-7.4730690880321973</v>
      </c>
    </row>
    <row r="13" spans="1:26">
      <c r="A13" s="616">
        <f t="shared" si="2"/>
        <v>7</v>
      </c>
      <c r="B13" s="618">
        <v>18800</v>
      </c>
      <c r="C13" s="604">
        <v>0.70833333333333337</v>
      </c>
      <c r="D13" s="617" t="s">
        <v>126</v>
      </c>
      <c r="E13" s="620" t="s">
        <v>150</v>
      </c>
      <c r="F13" s="621">
        <v>33</v>
      </c>
      <c r="G13" s="621">
        <v>4.3</v>
      </c>
      <c r="H13" s="794">
        <f t="shared" si="3"/>
        <v>8.0624999999999988E-2</v>
      </c>
      <c r="I13" s="169">
        <f t="shared" si="0"/>
        <v>3.4965075614664802</v>
      </c>
      <c r="J13" s="169">
        <f t="shared" si="0"/>
        <v>1.4586150226995167</v>
      </c>
      <c r="K13" s="169">
        <f t="shared" si="1"/>
        <v>-2.5179465038662006</v>
      </c>
    </row>
    <row r="14" spans="1:26">
      <c r="A14" s="616">
        <f t="shared" si="2"/>
        <v>8</v>
      </c>
      <c r="B14" s="618">
        <v>19191</v>
      </c>
      <c r="C14" s="604">
        <v>0.72916666666666663</v>
      </c>
      <c r="D14" s="617" t="s">
        <v>128</v>
      </c>
      <c r="E14" s="620" t="s">
        <v>150</v>
      </c>
      <c r="F14" s="621">
        <v>30</v>
      </c>
      <c r="G14" s="621">
        <v>0.1</v>
      </c>
      <c r="H14" s="794">
        <f t="shared" si="3"/>
        <v>1.7045454545454545E-3</v>
      </c>
      <c r="I14" s="169">
        <f t="shared" si="0"/>
        <v>3.4011973816621555</v>
      </c>
      <c r="J14" s="169">
        <f t="shared" si="0"/>
        <v>-2.3025850929940455</v>
      </c>
      <c r="K14" s="169">
        <f t="shared" si="1"/>
        <v>-6.3744567993640882</v>
      </c>
    </row>
    <row r="15" spans="1:26">
      <c r="A15" s="616">
        <f t="shared" si="2"/>
        <v>9</v>
      </c>
      <c r="B15" s="618">
        <v>19532</v>
      </c>
      <c r="C15" s="604">
        <v>0.91666666666666663</v>
      </c>
      <c r="D15" s="617" t="s">
        <v>128</v>
      </c>
      <c r="E15" s="620" t="s">
        <v>150</v>
      </c>
      <c r="F15" s="621">
        <v>300</v>
      </c>
      <c r="G15" s="621">
        <v>1</v>
      </c>
      <c r="H15" s="794">
        <f t="shared" si="3"/>
        <v>0.17045454545454544</v>
      </c>
      <c r="I15" s="169">
        <f t="shared" si="0"/>
        <v>5.7037824746562009</v>
      </c>
      <c r="J15" s="169">
        <f t="shared" si="0"/>
        <v>0</v>
      </c>
      <c r="K15" s="169">
        <f t="shared" si="1"/>
        <v>-1.7692866133759966</v>
      </c>
    </row>
    <row r="16" spans="1:26">
      <c r="A16" s="616">
        <f t="shared" si="2"/>
        <v>10</v>
      </c>
      <c r="B16" s="618">
        <v>19866</v>
      </c>
      <c r="C16" s="604">
        <v>0.875</v>
      </c>
      <c r="D16" s="617" t="s">
        <v>138</v>
      </c>
      <c r="E16" s="620" t="s">
        <v>150</v>
      </c>
      <c r="F16" s="621">
        <v>10</v>
      </c>
      <c r="G16" s="621">
        <v>0.1</v>
      </c>
      <c r="H16" s="794">
        <f t="shared" si="3"/>
        <v>5.6818181818181826E-4</v>
      </c>
      <c r="I16" s="169">
        <f t="shared" si="0"/>
        <v>2.3025850929940459</v>
      </c>
      <c r="J16" s="169">
        <f t="shared" si="0"/>
        <v>-2.3025850929940455</v>
      </c>
      <c r="K16" s="169">
        <f t="shared" si="1"/>
        <v>-7.4730690880321973</v>
      </c>
    </row>
    <row r="17" spans="1:11">
      <c r="A17" s="616">
        <f t="shared" si="2"/>
        <v>11</v>
      </c>
      <c r="B17" s="618">
        <v>20256</v>
      </c>
      <c r="C17" s="604">
        <v>0.64583333333333337</v>
      </c>
      <c r="D17" s="617" t="s">
        <v>141</v>
      </c>
      <c r="E17" s="620" t="s">
        <v>150</v>
      </c>
      <c r="F17" s="621">
        <v>17</v>
      </c>
      <c r="G17" s="621">
        <v>1</v>
      </c>
      <c r="H17" s="794">
        <f t="shared" si="3"/>
        <v>9.6590909090909088E-3</v>
      </c>
      <c r="I17" s="169">
        <f t="shared" si="0"/>
        <v>2.8332133440562162</v>
      </c>
      <c r="J17" s="169">
        <f t="shared" si="0"/>
        <v>0</v>
      </c>
      <c r="K17" s="169">
        <f t="shared" si="1"/>
        <v>-4.6398557439759811</v>
      </c>
    </row>
    <row r="18" spans="1:11">
      <c r="A18" s="616">
        <f t="shared" si="2"/>
        <v>12</v>
      </c>
      <c r="B18" s="618">
        <v>20256</v>
      </c>
      <c r="C18" s="604">
        <v>0.70833333333333337</v>
      </c>
      <c r="D18" s="617" t="s">
        <v>138</v>
      </c>
      <c r="E18" s="620" t="s">
        <v>150</v>
      </c>
      <c r="F18" s="621">
        <v>1320</v>
      </c>
      <c r="G18" s="621">
        <v>3.8</v>
      </c>
      <c r="H18" s="794">
        <f t="shared" si="3"/>
        <v>2.8499999999999996</v>
      </c>
      <c r="I18" s="169">
        <f t="shared" si="0"/>
        <v>7.1853870155804165</v>
      </c>
      <c r="J18" s="169">
        <f t="shared" si="0"/>
        <v>1.33500106673234</v>
      </c>
      <c r="K18" s="169">
        <f t="shared" si="1"/>
        <v>1.047318994280559</v>
      </c>
    </row>
    <row r="19" spans="1:11">
      <c r="A19" s="616">
        <f t="shared" si="2"/>
        <v>13</v>
      </c>
      <c r="B19" s="618">
        <v>20629</v>
      </c>
      <c r="C19" s="604">
        <v>0.83333333333333337</v>
      </c>
      <c r="D19" s="617" t="s">
        <v>127</v>
      </c>
      <c r="E19" s="620" t="s">
        <v>150</v>
      </c>
      <c r="F19" s="621">
        <v>50</v>
      </c>
      <c r="G19" s="621">
        <v>2</v>
      </c>
      <c r="H19" s="794">
        <f t="shared" si="3"/>
        <v>5.6818181818181816E-2</v>
      </c>
      <c r="I19" s="169">
        <f t="shared" si="0"/>
        <v>3.912023005428146</v>
      </c>
      <c r="J19" s="169">
        <f t="shared" si="0"/>
        <v>0.69314718055994529</v>
      </c>
      <c r="K19" s="169">
        <f t="shared" si="1"/>
        <v>-2.8678989020441059</v>
      </c>
    </row>
    <row r="20" spans="1:11">
      <c r="A20" s="616">
        <f t="shared" si="2"/>
        <v>14</v>
      </c>
      <c r="B20" s="618">
        <v>20951</v>
      </c>
      <c r="C20" s="604">
        <v>0.71875</v>
      </c>
      <c r="D20" s="617" t="s">
        <v>134</v>
      </c>
      <c r="E20" s="620" t="s">
        <v>150</v>
      </c>
      <c r="F20" s="621">
        <v>33</v>
      </c>
      <c r="G20" s="621">
        <v>7.4</v>
      </c>
      <c r="H20" s="794">
        <f t="shared" si="3"/>
        <v>0.13875000000000001</v>
      </c>
      <c r="I20" s="169">
        <f t="shared" si="0"/>
        <v>3.4965075614664802</v>
      </c>
      <c r="J20" s="169">
        <f t="shared" si="0"/>
        <v>2.0014800002101243</v>
      </c>
      <c r="K20" s="169">
        <f t="shared" si="1"/>
        <v>-1.975081526355593</v>
      </c>
    </row>
    <row r="21" spans="1:11">
      <c r="A21" s="616">
        <f t="shared" si="2"/>
        <v>15</v>
      </c>
      <c r="B21" s="618">
        <v>20955</v>
      </c>
      <c r="C21" s="604">
        <v>0.64583333333333337</v>
      </c>
      <c r="D21" s="617" t="s">
        <v>142</v>
      </c>
      <c r="E21" s="620" t="s">
        <v>150</v>
      </c>
      <c r="F21" s="621">
        <v>33</v>
      </c>
      <c r="G21" s="621">
        <v>8</v>
      </c>
      <c r="H21" s="794">
        <f t="shared" si="3"/>
        <v>0.15</v>
      </c>
      <c r="I21" s="169">
        <f t="shared" si="0"/>
        <v>3.4965075614664802</v>
      </c>
      <c r="J21" s="169">
        <f t="shared" si="0"/>
        <v>2.0794415416798357</v>
      </c>
      <c r="K21" s="169">
        <f t="shared" si="1"/>
        <v>-1.8971199848858813</v>
      </c>
    </row>
    <row r="22" spans="1:11">
      <c r="A22" s="616">
        <f t="shared" si="2"/>
        <v>16</v>
      </c>
      <c r="B22" s="618">
        <v>20955</v>
      </c>
      <c r="C22" s="604">
        <v>0.72222222222222221</v>
      </c>
      <c r="D22" s="617" t="s">
        <v>142</v>
      </c>
      <c r="E22" s="620" t="s">
        <v>150</v>
      </c>
      <c r="F22" s="621">
        <v>10</v>
      </c>
      <c r="G22" s="621">
        <v>0.1</v>
      </c>
      <c r="H22" s="794">
        <f t="shared" si="3"/>
        <v>5.6818181818181826E-4</v>
      </c>
      <c r="I22" s="169">
        <f t="shared" si="0"/>
        <v>2.3025850929940459</v>
      </c>
      <c r="J22" s="169">
        <f t="shared" si="0"/>
        <v>-2.3025850929940455</v>
      </c>
      <c r="K22" s="169">
        <f t="shared" si="1"/>
        <v>-7.4730690880321973</v>
      </c>
    </row>
    <row r="23" spans="1:11">
      <c r="A23" s="616">
        <f t="shared" si="2"/>
        <v>17</v>
      </c>
      <c r="B23" s="618">
        <v>21352</v>
      </c>
      <c r="C23" s="604">
        <v>0.73958333333333337</v>
      </c>
      <c r="D23" s="617" t="s">
        <v>144</v>
      </c>
      <c r="E23" s="620" t="s">
        <v>150</v>
      </c>
      <c r="F23" s="621">
        <v>50</v>
      </c>
      <c r="G23" s="621">
        <v>3.3</v>
      </c>
      <c r="H23" s="794">
        <f t="shared" si="3"/>
        <v>9.3749999999999986E-2</v>
      </c>
      <c r="I23" s="169">
        <f t="shared" si="0"/>
        <v>3.912023005428146</v>
      </c>
      <c r="J23" s="169">
        <f t="shared" si="0"/>
        <v>1.1939224684724346</v>
      </c>
      <c r="K23" s="169">
        <f t="shared" si="1"/>
        <v>-2.367123614131617</v>
      </c>
    </row>
    <row r="24" spans="1:11">
      <c r="A24" s="616">
        <f t="shared" si="2"/>
        <v>18</v>
      </c>
      <c r="B24" s="618">
        <v>21356</v>
      </c>
      <c r="C24" s="604">
        <v>5.2083333333333336E-2</v>
      </c>
      <c r="D24" s="617" t="s">
        <v>136</v>
      </c>
      <c r="E24" s="620" t="s">
        <v>150</v>
      </c>
      <c r="F24" s="621">
        <v>150</v>
      </c>
      <c r="G24" s="621">
        <v>0.3</v>
      </c>
      <c r="H24" s="794">
        <f t="shared" si="3"/>
        <v>2.5568181818181816E-2</v>
      </c>
      <c r="I24" s="169">
        <f t="shared" si="0"/>
        <v>5.0106352940962555</v>
      </c>
      <c r="J24" s="169">
        <f t="shared" si="0"/>
        <v>-1.2039728043259361</v>
      </c>
      <c r="K24" s="169">
        <f t="shared" si="1"/>
        <v>-3.6664065982618776</v>
      </c>
    </row>
    <row r="25" spans="1:11">
      <c r="A25" s="616">
        <f t="shared" si="2"/>
        <v>19</v>
      </c>
      <c r="B25" s="618">
        <v>21359</v>
      </c>
      <c r="C25" s="604">
        <v>0.29166666666666669</v>
      </c>
      <c r="D25" s="617" t="s">
        <v>142</v>
      </c>
      <c r="E25" s="620" t="s">
        <v>150</v>
      </c>
      <c r="F25" s="621">
        <v>17</v>
      </c>
      <c r="G25" s="621">
        <v>1</v>
      </c>
      <c r="H25" s="794">
        <f t="shared" si="3"/>
        <v>9.6590909090909088E-3</v>
      </c>
      <c r="I25" s="169">
        <f t="shared" si="0"/>
        <v>2.8332133440562162</v>
      </c>
      <c r="J25" s="169">
        <f t="shared" si="0"/>
        <v>0</v>
      </c>
      <c r="K25" s="169">
        <f t="shared" si="1"/>
        <v>-4.6398557439759811</v>
      </c>
    </row>
    <row r="26" spans="1:11">
      <c r="A26" s="616">
        <f t="shared" si="2"/>
        <v>20</v>
      </c>
      <c r="B26" s="618">
        <v>21367</v>
      </c>
      <c r="C26" s="604">
        <v>0.70833333333333337</v>
      </c>
      <c r="D26" s="617" t="s">
        <v>127</v>
      </c>
      <c r="E26" s="620" t="s">
        <v>150</v>
      </c>
      <c r="F26" s="621">
        <v>440</v>
      </c>
      <c r="G26" s="621">
        <v>4.9000000000000004</v>
      </c>
      <c r="H26" s="794">
        <f t="shared" si="3"/>
        <v>1.2250000000000001</v>
      </c>
      <c r="I26" s="169">
        <f t="shared" si="0"/>
        <v>6.0867747269123065</v>
      </c>
      <c r="J26" s="169">
        <f t="shared" si="0"/>
        <v>1.589235205116581</v>
      </c>
      <c r="K26" s="169">
        <f t="shared" si="1"/>
        <v>0.20294084399669038</v>
      </c>
    </row>
    <row r="27" spans="1:11">
      <c r="A27" s="616">
        <f t="shared" si="2"/>
        <v>21</v>
      </c>
      <c r="B27" s="618">
        <v>21388</v>
      </c>
      <c r="C27" s="604">
        <v>0.77083333333333337</v>
      </c>
      <c r="D27" s="617" t="s">
        <v>127</v>
      </c>
      <c r="E27" s="620" t="s">
        <v>150</v>
      </c>
      <c r="F27" s="621">
        <v>10</v>
      </c>
      <c r="G27" s="621">
        <v>0.1</v>
      </c>
      <c r="H27" s="794">
        <f t="shared" si="3"/>
        <v>5.6818181818181826E-4</v>
      </c>
      <c r="I27" s="169">
        <f t="shared" si="0"/>
        <v>2.3025850929940459</v>
      </c>
      <c r="J27" s="169">
        <f t="shared" si="0"/>
        <v>-2.3025850929940455</v>
      </c>
      <c r="K27" s="169">
        <f t="shared" si="1"/>
        <v>-7.4730690880321973</v>
      </c>
    </row>
    <row r="28" spans="1:11">
      <c r="A28" s="616">
        <f t="shared" si="2"/>
        <v>22</v>
      </c>
      <c r="B28" s="618">
        <v>21391</v>
      </c>
      <c r="C28" s="604">
        <v>6.9444444444444434E-2</v>
      </c>
      <c r="D28" s="617" t="s">
        <v>134</v>
      </c>
      <c r="E28" s="620" t="s">
        <v>150</v>
      </c>
      <c r="F28" s="621">
        <v>10</v>
      </c>
      <c r="G28" s="621">
        <v>0.1</v>
      </c>
      <c r="H28" s="794">
        <f t="shared" si="3"/>
        <v>5.6818181818181826E-4</v>
      </c>
      <c r="I28" s="169">
        <f t="shared" si="0"/>
        <v>2.3025850929940459</v>
      </c>
      <c r="J28" s="169">
        <f t="shared" si="0"/>
        <v>-2.3025850929940455</v>
      </c>
      <c r="K28" s="169">
        <f t="shared" si="1"/>
        <v>-7.4730690880321973</v>
      </c>
    </row>
    <row r="29" spans="1:11">
      <c r="A29" s="616">
        <f t="shared" si="2"/>
        <v>23</v>
      </c>
      <c r="B29" s="618">
        <v>21435</v>
      </c>
      <c r="C29" s="604">
        <v>0.66666666666666663</v>
      </c>
      <c r="D29" s="617" t="s">
        <v>127</v>
      </c>
      <c r="E29" s="620" t="s">
        <v>150</v>
      </c>
      <c r="F29" s="621">
        <v>100</v>
      </c>
      <c r="G29" s="621">
        <v>3.6</v>
      </c>
      <c r="H29" s="794">
        <f t="shared" si="3"/>
        <v>0.20454545454545453</v>
      </c>
      <c r="I29" s="169">
        <f t="shared" si="0"/>
        <v>4.6051701859880918</v>
      </c>
      <c r="J29" s="169">
        <f t="shared" si="0"/>
        <v>1.2809338454620642</v>
      </c>
      <c r="K29" s="169">
        <f t="shared" si="1"/>
        <v>-1.5869650565820419</v>
      </c>
    </row>
    <row r="30" spans="1:11">
      <c r="A30" s="616">
        <f t="shared" si="2"/>
        <v>24</v>
      </c>
      <c r="B30" s="618">
        <v>21678</v>
      </c>
      <c r="C30" s="604">
        <v>0.66666666666666663</v>
      </c>
      <c r="D30" s="617" t="s">
        <v>136</v>
      </c>
      <c r="E30" s="620" t="s">
        <v>150</v>
      </c>
      <c r="F30" s="621">
        <v>13</v>
      </c>
      <c r="G30" s="621">
        <v>0.2</v>
      </c>
      <c r="H30" s="794">
        <f t="shared" si="3"/>
        <v>1.4772727272727272E-3</v>
      </c>
      <c r="I30" s="169">
        <f t="shared" si="0"/>
        <v>2.5649493574615367</v>
      </c>
      <c r="J30" s="169">
        <f t="shared" si="0"/>
        <v>-1.6094379124341003</v>
      </c>
      <c r="K30" s="169">
        <f t="shared" si="1"/>
        <v>-6.5175576430047615</v>
      </c>
    </row>
    <row r="31" spans="1:11">
      <c r="A31" s="616">
        <f t="shared" si="2"/>
        <v>25</v>
      </c>
      <c r="B31" s="618">
        <v>21687</v>
      </c>
      <c r="C31" s="604">
        <v>0.67291666666666661</v>
      </c>
      <c r="D31" s="617" t="s">
        <v>136</v>
      </c>
      <c r="E31" s="620" t="s">
        <v>150</v>
      </c>
      <c r="F31" s="621">
        <v>100</v>
      </c>
      <c r="G31" s="621">
        <v>0.1</v>
      </c>
      <c r="H31" s="794">
        <f t="shared" si="3"/>
        <v>5.681818181818182E-3</v>
      </c>
      <c r="I31" s="169">
        <f t="shared" si="0"/>
        <v>4.6051701859880918</v>
      </c>
      <c r="J31" s="169">
        <f t="shared" si="0"/>
        <v>-2.3025850929940455</v>
      </c>
      <c r="K31" s="169">
        <f t="shared" si="1"/>
        <v>-5.1704839950381514</v>
      </c>
    </row>
    <row r="32" spans="1:11">
      <c r="A32" s="616">
        <f t="shared" si="2"/>
        <v>26</v>
      </c>
      <c r="B32" s="618">
        <v>21741</v>
      </c>
      <c r="C32" s="604">
        <v>0.72916666666666663</v>
      </c>
      <c r="D32" s="617" t="s">
        <v>136</v>
      </c>
      <c r="E32" s="620" t="s">
        <v>150</v>
      </c>
      <c r="F32" s="621">
        <v>33</v>
      </c>
      <c r="G32" s="621">
        <v>0.5</v>
      </c>
      <c r="H32" s="794">
        <f t="shared" si="3"/>
        <v>9.3749999999999997E-3</v>
      </c>
      <c r="I32" s="169">
        <f t="shared" si="0"/>
        <v>3.4965075614664802</v>
      </c>
      <c r="J32" s="169">
        <f t="shared" si="0"/>
        <v>-0.69314718055994529</v>
      </c>
      <c r="K32" s="169">
        <f t="shared" si="1"/>
        <v>-4.6697087071256629</v>
      </c>
    </row>
    <row r="33" spans="1:11">
      <c r="A33" s="616">
        <f t="shared" si="2"/>
        <v>27</v>
      </c>
      <c r="B33" s="618">
        <v>21745</v>
      </c>
      <c r="C33" s="604">
        <v>0.80208333333333337</v>
      </c>
      <c r="D33" s="617" t="s">
        <v>135</v>
      </c>
      <c r="E33" s="620" t="s">
        <v>150</v>
      </c>
      <c r="F33" s="621">
        <v>500</v>
      </c>
      <c r="G33" s="621">
        <v>10.9</v>
      </c>
      <c r="H33" s="794">
        <f t="shared" si="3"/>
        <v>3.0965909090909096</v>
      </c>
      <c r="I33" s="169">
        <f t="shared" si="0"/>
        <v>6.2146080984221914</v>
      </c>
      <c r="J33" s="169">
        <f t="shared" si="0"/>
        <v>2.388762789235098</v>
      </c>
      <c r="K33" s="169">
        <f t="shared" si="1"/>
        <v>1.1303017996250924</v>
      </c>
    </row>
    <row r="34" spans="1:11">
      <c r="A34" s="616">
        <f t="shared" si="2"/>
        <v>28</v>
      </c>
      <c r="B34" s="618">
        <v>22018</v>
      </c>
      <c r="C34" s="604">
        <v>0.77083333333333337</v>
      </c>
      <c r="D34" s="617" t="s">
        <v>126</v>
      </c>
      <c r="E34" s="620" t="s">
        <v>150</v>
      </c>
      <c r="F34" s="621">
        <v>300</v>
      </c>
      <c r="G34" s="621">
        <v>0.2</v>
      </c>
      <c r="H34" s="794">
        <f t="shared" si="3"/>
        <v>3.4090909090909088E-2</v>
      </c>
      <c r="I34" s="169">
        <f t="shared" si="0"/>
        <v>5.7037824746562009</v>
      </c>
      <c r="J34" s="169">
        <f t="shared" si="0"/>
        <v>-1.6094379124341003</v>
      </c>
      <c r="K34" s="169">
        <f t="shared" si="1"/>
        <v>-3.3787245258100969</v>
      </c>
    </row>
    <row r="35" spans="1:11">
      <c r="A35" s="616">
        <f t="shared" si="2"/>
        <v>29</v>
      </c>
      <c r="B35" s="618">
        <v>22064</v>
      </c>
      <c r="C35" s="604">
        <v>0.67013888888888884</v>
      </c>
      <c r="D35" s="617" t="s">
        <v>145</v>
      </c>
      <c r="E35" s="620" t="s">
        <v>150</v>
      </c>
      <c r="F35" s="621">
        <v>33</v>
      </c>
      <c r="G35" s="621">
        <v>1.3</v>
      </c>
      <c r="H35" s="794">
        <f t="shared" si="3"/>
        <v>2.4375000000000001E-2</v>
      </c>
      <c r="I35" s="169">
        <f t="shared" si="0"/>
        <v>3.4965075614664802</v>
      </c>
      <c r="J35" s="169">
        <f t="shared" si="0"/>
        <v>0.26236426446749106</v>
      </c>
      <c r="K35" s="169">
        <f t="shared" si="1"/>
        <v>-3.7141972620982262</v>
      </c>
    </row>
    <row r="36" spans="1:11">
      <c r="A36" s="616">
        <f t="shared" si="2"/>
        <v>30</v>
      </c>
      <c r="B36" s="618">
        <v>22076</v>
      </c>
      <c r="C36" s="604">
        <v>0.81597222222222221</v>
      </c>
      <c r="D36" s="617" t="s">
        <v>140</v>
      </c>
      <c r="E36" s="620" t="s">
        <v>150</v>
      </c>
      <c r="F36" s="621">
        <v>33</v>
      </c>
      <c r="G36" s="621">
        <v>1</v>
      </c>
      <c r="H36" s="794">
        <f t="shared" si="3"/>
        <v>1.8749999999999999E-2</v>
      </c>
      <c r="I36" s="169">
        <f t="shared" si="0"/>
        <v>3.4965075614664802</v>
      </c>
      <c r="J36" s="169">
        <f t="shared" si="0"/>
        <v>0</v>
      </c>
      <c r="K36" s="169">
        <f t="shared" si="1"/>
        <v>-3.9765615265657175</v>
      </c>
    </row>
    <row r="37" spans="1:11">
      <c r="A37" s="616">
        <f t="shared" si="2"/>
        <v>31</v>
      </c>
      <c r="B37" s="618">
        <v>22082</v>
      </c>
      <c r="C37" s="604">
        <v>4.1666666666666664E-2</v>
      </c>
      <c r="D37" s="617" t="s">
        <v>128</v>
      </c>
      <c r="E37" s="620" t="s">
        <v>150</v>
      </c>
      <c r="F37" s="621">
        <v>10</v>
      </c>
      <c r="G37" s="621">
        <v>0.1</v>
      </c>
      <c r="H37" s="794">
        <f t="shared" si="3"/>
        <v>5.6818181818181826E-4</v>
      </c>
      <c r="I37" s="169">
        <f t="shared" si="0"/>
        <v>2.3025850929940459</v>
      </c>
      <c r="J37" s="169">
        <f t="shared" si="0"/>
        <v>-2.3025850929940455</v>
      </c>
      <c r="K37" s="169">
        <f t="shared" si="1"/>
        <v>-7.4730690880321973</v>
      </c>
    </row>
    <row r="38" spans="1:11">
      <c r="A38" s="616">
        <f t="shared" si="2"/>
        <v>32</v>
      </c>
      <c r="B38" s="618">
        <v>22082</v>
      </c>
      <c r="C38" s="604">
        <v>0.74305555555555547</v>
      </c>
      <c r="D38" s="617" t="s">
        <v>132</v>
      </c>
      <c r="E38" s="620" t="s">
        <v>150</v>
      </c>
      <c r="F38" s="621">
        <v>23</v>
      </c>
      <c r="G38" s="621">
        <v>0.4</v>
      </c>
      <c r="H38" s="794">
        <f t="shared" si="3"/>
        <v>5.2272727272727271E-3</v>
      </c>
      <c r="I38" s="169">
        <f t="shared" si="0"/>
        <v>3.1354942159291497</v>
      </c>
      <c r="J38" s="169">
        <f t="shared" si="0"/>
        <v>-0.916290731874155</v>
      </c>
      <c r="K38" s="169">
        <f t="shared" si="1"/>
        <v>-5.2538656039772027</v>
      </c>
    </row>
    <row r="39" spans="1:11">
      <c r="A39" s="616">
        <f t="shared" si="2"/>
        <v>33</v>
      </c>
      <c r="B39" s="618">
        <v>22082</v>
      </c>
      <c r="C39" s="604">
        <v>0.75</v>
      </c>
      <c r="D39" s="617" t="s">
        <v>132</v>
      </c>
      <c r="E39" s="620" t="s">
        <v>150</v>
      </c>
      <c r="F39" s="621">
        <v>27</v>
      </c>
      <c r="G39" s="621">
        <v>0.7</v>
      </c>
      <c r="H39" s="794">
        <f t="shared" si="3"/>
        <v>1.0738636363636363E-2</v>
      </c>
      <c r="I39" s="169">
        <f t="shared" si="0"/>
        <v>3.2958368660043291</v>
      </c>
      <c r="J39" s="169">
        <f t="shared" si="0"/>
        <v>-0.35667494393873245</v>
      </c>
      <c r="K39" s="169">
        <f t="shared" si="1"/>
        <v>-4.5339071659666006</v>
      </c>
    </row>
    <row r="40" spans="1:11">
      <c r="A40" s="616">
        <f t="shared" si="2"/>
        <v>34</v>
      </c>
      <c r="B40" s="618">
        <v>22437</v>
      </c>
      <c r="C40" s="604">
        <v>0.625</v>
      </c>
      <c r="D40" s="617" t="s">
        <v>129</v>
      </c>
      <c r="E40" s="620" t="s">
        <v>150</v>
      </c>
      <c r="F40" s="621">
        <v>500</v>
      </c>
      <c r="G40" s="621">
        <v>23.9</v>
      </c>
      <c r="H40" s="794">
        <f t="shared" si="3"/>
        <v>6.7897727272727275</v>
      </c>
      <c r="I40" s="169">
        <f t="shared" si="0"/>
        <v>6.2146080984221914</v>
      </c>
      <c r="J40" s="169">
        <f t="shared" si="0"/>
        <v>3.1738784589374651</v>
      </c>
      <c r="K40" s="169">
        <f t="shared" si="1"/>
        <v>1.9154174693274593</v>
      </c>
    </row>
    <row r="41" spans="1:11">
      <c r="A41" s="616">
        <f t="shared" si="2"/>
        <v>35</v>
      </c>
      <c r="B41" s="618">
        <v>22437</v>
      </c>
      <c r="C41" s="604">
        <v>0.625</v>
      </c>
      <c r="D41" s="617" t="s">
        <v>129</v>
      </c>
      <c r="E41" s="620" t="s">
        <v>150</v>
      </c>
      <c r="F41" s="621">
        <v>150</v>
      </c>
      <c r="G41" s="621">
        <v>20</v>
      </c>
      <c r="H41" s="794">
        <f t="shared" si="3"/>
        <v>1.7045454545454544</v>
      </c>
      <c r="I41" s="169">
        <f t="shared" si="0"/>
        <v>5.0106352940962555</v>
      </c>
      <c r="J41" s="169">
        <f t="shared" si="0"/>
        <v>2.9957322735539909</v>
      </c>
      <c r="K41" s="169">
        <f t="shared" si="1"/>
        <v>0.53329847961804921</v>
      </c>
    </row>
    <row r="42" spans="1:11">
      <c r="A42" s="616">
        <f t="shared" si="2"/>
        <v>36</v>
      </c>
      <c r="B42" s="618">
        <v>22437</v>
      </c>
      <c r="C42" s="604">
        <v>0.625</v>
      </c>
      <c r="D42" s="617" t="s">
        <v>129</v>
      </c>
      <c r="E42" s="620" t="s">
        <v>150</v>
      </c>
      <c r="F42" s="621">
        <v>33</v>
      </c>
      <c r="G42" s="621">
        <v>12</v>
      </c>
      <c r="H42" s="794">
        <f t="shared" si="3"/>
        <v>0.22499999999999998</v>
      </c>
      <c r="I42" s="169">
        <f t="shared" si="0"/>
        <v>3.4965075614664802</v>
      </c>
      <c r="J42" s="169">
        <f t="shared" si="0"/>
        <v>2.4849066497880004</v>
      </c>
      <c r="K42" s="169">
        <f t="shared" si="1"/>
        <v>-1.4916548767777169</v>
      </c>
    </row>
    <row r="43" spans="1:11">
      <c r="A43" s="616">
        <f t="shared" si="2"/>
        <v>37</v>
      </c>
      <c r="B43" s="618">
        <v>22437</v>
      </c>
      <c r="C43" s="604">
        <v>0.625</v>
      </c>
      <c r="D43" s="617" t="s">
        <v>129</v>
      </c>
      <c r="E43" s="620" t="s">
        <v>150</v>
      </c>
      <c r="F43" s="621">
        <v>333</v>
      </c>
      <c r="G43" s="621">
        <v>21.8</v>
      </c>
      <c r="H43" s="794">
        <f t="shared" si="3"/>
        <v>4.1246590909090912</v>
      </c>
      <c r="I43" s="169">
        <f t="shared" si="0"/>
        <v>5.8081424899804439</v>
      </c>
      <c r="J43" s="169">
        <f t="shared" si="0"/>
        <v>3.0819099697950434</v>
      </c>
      <c r="K43" s="169">
        <f t="shared" si="1"/>
        <v>1.4169833717432898</v>
      </c>
    </row>
    <row r="44" spans="1:11">
      <c r="A44" s="616">
        <f t="shared" si="2"/>
        <v>38</v>
      </c>
      <c r="B44" s="618">
        <v>22476</v>
      </c>
      <c r="C44" s="604">
        <v>0.83333333333333337</v>
      </c>
      <c r="D44" s="617" t="s">
        <v>147</v>
      </c>
      <c r="E44" s="620" t="s">
        <v>150</v>
      </c>
      <c r="F44" s="621">
        <v>33</v>
      </c>
      <c r="G44" s="621">
        <v>0.5</v>
      </c>
      <c r="H44" s="794">
        <f t="shared" si="3"/>
        <v>9.3749999999999997E-3</v>
      </c>
      <c r="I44" s="169">
        <f t="shared" si="0"/>
        <v>3.4965075614664802</v>
      </c>
      <c r="J44" s="169">
        <f t="shared" si="0"/>
        <v>-0.69314718055994529</v>
      </c>
      <c r="K44" s="169">
        <f t="shared" si="1"/>
        <v>-4.6697087071256629</v>
      </c>
    </row>
    <row r="45" spans="1:11">
      <c r="A45" s="616">
        <f t="shared" si="2"/>
        <v>39</v>
      </c>
      <c r="B45" s="618">
        <v>22793</v>
      </c>
      <c r="C45" s="604">
        <v>0.6875</v>
      </c>
      <c r="D45" s="617" t="s">
        <v>131</v>
      </c>
      <c r="E45" s="620" t="s">
        <v>150</v>
      </c>
      <c r="F45" s="621">
        <v>50</v>
      </c>
      <c r="G45" s="621">
        <v>4.5</v>
      </c>
      <c r="H45" s="794">
        <f t="shared" si="3"/>
        <v>0.12784090909090909</v>
      </c>
      <c r="I45" s="169">
        <f t="shared" si="0"/>
        <v>3.912023005428146</v>
      </c>
      <c r="J45" s="169">
        <f t="shared" si="0"/>
        <v>1.5040773967762742</v>
      </c>
      <c r="K45" s="169">
        <f t="shared" si="1"/>
        <v>-2.0569686858277771</v>
      </c>
    </row>
    <row r="46" spans="1:11">
      <c r="A46" s="616">
        <f t="shared" si="2"/>
        <v>40</v>
      </c>
      <c r="B46" s="618">
        <v>22793</v>
      </c>
      <c r="C46" s="604">
        <v>0.6875</v>
      </c>
      <c r="D46" s="617" t="s">
        <v>133</v>
      </c>
      <c r="E46" s="620" t="s">
        <v>150</v>
      </c>
      <c r="F46" s="621">
        <v>10</v>
      </c>
      <c r="G46" s="621">
        <v>0.1</v>
      </c>
      <c r="H46" s="794">
        <f t="shared" si="3"/>
        <v>5.6818181818181826E-4</v>
      </c>
      <c r="I46" s="169">
        <f t="shared" si="0"/>
        <v>2.3025850929940459</v>
      </c>
      <c r="J46" s="169">
        <f t="shared" si="0"/>
        <v>-2.3025850929940455</v>
      </c>
      <c r="K46" s="169">
        <f t="shared" si="1"/>
        <v>-7.4730690880321973</v>
      </c>
    </row>
    <row r="47" spans="1:11">
      <c r="A47" s="616">
        <f t="shared" si="2"/>
        <v>41</v>
      </c>
      <c r="B47" s="618">
        <v>22793</v>
      </c>
      <c r="C47" s="604">
        <v>0.72916666666666663</v>
      </c>
      <c r="D47" s="617" t="s">
        <v>132</v>
      </c>
      <c r="E47" s="620" t="s">
        <v>150</v>
      </c>
      <c r="F47" s="621">
        <v>50</v>
      </c>
      <c r="G47" s="621">
        <v>1.5</v>
      </c>
      <c r="H47" s="794">
        <f t="shared" si="3"/>
        <v>4.261363636363636E-2</v>
      </c>
      <c r="I47" s="169">
        <f t="shared" si="0"/>
        <v>3.912023005428146</v>
      </c>
      <c r="J47" s="169">
        <f t="shared" si="0"/>
        <v>0.40546510810816438</v>
      </c>
      <c r="K47" s="169">
        <f t="shared" si="1"/>
        <v>-3.1555809744958871</v>
      </c>
    </row>
    <row r="48" spans="1:11">
      <c r="A48" s="616">
        <f t="shared" si="2"/>
        <v>42</v>
      </c>
      <c r="B48" s="618">
        <v>22800</v>
      </c>
      <c r="C48" s="604">
        <v>0.66666666666666663</v>
      </c>
      <c r="D48" s="617" t="s">
        <v>132</v>
      </c>
      <c r="E48" s="620" t="s">
        <v>150</v>
      </c>
      <c r="F48" s="621">
        <v>10</v>
      </c>
      <c r="G48" s="621">
        <v>0.1</v>
      </c>
      <c r="H48" s="794">
        <f t="shared" si="3"/>
        <v>5.6818181818181826E-4</v>
      </c>
      <c r="I48" s="169">
        <f t="shared" si="0"/>
        <v>2.3025850929940459</v>
      </c>
      <c r="J48" s="169">
        <f t="shared" si="0"/>
        <v>-2.3025850929940455</v>
      </c>
      <c r="K48" s="169">
        <f t="shared" si="1"/>
        <v>-7.4730690880321973</v>
      </c>
    </row>
    <row r="49" spans="1:11">
      <c r="A49" s="616">
        <f t="shared" si="2"/>
        <v>43</v>
      </c>
      <c r="B49" s="618">
        <v>22803</v>
      </c>
      <c r="C49" s="604">
        <v>0.70833333333333337</v>
      </c>
      <c r="D49" s="617" t="s">
        <v>131</v>
      </c>
      <c r="E49" s="620" t="s">
        <v>150</v>
      </c>
      <c r="F49" s="621">
        <v>1320</v>
      </c>
      <c r="G49" s="621">
        <v>2.5</v>
      </c>
      <c r="H49" s="794">
        <f t="shared" si="3"/>
        <v>1.875</v>
      </c>
      <c r="I49" s="169">
        <f t="shared" si="0"/>
        <v>7.1853870155804165</v>
      </c>
      <c r="J49" s="169">
        <f t="shared" si="0"/>
        <v>0.91629073187415511</v>
      </c>
      <c r="K49" s="169">
        <f t="shared" si="1"/>
        <v>0.62860865942237409</v>
      </c>
    </row>
    <row r="50" spans="1:11">
      <c r="A50" s="616">
        <f t="shared" si="2"/>
        <v>44</v>
      </c>
      <c r="B50" s="618">
        <v>22805</v>
      </c>
      <c r="C50" s="604">
        <v>0.77083333333333337</v>
      </c>
      <c r="D50" s="617" t="s">
        <v>127</v>
      </c>
      <c r="E50" s="620" t="s">
        <v>150</v>
      </c>
      <c r="F50" s="621">
        <v>10</v>
      </c>
      <c r="G50" s="621">
        <v>0.1</v>
      </c>
      <c r="H50" s="794">
        <f t="shared" si="3"/>
        <v>5.6818181818181826E-4</v>
      </c>
      <c r="I50" s="169">
        <f t="shared" si="0"/>
        <v>2.3025850929940459</v>
      </c>
      <c r="J50" s="169">
        <f t="shared" si="0"/>
        <v>-2.3025850929940455</v>
      </c>
      <c r="K50" s="169">
        <f t="shared" si="1"/>
        <v>-7.4730690880321973</v>
      </c>
    </row>
    <row r="51" spans="1:11">
      <c r="A51" s="616">
        <f t="shared" si="2"/>
        <v>45</v>
      </c>
      <c r="B51" s="618">
        <v>22805</v>
      </c>
      <c r="C51" s="604">
        <v>0.84027777777777779</v>
      </c>
      <c r="D51" s="617" t="s">
        <v>128</v>
      </c>
      <c r="E51" s="620" t="s">
        <v>150</v>
      </c>
      <c r="F51" s="621">
        <v>10</v>
      </c>
      <c r="G51" s="621">
        <v>0.1</v>
      </c>
      <c r="H51" s="794">
        <f t="shared" si="3"/>
        <v>5.6818181818181826E-4</v>
      </c>
      <c r="I51" s="169">
        <f t="shared" si="0"/>
        <v>2.3025850929940459</v>
      </c>
      <c r="J51" s="169">
        <f t="shared" si="0"/>
        <v>-2.3025850929940455</v>
      </c>
      <c r="K51" s="169">
        <f t="shared" si="1"/>
        <v>-7.4730690880321973</v>
      </c>
    </row>
    <row r="52" spans="1:11">
      <c r="A52" s="616">
        <f t="shared" si="2"/>
        <v>46</v>
      </c>
      <c r="B52" s="618">
        <v>22805</v>
      </c>
      <c r="C52" s="604">
        <v>0.84375</v>
      </c>
      <c r="D52" s="617" t="s">
        <v>128</v>
      </c>
      <c r="E52" s="620" t="s">
        <v>150</v>
      </c>
      <c r="F52" s="621">
        <v>10</v>
      </c>
      <c r="G52" s="621">
        <v>0.1</v>
      </c>
      <c r="H52" s="794">
        <f t="shared" si="3"/>
        <v>5.6818181818181826E-4</v>
      </c>
      <c r="I52" s="169">
        <f t="shared" si="0"/>
        <v>2.3025850929940459</v>
      </c>
      <c r="J52" s="169">
        <f t="shared" si="0"/>
        <v>-2.3025850929940455</v>
      </c>
      <c r="K52" s="169">
        <f t="shared" si="1"/>
        <v>-7.4730690880321973</v>
      </c>
    </row>
    <row r="53" spans="1:11">
      <c r="A53" s="616">
        <f t="shared" si="2"/>
        <v>47</v>
      </c>
      <c r="B53" s="618">
        <v>22811</v>
      </c>
      <c r="C53" s="604">
        <v>0.81944444444444453</v>
      </c>
      <c r="D53" s="617" t="s">
        <v>145</v>
      </c>
      <c r="E53" s="620" t="s">
        <v>150</v>
      </c>
      <c r="F53" s="621">
        <v>13</v>
      </c>
      <c r="G53" s="621">
        <v>4.7</v>
      </c>
      <c r="H53" s="794">
        <f t="shared" si="3"/>
        <v>3.4715909090909089E-2</v>
      </c>
      <c r="I53" s="169">
        <f t="shared" si="0"/>
        <v>2.5649493574615367</v>
      </c>
      <c r="J53" s="169">
        <f t="shared" si="0"/>
        <v>1.547562508716013</v>
      </c>
      <c r="K53" s="169">
        <f t="shared" si="1"/>
        <v>-3.360557221854648</v>
      </c>
    </row>
    <row r="54" spans="1:11">
      <c r="A54" s="616">
        <f t="shared" si="2"/>
        <v>48</v>
      </c>
      <c r="B54" s="618">
        <v>22811</v>
      </c>
      <c r="C54" s="604">
        <v>0.83125000000000004</v>
      </c>
      <c r="D54" s="617" t="s">
        <v>145</v>
      </c>
      <c r="E54" s="620" t="s">
        <v>150</v>
      </c>
      <c r="F54" s="621">
        <v>27</v>
      </c>
      <c r="G54" s="621">
        <v>2</v>
      </c>
      <c r="H54" s="794">
        <f t="shared" si="3"/>
        <v>3.0681818181818182E-2</v>
      </c>
      <c r="I54" s="169">
        <f t="shared" si="0"/>
        <v>3.2958368660043291</v>
      </c>
      <c r="J54" s="169">
        <f t="shared" si="0"/>
        <v>0.69314718055994529</v>
      </c>
      <c r="K54" s="169">
        <f t="shared" si="1"/>
        <v>-3.4840850414679232</v>
      </c>
    </row>
    <row r="55" spans="1:11">
      <c r="A55" s="616">
        <f t="shared" si="2"/>
        <v>49</v>
      </c>
      <c r="B55" s="618">
        <v>22811</v>
      </c>
      <c r="C55" s="604">
        <v>0.875</v>
      </c>
      <c r="D55" s="617" t="s">
        <v>140</v>
      </c>
      <c r="E55" s="620" t="s">
        <v>150</v>
      </c>
      <c r="F55" s="621">
        <v>33</v>
      </c>
      <c r="G55" s="621">
        <v>0.5</v>
      </c>
      <c r="H55" s="794">
        <f t="shared" si="3"/>
        <v>9.3749999999999997E-3</v>
      </c>
      <c r="I55" s="169">
        <f t="shared" si="0"/>
        <v>3.4965075614664802</v>
      </c>
      <c r="J55" s="169">
        <f t="shared" si="0"/>
        <v>-0.69314718055994529</v>
      </c>
      <c r="K55" s="169">
        <f t="shared" si="1"/>
        <v>-4.6697087071256629</v>
      </c>
    </row>
    <row r="56" spans="1:11">
      <c r="A56" s="616">
        <f t="shared" si="2"/>
        <v>50</v>
      </c>
      <c r="B56" s="618">
        <v>22888</v>
      </c>
      <c r="C56" s="604">
        <v>0.79166666666666663</v>
      </c>
      <c r="D56" s="617" t="s">
        <v>126</v>
      </c>
      <c r="E56" s="620" t="s">
        <v>150</v>
      </c>
      <c r="F56" s="621">
        <v>10</v>
      </c>
      <c r="G56" s="621">
        <v>0.1</v>
      </c>
      <c r="H56" s="794">
        <f t="shared" si="3"/>
        <v>5.6818181818181826E-4</v>
      </c>
      <c r="I56" s="169">
        <f t="shared" si="0"/>
        <v>2.3025850929940459</v>
      </c>
      <c r="J56" s="169">
        <f t="shared" si="0"/>
        <v>-2.3025850929940455</v>
      </c>
      <c r="K56" s="169">
        <f t="shared" si="1"/>
        <v>-7.4730690880321973</v>
      </c>
    </row>
    <row r="57" spans="1:11">
      <c r="A57" s="616">
        <f t="shared" si="2"/>
        <v>51</v>
      </c>
      <c r="B57" s="618">
        <v>23177</v>
      </c>
      <c r="C57" s="604">
        <v>0.97916666666666663</v>
      </c>
      <c r="D57" s="617" t="s">
        <v>127</v>
      </c>
      <c r="E57" s="620" t="s">
        <v>150</v>
      </c>
      <c r="F57" s="621">
        <v>10</v>
      </c>
      <c r="G57" s="621">
        <v>0.1</v>
      </c>
      <c r="H57" s="794">
        <f t="shared" si="3"/>
        <v>5.6818181818181826E-4</v>
      </c>
      <c r="I57" s="169">
        <f t="shared" si="0"/>
        <v>2.3025850929940459</v>
      </c>
      <c r="J57" s="169">
        <f t="shared" si="0"/>
        <v>-2.3025850929940455</v>
      </c>
      <c r="K57" s="169">
        <f t="shared" si="1"/>
        <v>-7.4730690880321973</v>
      </c>
    </row>
    <row r="58" spans="1:11">
      <c r="A58" s="616">
        <f t="shared" si="2"/>
        <v>52</v>
      </c>
      <c r="B58" s="618">
        <v>24272</v>
      </c>
      <c r="C58" s="604">
        <v>0.66666666666666663</v>
      </c>
      <c r="D58" s="617" t="s">
        <v>135</v>
      </c>
      <c r="E58" s="620" t="s">
        <v>150</v>
      </c>
      <c r="F58" s="621">
        <v>17</v>
      </c>
      <c r="G58" s="621">
        <v>1</v>
      </c>
      <c r="H58" s="794">
        <f t="shared" si="3"/>
        <v>9.6590909090909088E-3</v>
      </c>
      <c r="I58" s="169">
        <f t="shared" si="0"/>
        <v>2.8332133440562162</v>
      </c>
      <c r="J58" s="169">
        <f t="shared" si="0"/>
        <v>0</v>
      </c>
      <c r="K58" s="169">
        <f t="shared" si="1"/>
        <v>-4.6398557439759811</v>
      </c>
    </row>
    <row r="59" spans="1:11">
      <c r="A59" s="616">
        <f t="shared" si="2"/>
        <v>53</v>
      </c>
      <c r="B59" s="618">
        <v>24337</v>
      </c>
      <c r="C59" s="604">
        <v>0.66666666666666663</v>
      </c>
      <c r="D59" s="617" t="s">
        <v>148</v>
      </c>
      <c r="E59" s="620" t="s">
        <v>150</v>
      </c>
      <c r="F59" s="621">
        <v>33</v>
      </c>
      <c r="G59" s="621">
        <v>2</v>
      </c>
      <c r="H59" s="794">
        <f t="shared" si="3"/>
        <v>3.7499999999999999E-2</v>
      </c>
      <c r="I59" s="169">
        <f t="shared" si="0"/>
        <v>3.4965075614664802</v>
      </c>
      <c r="J59" s="169">
        <f t="shared" si="0"/>
        <v>0.69314718055994529</v>
      </c>
      <c r="K59" s="169">
        <f t="shared" si="1"/>
        <v>-3.2834143460057721</v>
      </c>
    </row>
    <row r="60" spans="1:11">
      <c r="A60" s="616">
        <f t="shared" si="2"/>
        <v>54</v>
      </c>
      <c r="B60" s="618">
        <v>24367</v>
      </c>
      <c r="C60" s="604">
        <v>0.53125</v>
      </c>
      <c r="D60" s="617" t="s">
        <v>140</v>
      </c>
      <c r="E60" s="620" t="s">
        <v>150</v>
      </c>
      <c r="F60" s="621">
        <v>13</v>
      </c>
      <c r="G60" s="621">
        <v>1</v>
      </c>
      <c r="H60" s="794">
        <f t="shared" si="3"/>
        <v>7.3863636363636362E-3</v>
      </c>
      <c r="I60" s="169">
        <f t="shared" si="0"/>
        <v>2.5649493574615367</v>
      </c>
      <c r="J60" s="169">
        <f t="shared" si="0"/>
        <v>0</v>
      </c>
      <c r="K60" s="169">
        <f t="shared" si="1"/>
        <v>-4.908119730570661</v>
      </c>
    </row>
    <row r="61" spans="1:11">
      <c r="A61" s="616">
        <f t="shared" si="2"/>
        <v>55</v>
      </c>
      <c r="B61" s="618">
        <v>24582</v>
      </c>
      <c r="C61" s="604">
        <v>0.78125</v>
      </c>
      <c r="D61" s="617" t="s">
        <v>132</v>
      </c>
      <c r="E61" s="620" t="s">
        <v>150</v>
      </c>
      <c r="F61" s="621">
        <v>100</v>
      </c>
      <c r="G61" s="621">
        <v>0.3</v>
      </c>
      <c r="H61" s="794">
        <f t="shared" si="3"/>
        <v>1.7045454545454544E-2</v>
      </c>
      <c r="I61" s="169">
        <f t="shared" si="0"/>
        <v>4.6051701859880918</v>
      </c>
      <c r="J61" s="169">
        <f t="shared" si="0"/>
        <v>-1.2039728043259361</v>
      </c>
      <c r="K61" s="169">
        <f t="shared" si="1"/>
        <v>-4.0718717063700423</v>
      </c>
    </row>
    <row r="62" spans="1:11">
      <c r="A62" s="616">
        <f t="shared" si="2"/>
        <v>56</v>
      </c>
      <c r="B62" s="618">
        <v>24597</v>
      </c>
      <c r="C62" s="604">
        <v>0.69791666666666663</v>
      </c>
      <c r="D62" s="617" t="s">
        <v>142</v>
      </c>
      <c r="E62" s="620" t="s">
        <v>150</v>
      </c>
      <c r="F62" s="621">
        <v>33</v>
      </c>
      <c r="G62" s="621">
        <v>0.1</v>
      </c>
      <c r="H62" s="794">
        <f t="shared" si="3"/>
        <v>1.8749999999999999E-3</v>
      </c>
      <c r="I62" s="169">
        <f t="shared" si="0"/>
        <v>3.4965075614664802</v>
      </c>
      <c r="J62" s="169">
        <f t="shared" si="0"/>
        <v>-2.3025850929940455</v>
      </c>
      <c r="K62" s="169">
        <f t="shared" si="1"/>
        <v>-6.2791466195597634</v>
      </c>
    </row>
    <row r="63" spans="1:11">
      <c r="A63" s="616">
        <f t="shared" si="2"/>
        <v>57</v>
      </c>
      <c r="B63" s="618">
        <v>24623</v>
      </c>
      <c r="C63" s="604">
        <v>0.88194444444444453</v>
      </c>
      <c r="D63" s="617" t="s">
        <v>128</v>
      </c>
      <c r="E63" s="620" t="s">
        <v>150</v>
      </c>
      <c r="F63" s="621">
        <v>440</v>
      </c>
      <c r="G63" s="621">
        <v>0.8</v>
      </c>
      <c r="H63" s="794">
        <f t="shared" si="3"/>
        <v>0.2</v>
      </c>
      <c r="I63" s="169">
        <f t="shared" si="0"/>
        <v>6.0867747269123065</v>
      </c>
      <c r="J63" s="169">
        <f t="shared" si="0"/>
        <v>-0.22314355131420971</v>
      </c>
      <c r="K63" s="169">
        <f t="shared" si="1"/>
        <v>-1.6094379124341003</v>
      </c>
    </row>
    <row r="64" spans="1:11">
      <c r="A64" s="616">
        <f t="shared" si="2"/>
        <v>58</v>
      </c>
      <c r="B64" s="618">
        <v>24632</v>
      </c>
      <c r="C64" s="604">
        <v>0.70833333333333337</v>
      </c>
      <c r="D64" s="617" t="s">
        <v>133</v>
      </c>
      <c r="E64" s="620" t="s">
        <v>150</v>
      </c>
      <c r="F64" s="621">
        <v>37</v>
      </c>
      <c r="G64" s="621">
        <v>2</v>
      </c>
      <c r="H64" s="794">
        <f t="shared" si="3"/>
        <v>4.2045454545454546E-2</v>
      </c>
      <c r="I64" s="169">
        <f t="shared" si="0"/>
        <v>3.6109179126442243</v>
      </c>
      <c r="J64" s="169">
        <f t="shared" si="0"/>
        <v>0.69314718055994529</v>
      </c>
      <c r="K64" s="169">
        <f t="shared" si="1"/>
        <v>-3.1690039948280275</v>
      </c>
    </row>
    <row r="65" spans="1:11">
      <c r="A65" s="616">
        <f t="shared" si="2"/>
        <v>59</v>
      </c>
      <c r="B65" s="618">
        <v>24638</v>
      </c>
      <c r="C65" s="604">
        <v>0.34375</v>
      </c>
      <c r="D65" s="617" t="s">
        <v>135</v>
      </c>
      <c r="E65" s="620" t="s">
        <v>150</v>
      </c>
      <c r="F65" s="621">
        <v>33</v>
      </c>
      <c r="G65" s="621">
        <v>43.2</v>
      </c>
      <c r="H65" s="794">
        <f t="shared" si="3"/>
        <v>0.81</v>
      </c>
      <c r="I65" s="169">
        <f t="shared" si="0"/>
        <v>3.4965075614664802</v>
      </c>
      <c r="J65" s="169">
        <f t="shared" si="0"/>
        <v>3.7658404952500648</v>
      </c>
      <c r="K65" s="169">
        <f t="shared" si="1"/>
        <v>-0.21072103131565253</v>
      </c>
    </row>
    <row r="66" spans="1:11">
      <c r="A66" s="616">
        <f t="shared" si="2"/>
        <v>60</v>
      </c>
      <c r="B66" s="618">
        <v>24651</v>
      </c>
      <c r="C66" s="604">
        <v>0.66666666666666663</v>
      </c>
      <c r="D66" s="617" t="s">
        <v>131</v>
      </c>
      <c r="E66" s="620" t="s">
        <v>150</v>
      </c>
      <c r="F66" s="621">
        <v>100</v>
      </c>
      <c r="G66" s="621">
        <v>1</v>
      </c>
      <c r="H66" s="794">
        <f t="shared" si="3"/>
        <v>5.6818181818181816E-2</v>
      </c>
      <c r="I66" s="169">
        <f t="shared" si="0"/>
        <v>4.6051701859880918</v>
      </c>
      <c r="J66" s="169">
        <f t="shared" si="0"/>
        <v>0</v>
      </c>
      <c r="K66" s="169">
        <f t="shared" si="1"/>
        <v>-2.8678989020441059</v>
      </c>
    </row>
    <row r="67" spans="1:11">
      <c r="A67" s="616">
        <f t="shared" si="2"/>
        <v>61</v>
      </c>
      <c r="B67" s="618">
        <v>24998</v>
      </c>
      <c r="C67" s="604">
        <v>0.5625</v>
      </c>
      <c r="D67" s="617" t="s">
        <v>138</v>
      </c>
      <c r="E67" s="620" t="s">
        <v>150</v>
      </c>
      <c r="F67" s="621">
        <v>100</v>
      </c>
      <c r="G67" s="621">
        <v>0.1</v>
      </c>
      <c r="H67" s="794">
        <f t="shared" si="3"/>
        <v>5.681818181818182E-3</v>
      </c>
      <c r="I67" s="169">
        <f t="shared" si="0"/>
        <v>4.6051701859880918</v>
      </c>
      <c r="J67" s="169">
        <f t="shared" si="0"/>
        <v>-2.3025850929940455</v>
      </c>
      <c r="K67" s="169">
        <f t="shared" si="1"/>
        <v>-5.1704839950381514</v>
      </c>
    </row>
    <row r="68" spans="1:11">
      <c r="A68" s="616">
        <f t="shared" si="2"/>
        <v>62</v>
      </c>
      <c r="B68" s="618">
        <v>25064</v>
      </c>
      <c r="C68" s="604">
        <v>0.58333333333333337</v>
      </c>
      <c r="D68" s="617" t="s">
        <v>134</v>
      </c>
      <c r="E68" s="620" t="s">
        <v>150</v>
      </c>
      <c r="F68" s="621">
        <v>17</v>
      </c>
      <c r="G68" s="621">
        <v>1</v>
      </c>
      <c r="H68" s="794">
        <f t="shared" si="3"/>
        <v>9.6590909090909088E-3</v>
      </c>
      <c r="I68" s="169">
        <f t="shared" si="0"/>
        <v>2.8332133440562162</v>
      </c>
      <c r="J68" s="169">
        <f t="shared" si="0"/>
        <v>0</v>
      </c>
      <c r="K68" s="169">
        <f t="shared" si="1"/>
        <v>-4.6398557439759811</v>
      </c>
    </row>
    <row r="69" spans="1:11">
      <c r="A69" s="616">
        <f t="shared" si="2"/>
        <v>63</v>
      </c>
      <c r="B69" s="618">
        <v>25719</v>
      </c>
      <c r="C69" s="604">
        <v>0.64236111111111105</v>
      </c>
      <c r="D69" s="617" t="s">
        <v>145</v>
      </c>
      <c r="E69" s="620" t="s">
        <v>150</v>
      </c>
      <c r="F69" s="621">
        <v>67</v>
      </c>
      <c r="G69" s="621">
        <v>17.2</v>
      </c>
      <c r="H69" s="794">
        <f t="shared" si="3"/>
        <v>0.65477272727272728</v>
      </c>
      <c r="I69" s="169">
        <f t="shared" si="0"/>
        <v>4.2046926193909657</v>
      </c>
      <c r="J69" s="169">
        <f t="shared" si="0"/>
        <v>2.8449093838194073</v>
      </c>
      <c r="K69" s="169">
        <f t="shared" si="1"/>
        <v>-0.42346708482182405</v>
      </c>
    </row>
    <row r="70" spans="1:11">
      <c r="A70" s="616">
        <f t="shared" si="2"/>
        <v>64</v>
      </c>
      <c r="B70" s="618">
        <v>26038</v>
      </c>
      <c r="C70" s="604">
        <v>0.75</v>
      </c>
      <c r="D70" s="617" t="s">
        <v>130</v>
      </c>
      <c r="E70" s="620" t="s">
        <v>150</v>
      </c>
      <c r="F70" s="621">
        <v>100</v>
      </c>
      <c r="G70" s="621">
        <v>0.3</v>
      </c>
      <c r="H70" s="794">
        <f t="shared" si="3"/>
        <v>1.7045454545454544E-2</v>
      </c>
      <c r="I70" s="169">
        <f t="shared" si="0"/>
        <v>4.6051701859880918</v>
      </c>
      <c r="J70" s="169">
        <f t="shared" si="0"/>
        <v>-1.2039728043259361</v>
      </c>
      <c r="K70" s="169">
        <f t="shared" si="1"/>
        <v>-4.0718717063700423</v>
      </c>
    </row>
    <row r="71" spans="1:11">
      <c r="A71" s="616">
        <f t="shared" si="2"/>
        <v>65</v>
      </c>
      <c r="B71" s="618">
        <v>26042</v>
      </c>
      <c r="C71" s="604">
        <v>4.1666666666666664E-2</v>
      </c>
      <c r="D71" s="617" t="s">
        <v>126</v>
      </c>
      <c r="E71" s="620" t="s">
        <v>150</v>
      </c>
      <c r="F71" s="621">
        <v>10</v>
      </c>
      <c r="G71" s="621">
        <v>0.1</v>
      </c>
      <c r="H71" s="794">
        <f t="shared" si="3"/>
        <v>5.6818181818181826E-4</v>
      </c>
      <c r="I71" s="169">
        <f t="shared" si="0"/>
        <v>2.3025850929940459</v>
      </c>
      <c r="J71" s="169">
        <f t="shared" si="0"/>
        <v>-2.3025850929940455</v>
      </c>
      <c r="K71" s="169">
        <f t="shared" si="1"/>
        <v>-7.4730690880321973</v>
      </c>
    </row>
    <row r="72" spans="1:11">
      <c r="A72" s="616">
        <f t="shared" si="2"/>
        <v>66</v>
      </c>
      <c r="B72" s="618">
        <v>26042</v>
      </c>
      <c r="C72" s="604">
        <v>4.7916666666666663E-2</v>
      </c>
      <c r="D72" s="617" t="s">
        <v>145</v>
      </c>
      <c r="E72" s="620" t="s">
        <v>150</v>
      </c>
      <c r="F72" s="621">
        <v>20</v>
      </c>
      <c r="G72" s="621">
        <v>0.3</v>
      </c>
      <c r="H72" s="794">
        <f t="shared" si="3"/>
        <v>3.4090909090909089E-3</v>
      </c>
      <c r="I72" s="169">
        <f t="shared" ref="I72:J135" si="4">LN(F72)</f>
        <v>2.9957322735539909</v>
      </c>
      <c r="J72" s="169">
        <f t="shared" si="4"/>
        <v>-1.2039728043259361</v>
      </c>
      <c r="K72" s="169">
        <f t="shared" ref="K72:K135" si="5">LN(H72)</f>
        <v>-5.6813096188041428</v>
      </c>
    </row>
    <row r="73" spans="1:11">
      <c r="A73" s="616">
        <f t="shared" ref="A73:A136" si="6">+A72+1</f>
        <v>67</v>
      </c>
      <c r="B73" s="618">
        <v>26042</v>
      </c>
      <c r="C73" s="604">
        <v>0.25</v>
      </c>
      <c r="D73" s="617" t="s">
        <v>144</v>
      </c>
      <c r="E73" s="620" t="s">
        <v>150</v>
      </c>
      <c r="F73" s="621">
        <v>20</v>
      </c>
      <c r="G73" s="621">
        <v>0.3</v>
      </c>
      <c r="H73" s="794">
        <f t="shared" ref="H73:H136" si="7">+(F73/1760)*G73</f>
        <v>3.4090909090909089E-3</v>
      </c>
      <c r="I73" s="169">
        <f t="shared" si="4"/>
        <v>2.9957322735539909</v>
      </c>
      <c r="J73" s="169">
        <f t="shared" si="4"/>
        <v>-1.2039728043259361</v>
      </c>
      <c r="K73" s="169">
        <f t="shared" si="5"/>
        <v>-5.6813096188041428</v>
      </c>
    </row>
    <row r="74" spans="1:11">
      <c r="A74" s="616">
        <f t="shared" si="6"/>
        <v>68</v>
      </c>
      <c r="B74" s="618">
        <v>26093</v>
      </c>
      <c r="C74" s="604">
        <v>0.86458333333333337</v>
      </c>
      <c r="D74" s="617" t="s">
        <v>128</v>
      </c>
      <c r="E74" s="620" t="s">
        <v>150</v>
      </c>
      <c r="F74" s="621">
        <v>10</v>
      </c>
      <c r="G74" s="621">
        <v>0.1</v>
      </c>
      <c r="H74" s="794">
        <f t="shared" si="7"/>
        <v>5.6818181818181826E-4</v>
      </c>
      <c r="I74" s="169">
        <f t="shared" si="4"/>
        <v>2.3025850929940459</v>
      </c>
      <c r="J74" s="169">
        <f t="shared" si="4"/>
        <v>-2.3025850929940455</v>
      </c>
      <c r="K74" s="169">
        <f t="shared" si="5"/>
        <v>-7.4730690880321973</v>
      </c>
    </row>
    <row r="75" spans="1:11">
      <c r="A75" s="616">
        <f t="shared" si="6"/>
        <v>69</v>
      </c>
      <c r="B75" s="618">
        <v>26095</v>
      </c>
      <c r="C75" s="604">
        <v>0.66666666666666663</v>
      </c>
      <c r="D75" s="617" t="s">
        <v>139</v>
      </c>
      <c r="E75" s="620" t="s">
        <v>150</v>
      </c>
      <c r="F75" s="621">
        <v>20</v>
      </c>
      <c r="G75" s="621">
        <v>0.1</v>
      </c>
      <c r="H75" s="794">
        <f t="shared" si="7"/>
        <v>1.1363636363636365E-3</v>
      </c>
      <c r="I75" s="169">
        <f t="shared" si="4"/>
        <v>2.9957322735539909</v>
      </c>
      <c r="J75" s="169">
        <f t="shared" si="4"/>
        <v>-2.3025850929940455</v>
      </c>
      <c r="K75" s="169">
        <f t="shared" si="5"/>
        <v>-6.7799219074722519</v>
      </c>
    </row>
    <row r="76" spans="1:11">
      <c r="A76" s="616">
        <f t="shared" si="6"/>
        <v>70</v>
      </c>
      <c r="B76" s="618">
        <v>26095</v>
      </c>
      <c r="C76" s="604">
        <v>0.79166666666666663</v>
      </c>
      <c r="D76" s="617" t="s">
        <v>136</v>
      </c>
      <c r="E76" s="620" t="s">
        <v>150</v>
      </c>
      <c r="F76" s="621">
        <v>6</v>
      </c>
      <c r="G76" s="621">
        <v>0.1</v>
      </c>
      <c r="H76" s="794">
        <f t="shared" si="7"/>
        <v>3.4090909090909094E-4</v>
      </c>
      <c r="I76" s="169">
        <f t="shared" si="4"/>
        <v>1.791759469228055</v>
      </c>
      <c r="J76" s="169">
        <f t="shared" si="4"/>
        <v>-2.3025850929940455</v>
      </c>
      <c r="K76" s="169">
        <f t="shared" si="5"/>
        <v>-7.9838947117981878</v>
      </c>
    </row>
    <row r="77" spans="1:11">
      <c r="A77" s="616">
        <f t="shared" si="6"/>
        <v>71</v>
      </c>
      <c r="B77" s="618">
        <v>26097</v>
      </c>
      <c r="C77" s="604">
        <v>0.6875</v>
      </c>
      <c r="D77" s="617" t="s">
        <v>136</v>
      </c>
      <c r="E77" s="620" t="s">
        <v>150</v>
      </c>
      <c r="F77" s="621">
        <v>20</v>
      </c>
      <c r="G77" s="621">
        <v>1</v>
      </c>
      <c r="H77" s="794">
        <f t="shared" si="7"/>
        <v>1.1363636363636364E-2</v>
      </c>
      <c r="I77" s="169">
        <f t="shared" si="4"/>
        <v>2.9957322735539909</v>
      </c>
      <c r="J77" s="169">
        <f t="shared" si="4"/>
        <v>0</v>
      </c>
      <c r="K77" s="169">
        <f t="shared" si="5"/>
        <v>-4.4773368144782069</v>
      </c>
    </row>
    <row r="78" spans="1:11">
      <c r="A78" s="616">
        <f t="shared" si="6"/>
        <v>72</v>
      </c>
      <c r="B78" s="618">
        <v>26151</v>
      </c>
      <c r="C78" s="604">
        <v>0.6875</v>
      </c>
      <c r="D78" s="617" t="s">
        <v>141</v>
      </c>
      <c r="E78" s="620" t="s">
        <v>150</v>
      </c>
      <c r="F78" s="621">
        <v>50</v>
      </c>
      <c r="G78" s="621">
        <v>2</v>
      </c>
      <c r="H78" s="794">
        <f t="shared" si="7"/>
        <v>5.6818181818181816E-2</v>
      </c>
      <c r="I78" s="169">
        <f t="shared" si="4"/>
        <v>3.912023005428146</v>
      </c>
      <c r="J78" s="169">
        <f t="shared" si="4"/>
        <v>0.69314718055994529</v>
      </c>
      <c r="K78" s="169">
        <f t="shared" si="5"/>
        <v>-2.8678989020441059</v>
      </c>
    </row>
    <row r="79" spans="1:11">
      <c r="A79" s="616">
        <f t="shared" si="6"/>
        <v>73</v>
      </c>
      <c r="B79" s="618">
        <v>26223</v>
      </c>
      <c r="C79" s="604">
        <v>0.70833333333333337</v>
      </c>
      <c r="D79" s="617" t="s">
        <v>141</v>
      </c>
      <c r="E79" s="620" t="s">
        <v>150</v>
      </c>
      <c r="F79" s="621">
        <v>50</v>
      </c>
      <c r="G79" s="621">
        <v>0.3</v>
      </c>
      <c r="H79" s="794">
        <f t="shared" si="7"/>
        <v>8.5227272727272721E-3</v>
      </c>
      <c r="I79" s="169">
        <f t="shared" si="4"/>
        <v>3.912023005428146</v>
      </c>
      <c r="J79" s="169">
        <f t="shared" si="4"/>
        <v>-1.2039728043259361</v>
      </c>
      <c r="K79" s="169">
        <f t="shared" si="5"/>
        <v>-4.7650188869299877</v>
      </c>
    </row>
    <row r="80" spans="1:11">
      <c r="A80" s="616">
        <f t="shared" si="6"/>
        <v>74</v>
      </c>
      <c r="B80" s="618">
        <v>26223</v>
      </c>
      <c r="C80" s="604">
        <v>0.77083333333333337</v>
      </c>
      <c r="D80" s="617" t="s">
        <v>131</v>
      </c>
      <c r="E80" s="620" t="s">
        <v>150</v>
      </c>
      <c r="F80" s="621">
        <v>17</v>
      </c>
      <c r="G80" s="621">
        <v>0.1</v>
      </c>
      <c r="H80" s="794">
        <f t="shared" si="7"/>
        <v>9.6590909090909095E-4</v>
      </c>
      <c r="I80" s="169">
        <f t="shared" si="4"/>
        <v>2.8332133440562162</v>
      </c>
      <c r="J80" s="169">
        <f t="shared" si="4"/>
        <v>-2.3025850929940455</v>
      </c>
      <c r="K80" s="169">
        <f t="shared" si="5"/>
        <v>-6.942440836970027</v>
      </c>
    </row>
    <row r="81" spans="1:11">
      <c r="A81" s="616">
        <f t="shared" si="6"/>
        <v>75</v>
      </c>
      <c r="B81" s="618">
        <v>26223</v>
      </c>
      <c r="C81" s="604">
        <v>0.79166666666666663</v>
      </c>
      <c r="D81" s="617" t="s">
        <v>137</v>
      </c>
      <c r="E81" s="620" t="s">
        <v>150</v>
      </c>
      <c r="F81" s="621">
        <v>20</v>
      </c>
      <c r="G81" s="621">
        <v>0.5</v>
      </c>
      <c r="H81" s="794">
        <f t="shared" si="7"/>
        <v>5.681818181818182E-3</v>
      </c>
      <c r="I81" s="169">
        <f t="shared" si="4"/>
        <v>2.9957322735539909</v>
      </c>
      <c r="J81" s="169">
        <f t="shared" si="4"/>
        <v>-0.69314718055994529</v>
      </c>
      <c r="K81" s="169">
        <f t="shared" si="5"/>
        <v>-5.1704839950381514</v>
      </c>
    </row>
    <row r="82" spans="1:11">
      <c r="A82" s="616">
        <f t="shared" si="6"/>
        <v>76</v>
      </c>
      <c r="B82" s="618">
        <v>26223</v>
      </c>
      <c r="C82" s="604">
        <v>0.79166666666666663</v>
      </c>
      <c r="D82" s="617" t="s">
        <v>137</v>
      </c>
      <c r="E82" s="620" t="s">
        <v>150</v>
      </c>
      <c r="F82" s="621">
        <v>20</v>
      </c>
      <c r="G82" s="621">
        <v>0.5</v>
      </c>
      <c r="H82" s="794">
        <f t="shared" si="7"/>
        <v>5.681818181818182E-3</v>
      </c>
      <c r="I82" s="169">
        <f t="shared" si="4"/>
        <v>2.9957322735539909</v>
      </c>
      <c r="J82" s="169">
        <f t="shared" si="4"/>
        <v>-0.69314718055994529</v>
      </c>
      <c r="K82" s="169">
        <f t="shared" si="5"/>
        <v>-5.1704839950381514</v>
      </c>
    </row>
    <row r="83" spans="1:11">
      <c r="A83" s="616">
        <f t="shared" si="6"/>
        <v>77</v>
      </c>
      <c r="B83" s="618">
        <v>26414</v>
      </c>
      <c r="C83" s="604">
        <v>0.88541666666666663</v>
      </c>
      <c r="D83" s="617" t="s">
        <v>130</v>
      </c>
      <c r="E83" s="620" t="s">
        <v>150</v>
      </c>
      <c r="F83" s="621">
        <v>10</v>
      </c>
      <c r="G83" s="621">
        <v>0.5</v>
      </c>
      <c r="H83" s="794">
        <f t="shared" si="7"/>
        <v>2.840909090909091E-3</v>
      </c>
      <c r="I83" s="169">
        <f t="shared" si="4"/>
        <v>2.3025850929940459</v>
      </c>
      <c r="J83" s="169">
        <f t="shared" si="4"/>
        <v>-0.69314718055994529</v>
      </c>
      <c r="K83" s="169">
        <f t="shared" si="5"/>
        <v>-5.8636311755980968</v>
      </c>
    </row>
    <row r="84" spans="1:11">
      <c r="A84" s="616">
        <f t="shared" si="6"/>
        <v>78</v>
      </c>
      <c r="B84" s="618">
        <v>26414</v>
      </c>
      <c r="C84" s="604">
        <v>0.98958333333333337</v>
      </c>
      <c r="D84" s="617" t="s">
        <v>128</v>
      </c>
      <c r="E84" s="620" t="s">
        <v>150</v>
      </c>
      <c r="F84" s="621">
        <v>17</v>
      </c>
      <c r="G84" s="621">
        <v>0.1</v>
      </c>
      <c r="H84" s="794">
        <f t="shared" si="7"/>
        <v>9.6590909090909095E-4</v>
      </c>
      <c r="I84" s="169">
        <f t="shared" si="4"/>
        <v>2.8332133440562162</v>
      </c>
      <c r="J84" s="169">
        <f t="shared" si="4"/>
        <v>-2.3025850929940455</v>
      </c>
      <c r="K84" s="169">
        <f t="shared" si="5"/>
        <v>-6.942440836970027</v>
      </c>
    </row>
    <row r="85" spans="1:11">
      <c r="A85" s="616">
        <f t="shared" si="6"/>
        <v>79</v>
      </c>
      <c r="B85" s="618">
        <v>26418</v>
      </c>
      <c r="C85" s="604">
        <v>0.69097222222222221</v>
      </c>
      <c r="D85" s="617" t="s">
        <v>137</v>
      </c>
      <c r="E85" s="620" t="s">
        <v>150</v>
      </c>
      <c r="F85" s="621">
        <v>50</v>
      </c>
      <c r="G85" s="621">
        <v>0.1</v>
      </c>
      <c r="H85" s="794">
        <f t="shared" si="7"/>
        <v>2.840909090909091E-3</v>
      </c>
      <c r="I85" s="169">
        <f t="shared" si="4"/>
        <v>3.912023005428146</v>
      </c>
      <c r="J85" s="169">
        <f t="shared" si="4"/>
        <v>-2.3025850929940455</v>
      </c>
      <c r="K85" s="169">
        <f t="shared" si="5"/>
        <v>-5.8636311755980968</v>
      </c>
    </row>
    <row r="86" spans="1:11">
      <c r="A86" s="616">
        <f t="shared" si="6"/>
        <v>80</v>
      </c>
      <c r="B86" s="618">
        <v>26418</v>
      </c>
      <c r="C86" s="604">
        <v>0.8125</v>
      </c>
      <c r="D86" s="617" t="s">
        <v>148</v>
      </c>
      <c r="E86" s="620" t="s">
        <v>150</v>
      </c>
      <c r="F86" s="621">
        <v>880</v>
      </c>
      <c r="G86" s="621">
        <v>11.1</v>
      </c>
      <c r="H86" s="794">
        <f t="shared" si="7"/>
        <v>5.55</v>
      </c>
      <c r="I86" s="169">
        <f t="shared" si="4"/>
        <v>6.7799219074722519</v>
      </c>
      <c r="J86" s="169">
        <f t="shared" si="4"/>
        <v>2.4069451083182885</v>
      </c>
      <c r="K86" s="169">
        <f t="shared" si="5"/>
        <v>1.7137979277583431</v>
      </c>
    </row>
    <row r="87" spans="1:11">
      <c r="A87" s="616">
        <f t="shared" si="6"/>
        <v>81</v>
      </c>
      <c r="B87" s="618">
        <v>26423</v>
      </c>
      <c r="C87" s="604">
        <v>0.67708333333333337</v>
      </c>
      <c r="D87" s="617" t="s">
        <v>148</v>
      </c>
      <c r="E87" s="620" t="s">
        <v>150</v>
      </c>
      <c r="F87" s="621">
        <v>50</v>
      </c>
      <c r="G87" s="621">
        <v>0.5</v>
      </c>
      <c r="H87" s="794">
        <f t="shared" si="7"/>
        <v>1.4204545454545454E-2</v>
      </c>
      <c r="I87" s="169">
        <f t="shared" si="4"/>
        <v>3.912023005428146</v>
      </c>
      <c r="J87" s="169">
        <f t="shared" si="4"/>
        <v>-0.69314718055994529</v>
      </c>
      <c r="K87" s="169">
        <f t="shared" si="5"/>
        <v>-4.2541932631639972</v>
      </c>
    </row>
    <row r="88" spans="1:11">
      <c r="A88" s="616">
        <f t="shared" si="6"/>
        <v>82</v>
      </c>
      <c r="B88" s="618">
        <v>26428</v>
      </c>
      <c r="C88" s="604">
        <v>0.83611111111111114</v>
      </c>
      <c r="D88" s="617" t="s">
        <v>145</v>
      </c>
      <c r="E88" s="620" t="s">
        <v>150</v>
      </c>
      <c r="F88" s="621">
        <v>20</v>
      </c>
      <c r="G88" s="621">
        <v>0.5</v>
      </c>
      <c r="H88" s="794">
        <f t="shared" si="7"/>
        <v>5.681818181818182E-3</v>
      </c>
      <c r="I88" s="169">
        <f t="shared" si="4"/>
        <v>2.9957322735539909</v>
      </c>
      <c r="J88" s="169">
        <f t="shared" si="4"/>
        <v>-0.69314718055994529</v>
      </c>
      <c r="K88" s="169">
        <f t="shared" si="5"/>
        <v>-5.1704839950381514</v>
      </c>
    </row>
    <row r="89" spans="1:11">
      <c r="A89" s="616">
        <f t="shared" si="6"/>
        <v>83</v>
      </c>
      <c r="B89" s="618">
        <v>26429</v>
      </c>
      <c r="C89" s="604">
        <v>0.68402777777777779</v>
      </c>
      <c r="D89" s="617" t="s">
        <v>134</v>
      </c>
      <c r="E89" s="620" t="s">
        <v>150</v>
      </c>
      <c r="F89" s="621">
        <v>10</v>
      </c>
      <c r="G89" s="621">
        <v>0.1</v>
      </c>
      <c r="H89" s="794">
        <f t="shared" si="7"/>
        <v>5.6818181818181826E-4</v>
      </c>
      <c r="I89" s="169">
        <f t="shared" si="4"/>
        <v>2.3025850929940459</v>
      </c>
      <c r="J89" s="169">
        <f t="shared" si="4"/>
        <v>-2.3025850929940455</v>
      </c>
      <c r="K89" s="169">
        <f t="shared" si="5"/>
        <v>-7.4730690880321973</v>
      </c>
    </row>
    <row r="90" spans="1:11">
      <c r="A90" s="616">
        <f t="shared" si="6"/>
        <v>84</v>
      </c>
      <c r="B90" s="618">
        <v>26429</v>
      </c>
      <c r="C90" s="604">
        <v>0.68402777777777779</v>
      </c>
      <c r="D90" s="617" t="s">
        <v>134</v>
      </c>
      <c r="E90" s="620" t="s">
        <v>150</v>
      </c>
      <c r="F90" s="621">
        <v>10</v>
      </c>
      <c r="G90" s="621">
        <v>0.1</v>
      </c>
      <c r="H90" s="794">
        <f t="shared" si="7"/>
        <v>5.6818181818181826E-4</v>
      </c>
      <c r="I90" s="169">
        <f t="shared" si="4"/>
        <v>2.3025850929940459</v>
      </c>
      <c r="J90" s="169">
        <f t="shared" si="4"/>
        <v>-2.3025850929940455</v>
      </c>
      <c r="K90" s="169">
        <f t="shared" si="5"/>
        <v>-7.4730690880321973</v>
      </c>
    </row>
    <row r="91" spans="1:11">
      <c r="A91" s="616">
        <f t="shared" si="6"/>
        <v>85</v>
      </c>
      <c r="B91" s="618">
        <v>26432</v>
      </c>
      <c r="C91" s="604">
        <v>0.51041666666666663</v>
      </c>
      <c r="D91" s="617" t="s">
        <v>130</v>
      </c>
      <c r="E91" s="620" t="s">
        <v>150</v>
      </c>
      <c r="F91" s="621">
        <v>100</v>
      </c>
      <c r="G91" s="621">
        <v>0.5</v>
      </c>
      <c r="H91" s="794">
        <f t="shared" si="7"/>
        <v>2.8409090909090908E-2</v>
      </c>
      <c r="I91" s="169">
        <f t="shared" si="4"/>
        <v>4.6051701859880918</v>
      </c>
      <c r="J91" s="169">
        <f t="shared" si="4"/>
        <v>-0.69314718055994529</v>
      </c>
      <c r="K91" s="169">
        <f t="shared" si="5"/>
        <v>-3.5610460826040513</v>
      </c>
    </row>
    <row r="92" spans="1:11">
      <c r="A92" s="616">
        <f t="shared" si="6"/>
        <v>86</v>
      </c>
      <c r="B92" s="618">
        <v>26443</v>
      </c>
      <c r="C92" s="604">
        <v>0.6875</v>
      </c>
      <c r="D92" s="617" t="s">
        <v>132</v>
      </c>
      <c r="E92" s="620" t="s">
        <v>150</v>
      </c>
      <c r="F92" s="621">
        <v>440</v>
      </c>
      <c r="G92" s="621">
        <v>4.3</v>
      </c>
      <c r="H92" s="794">
        <f t="shared" si="7"/>
        <v>1.075</v>
      </c>
      <c r="I92" s="169">
        <f t="shared" si="4"/>
        <v>6.0867747269123065</v>
      </c>
      <c r="J92" s="169">
        <f t="shared" si="4"/>
        <v>1.4586150226995167</v>
      </c>
      <c r="K92" s="169">
        <f t="shared" si="5"/>
        <v>7.2320661579626078E-2</v>
      </c>
    </row>
    <row r="93" spans="1:11">
      <c r="A93" s="616">
        <f t="shared" si="6"/>
        <v>87</v>
      </c>
      <c r="B93" s="618">
        <v>26465</v>
      </c>
      <c r="C93" s="604">
        <v>0.69097222222222221</v>
      </c>
      <c r="D93" s="617" t="s">
        <v>131</v>
      </c>
      <c r="E93" s="620" t="s">
        <v>150</v>
      </c>
      <c r="F93" s="621">
        <v>20</v>
      </c>
      <c r="G93" s="621">
        <v>3.6</v>
      </c>
      <c r="H93" s="794">
        <f t="shared" si="7"/>
        <v>4.0909090909090909E-2</v>
      </c>
      <c r="I93" s="169">
        <f t="shared" si="4"/>
        <v>2.9957322735539909</v>
      </c>
      <c r="J93" s="169">
        <f t="shared" si="4"/>
        <v>1.2809338454620642</v>
      </c>
      <c r="K93" s="169">
        <f t="shared" si="5"/>
        <v>-3.196402969016142</v>
      </c>
    </row>
    <row r="94" spans="1:11">
      <c r="A94" s="616">
        <f t="shared" si="6"/>
        <v>88</v>
      </c>
      <c r="B94" s="618">
        <v>26471</v>
      </c>
      <c r="C94" s="604">
        <v>0.86458333333333337</v>
      </c>
      <c r="D94" s="617" t="s">
        <v>144</v>
      </c>
      <c r="E94" s="620" t="s">
        <v>150</v>
      </c>
      <c r="F94" s="621">
        <v>20</v>
      </c>
      <c r="G94" s="621">
        <v>5.9</v>
      </c>
      <c r="H94" s="794">
        <f t="shared" si="7"/>
        <v>6.7045454545454547E-2</v>
      </c>
      <c r="I94" s="169">
        <f t="shared" si="4"/>
        <v>2.9957322735539909</v>
      </c>
      <c r="J94" s="169">
        <f t="shared" si="4"/>
        <v>1.7749523509116738</v>
      </c>
      <c r="K94" s="169">
        <f t="shared" si="5"/>
        <v>-2.7023844635665326</v>
      </c>
    </row>
    <row r="95" spans="1:11">
      <c r="A95" s="616">
        <f t="shared" si="6"/>
        <v>89</v>
      </c>
      <c r="B95" s="618">
        <v>26471</v>
      </c>
      <c r="C95" s="604">
        <v>0.86458333333333337</v>
      </c>
      <c r="D95" s="617" t="s">
        <v>144</v>
      </c>
      <c r="E95" s="620" t="s">
        <v>150</v>
      </c>
      <c r="F95" s="621">
        <v>20</v>
      </c>
      <c r="G95" s="621">
        <v>1</v>
      </c>
      <c r="H95" s="794">
        <f t="shared" si="7"/>
        <v>1.1363636363636364E-2</v>
      </c>
      <c r="I95" s="169">
        <f t="shared" si="4"/>
        <v>2.9957322735539909</v>
      </c>
      <c r="J95" s="169">
        <f t="shared" si="4"/>
        <v>0</v>
      </c>
      <c r="K95" s="169">
        <f t="shared" si="5"/>
        <v>-4.4773368144782069</v>
      </c>
    </row>
    <row r="96" spans="1:11">
      <c r="A96" s="616">
        <f t="shared" si="6"/>
        <v>90</v>
      </c>
      <c r="B96" s="618">
        <v>26482</v>
      </c>
      <c r="C96" s="604">
        <v>0.85416666666666663</v>
      </c>
      <c r="D96" s="617" t="s">
        <v>144</v>
      </c>
      <c r="E96" s="620" t="s">
        <v>150</v>
      </c>
      <c r="F96" s="621">
        <v>50</v>
      </c>
      <c r="G96" s="621">
        <v>0.3</v>
      </c>
      <c r="H96" s="794">
        <f t="shared" si="7"/>
        <v>8.5227272727272721E-3</v>
      </c>
      <c r="I96" s="169">
        <f t="shared" si="4"/>
        <v>3.912023005428146</v>
      </c>
      <c r="J96" s="169">
        <f t="shared" si="4"/>
        <v>-1.2039728043259361</v>
      </c>
      <c r="K96" s="169">
        <f t="shared" si="5"/>
        <v>-4.7650188869299877</v>
      </c>
    </row>
    <row r="97" spans="1:11">
      <c r="A97" s="616">
        <f t="shared" si="6"/>
        <v>91</v>
      </c>
      <c r="B97" s="618">
        <v>26497</v>
      </c>
      <c r="C97" s="604">
        <v>0.59375</v>
      </c>
      <c r="D97" s="617" t="s">
        <v>127</v>
      </c>
      <c r="E97" s="620" t="s">
        <v>150</v>
      </c>
      <c r="F97" s="621">
        <v>20</v>
      </c>
      <c r="G97" s="621">
        <v>0.1</v>
      </c>
      <c r="H97" s="794">
        <f t="shared" si="7"/>
        <v>1.1363636363636365E-3</v>
      </c>
      <c r="I97" s="169">
        <f t="shared" si="4"/>
        <v>2.9957322735539909</v>
      </c>
      <c r="J97" s="169">
        <f t="shared" si="4"/>
        <v>-2.3025850929940455</v>
      </c>
      <c r="K97" s="169">
        <f t="shared" si="5"/>
        <v>-6.7799219074722519</v>
      </c>
    </row>
    <row r="98" spans="1:11">
      <c r="A98" s="616">
        <f t="shared" si="6"/>
        <v>92</v>
      </c>
      <c r="B98" s="618">
        <v>26767</v>
      </c>
      <c r="C98" s="604">
        <v>0.74861111111111101</v>
      </c>
      <c r="D98" s="617" t="s">
        <v>140</v>
      </c>
      <c r="E98" s="620" t="s">
        <v>150</v>
      </c>
      <c r="F98" s="621">
        <v>17</v>
      </c>
      <c r="G98" s="621">
        <v>1</v>
      </c>
      <c r="H98" s="794">
        <f t="shared" si="7"/>
        <v>9.6590909090909088E-3</v>
      </c>
      <c r="I98" s="169">
        <f t="shared" si="4"/>
        <v>2.8332133440562162</v>
      </c>
      <c r="J98" s="169">
        <f t="shared" si="4"/>
        <v>0</v>
      </c>
      <c r="K98" s="169">
        <f t="shared" si="5"/>
        <v>-4.6398557439759811</v>
      </c>
    </row>
    <row r="99" spans="1:11">
      <c r="A99" s="616">
        <f t="shared" si="6"/>
        <v>93</v>
      </c>
      <c r="B99" s="618">
        <v>26806</v>
      </c>
      <c r="C99" s="604">
        <v>0.71527777777777779</v>
      </c>
      <c r="D99" s="617" t="s">
        <v>145</v>
      </c>
      <c r="E99" s="620" t="s">
        <v>150</v>
      </c>
      <c r="F99" s="621">
        <v>20</v>
      </c>
      <c r="G99" s="621">
        <v>0.3</v>
      </c>
      <c r="H99" s="794">
        <f t="shared" si="7"/>
        <v>3.4090909090909089E-3</v>
      </c>
      <c r="I99" s="169">
        <f t="shared" si="4"/>
        <v>2.9957322735539909</v>
      </c>
      <c r="J99" s="169">
        <f t="shared" si="4"/>
        <v>-1.2039728043259361</v>
      </c>
      <c r="K99" s="169">
        <f t="shared" si="5"/>
        <v>-5.6813096188041428</v>
      </c>
    </row>
    <row r="100" spans="1:11">
      <c r="A100" s="616">
        <f t="shared" si="6"/>
        <v>94</v>
      </c>
      <c r="B100" s="618">
        <v>26884</v>
      </c>
      <c r="C100" s="604">
        <v>0.70625000000000004</v>
      </c>
      <c r="D100" s="617" t="s">
        <v>136</v>
      </c>
      <c r="E100" s="620" t="s">
        <v>150</v>
      </c>
      <c r="F100" s="621">
        <v>10</v>
      </c>
      <c r="G100" s="621">
        <v>0.1</v>
      </c>
      <c r="H100" s="794">
        <f t="shared" si="7"/>
        <v>5.6818181818181826E-4</v>
      </c>
      <c r="I100" s="169">
        <f t="shared" si="4"/>
        <v>2.3025850929940459</v>
      </c>
      <c r="J100" s="169">
        <f t="shared" si="4"/>
        <v>-2.3025850929940455</v>
      </c>
      <c r="K100" s="169">
        <f t="shared" si="5"/>
        <v>-7.4730690880321973</v>
      </c>
    </row>
    <row r="101" spans="1:11">
      <c r="A101" s="616">
        <f t="shared" si="6"/>
        <v>95</v>
      </c>
      <c r="B101" s="618">
        <v>27097</v>
      </c>
      <c r="C101" s="604">
        <v>0.55694444444444446</v>
      </c>
      <c r="D101" s="617" t="s">
        <v>145</v>
      </c>
      <c r="E101" s="620" t="s">
        <v>150</v>
      </c>
      <c r="F101" s="621">
        <v>20</v>
      </c>
      <c r="G101" s="621">
        <v>3</v>
      </c>
      <c r="H101" s="794">
        <f t="shared" si="7"/>
        <v>3.4090909090909088E-2</v>
      </c>
      <c r="I101" s="169">
        <f t="shared" si="4"/>
        <v>2.9957322735539909</v>
      </c>
      <c r="J101" s="169">
        <f t="shared" si="4"/>
        <v>1.0986122886681098</v>
      </c>
      <c r="K101" s="169">
        <f t="shared" si="5"/>
        <v>-3.3787245258100969</v>
      </c>
    </row>
    <row r="102" spans="1:11">
      <c r="A102" s="616">
        <f t="shared" si="6"/>
        <v>96</v>
      </c>
      <c r="B102" s="618">
        <v>27129</v>
      </c>
      <c r="C102" s="604">
        <v>0.88194444444444453</v>
      </c>
      <c r="D102" s="617" t="s">
        <v>148</v>
      </c>
      <c r="E102" s="620" t="s">
        <v>150</v>
      </c>
      <c r="F102" s="621">
        <v>33</v>
      </c>
      <c r="G102" s="621">
        <v>2</v>
      </c>
      <c r="H102" s="794">
        <f t="shared" si="7"/>
        <v>3.7499999999999999E-2</v>
      </c>
      <c r="I102" s="169">
        <f t="shared" si="4"/>
        <v>3.4965075614664802</v>
      </c>
      <c r="J102" s="169">
        <f t="shared" si="4"/>
        <v>0.69314718055994529</v>
      </c>
      <c r="K102" s="169">
        <f t="shared" si="5"/>
        <v>-3.2834143460057721</v>
      </c>
    </row>
    <row r="103" spans="1:11">
      <c r="A103" s="616">
        <f t="shared" si="6"/>
        <v>97</v>
      </c>
      <c r="B103" s="618">
        <v>27138</v>
      </c>
      <c r="C103" s="604">
        <v>0.64930555555555558</v>
      </c>
      <c r="D103" s="617" t="s">
        <v>141</v>
      </c>
      <c r="E103" s="620" t="s">
        <v>150</v>
      </c>
      <c r="F103" s="621">
        <v>20</v>
      </c>
      <c r="G103" s="621">
        <v>1.9</v>
      </c>
      <c r="H103" s="794">
        <f t="shared" si="7"/>
        <v>2.1590909090909091E-2</v>
      </c>
      <c r="I103" s="169">
        <f t="shared" si="4"/>
        <v>2.9957322735539909</v>
      </c>
      <c r="J103" s="169">
        <f t="shared" si="4"/>
        <v>0.64185388617239469</v>
      </c>
      <c r="K103" s="169">
        <f t="shared" si="5"/>
        <v>-3.8354829283058116</v>
      </c>
    </row>
    <row r="104" spans="1:11">
      <c r="A104" s="616">
        <f t="shared" si="6"/>
        <v>98</v>
      </c>
      <c r="B104" s="618">
        <v>27147</v>
      </c>
      <c r="C104" s="604">
        <v>0.93055555555555547</v>
      </c>
      <c r="D104" s="617" t="s">
        <v>148</v>
      </c>
      <c r="E104" s="620" t="s">
        <v>150</v>
      </c>
      <c r="F104" s="621">
        <v>20</v>
      </c>
      <c r="G104" s="621">
        <v>1</v>
      </c>
      <c r="H104" s="794">
        <f t="shared" si="7"/>
        <v>1.1363636363636364E-2</v>
      </c>
      <c r="I104" s="169">
        <f t="shared" si="4"/>
        <v>2.9957322735539909</v>
      </c>
      <c r="J104" s="169">
        <f t="shared" si="4"/>
        <v>0</v>
      </c>
      <c r="K104" s="169">
        <f t="shared" si="5"/>
        <v>-4.4773368144782069</v>
      </c>
    </row>
    <row r="105" spans="1:11">
      <c r="A105" s="616">
        <f t="shared" si="6"/>
        <v>99</v>
      </c>
      <c r="B105" s="618">
        <v>27173</v>
      </c>
      <c r="C105" s="604">
        <v>0.87152777777777779</v>
      </c>
      <c r="D105" s="617" t="s">
        <v>144</v>
      </c>
      <c r="E105" s="620" t="s">
        <v>150</v>
      </c>
      <c r="F105" s="621">
        <v>30</v>
      </c>
      <c r="G105" s="621">
        <v>3</v>
      </c>
      <c r="H105" s="794">
        <f t="shared" si="7"/>
        <v>5.1136363636363633E-2</v>
      </c>
      <c r="I105" s="169">
        <f t="shared" si="4"/>
        <v>3.4011973816621555</v>
      </c>
      <c r="J105" s="169">
        <f t="shared" si="4"/>
        <v>1.0986122886681098</v>
      </c>
      <c r="K105" s="169">
        <f t="shared" si="5"/>
        <v>-2.9732594177019327</v>
      </c>
    </row>
    <row r="106" spans="1:11">
      <c r="A106" s="616">
        <f t="shared" si="6"/>
        <v>100</v>
      </c>
      <c r="B106" s="618">
        <v>27187</v>
      </c>
      <c r="C106" s="604">
        <v>0.78472222222222221</v>
      </c>
      <c r="D106" s="617" t="s">
        <v>140</v>
      </c>
      <c r="E106" s="620" t="s">
        <v>150</v>
      </c>
      <c r="F106" s="621">
        <v>200</v>
      </c>
      <c r="G106" s="621">
        <v>4.7</v>
      </c>
      <c r="H106" s="794">
        <f t="shared" si="7"/>
        <v>0.53409090909090906</v>
      </c>
      <c r="I106" s="169">
        <f t="shared" si="4"/>
        <v>5.2983173665480363</v>
      </c>
      <c r="J106" s="169">
        <f t="shared" si="4"/>
        <v>1.547562508716013</v>
      </c>
      <c r="K106" s="169">
        <f t="shared" si="5"/>
        <v>-0.62718921276814799</v>
      </c>
    </row>
    <row r="107" spans="1:11">
      <c r="A107" s="616">
        <f t="shared" si="6"/>
        <v>101</v>
      </c>
      <c r="B107" s="618">
        <v>27480</v>
      </c>
      <c r="C107" s="604">
        <v>6.9444444444444447E-4</v>
      </c>
      <c r="D107" s="617" t="s">
        <v>142</v>
      </c>
      <c r="E107" s="620" t="s">
        <v>150</v>
      </c>
      <c r="F107" s="621">
        <v>17</v>
      </c>
      <c r="G107" s="621">
        <v>0.3</v>
      </c>
      <c r="H107" s="794">
        <f t="shared" si="7"/>
        <v>2.8977272727272727E-3</v>
      </c>
      <c r="I107" s="169">
        <f t="shared" si="4"/>
        <v>2.8332133440562162</v>
      </c>
      <c r="J107" s="169">
        <f t="shared" si="4"/>
        <v>-1.2039728043259361</v>
      </c>
      <c r="K107" s="169">
        <f t="shared" si="5"/>
        <v>-5.843828548301917</v>
      </c>
    </row>
    <row r="108" spans="1:11">
      <c r="A108" s="616">
        <f t="shared" si="6"/>
        <v>102</v>
      </c>
      <c r="B108" s="618">
        <v>27480</v>
      </c>
      <c r="C108" s="604">
        <v>4.1666666666666664E-2</v>
      </c>
      <c r="D108" s="617" t="s">
        <v>133</v>
      </c>
      <c r="E108" s="620" t="s">
        <v>150</v>
      </c>
      <c r="F108" s="621">
        <v>20</v>
      </c>
      <c r="G108" s="621">
        <v>0.1</v>
      </c>
      <c r="H108" s="794">
        <f t="shared" si="7"/>
        <v>1.1363636363636365E-3</v>
      </c>
      <c r="I108" s="169">
        <f t="shared" si="4"/>
        <v>2.9957322735539909</v>
      </c>
      <c r="J108" s="169">
        <f t="shared" si="4"/>
        <v>-2.3025850929940455</v>
      </c>
      <c r="K108" s="169">
        <f t="shared" si="5"/>
        <v>-6.7799219074722519</v>
      </c>
    </row>
    <row r="109" spans="1:11">
      <c r="A109" s="616">
        <f t="shared" si="6"/>
        <v>103</v>
      </c>
      <c r="B109" s="618">
        <v>27571</v>
      </c>
      <c r="C109" s="604">
        <v>0.72916666666666663</v>
      </c>
      <c r="D109" s="617" t="s">
        <v>131</v>
      </c>
      <c r="E109" s="620" t="s">
        <v>150</v>
      </c>
      <c r="F109" s="621">
        <v>40</v>
      </c>
      <c r="G109" s="621">
        <v>1</v>
      </c>
      <c r="H109" s="794">
        <f t="shared" si="7"/>
        <v>2.2727272727272728E-2</v>
      </c>
      <c r="I109" s="169">
        <f t="shared" si="4"/>
        <v>3.6888794541139363</v>
      </c>
      <c r="J109" s="169">
        <f t="shared" si="4"/>
        <v>0</v>
      </c>
      <c r="K109" s="169">
        <f t="shared" si="5"/>
        <v>-3.784189633918261</v>
      </c>
    </row>
    <row r="110" spans="1:11">
      <c r="A110" s="616">
        <f t="shared" si="6"/>
        <v>104</v>
      </c>
      <c r="B110" s="618">
        <v>27585</v>
      </c>
      <c r="C110" s="604">
        <v>0.67708333333333337</v>
      </c>
      <c r="D110" s="617" t="s">
        <v>127</v>
      </c>
      <c r="E110" s="620" t="s">
        <v>150</v>
      </c>
      <c r="F110" s="621">
        <v>60</v>
      </c>
      <c r="G110" s="621">
        <v>2</v>
      </c>
      <c r="H110" s="794">
        <f t="shared" si="7"/>
        <v>6.8181818181818177E-2</v>
      </c>
      <c r="I110" s="169">
        <f t="shared" si="4"/>
        <v>4.0943445622221004</v>
      </c>
      <c r="J110" s="169">
        <f t="shared" si="4"/>
        <v>0.69314718055994529</v>
      </c>
      <c r="K110" s="169">
        <f t="shared" si="5"/>
        <v>-2.6855773452501515</v>
      </c>
    </row>
    <row r="111" spans="1:11">
      <c r="A111" s="616">
        <f t="shared" si="6"/>
        <v>105</v>
      </c>
      <c r="B111" s="618">
        <v>27865</v>
      </c>
      <c r="C111" s="604">
        <v>0.51736111111111105</v>
      </c>
      <c r="D111" s="617" t="s">
        <v>144</v>
      </c>
      <c r="E111" s="620" t="s">
        <v>150</v>
      </c>
      <c r="F111" s="621">
        <v>30</v>
      </c>
      <c r="G111" s="621">
        <v>0.5</v>
      </c>
      <c r="H111" s="794">
        <f t="shared" si="7"/>
        <v>8.5227272727272721E-3</v>
      </c>
      <c r="I111" s="169">
        <f t="shared" si="4"/>
        <v>3.4011973816621555</v>
      </c>
      <c r="J111" s="169">
        <f t="shared" si="4"/>
        <v>-0.69314718055994529</v>
      </c>
      <c r="K111" s="169">
        <f t="shared" si="5"/>
        <v>-4.7650188869299877</v>
      </c>
    </row>
    <row r="112" spans="1:11">
      <c r="A112" s="616">
        <f t="shared" si="6"/>
        <v>106</v>
      </c>
      <c r="B112" s="618">
        <v>28259</v>
      </c>
      <c r="C112" s="604">
        <v>0.25069444444444444</v>
      </c>
      <c r="D112" s="617" t="s">
        <v>129</v>
      </c>
      <c r="E112" s="620" t="s">
        <v>150</v>
      </c>
      <c r="F112" s="621">
        <v>20</v>
      </c>
      <c r="G112" s="621">
        <v>1</v>
      </c>
      <c r="H112" s="794">
        <f t="shared" si="7"/>
        <v>1.1363636363636364E-2</v>
      </c>
      <c r="I112" s="169">
        <f t="shared" si="4"/>
        <v>2.9957322735539909</v>
      </c>
      <c r="J112" s="169">
        <f t="shared" si="4"/>
        <v>0</v>
      </c>
      <c r="K112" s="169">
        <f t="shared" si="5"/>
        <v>-4.4773368144782069</v>
      </c>
    </row>
    <row r="113" spans="1:11">
      <c r="A113" s="616">
        <f t="shared" si="6"/>
        <v>107</v>
      </c>
      <c r="B113" s="618">
        <v>28259</v>
      </c>
      <c r="C113" s="604">
        <v>0.60069444444444442</v>
      </c>
      <c r="D113" s="617" t="s">
        <v>141</v>
      </c>
      <c r="E113" s="620" t="s">
        <v>150</v>
      </c>
      <c r="F113" s="621">
        <v>20</v>
      </c>
      <c r="G113" s="621">
        <v>1</v>
      </c>
      <c r="H113" s="794">
        <f t="shared" si="7"/>
        <v>1.1363636363636364E-2</v>
      </c>
      <c r="I113" s="169">
        <f t="shared" si="4"/>
        <v>2.9957322735539909</v>
      </c>
      <c r="J113" s="169">
        <f t="shared" si="4"/>
        <v>0</v>
      </c>
      <c r="K113" s="169">
        <f t="shared" si="5"/>
        <v>-4.4773368144782069</v>
      </c>
    </row>
    <row r="114" spans="1:11">
      <c r="A114" s="616">
        <f t="shared" si="6"/>
        <v>108</v>
      </c>
      <c r="B114" s="618">
        <v>28262</v>
      </c>
      <c r="C114" s="604">
        <v>0.79166666666666663</v>
      </c>
      <c r="D114" s="617" t="s">
        <v>136</v>
      </c>
      <c r="E114" s="620" t="s">
        <v>150</v>
      </c>
      <c r="F114" s="621">
        <v>20</v>
      </c>
      <c r="G114" s="621">
        <v>1</v>
      </c>
      <c r="H114" s="794">
        <f t="shared" si="7"/>
        <v>1.1363636363636364E-2</v>
      </c>
      <c r="I114" s="169">
        <f t="shared" si="4"/>
        <v>2.9957322735539909</v>
      </c>
      <c r="J114" s="169">
        <f t="shared" si="4"/>
        <v>0</v>
      </c>
      <c r="K114" s="169">
        <f t="shared" si="5"/>
        <v>-4.4773368144782069</v>
      </c>
    </row>
    <row r="115" spans="1:11">
      <c r="A115" s="616">
        <f t="shared" si="6"/>
        <v>109</v>
      </c>
      <c r="B115" s="618">
        <v>28262</v>
      </c>
      <c r="C115" s="604">
        <v>0.81041666666666667</v>
      </c>
      <c r="D115" s="617" t="s">
        <v>146</v>
      </c>
      <c r="E115" s="620" t="s">
        <v>150</v>
      </c>
      <c r="F115" s="621">
        <v>20</v>
      </c>
      <c r="G115" s="621">
        <v>6.4</v>
      </c>
      <c r="H115" s="794">
        <f t="shared" si="7"/>
        <v>7.2727272727272738E-2</v>
      </c>
      <c r="I115" s="169">
        <f t="shared" si="4"/>
        <v>2.9957322735539909</v>
      </c>
      <c r="J115" s="169">
        <f t="shared" si="4"/>
        <v>1.8562979903656263</v>
      </c>
      <c r="K115" s="169">
        <f t="shared" si="5"/>
        <v>-2.6210388241125804</v>
      </c>
    </row>
    <row r="116" spans="1:11">
      <c r="A116" s="616">
        <f t="shared" si="6"/>
        <v>110</v>
      </c>
      <c r="B116" s="618">
        <v>28262</v>
      </c>
      <c r="C116" s="604">
        <v>0.82638888888888884</v>
      </c>
      <c r="D116" s="617" t="s">
        <v>141</v>
      </c>
      <c r="E116" s="620" t="s">
        <v>150</v>
      </c>
      <c r="F116" s="621">
        <v>20</v>
      </c>
      <c r="G116" s="621">
        <v>1</v>
      </c>
      <c r="H116" s="794">
        <f t="shared" si="7"/>
        <v>1.1363636363636364E-2</v>
      </c>
      <c r="I116" s="169">
        <f t="shared" si="4"/>
        <v>2.9957322735539909</v>
      </c>
      <c r="J116" s="169">
        <f t="shared" si="4"/>
        <v>0</v>
      </c>
      <c r="K116" s="169">
        <f t="shared" si="5"/>
        <v>-4.4773368144782069</v>
      </c>
    </row>
    <row r="117" spans="1:11">
      <c r="A117" s="616">
        <f t="shared" si="6"/>
        <v>111</v>
      </c>
      <c r="B117" s="618">
        <v>28262</v>
      </c>
      <c r="C117" s="604">
        <v>0.86111111111111116</v>
      </c>
      <c r="D117" s="617" t="s">
        <v>146</v>
      </c>
      <c r="E117" s="620" t="s">
        <v>150</v>
      </c>
      <c r="F117" s="621">
        <v>20</v>
      </c>
      <c r="G117" s="621">
        <v>1</v>
      </c>
      <c r="H117" s="794">
        <f t="shared" si="7"/>
        <v>1.1363636363636364E-2</v>
      </c>
      <c r="I117" s="169">
        <f t="shared" si="4"/>
        <v>2.9957322735539909</v>
      </c>
      <c r="J117" s="169">
        <f t="shared" si="4"/>
        <v>0</v>
      </c>
      <c r="K117" s="169">
        <f t="shared" si="5"/>
        <v>-4.4773368144782069</v>
      </c>
    </row>
    <row r="118" spans="1:11">
      <c r="A118" s="616">
        <f t="shared" si="6"/>
        <v>112</v>
      </c>
      <c r="B118" s="618">
        <v>28265</v>
      </c>
      <c r="C118" s="604">
        <v>0.64444444444444449</v>
      </c>
      <c r="D118" s="617" t="s">
        <v>147</v>
      </c>
      <c r="E118" s="620" t="s">
        <v>150</v>
      </c>
      <c r="F118" s="621">
        <v>30</v>
      </c>
      <c r="G118" s="621">
        <v>2</v>
      </c>
      <c r="H118" s="794">
        <f t="shared" si="7"/>
        <v>3.4090909090909088E-2</v>
      </c>
      <c r="I118" s="169">
        <f t="shared" si="4"/>
        <v>3.4011973816621555</v>
      </c>
      <c r="J118" s="169">
        <f t="shared" si="4"/>
        <v>0.69314718055994529</v>
      </c>
      <c r="K118" s="169">
        <f t="shared" si="5"/>
        <v>-3.3787245258100969</v>
      </c>
    </row>
    <row r="119" spans="1:11">
      <c r="A119" s="616">
        <f t="shared" si="6"/>
        <v>113</v>
      </c>
      <c r="B119" s="618">
        <v>28267</v>
      </c>
      <c r="C119" s="604">
        <v>0.76597222222222217</v>
      </c>
      <c r="D119" s="617" t="s">
        <v>133</v>
      </c>
      <c r="E119" s="620" t="s">
        <v>150</v>
      </c>
      <c r="F119" s="621">
        <v>30</v>
      </c>
      <c r="G119" s="621">
        <v>2</v>
      </c>
      <c r="H119" s="794">
        <f t="shared" si="7"/>
        <v>3.4090909090909088E-2</v>
      </c>
      <c r="I119" s="169">
        <f t="shared" si="4"/>
        <v>3.4011973816621555</v>
      </c>
      <c r="J119" s="169">
        <f t="shared" si="4"/>
        <v>0.69314718055994529</v>
      </c>
      <c r="K119" s="169">
        <f t="shared" si="5"/>
        <v>-3.3787245258100969</v>
      </c>
    </row>
    <row r="120" spans="1:11">
      <c r="A120" s="616">
        <f t="shared" si="6"/>
        <v>114</v>
      </c>
      <c r="B120" s="618">
        <v>28331</v>
      </c>
      <c r="C120" s="604">
        <v>0.9590277777777777</v>
      </c>
      <c r="D120" s="617" t="s">
        <v>130</v>
      </c>
      <c r="E120" s="620" t="s">
        <v>150</v>
      </c>
      <c r="F120" s="621">
        <v>20</v>
      </c>
      <c r="G120" s="621">
        <v>0.5</v>
      </c>
      <c r="H120" s="794">
        <f t="shared" si="7"/>
        <v>5.681818181818182E-3</v>
      </c>
      <c r="I120" s="169">
        <f t="shared" si="4"/>
        <v>2.9957322735539909</v>
      </c>
      <c r="J120" s="169">
        <f t="shared" si="4"/>
        <v>-0.69314718055994529</v>
      </c>
      <c r="K120" s="169">
        <f t="shared" si="5"/>
        <v>-5.1704839950381514</v>
      </c>
    </row>
    <row r="121" spans="1:11">
      <c r="A121" s="616">
        <f t="shared" si="6"/>
        <v>115</v>
      </c>
      <c r="B121" s="618">
        <v>28932</v>
      </c>
      <c r="C121" s="604">
        <v>0.13194444444444445</v>
      </c>
      <c r="D121" s="617" t="s">
        <v>148</v>
      </c>
      <c r="E121" s="620" t="s">
        <v>150</v>
      </c>
      <c r="F121" s="621">
        <v>500</v>
      </c>
      <c r="G121" s="621">
        <v>13.3</v>
      </c>
      <c r="H121" s="794">
        <f t="shared" si="7"/>
        <v>3.7784090909090913</v>
      </c>
      <c r="I121" s="169">
        <f t="shared" si="4"/>
        <v>6.2146080984221914</v>
      </c>
      <c r="J121" s="169">
        <f t="shared" si="4"/>
        <v>2.5877640352277083</v>
      </c>
      <c r="K121" s="169">
        <f t="shared" si="5"/>
        <v>1.3293030456177024</v>
      </c>
    </row>
    <row r="122" spans="1:11">
      <c r="A122" s="616">
        <f t="shared" si="6"/>
        <v>116</v>
      </c>
      <c r="B122" s="618">
        <v>29368</v>
      </c>
      <c r="C122" s="604">
        <v>0.59375</v>
      </c>
      <c r="D122" s="617" t="s">
        <v>135</v>
      </c>
      <c r="E122" s="620" t="s">
        <v>150</v>
      </c>
      <c r="F122" s="621">
        <v>10</v>
      </c>
      <c r="G122" s="621">
        <v>0.1</v>
      </c>
      <c r="H122" s="794">
        <f t="shared" si="7"/>
        <v>5.6818181818181826E-4</v>
      </c>
      <c r="I122" s="169">
        <f t="shared" si="4"/>
        <v>2.3025850929940459</v>
      </c>
      <c r="J122" s="169">
        <f t="shared" si="4"/>
        <v>-2.3025850929940455</v>
      </c>
      <c r="K122" s="169">
        <f t="shared" si="5"/>
        <v>-7.4730690880321973</v>
      </c>
    </row>
    <row r="123" spans="1:11">
      <c r="A123" s="616">
        <f t="shared" si="6"/>
        <v>117</v>
      </c>
      <c r="B123" s="618">
        <v>29376</v>
      </c>
      <c r="C123" s="604">
        <v>0.73611111111111116</v>
      </c>
      <c r="D123" s="617" t="s">
        <v>131</v>
      </c>
      <c r="E123" s="620" t="s">
        <v>150</v>
      </c>
      <c r="F123" s="621">
        <v>60</v>
      </c>
      <c r="G123" s="621">
        <v>2.5</v>
      </c>
      <c r="H123" s="794">
        <f t="shared" si="7"/>
        <v>8.5227272727272721E-2</v>
      </c>
      <c r="I123" s="169">
        <f t="shared" si="4"/>
        <v>4.0943445622221004</v>
      </c>
      <c r="J123" s="169">
        <f t="shared" si="4"/>
        <v>0.91629073187415511</v>
      </c>
      <c r="K123" s="169">
        <f t="shared" si="5"/>
        <v>-2.4624337939359418</v>
      </c>
    </row>
    <row r="124" spans="1:11">
      <c r="A124" s="616">
        <f t="shared" si="6"/>
        <v>118</v>
      </c>
      <c r="B124" s="618">
        <v>29438</v>
      </c>
      <c r="C124" s="604">
        <v>0.66666666666666663</v>
      </c>
      <c r="D124" s="617" t="s">
        <v>127</v>
      </c>
      <c r="E124" s="620" t="s">
        <v>150</v>
      </c>
      <c r="F124" s="621">
        <v>100</v>
      </c>
      <c r="G124" s="621">
        <v>0.6</v>
      </c>
      <c r="H124" s="794">
        <f t="shared" si="7"/>
        <v>3.4090909090909088E-2</v>
      </c>
      <c r="I124" s="169">
        <f t="shared" si="4"/>
        <v>4.6051701859880918</v>
      </c>
      <c r="J124" s="169">
        <f t="shared" si="4"/>
        <v>-0.51082562376599072</v>
      </c>
      <c r="K124" s="169">
        <f t="shared" si="5"/>
        <v>-3.3787245258100969</v>
      </c>
    </row>
    <row r="125" spans="1:11">
      <c r="A125" s="616">
        <f t="shared" si="6"/>
        <v>119</v>
      </c>
      <c r="B125" s="618">
        <v>29438</v>
      </c>
      <c r="C125" s="604">
        <v>0.69444444444444453</v>
      </c>
      <c r="D125" s="617" t="s">
        <v>127</v>
      </c>
      <c r="E125" s="620" t="s">
        <v>150</v>
      </c>
      <c r="F125" s="621">
        <v>100</v>
      </c>
      <c r="G125" s="621">
        <v>3.6</v>
      </c>
      <c r="H125" s="794">
        <f t="shared" si="7"/>
        <v>0.20454545454545453</v>
      </c>
      <c r="I125" s="169">
        <f t="shared" si="4"/>
        <v>4.6051701859880918</v>
      </c>
      <c r="J125" s="169">
        <f t="shared" si="4"/>
        <v>1.2809338454620642</v>
      </c>
      <c r="K125" s="169">
        <f t="shared" si="5"/>
        <v>-1.5869650565820419</v>
      </c>
    </row>
    <row r="126" spans="1:11">
      <c r="A126" s="616">
        <f t="shared" si="6"/>
        <v>120</v>
      </c>
      <c r="B126" s="618">
        <v>29714</v>
      </c>
      <c r="C126" s="604">
        <v>0.9375</v>
      </c>
      <c r="D126" s="617" t="s">
        <v>138</v>
      </c>
      <c r="E126" s="620" t="s">
        <v>150</v>
      </c>
      <c r="F126" s="621">
        <v>30</v>
      </c>
      <c r="G126" s="621">
        <v>1</v>
      </c>
      <c r="H126" s="794">
        <f t="shared" si="7"/>
        <v>1.7045454545454544E-2</v>
      </c>
      <c r="I126" s="169">
        <f t="shared" si="4"/>
        <v>3.4011973816621555</v>
      </c>
      <c r="J126" s="169">
        <f t="shared" si="4"/>
        <v>0</v>
      </c>
      <c r="K126" s="169">
        <f t="shared" si="5"/>
        <v>-4.0718717063700423</v>
      </c>
    </row>
    <row r="127" spans="1:11">
      <c r="A127" s="616">
        <f t="shared" si="6"/>
        <v>121</v>
      </c>
      <c r="B127" s="618">
        <v>29739</v>
      </c>
      <c r="C127" s="604">
        <v>0.875</v>
      </c>
      <c r="D127" s="617" t="s">
        <v>148</v>
      </c>
      <c r="E127" s="620" t="s">
        <v>150</v>
      </c>
      <c r="F127" s="621">
        <v>40</v>
      </c>
      <c r="G127" s="621">
        <v>1</v>
      </c>
      <c r="H127" s="794">
        <f t="shared" si="7"/>
        <v>2.2727272727272728E-2</v>
      </c>
      <c r="I127" s="169">
        <f t="shared" si="4"/>
        <v>3.6888794541139363</v>
      </c>
      <c r="J127" s="169">
        <f t="shared" si="4"/>
        <v>0</v>
      </c>
      <c r="K127" s="169">
        <f t="shared" si="5"/>
        <v>-3.784189633918261</v>
      </c>
    </row>
    <row r="128" spans="1:11">
      <c r="A128" s="616">
        <f t="shared" si="6"/>
        <v>122</v>
      </c>
      <c r="B128" s="618">
        <v>29774</v>
      </c>
      <c r="C128" s="604">
        <v>0.96875</v>
      </c>
      <c r="D128" s="617" t="s">
        <v>144</v>
      </c>
      <c r="E128" s="620" t="s">
        <v>150</v>
      </c>
      <c r="F128" s="621">
        <v>10</v>
      </c>
      <c r="G128" s="621">
        <v>0.3</v>
      </c>
      <c r="H128" s="794">
        <f t="shared" si="7"/>
        <v>1.7045454545454545E-3</v>
      </c>
      <c r="I128" s="169">
        <f t="shared" si="4"/>
        <v>2.3025850929940459</v>
      </c>
      <c r="J128" s="169">
        <f t="shared" si="4"/>
        <v>-1.2039728043259361</v>
      </c>
      <c r="K128" s="169">
        <f t="shared" si="5"/>
        <v>-6.3744567993640882</v>
      </c>
    </row>
    <row r="129" spans="1:11">
      <c r="A129" s="616">
        <f t="shared" si="6"/>
        <v>123</v>
      </c>
      <c r="B129" s="618">
        <v>30080</v>
      </c>
      <c r="C129" s="604">
        <v>0.83333333333333337</v>
      </c>
      <c r="D129" s="617" t="s">
        <v>140</v>
      </c>
      <c r="E129" s="620" t="s">
        <v>150</v>
      </c>
      <c r="F129" s="621">
        <v>10</v>
      </c>
      <c r="G129" s="621">
        <v>0.1</v>
      </c>
      <c r="H129" s="794">
        <f t="shared" si="7"/>
        <v>5.6818181818181826E-4</v>
      </c>
      <c r="I129" s="169">
        <f t="shared" si="4"/>
        <v>2.3025850929940459</v>
      </c>
      <c r="J129" s="169">
        <f t="shared" si="4"/>
        <v>-2.3025850929940455</v>
      </c>
      <c r="K129" s="169">
        <f t="shared" si="5"/>
        <v>-7.4730690880321973</v>
      </c>
    </row>
    <row r="130" spans="1:11">
      <c r="A130" s="616">
        <f t="shared" si="6"/>
        <v>124</v>
      </c>
      <c r="B130" s="618">
        <v>30083</v>
      </c>
      <c r="C130" s="604">
        <v>0.61111111111111105</v>
      </c>
      <c r="D130" s="617" t="s">
        <v>141</v>
      </c>
      <c r="E130" s="620" t="s">
        <v>150</v>
      </c>
      <c r="F130" s="621">
        <v>30</v>
      </c>
      <c r="G130" s="621">
        <v>0.6</v>
      </c>
      <c r="H130" s="794">
        <f t="shared" si="7"/>
        <v>1.0227272727272725E-2</v>
      </c>
      <c r="I130" s="169">
        <f t="shared" si="4"/>
        <v>3.4011973816621555</v>
      </c>
      <c r="J130" s="169">
        <f t="shared" si="4"/>
        <v>-0.51082562376599072</v>
      </c>
      <c r="K130" s="169">
        <f t="shared" si="5"/>
        <v>-4.5826973301360328</v>
      </c>
    </row>
    <row r="131" spans="1:11">
      <c r="A131" s="616">
        <f t="shared" si="6"/>
        <v>125</v>
      </c>
      <c r="B131" s="618">
        <v>30090</v>
      </c>
      <c r="C131" s="604">
        <v>0.81597222222222221</v>
      </c>
      <c r="D131" s="617" t="s">
        <v>138</v>
      </c>
      <c r="E131" s="620" t="s">
        <v>150</v>
      </c>
      <c r="F131" s="621">
        <v>10</v>
      </c>
      <c r="G131" s="621">
        <v>0.4</v>
      </c>
      <c r="H131" s="794">
        <f t="shared" si="7"/>
        <v>2.2727272727272731E-3</v>
      </c>
      <c r="I131" s="169">
        <f t="shared" si="4"/>
        <v>2.3025850929940459</v>
      </c>
      <c r="J131" s="169">
        <f t="shared" si="4"/>
        <v>-0.916290731874155</v>
      </c>
      <c r="K131" s="169">
        <f t="shared" si="5"/>
        <v>-6.0867747269123065</v>
      </c>
    </row>
    <row r="132" spans="1:11">
      <c r="A132" s="616">
        <f t="shared" si="6"/>
        <v>126</v>
      </c>
      <c r="B132" s="618">
        <v>30090</v>
      </c>
      <c r="C132" s="604">
        <v>0.81597222222222221</v>
      </c>
      <c r="D132" s="617" t="s">
        <v>137</v>
      </c>
      <c r="E132" s="620" t="s">
        <v>150</v>
      </c>
      <c r="F132" s="621">
        <v>10</v>
      </c>
      <c r="G132" s="621">
        <v>0.2</v>
      </c>
      <c r="H132" s="794">
        <f t="shared" si="7"/>
        <v>1.1363636363636365E-3</v>
      </c>
      <c r="I132" s="169">
        <f t="shared" si="4"/>
        <v>2.3025850929940459</v>
      </c>
      <c r="J132" s="169">
        <f t="shared" si="4"/>
        <v>-1.6094379124341003</v>
      </c>
      <c r="K132" s="169">
        <f t="shared" si="5"/>
        <v>-6.7799219074722519</v>
      </c>
    </row>
    <row r="133" spans="1:11">
      <c r="A133" s="616">
        <f t="shared" si="6"/>
        <v>127</v>
      </c>
      <c r="B133" s="618">
        <v>30101</v>
      </c>
      <c r="C133" s="604">
        <v>0.77083333333333337</v>
      </c>
      <c r="D133" s="617" t="s">
        <v>132</v>
      </c>
      <c r="E133" s="620" t="s">
        <v>150</v>
      </c>
      <c r="F133" s="621">
        <v>50</v>
      </c>
      <c r="G133" s="621">
        <v>0.4</v>
      </c>
      <c r="H133" s="794">
        <f t="shared" si="7"/>
        <v>1.1363636363636364E-2</v>
      </c>
      <c r="I133" s="169">
        <f t="shared" si="4"/>
        <v>3.912023005428146</v>
      </c>
      <c r="J133" s="169">
        <f t="shared" si="4"/>
        <v>-0.916290731874155</v>
      </c>
      <c r="K133" s="169">
        <f t="shared" si="5"/>
        <v>-4.4773368144782069</v>
      </c>
    </row>
    <row r="134" spans="1:11">
      <c r="A134" s="616">
        <f t="shared" si="6"/>
        <v>128</v>
      </c>
      <c r="B134" s="618">
        <v>30126</v>
      </c>
      <c r="C134" s="604">
        <v>0.79513888888888884</v>
      </c>
      <c r="D134" s="617" t="s">
        <v>142</v>
      </c>
      <c r="E134" s="620" t="s">
        <v>150</v>
      </c>
      <c r="F134" s="621">
        <v>3</v>
      </c>
      <c r="G134" s="621">
        <v>0.1</v>
      </c>
      <c r="H134" s="794">
        <f t="shared" si="7"/>
        <v>1.7045454545454547E-4</v>
      </c>
      <c r="I134" s="169">
        <f t="shared" si="4"/>
        <v>1.0986122886681098</v>
      </c>
      <c r="J134" s="169">
        <f t="shared" si="4"/>
        <v>-2.3025850929940455</v>
      </c>
      <c r="K134" s="169">
        <f t="shared" si="5"/>
        <v>-8.6770418923581332</v>
      </c>
    </row>
    <row r="135" spans="1:11">
      <c r="A135" s="616">
        <f t="shared" si="6"/>
        <v>129</v>
      </c>
      <c r="B135" s="618">
        <v>30178</v>
      </c>
      <c r="C135" s="604">
        <v>0.70833333333333337</v>
      </c>
      <c r="D135" s="617" t="s">
        <v>127</v>
      </c>
      <c r="E135" s="620" t="s">
        <v>150</v>
      </c>
      <c r="F135" s="621">
        <v>10</v>
      </c>
      <c r="G135" s="621">
        <v>0.1</v>
      </c>
      <c r="H135" s="794">
        <f t="shared" si="7"/>
        <v>5.6818181818181826E-4</v>
      </c>
      <c r="I135" s="169">
        <f t="shared" si="4"/>
        <v>2.3025850929940459</v>
      </c>
      <c r="J135" s="169">
        <f t="shared" si="4"/>
        <v>-2.3025850929940455</v>
      </c>
      <c r="K135" s="169">
        <f t="shared" si="5"/>
        <v>-7.4730690880321973</v>
      </c>
    </row>
    <row r="136" spans="1:11">
      <c r="A136" s="616">
        <f t="shared" si="6"/>
        <v>130</v>
      </c>
      <c r="B136" s="618">
        <v>30460</v>
      </c>
      <c r="C136" s="604">
        <v>0.83333333333333337</v>
      </c>
      <c r="D136" s="617" t="s">
        <v>138</v>
      </c>
      <c r="E136" s="620" t="s">
        <v>150</v>
      </c>
      <c r="F136" s="621">
        <v>60</v>
      </c>
      <c r="G136" s="621">
        <v>0.3</v>
      </c>
      <c r="H136" s="794">
        <f t="shared" si="7"/>
        <v>1.0227272727272725E-2</v>
      </c>
      <c r="I136" s="169">
        <f t="shared" ref="I136:J199" si="8">LN(F136)</f>
        <v>4.0943445622221004</v>
      </c>
      <c r="J136" s="169">
        <f t="shared" si="8"/>
        <v>-1.2039728043259361</v>
      </c>
      <c r="K136" s="169">
        <f t="shared" ref="K136:K199" si="9">LN(H136)</f>
        <v>-4.5826973301360328</v>
      </c>
    </row>
    <row r="137" spans="1:11">
      <c r="A137" s="616">
        <f t="shared" ref="A137:A200" si="10">+A136+1</f>
        <v>131</v>
      </c>
      <c r="B137" s="618">
        <v>30476</v>
      </c>
      <c r="C137" s="604">
        <v>0.94791666666666663</v>
      </c>
      <c r="D137" s="617" t="s">
        <v>136</v>
      </c>
      <c r="E137" s="620" t="s">
        <v>150</v>
      </c>
      <c r="F137" s="621">
        <v>17</v>
      </c>
      <c r="G137" s="621">
        <v>0.1</v>
      </c>
      <c r="H137" s="794">
        <f t="shared" ref="H137:H200" si="11">+(F137/1760)*G137</f>
        <v>9.6590909090909095E-4</v>
      </c>
      <c r="I137" s="169">
        <f t="shared" si="8"/>
        <v>2.8332133440562162</v>
      </c>
      <c r="J137" s="169">
        <f t="shared" si="8"/>
        <v>-2.3025850929940455</v>
      </c>
      <c r="K137" s="169">
        <f t="shared" si="9"/>
        <v>-6.942440836970027</v>
      </c>
    </row>
    <row r="138" spans="1:11">
      <c r="A138" s="616">
        <f t="shared" si="10"/>
        <v>132</v>
      </c>
      <c r="B138" s="618">
        <v>30476</v>
      </c>
      <c r="C138" s="604">
        <v>0.95833333333333337</v>
      </c>
      <c r="D138" s="617" t="s">
        <v>136</v>
      </c>
      <c r="E138" s="620" t="s">
        <v>150</v>
      </c>
      <c r="F138" s="621">
        <v>17</v>
      </c>
      <c r="G138" s="621">
        <v>0.1</v>
      </c>
      <c r="H138" s="794">
        <f t="shared" si="11"/>
        <v>9.6590909090909095E-4</v>
      </c>
      <c r="I138" s="169">
        <f t="shared" si="8"/>
        <v>2.8332133440562162</v>
      </c>
      <c r="J138" s="169">
        <f t="shared" si="8"/>
        <v>-2.3025850929940455</v>
      </c>
      <c r="K138" s="169">
        <f t="shared" si="9"/>
        <v>-6.942440836970027</v>
      </c>
    </row>
    <row r="139" spans="1:11">
      <c r="A139" s="616">
        <f t="shared" si="10"/>
        <v>133</v>
      </c>
      <c r="B139" s="618">
        <v>30478</v>
      </c>
      <c r="C139" s="604">
        <v>6.9444444444444441E-3</v>
      </c>
      <c r="D139" s="617" t="s">
        <v>137</v>
      </c>
      <c r="E139" s="620" t="s">
        <v>150</v>
      </c>
      <c r="F139" s="621">
        <v>17</v>
      </c>
      <c r="G139" s="621">
        <v>0.1</v>
      </c>
      <c r="H139" s="794">
        <f t="shared" si="11"/>
        <v>9.6590909090909095E-4</v>
      </c>
      <c r="I139" s="169">
        <f t="shared" si="8"/>
        <v>2.8332133440562162</v>
      </c>
      <c r="J139" s="169">
        <f t="shared" si="8"/>
        <v>-2.3025850929940455</v>
      </c>
      <c r="K139" s="169">
        <f t="shared" si="9"/>
        <v>-6.942440836970027</v>
      </c>
    </row>
    <row r="140" spans="1:11">
      <c r="A140" s="616">
        <f t="shared" si="10"/>
        <v>134</v>
      </c>
      <c r="B140" s="618">
        <v>30843</v>
      </c>
      <c r="C140" s="604">
        <v>0.68055555555555547</v>
      </c>
      <c r="D140" s="617" t="s">
        <v>146</v>
      </c>
      <c r="E140" s="620" t="s">
        <v>150</v>
      </c>
      <c r="F140" s="621">
        <v>20</v>
      </c>
      <c r="G140" s="621">
        <v>0.1</v>
      </c>
      <c r="H140" s="794">
        <f t="shared" si="11"/>
        <v>1.1363636363636365E-3</v>
      </c>
      <c r="I140" s="169">
        <f t="shared" si="8"/>
        <v>2.9957322735539909</v>
      </c>
      <c r="J140" s="169">
        <f t="shared" si="8"/>
        <v>-2.3025850929940455</v>
      </c>
      <c r="K140" s="169">
        <f t="shared" si="9"/>
        <v>-6.7799219074722519</v>
      </c>
    </row>
    <row r="141" spans="1:11">
      <c r="A141" s="616">
        <f t="shared" si="10"/>
        <v>135</v>
      </c>
      <c r="B141" s="618">
        <v>30843</v>
      </c>
      <c r="C141" s="604">
        <v>0.70138888888888884</v>
      </c>
      <c r="D141" s="617" t="s">
        <v>146</v>
      </c>
      <c r="E141" s="620" t="s">
        <v>150</v>
      </c>
      <c r="F141" s="621">
        <v>20</v>
      </c>
      <c r="G141" s="621">
        <v>0.1</v>
      </c>
      <c r="H141" s="794">
        <f t="shared" si="11"/>
        <v>1.1363636363636365E-3</v>
      </c>
      <c r="I141" s="169">
        <f t="shared" si="8"/>
        <v>2.9957322735539909</v>
      </c>
      <c r="J141" s="169">
        <f t="shared" si="8"/>
        <v>-2.3025850929940455</v>
      </c>
      <c r="K141" s="169">
        <f t="shared" si="9"/>
        <v>-6.7799219074722519</v>
      </c>
    </row>
    <row r="142" spans="1:11">
      <c r="A142" s="616">
        <f t="shared" si="10"/>
        <v>136</v>
      </c>
      <c r="B142" s="618">
        <v>31922</v>
      </c>
      <c r="C142" s="604">
        <v>0.68055555555555547</v>
      </c>
      <c r="D142" s="617" t="s">
        <v>131</v>
      </c>
      <c r="E142" s="620" t="s">
        <v>150</v>
      </c>
      <c r="F142" s="621">
        <v>100</v>
      </c>
      <c r="G142" s="621">
        <v>2</v>
      </c>
      <c r="H142" s="794">
        <f t="shared" si="11"/>
        <v>0.11363636363636363</v>
      </c>
      <c r="I142" s="169">
        <f t="shared" si="8"/>
        <v>4.6051701859880918</v>
      </c>
      <c r="J142" s="169">
        <f t="shared" si="8"/>
        <v>0.69314718055994529</v>
      </c>
      <c r="K142" s="169">
        <f t="shared" si="9"/>
        <v>-2.174751721484161</v>
      </c>
    </row>
    <row r="143" spans="1:11">
      <c r="A143" s="616">
        <f t="shared" si="10"/>
        <v>137</v>
      </c>
      <c r="B143" s="618">
        <v>31922</v>
      </c>
      <c r="C143" s="604">
        <v>0.81597222222222221</v>
      </c>
      <c r="D143" s="617" t="s">
        <v>132</v>
      </c>
      <c r="E143" s="620" t="s">
        <v>150</v>
      </c>
      <c r="F143" s="621">
        <v>80</v>
      </c>
      <c r="G143" s="621">
        <v>10</v>
      </c>
      <c r="H143" s="794">
        <f t="shared" si="11"/>
        <v>0.45454545454545459</v>
      </c>
      <c r="I143" s="169">
        <f t="shared" si="8"/>
        <v>4.3820266346738812</v>
      </c>
      <c r="J143" s="169">
        <f t="shared" si="8"/>
        <v>2.3025850929940459</v>
      </c>
      <c r="K143" s="169">
        <f t="shared" si="9"/>
        <v>-0.78845736036427005</v>
      </c>
    </row>
    <row r="144" spans="1:11">
      <c r="A144" s="616">
        <f t="shared" si="10"/>
        <v>138</v>
      </c>
      <c r="B144" s="618">
        <v>31927</v>
      </c>
      <c r="C144" s="604">
        <v>0.84513888888888899</v>
      </c>
      <c r="D144" s="617" t="s">
        <v>131</v>
      </c>
      <c r="E144" s="620" t="s">
        <v>150</v>
      </c>
      <c r="F144" s="621">
        <v>70</v>
      </c>
      <c r="G144" s="621">
        <v>4</v>
      </c>
      <c r="H144" s="794">
        <f t="shared" si="11"/>
        <v>0.15909090909090909</v>
      </c>
      <c r="I144" s="169">
        <f t="shared" si="8"/>
        <v>4.2484952420493594</v>
      </c>
      <c r="J144" s="169">
        <f t="shared" si="8"/>
        <v>1.3862943611198906</v>
      </c>
      <c r="K144" s="169">
        <f t="shared" si="9"/>
        <v>-1.8382794848629478</v>
      </c>
    </row>
    <row r="145" spans="1:11">
      <c r="A145" s="616">
        <f t="shared" si="10"/>
        <v>139</v>
      </c>
      <c r="B145" s="618">
        <v>31930</v>
      </c>
      <c r="C145" s="604">
        <v>0.77777777777777779</v>
      </c>
      <c r="D145" s="617" t="s">
        <v>140</v>
      </c>
      <c r="E145" s="620" t="s">
        <v>150</v>
      </c>
      <c r="F145" s="621">
        <v>100</v>
      </c>
      <c r="G145" s="621">
        <v>3</v>
      </c>
      <c r="H145" s="794">
        <f t="shared" si="11"/>
        <v>0.17045454545454544</v>
      </c>
      <c r="I145" s="169">
        <f t="shared" si="8"/>
        <v>4.6051701859880918</v>
      </c>
      <c r="J145" s="169">
        <f t="shared" si="8"/>
        <v>1.0986122886681098</v>
      </c>
      <c r="K145" s="169">
        <f t="shared" si="9"/>
        <v>-1.7692866133759966</v>
      </c>
    </row>
    <row r="146" spans="1:11">
      <c r="A146" s="616">
        <f t="shared" si="10"/>
        <v>140</v>
      </c>
      <c r="B146" s="618">
        <v>31939</v>
      </c>
      <c r="C146" s="604">
        <v>0.72222222222222221</v>
      </c>
      <c r="D146" s="617" t="s">
        <v>132</v>
      </c>
      <c r="E146" s="620" t="s">
        <v>150</v>
      </c>
      <c r="F146" s="621">
        <v>60</v>
      </c>
      <c r="G146" s="621">
        <v>1.5</v>
      </c>
      <c r="H146" s="794">
        <f t="shared" si="11"/>
        <v>5.1136363636363633E-2</v>
      </c>
      <c r="I146" s="169">
        <f t="shared" si="8"/>
        <v>4.0943445622221004</v>
      </c>
      <c r="J146" s="169">
        <f t="shared" si="8"/>
        <v>0.40546510810816438</v>
      </c>
      <c r="K146" s="169">
        <f t="shared" si="9"/>
        <v>-2.9732594177019327</v>
      </c>
    </row>
    <row r="147" spans="1:11">
      <c r="A147" s="616">
        <f t="shared" si="10"/>
        <v>141</v>
      </c>
      <c r="B147" s="618">
        <v>31959</v>
      </c>
      <c r="C147" s="604">
        <v>0.79513888888888884</v>
      </c>
      <c r="D147" s="617" t="s">
        <v>136</v>
      </c>
      <c r="E147" s="620" t="s">
        <v>150</v>
      </c>
      <c r="F147" s="621">
        <v>80</v>
      </c>
      <c r="G147" s="621">
        <v>3</v>
      </c>
      <c r="H147" s="794">
        <f t="shared" si="11"/>
        <v>0.13636363636363635</v>
      </c>
      <c r="I147" s="169">
        <f t="shared" si="8"/>
        <v>4.3820266346738812</v>
      </c>
      <c r="J147" s="169">
        <f t="shared" si="8"/>
        <v>1.0986122886681098</v>
      </c>
      <c r="K147" s="169">
        <f t="shared" si="9"/>
        <v>-1.9924301646902063</v>
      </c>
    </row>
    <row r="148" spans="1:11">
      <c r="A148" s="616">
        <f t="shared" si="10"/>
        <v>142</v>
      </c>
      <c r="B148" s="618">
        <v>31965</v>
      </c>
      <c r="C148" s="604">
        <v>0.77777777777777779</v>
      </c>
      <c r="D148" s="617" t="s">
        <v>130</v>
      </c>
      <c r="E148" s="620" t="s">
        <v>150</v>
      </c>
      <c r="F148" s="621">
        <v>40</v>
      </c>
      <c r="G148" s="621">
        <v>0.5</v>
      </c>
      <c r="H148" s="794">
        <f t="shared" si="11"/>
        <v>1.1363636363636364E-2</v>
      </c>
      <c r="I148" s="169">
        <f t="shared" si="8"/>
        <v>3.6888794541139363</v>
      </c>
      <c r="J148" s="169">
        <f t="shared" si="8"/>
        <v>-0.69314718055994529</v>
      </c>
      <c r="K148" s="169">
        <f t="shared" si="9"/>
        <v>-4.4773368144782069</v>
      </c>
    </row>
    <row r="149" spans="1:11">
      <c r="A149" s="616">
        <f t="shared" si="10"/>
        <v>143</v>
      </c>
      <c r="B149" s="618">
        <v>31972</v>
      </c>
      <c r="C149" s="604">
        <v>0.66319444444444442</v>
      </c>
      <c r="D149" s="617" t="s">
        <v>132</v>
      </c>
      <c r="E149" s="620" t="s">
        <v>150</v>
      </c>
      <c r="F149" s="621">
        <v>90</v>
      </c>
      <c r="G149" s="621">
        <v>2</v>
      </c>
      <c r="H149" s="794">
        <f t="shared" si="11"/>
        <v>0.10227272727272728</v>
      </c>
      <c r="I149" s="169">
        <f t="shared" si="8"/>
        <v>4.499809670330265</v>
      </c>
      <c r="J149" s="169">
        <f t="shared" si="8"/>
        <v>0.69314718055994529</v>
      </c>
      <c r="K149" s="169">
        <f t="shared" si="9"/>
        <v>-2.2801122371419869</v>
      </c>
    </row>
    <row r="150" spans="1:11">
      <c r="A150" s="616">
        <f t="shared" si="10"/>
        <v>144</v>
      </c>
      <c r="B150" s="618">
        <v>32293</v>
      </c>
      <c r="C150" s="604">
        <v>0.76041666666666663</v>
      </c>
      <c r="D150" s="617" t="s">
        <v>126</v>
      </c>
      <c r="E150" s="620" t="s">
        <v>150</v>
      </c>
      <c r="F150" s="621">
        <v>73</v>
      </c>
      <c r="G150" s="621">
        <v>10</v>
      </c>
      <c r="H150" s="794">
        <f t="shared" si="11"/>
        <v>0.41477272727272729</v>
      </c>
      <c r="I150" s="169">
        <f t="shared" si="8"/>
        <v>4.290459441148391</v>
      </c>
      <c r="J150" s="169">
        <f t="shared" si="8"/>
        <v>2.3025850929940459</v>
      </c>
      <c r="K150" s="169">
        <f t="shared" si="9"/>
        <v>-0.88002455388976064</v>
      </c>
    </row>
    <row r="151" spans="1:11">
      <c r="A151" s="616">
        <f t="shared" si="10"/>
        <v>145</v>
      </c>
      <c r="B151" s="618">
        <v>32643</v>
      </c>
      <c r="C151" s="604">
        <v>0.78125</v>
      </c>
      <c r="D151" s="617" t="s">
        <v>139</v>
      </c>
      <c r="E151" s="620" t="s">
        <v>150</v>
      </c>
      <c r="F151" s="621">
        <v>210</v>
      </c>
      <c r="G151" s="621">
        <v>4</v>
      </c>
      <c r="H151" s="794">
        <f t="shared" si="11"/>
        <v>0.47727272727272729</v>
      </c>
      <c r="I151" s="169">
        <f t="shared" si="8"/>
        <v>5.3471075307174685</v>
      </c>
      <c r="J151" s="169">
        <f t="shared" si="8"/>
        <v>1.3862943611198906</v>
      </c>
      <c r="K151" s="169">
        <f t="shared" si="9"/>
        <v>-0.73966719619483812</v>
      </c>
    </row>
    <row r="152" spans="1:11">
      <c r="A152" s="616">
        <f t="shared" si="10"/>
        <v>146</v>
      </c>
      <c r="B152" s="618">
        <v>32644</v>
      </c>
      <c r="C152" s="604">
        <v>0.57986111111111105</v>
      </c>
      <c r="D152" s="617" t="s">
        <v>139</v>
      </c>
      <c r="E152" s="620" t="s">
        <v>150</v>
      </c>
      <c r="F152" s="621">
        <v>80</v>
      </c>
      <c r="G152" s="621">
        <v>3</v>
      </c>
      <c r="H152" s="794">
        <f t="shared" si="11"/>
        <v>0.13636363636363635</v>
      </c>
      <c r="I152" s="169">
        <f t="shared" si="8"/>
        <v>4.3820266346738812</v>
      </c>
      <c r="J152" s="169">
        <f t="shared" si="8"/>
        <v>1.0986122886681098</v>
      </c>
      <c r="K152" s="169">
        <f t="shared" si="9"/>
        <v>-1.9924301646902063</v>
      </c>
    </row>
    <row r="153" spans="1:11">
      <c r="A153" s="616">
        <f t="shared" si="10"/>
        <v>147</v>
      </c>
      <c r="B153" s="618">
        <v>32644</v>
      </c>
      <c r="C153" s="604">
        <v>0.72430555555555554</v>
      </c>
      <c r="D153" s="617" t="s">
        <v>140</v>
      </c>
      <c r="E153" s="620" t="s">
        <v>150</v>
      </c>
      <c r="F153" s="621">
        <v>110</v>
      </c>
      <c r="G153" s="621">
        <v>0.2</v>
      </c>
      <c r="H153" s="794">
        <f t="shared" si="11"/>
        <v>1.2500000000000001E-2</v>
      </c>
      <c r="I153" s="169">
        <f t="shared" si="8"/>
        <v>4.7004803657924166</v>
      </c>
      <c r="J153" s="169">
        <f t="shared" si="8"/>
        <v>-1.6094379124341003</v>
      </c>
      <c r="K153" s="169">
        <f t="shared" si="9"/>
        <v>-4.3820266346738812</v>
      </c>
    </row>
    <row r="154" spans="1:11">
      <c r="A154" s="616">
        <f t="shared" si="10"/>
        <v>148</v>
      </c>
      <c r="B154" s="618">
        <v>32665</v>
      </c>
      <c r="C154" s="604">
        <v>0.84236111111111101</v>
      </c>
      <c r="D154" s="617" t="s">
        <v>133</v>
      </c>
      <c r="E154" s="620" t="s">
        <v>150</v>
      </c>
      <c r="F154" s="621">
        <v>60</v>
      </c>
      <c r="G154" s="621">
        <v>1</v>
      </c>
      <c r="H154" s="794">
        <f t="shared" si="11"/>
        <v>3.4090909090909088E-2</v>
      </c>
      <c r="I154" s="169">
        <f t="shared" si="8"/>
        <v>4.0943445622221004</v>
      </c>
      <c r="J154" s="169">
        <f t="shared" si="8"/>
        <v>0</v>
      </c>
      <c r="K154" s="169">
        <f t="shared" si="9"/>
        <v>-3.3787245258100969</v>
      </c>
    </row>
    <row r="155" spans="1:11">
      <c r="A155" s="616">
        <f t="shared" si="10"/>
        <v>149</v>
      </c>
      <c r="B155" s="618">
        <v>32665</v>
      </c>
      <c r="C155" s="604">
        <v>0.85624999999999996</v>
      </c>
      <c r="D155" s="617" t="s">
        <v>133</v>
      </c>
      <c r="E155" s="620" t="s">
        <v>150</v>
      </c>
      <c r="F155" s="621">
        <v>40</v>
      </c>
      <c r="G155" s="621">
        <v>1</v>
      </c>
      <c r="H155" s="794">
        <f t="shared" si="11"/>
        <v>2.2727272727272728E-2</v>
      </c>
      <c r="I155" s="169">
        <f t="shared" si="8"/>
        <v>3.6888794541139363</v>
      </c>
      <c r="J155" s="169">
        <f t="shared" si="8"/>
        <v>0</v>
      </c>
      <c r="K155" s="169">
        <f t="shared" si="9"/>
        <v>-3.784189633918261</v>
      </c>
    </row>
    <row r="156" spans="1:11">
      <c r="A156" s="616">
        <f t="shared" si="10"/>
        <v>150</v>
      </c>
      <c r="B156" s="618">
        <v>32670</v>
      </c>
      <c r="C156" s="604">
        <v>0.91319444444444453</v>
      </c>
      <c r="D156" s="617" t="s">
        <v>141</v>
      </c>
      <c r="E156" s="620" t="s">
        <v>150</v>
      </c>
      <c r="F156" s="621">
        <v>150</v>
      </c>
      <c r="G156" s="621">
        <v>4</v>
      </c>
      <c r="H156" s="794">
        <f t="shared" si="11"/>
        <v>0.34090909090909088</v>
      </c>
      <c r="I156" s="169">
        <f t="shared" si="8"/>
        <v>5.0106352940962555</v>
      </c>
      <c r="J156" s="169">
        <f t="shared" si="8"/>
        <v>1.3862943611198906</v>
      </c>
      <c r="K156" s="169">
        <f t="shared" si="9"/>
        <v>-1.0761394328160512</v>
      </c>
    </row>
    <row r="157" spans="1:11">
      <c r="A157" s="616">
        <f t="shared" si="10"/>
        <v>151</v>
      </c>
      <c r="B157" s="618">
        <v>32671</v>
      </c>
      <c r="C157" s="604">
        <v>0.78472222222222221</v>
      </c>
      <c r="D157" s="617" t="s">
        <v>136</v>
      </c>
      <c r="E157" s="620" t="s">
        <v>150</v>
      </c>
      <c r="F157" s="621">
        <v>100</v>
      </c>
      <c r="G157" s="621">
        <v>1</v>
      </c>
      <c r="H157" s="794">
        <f t="shared" si="11"/>
        <v>5.6818181818181816E-2</v>
      </c>
      <c r="I157" s="169">
        <f t="shared" si="8"/>
        <v>4.6051701859880918</v>
      </c>
      <c r="J157" s="169">
        <f t="shared" si="8"/>
        <v>0</v>
      </c>
      <c r="K157" s="169">
        <f t="shared" si="9"/>
        <v>-2.8678989020441059</v>
      </c>
    </row>
    <row r="158" spans="1:11">
      <c r="A158" s="616">
        <f t="shared" si="10"/>
        <v>152</v>
      </c>
      <c r="B158" s="618">
        <v>32987</v>
      </c>
      <c r="C158" s="604">
        <v>0.84375</v>
      </c>
      <c r="D158" s="617" t="s">
        <v>138</v>
      </c>
      <c r="E158" s="620" t="s">
        <v>150</v>
      </c>
      <c r="F158" s="621">
        <v>130</v>
      </c>
      <c r="G158" s="621">
        <v>3</v>
      </c>
      <c r="H158" s="794">
        <f t="shared" si="11"/>
        <v>0.22159090909090912</v>
      </c>
      <c r="I158" s="169">
        <f t="shared" si="8"/>
        <v>4.8675344504555822</v>
      </c>
      <c r="J158" s="169">
        <f t="shared" si="8"/>
        <v>1.0986122886681098</v>
      </c>
      <c r="K158" s="169">
        <f t="shared" si="9"/>
        <v>-1.5069223489085053</v>
      </c>
    </row>
    <row r="159" spans="1:11">
      <c r="A159" s="616">
        <f t="shared" si="10"/>
        <v>153</v>
      </c>
      <c r="B159" s="618">
        <v>32987</v>
      </c>
      <c r="C159" s="604">
        <v>0.87291666666666667</v>
      </c>
      <c r="D159" s="617" t="s">
        <v>133</v>
      </c>
      <c r="E159" s="620" t="s">
        <v>150</v>
      </c>
      <c r="F159" s="621">
        <v>110</v>
      </c>
      <c r="G159" s="621">
        <v>2.5</v>
      </c>
      <c r="H159" s="794">
        <f t="shared" si="11"/>
        <v>0.15625</v>
      </c>
      <c r="I159" s="169">
        <f t="shared" si="8"/>
        <v>4.7004803657924166</v>
      </c>
      <c r="J159" s="169">
        <f t="shared" si="8"/>
        <v>0.91629073187415511</v>
      </c>
      <c r="K159" s="169">
        <f t="shared" si="9"/>
        <v>-1.8562979903656263</v>
      </c>
    </row>
    <row r="160" spans="1:11">
      <c r="A160" s="616">
        <f t="shared" si="10"/>
        <v>154</v>
      </c>
      <c r="B160" s="618">
        <v>32987</v>
      </c>
      <c r="C160" s="604">
        <v>0.9375</v>
      </c>
      <c r="D160" s="617" t="s">
        <v>143</v>
      </c>
      <c r="E160" s="620" t="s">
        <v>150</v>
      </c>
      <c r="F160" s="621">
        <v>140</v>
      </c>
      <c r="G160" s="621">
        <v>3.5</v>
      </c>
      <c r="H160" s="794">
        <f t="shared" si="11"/>
        <v>0.27840909090909088</v>
      </c>
      <c r="I160" s="169">
        <f t="shared" si="8"/>
        <v>4.9416424226093039</v>
      </c>
      <c r="J160" s="169">
        <f t="shared" si="8"/>
        <v>1.2527629684953681</v>
      </c>
      <c r="K160" s="169">
        <f t="shared" si="9"/>
        <v>-1.2786636969275254</v>
      </c>
    </row>
    <row r="161" spans="1:11">
      <c r="A161" s="616">
        <f t="shared" si="10"/>
        <v>155</v>
      </c>
      <c r="B161" s="618">
        <v>32987</v>
      </c>
      <c r="C161" s="604">
        <v>0.97013888888888899</v>
      </c>
      <c r="D161" s="617" t="s">
        <v>143</v>
      </c>
      <c r="E161" s="620" t="s">
        <v>150</v>
      </c>
      <c r="F161" s="621">
        <v>250</v>
      </c>
      <c r="G161" s="621">
        <v>4</v>
      </c>
      <c r="H161" s="794">
        <f t="shared" si="11"/>
        <v>0.56818181818181823</v>
      </c>
      <c r="I161" s="169">
        <f t="shared" si="8"/>
        <v>5.521460917862246</v>
      </c>
      <c r="J161" s="169">
        <f t="shared" si="8"/>
        <v>1.3862943611198906</v>
      </c>
      <c r="K161" s="169">
        <f t="shared" si="9"/>
        <v>-0.56531380905006035</v>
      </c>
    </row>
    <row r="162" spans="1:11">
      <c r="A162" s="616">
        <f t="shared" si="10"/>
        <v>156</v>
      </c>
      <c r="B162" s="618">
        <v>32988</v>
      </c>
      <c r="C162" s="604">
        <v>3.4722222222222224E-2</v>
      </c>
      <c r="D162" s="617" t="s">
        <v>127</v>
      </c>
      <c r="E162" s="620" t="s">
        <v>150</v>
      </c>
      <c r="F162" s="621">
        <v>50</v>
      </c>
      <c r="G162" s="621">
        <v>2</v>
      </c>
      <c r="H162" s="794">
        <f t="shared" si="11"/>
        <v>5.6818181818181816E-2</v>
      </c>
      <c r="I162" s="169">
        <f t="shared" si="8"/>
        <v>3.912023005428146</v>
      </c>
      <c r="J162" s="169">
        <f t="shared" si="8"/>
        <v>0.69314718055994529</v>
      </c>
      <c r="K162" s="169">
        <f t="shared" si="9"/>
        <v>-2.8678989020441059</v>
      </c>
    </row>
    <row r="163" spans="1:11">
      <c r="A163" s="616">
        <f t="shared" si="10"/>
        <v>157</v>
      </c>
      <c r="B163" s="618">
        <v>33024</v>
      </c>
      <c r="C163" s="604">
        <v>0.64583333333333337</v>
      </c>
      <c r="D163" s="617" t="s">
        <v>132</v>
      </c>
      <c r="E163" s="620" t="s">
        <v>150</v>
      </c>
      <c r="F163" s="621">
        <v>177</v>
      </c>
      <c r="G163" s="621">
        <v>7</v>
      </c>
      <c r="H163" s="794">
        <f t="shared" si="11"/>
        <v>0.70397727272727273</v>
      </c>
      <c r="I163" s="169">
        <f t="shared" si="8"/>
        <v>5.1761497325738288</v>
      </c>
      <c r="J163" s="169">
        <f t="shared" si="8"/>
        <v>1.9459101490553132</v>
      </c>
      <c r="K163" s="169">
        <f t="shared" si="9"/>
        <v>-0.351009206403055</v>
      </c>
    </row>
    <row r="164" spans="1:11">
      <c r="A164" s="616">
        <f t="shared" si="10"/>
        <v>158</v>
      </c>
      <c r="B164" s="618">
        <v>33024</v>
      </c>
      <c r="C164" s="604">
        <v>0.95694444444444438</v>
      </c>
      <c r="D164" s="617" t="s">
        <v>138</v>
      </c>
      <c r="E164" s="620" t="s">
        <v>150</v>
      </c>
      <c r="F164" s="621">
        <v>90</v>
      </c>
      <c r="G164" s="621">
        <v>1.1000000000000001</v>
      </c>
      <c r="H164" s="794">
        <f t="shared" si="11"/>
        <v>5.6250000000000008E-2</v>
      </c>
      <c r="I164" s="169">
        <f t="shared" si="8"/>
        <v>4.499809670330265</v>
      </c>
      <c r="J164" s="169">
        <f t="shared" si="8"/>
        <v>9.5310179804324935E-2</v>
      </c>
      <c r="K164" s="169">
        <f t="shared" si="9"/>
        <v>-2.8779492378976075</v>
      </c>
    </row>
    <row r="165" spans="1:11">
      <c r="A165" s="616">
        <f t="shared" si="10"/>
        <v>159</v>
      </c>
      <c r="B165" s="618">
        <v>33032</v>
      </c>
      <c r="C165" s="604">
        <v>0.73263888888888884</v>
      </c>
      <c r="D165" s="617" t="s">
        <v>142</v>
      </c>
      <c r="E165" s="620" t="s">
        <v>150</v>
      </c>
      <c r="F165" s="621">
        <v>90</v>
      </c>
      <c r="G165" s="621">
        <v>1.4</v>
      </c>
      <c r="H165" s="794">
        <f t="shared" si="11"/>
        <v>7.1590909090909094E-2</v>
      </c>
      <c r="I165" s="169">
        <f t="shared" si="8"/>
        <v>4.499809670330265</v>
      </c>
      <c r="J165" s="169">
        <f t="shared" si="8"/>
        <v>0.33647223662121289</v>
      </c>
      <c r="K165" s="169">
        <f t="shared" si="9"/>
        <v>-2.6367871810807193</v>
      </c>
    </row>
    <row r="166" spans="1:11">
      <c r="A166" s="616">
        <f t="shared" si="10"/>
        <v>160</v>
      </c>
      <c r="B166" s="618">
        <v>33032</v>
      </c>
      <c r="C166" s="604">
        <v>0.82986111111111116</v>
      </c>
      <c r="D166" s="617" t="s">
        <v>143</v>
      </c>
      <c r="E166" s="620" t="s">
        <v>150</v>
      </c>
      <c r="F166" s="621">
        <v>110</v>
      </c>
      <c r="G166" s="621">
        <v>2.2000000000000002</v>
      </c>
      <c r="H166" s="794">
        <f t="shared" si="11"/>
        <v>0.13750000000000001</v>
      </c>
      <c r="I166" s="169">
        <f t="shared" si="8"/>
        <v>4.7004803657924166</v>
      </c>
      <c r="J166" s="169">
        <f t="shared" si="8"/>
        <v>0.78845736036427028</v>
      </c>
      <c r="K166" s="169">
        <f t="shared" si="9"/>
        <v>-1.984131361875511</v>
      </c>
    </row>
    <row r="167" spans="1:11">
      <c r="A167" s="616">
        <f t="shared" si="10"/>
        <v>161</v>
      </c>
      <c r="B167" s="618">
        <v>33368</v>
      </c>
      <c r="C167" s="604">
        <v>0.80555555555555547</v>
      </c>
      <c r="D167" s="617" t="s">
        <v>129</v>
      </c>
      <c r="E167" s="620" t="s">
        <v>150</v>
      </c>
      <c r="F167" s="621">
        <v>160</v>
      </c>
      <c r="G167" s="621">
        <v>7</v>
      </c>
      <c r="H167" s="794">
        <f t="shared" si="11"/>
        <v>0.63636363636363635</v>
      </c>
      <c r="I167" s="169">
        <f t="shared" si="8"/>
        <v>5.0751738152338266</v>
      </c>
      <c r="J167" s="169">
        <f t="shared" si="8"/>
        <v>1.9459101490553132</v>
      </c>
      <c r="K167" s="169">
        <f t="shared" si="9"/>
        <v>-0.45198512374305727</v>
      </c>
    </row>
    <row r="168" spans="1:11">
      <c r="A168" s="616">
        <f t="shared" si="10"/>
        <v>162</v>
      </c>
      <c r="B168" s="618">
        <v>33710</v>
      </c>
      <c r="C168" s="604">
        <v>0.7090277777777777</v>
      </c>
      <c r="D168" s="617" t="s">
        <v>136</v>
      </c>
      <c r="E168" s="620" t="s">
        <v>150</v>
      </c>
      <c r="F168" s="621">
        <v>50</v>
      </c>
      <c r="G168" s="621">
        <v>3</v>
      </c>
      <c r="H168" s="794">
        <f t="shared" si="11"/>
        <v>8.5227272727272721E-2</v>
      </c>
      <c r="I168" s="169">
        <f t="shared" si="8"/>
        <v>3.912023005428146</v>
      </c>
      <c r="J168" s="169">
        <f t="shared" si="8"/>
        <v>1.0986122886681098</v>
      </c>
      <c r="K168" s="169">
        <f t="shared" si="9"/>
        <v>-2.4624337939359418</v>
      </c>
    </row>
    <row r="169" spans="1:11">
      <c r="A169" s="616">
        <f t="shared" si="10"/>
        <v>163</v>
      </c>
      <c r="B169" s="618">
        <v>33774</v>
      </c>
      <c r="C169" s="604">
        <v>0.84027777777777779</v>
      </c>
      <c r="D169" s="617" t="s">
        <v>126</v>
      </c>
      <c r="E169" s="620" t="s">
        <v>150</v>
      </c>
      <c r="F169" s="621">
        <v>23</v>
      </c>
      <c r="G169" s="621">
        <v>2</v>
      </c>
      <c r="H169" s="794">
        <f t="shared" si="11"/>
        <v>2.6136363636363635E-2</v>
      </c>
      <c r="I169" s="169">
        <f t="shared" si="8"/>
        <v>3.1354942159291497</v>
      </c>
      <c r="J169" s="169">
        <f t="shared" si="8"/>
        <v>0.69314718055994529</v>
      </c>
      <c r="K169" s="169">
        <f t="shared" si="9"/>
        <v>-3.6444276915431026</v>
      </c>
    </row>
    <row r="170" spans="1:11">
      <c r="A170" s="616">
        <f t="shared" si="10"/>
        <v>164</v>
      </c>
      <c r="B170" s="618">
        <v>33782</v>
      </c>
      <c r="C170" s="604">
        <v>0.79236111111111107</v>
      </c>
      <c r="D170" s="617" t="s">
        <v>135</v>
      </c>
      <c r="E170" s="620" t="s">
        <v>150</v>
      </c>
      <c r="F170" s="621">
        <v>55</v>
      </c>
      <c r="G170" s="621">
        <v>1</v>
      </c>
      <c r="H170" s="794">
        <f t="shared" si="11"/>
        <v>3.125E-2</v>
      </c>
      <c r="I170" s="169">
        <f t="shared" si="8"/>
        <v>4.0073331852324712</v>
      </c>
      <c r="J170" s="169">
        <f t="shared" si="8"/>
        <v>0</v>
      </c>
      <c r="K170" s="169">
        <f t="shared" si="9"/>
        <v>-3.4657359027997265</v>
      </c>
    </row>
    <row r="171" spans="1:11">
      <c r="A171" s="616">
        <f t="shared" si="10"/>
        <v>165</v>
      </c>
      <c r="B171" s="618">
        <v>33782</v>
      </c>
      <c r="C171" s="604">
        <v>0.7944444444444444</v>
      </c>
      <c r="D171" s="617" t="s">
        <v>136</v>
      </c>
      <c r="E171" s="620" t="s">
        <v>150</v>
      </c>
      <c r="F171" s="621">
        <v>55</v>
      </c>
      <c r="G171" s="621">
        <v>1</v>
      </c>
      <c r="H171" s="794">
        <f t="shared" si="11"/>
        <v>3.125E-2</v>
      </c>
      <c r="I171" s="169">
        <f t="shared" si="8"/>
        <v>4.0073331852324712</v>
      </c>
      <c r="J171" s="169">
        <f t="shared" si="8"/>
        <v>0</v>
      </c>
      <c r="K171" s="169">
        <f t="shared" si="9"/>
        <v>-3.4657359027997265</v>
      </c>
    </row>
    <row r="172" spans="1:11">
      <c r="A172" s="616">
        <f t="shared" si="10"/>
        <v>166</v>
      </c>
      <c r="B172" s="618">
        <v>34087</v>
      </c>
      <c r="C172" s="604">
        <v>0.78263888888888899</v>
      </c>
      <c r="D172" s="617" t="s">
        <v>141</v>
      </c>
      <c r="E172" s="620" t="s">
        <v>150</v>
      </c>
      <c r="F172" s="621">
        <v>100</v>
      </c>
      <c r="G172" s="621">
        <v>2.5</v>
      </c>
      <c r="H172" s="794">
        <f t="shared" si="11"/>
        <v>0.14204545454545453</v>
      </c>
      <c r="I172" s="169">
        <f t="shared" si="8"/>
        <v>4.6051701859880918</v>
      </c>
      <c r="J172" s="169">
        <f t="shared" si="8"/>
        <v>0.91629073187415511</v>
      </c>
      <c r="K172" s="169">
        <f t="shared" si="9"/>
        <v>-1.951608170169951</v>
      </c>
    </row>
    <row r="173" spans="1:11">
      <c r="A173" s="616">
        <f t="shared" si="10"/>
        <v>167</v>
      </c>
      <c r="B173" s="618">
        <v>34094</v>
      </c>
      <c r="C173" s="604">
        <v>0.75694444444444453</v>
      </c>
      <c r="D173" s="617" t="s">
        <v>127</v>
      </c>
      <c r="E173" s="620" t="s">
        <v>150</v>
      </c>
      <c r="F173" s="621">
        <v>275</v>
      </c>
      <c r="G173" s="621">
        <v>2</v>
      </c>
      <c r="H173" s="794">
        <f t="shared" si="11"/>
        <v>0.3125</v>
      </c>
      <c r="I173" s="169">
        <f t="shared" si="8"/>
        <v>5.6167710976665717</v>
      </c>
      <c r="J173" s="169">
        <f t="shared" si="8"/>
        <v>0.69314718055994529</v>
      </c>
      <c r="K173" s="169">
        <f t="shared" si="9"/>
        <v>-1.1631508098056809</v>
      </c>
    </row>
    <row r="174" spans="1:11">
      <c r="A174" s="616">
        <f t="shared" si="10"/>
        <v>168</v>
      </c>
      <c r="B174" s="618">
        <v>34106</v>
      </c>
      <c r="C174" s="604">
        <v>0.77361111111111114</v>
      </c>
      <c r="D174" s="617" t="s">
        <v>143</v>
      </c>
      <c r="E174" s="620" t="s">
        <v>150</v>
      </c>
      <c r="F174" s="621">
        <v>150</v>
      </c>
      <c r="G174" s="621">
        <v>2.5</v>
      </c>
      <c r="H174" s="794">
        <f t="shared" si="11"/>
        <v>0.2130681818181818</v>
      </c>
      <c r="I174" s="169">
        <f t="shared" si="8"/>
        <v>5.0106352940962555</v>
      </c>
      <c r="J174" s="169">
        <f t="shared" si="8"/>
        <v>0.91629073187415511</v>
      </c>
      <c r="K174" s="169">
        <f t="shared" si="9"/>
        <v>-1.5461430620617869</v>
      </c>
    </row>
    <row r="175" spans="1:11">
      <c r="A175" s="616">
        <f t="shared" si="10"/>
        <v>169</v>
      </c>
      <c r="B175" s="618">
        <v>34254</v>
      </c>
      <c r="C175" s="604">
        <v>0.73958333333333337</v>
      </c>
      <c r="D175" s="617" t="s">
        <v>142</v>
      </c>
      <c r="E175" s="620" t="s">
        <v>150</v>
      </c>
      <c r="F175" s="621">
        <v>75</v>
      </c>
      <c r="G175" s="621">
        <v>2</v>
      </c>
      <c r="H175" s="794">
        <f t="shared" si="11"/>
        <v>8.5227272727272721E-2</v>
      </c>
      <c r="I175" s="169">
        <f t="shared" si="8"/>
        <v>4.3174881135363101</v>
      </c>
      <c r="J175" s="169">
        <f t="shared" si="8"/>
        <v>0.69314718055994529</v>
      </c>
      <c r="K175" s="169">
        <f t="shared" si="9"/>
        <v>-2.4624337939359418</v>
      </c>
    </row>
    <row r="176" spans="1:11">
      <c r="A176" s="616">
        <f t="shared" si="10"/>
        <v>170</v>
      </c>
      <c r="B176" s="618">
        <v>34463</v>
      </c>
      <c r="C176" s="604">
        <v>0.69444444444444453</v>
      </c>
      <c r="D176" s="617" t="s">
        <v>129</v>
      </c>
      <c r="E176" s="620" t="s">
        <v>150</v>
      </c>
      <c r="F176" s="621">
        <v>100</v>
      </c>
      <c r="G176" s="621">
        <v>2</v>
      </c>
      <c r="H176" s="794">
        <f t="shared" si="11"/>
        <v>0.11363636363636363</v>
      </c>
      <c r="I176" s="169">
        <f t="shared" si="8"/>
        <v>4.6051701859880918</v>
      </c>
      <c r="J176" s="169">
        <f t="shared" si="8"/>
        <v>0.69314718055994529</v>
      </c>
      <c r="K176" s="169">
        <f t="shared" si="9"/>
        <v>-2.174751721484161</v>
      </c>
    </row>
    <row r="177" spans="1:11">
      <c r="A177" s="616">
        <f t="shared" si="10"/>
        <v>171</v>
      </c>
      <c r="B177" s="618">
        <v>34482</v>
      </c>
      <c r="C177" s="604">
        <v>0.7944444444444444</v>
      </c>
      <c r="D177" s="617" t="s">
        <v>137</v>
      </c>
      <c r="E177" s="620" t="s">
        <v>150</v>
      </c>
      <c r="F177" s="621">
        <v>350</v>
      </c>
      <c r="G177" s="621">
        <v>4</v>
      </c>
      <c r="H177" s="794">
        <f t="shared" si="11"/>
        <v>0.79545454545454541</v>
      </c>
      <c r="I177" s="169">
        <f t="shared" si="8"/>
        <v>5.857933154483459</v>
      </c>
      <c r="J177" s="169">
        <f t="shared" si="8"/>
        <v>1.3862943611198906</v>
      </c>
      <c r="K177" s="169">
        <f t="shared" si="9"/>
        <v>-0.22884157242884753</v>
      </c>
    </row>
    <row r="178" spans="1:11">
      <c r="A178" s="616">
        <f t="shared" si="10"/>
        <v>172</v>
      </c>
      <c r="B178" s="618">
        <v>34783</v>
      </c>
      <c r="C178" s="604">
        <v>0.64236111111111105</v>
      </c>
      <c r="D178" s="617" t="s">
        <v>128</v>
      </c>
      <c r="E178" s="620" t="s">
        <v>150</v>
      </c>
      <c r="F178" s="621">
        <v>100</v>
      </c>
      <c r="G178" s="621">
        <v>3</v>
      </c>
      <c r="H178" s="794">
        <f t="shared" si="11"/>
        <v>0.17045454545454544</v>
      </c>
      <c r="I178" s="169">
        <f t="shared" si="8"/>
        <v>4.6051701859880918</v>
      </c>
      <c r="J178" s="169">
        <f t="shared" si="8"/>
        <v>1.0986122886681098</v>
      </c>
      <c r="K178" s="169">
        <f t="shared" si="9"/>
        <v>-1.7692866133759966</v>
      </c>
    </row>
    <row r="179" spans="1:11">
      <c r="A179" s="616">
        <f t="shared" si="10"/>
        <v>173</v>
      </c>
      <c r="B179" s="618">
        <v>34783</v>
      </c>
      <c r="C179" s="604">
        <v>0.73750000000000004</v>
      </c>
      <c r="D179" s="617" t="s">
        <v>133</v>
      </c>
      <c r="E179" s="620" t="s">
        <v>150</v>
      </c>
      <c r="F179" s="621">
        <v>200</v>
      </c>
      <c r="G179" s="621">
        <v>5</v>
      </c>
      <c r="H179" s="794">
        <f t="shared" si="11"/>
        <v>0.56818181818181812</v>
      </c>
      <c r="I179" s="169">
        <f t="shared" si="8"/>
        <v>5.2983173665480363</v>
      </c>
      <c r="J179" s="169">
        <f t="shared" si="8"/>
        <v>1.6094379124341003</v>
      </c>
      <c r="K179" s="169">
        <f t="shared" si="9"/>
        <v>-0.56531380905006057</v>
      </c>
    </row>
    <row r="180" spans="1:11">
      <c r="A180" s="616">
        <f t="shared" si="10"/>
        <v>174</v>
      </c>
      <c r="B180" s="618">
        <v>34841</v>
      </c>
      <c r="C180" s="604">
        <v>0.63472222222222219</v>
      </c>
      <c r="D180" s="617" t="s">
        <v>136</v>
      </c>
      <c r="E180" s="620" t="s">
        <v>150</v>
      </c>
      <c r="F180" s="621">
        <v>200</v>
      </c>
      <c r="G180" s="621">
        <v>2</v>
      </c>
      <c r="H180" s="794">
        <f t="shared" si="11"/>
        <v>0.22727272727272727</v>
      </c>
      <c r="I180" s="169">
        <f t="shared" si="8"/>
        <v>5.2983173665480363</v>
      </c>
      <c r="J180" s="169">
        <f t="shared" si="8"/>
        <v>0.69314718055994529</v>
      </c>
      <c r="K180" s="169">
        <f t="shared" si="9"/>
        <v>-1.4816045409242156</v>
      </c>
    </row>
    <row r="181" spans="1:11">
      <c r="A181" s="616">
        <f t="shared" si="10"/>
        <v>175</v>
      </c>
      <c r="B181" s="618">
        <v>34852</v>
      </c>
      <c r="C181" s="604">
        <v>0.72569444444444453</v>
      </c>
      <c r="D181" s="617" t="s">
        <v>134</v>
      </c>
      <c r="E181" s="620" t="s">
        <v>150</v>
      </c>
      <c r="F181" s="621">
        <v>150</v>
      </c>
      <c r="G181" s="621">
        <v>11</v>
      </c>
      <c r="H181" s="794">
        <f t="shared" si="11"/>
        <v>0.93749999999999989</v>
      </c>
      <c r="I181" s="169">
        <f t="shared" si="8"/>
        <v>5.0106352940962555</v>
      </c>
      <c r="J181" s="169">
        <f t="shared" si="8"/>
        <v>2.3978952727983707</v>
      </c>
      <c r="K181" s="169">
        <f t="shared" si="9"/>
        <v>-6.4538521137571289E-2</v>
      </c>
    </row>
    <row r="182" spans="1:11">
      <c r="A182" s="616">
        <f t="shared" si="10"/>
        <v>176</v>
      </c>
      <c r="B182" s="618">
        <v>34858</v>
      </c>
      <c r="C182" s="604">
        <v>0.66319444444444442</v>
      </c>
      <c r="D182" s="617" t="s">
        <v>137</v>
      </c>
      <c r="E182" s="620" t="s">
        <v>150</v>
      </c>
      <c r="F182" s="621">
        <v>200</v>
      </c>
      <c r="G182" s="621">
        <v>3</v>
      </c>
      <c r="H182" s="794">
        <f t="shared" si="11"/>
        <v>0.34090909090909088</v>
      </c>
      <c r="I182" s="169">
        <f t="shared" si="8"/>
        <v>5.2983173665480363</v>
      </c>
      <c r="J182" s="169">
        <f t="shared" si="8"/>
        <v>1.0986122886681098</v>
      </c>
      <c r="K182" s="169">
        <f t="shared" si="9"/>
        <v>-1.0761394328160512</v>
      </c>
    </row>
    <row r="183" spans="1:11">
      <c r="A183" s="616">
        <f t="shared" si="10"/>
        <v>177</v>
      </c>
      <c r="B183" s="618">
        <v>34858</v>
      </c>
      <c r="C183" s="604">
        <v>0.66666666666666663</v>
      </c>
      <c r="D183" s="617" t="s">
        <v>142</v>
      </c>
      <c r="E183" s="620" t="s">
        <v>150</v>
      </c>
      <c r="F183" s="621">
        <v>250</v>
      </c>
      <c r="G183" s="621">
        <v>2</v>
      </c>
      <c r="H183" s="794">
        <f t="shared" si="11"/>
        <v>0.28409090909090912</v>
      </c>
      <c r="I183" s="169">
        <f t="shared" si="8"/>
        <v>5.521460917862246</v>
      </c>
      <c r="J183" s="169">
        <f t="shared" si="8"/>
        <v>0.69314718055994529</v>
      </c>
      <c r="K183" s="169">
        <f t="shared" si="9"/>
        <v>-1.2584609896100056</v>
      </c>
    </row>
    <row r="184" spans="1:11">
      <c r="A184" s="616">
        <f t="shared" si="10"/>
        <v>178</v>
      </c>
      <c r="B184" s="618">
        <v>34858</v>
      </c>
      <c r="C184" s="604">
        <v>0.69097222222222221</v>
      </c>
      <c r="D184" s="617" t="s">
        <v>137</v>
      </c>
      <c r="E184" s="620" t="s">
        <v>150</v>
      </c>
      <c r="F184" s="621">
        <v>250</v>
      </c>
      <c r="G184" s="621">
        <v>10</v>
      </c>
      <c r="H184" s="794">
        <f t="shared" si="11"/>
        <v>1.4204545454545456</v>
      </c>
      <c r="I184" s="169">
        <f t="shared" si="8"/>
        <v>5.521460917862246</v>
      </c>
      <c r="J184" s="169">
        <f t="shared" si="8"/>
        <v>2.3025850929940459</v>
      </c>
      <c r="K184" s="169">
        <f t="shared" si="9"/>
        <v>0.35097692282409476</v>
      </c>
    </row>
    <row r="185" spans="1:11">
      <c r="A185" s="616">
        <f t="shared" si="10"/>
        <v>179</v>
      </c>
      <c r="B185" s="618">
        <v>34903</v>
      </c>
      <c r="C185" s="604">
        <v>0.79305555555555562</v>
      </c>
      <c r="D185" s="617" t="s">
        <v>146</v>
      </c>
      <c r="E185" s="620" t="s">
        <v>150</v>
      </c>
      <c r="F185" s="621">
        <v>150</v>
      </c>
      <c r="G185" s="621">
        <v>4</v>
      </c>
      <c r="H185" s="794">
        <f t="shared" si="11"/>
        <v>0.34090909090909088</v>
      </c>
      <c r="I185" s="169">
        <f t="shared" si="8"/>
        <v>5.0106352940962555</v>
      </c>
      <c r="J185" s="169">
        <f t="shared" si="8"/>
        <v>1.3862943611198906</v>
      </c>
      <c r="K185" s="169">
        <f t="shared" si="9"/>
        <v>-1.0761394328160512</v>
      </c>
    </row>
    <row r="186" spans="1:11">
      <c r="A186" s="616">
        <f t="shared" si="10"/>
        <v>180</v>
      </c>
      <c r="B186" s="618">
        <v>35210</v>
      </c>
      <c r="C186" s="604">
        <v>0.72569444444444453</v>
      </c>
      <c r="D186" s="617" t="s">
        <v>126</v>
      </c>
      <c r="E186" s="620" t="s">
        <v>150</v>
      </c>
      <c r="F186" s="621">
        <v>100</v>
      </c>
      <c r="G186" s="621">
        <v>1</v>
      </c>
      <c r="H186" s="794">
        <f t="shared" si="11"/>
        <v>5.6818181818181816E-2</v>
      </c>
      <c r="I186" s="169">
        <f t="shared" si="8"/>
        <v>4.6051701859880918</v>
      </c>
      <c r="J186" s="169">
        <f t="shared" si="8"/>
        <v>0</v>
      </c>
      <c r="K186" s="169">
        <f t="shared" si="9"/>
        <v>-2.8678989020441059</v>
      </c>
    </row>
    <row r="187" spans="1:11">
      <c r="A187" s="616">
        <f t="shared" si="10"/>
        <v>181</v>
      </c>
      <c r="B187" s="618">
        <v>35210</v>
      </c>
      <c r="C187" s="604">
        <v>0.73541666666666661</v>
      </c>
      <c r="D187" s="617" t="s">
        <v>129</v>
      </c>
      <c r="E187" s="620" t="s">
        <v>150</v>
      </c>
      <c r="F187" s="621">
        <v>200</v>
      </c>
      <c r="G187" s="621">
        <v>4</v>
      </c>
      <c r="H187" s="794">
        <f t="shared" si="11"/>
        <v>0.45454545454545453</v>
      </c>
      <c r="I187" s="169">
        <f t="shared" si="8"/>
        <v>5.2983173665480363</v>
      </c>
      <c r="J187" s="169">
        <f t="shared" si="8"/>
        <v>1.3862943611198906</v>
      </c>
      <c r="K187" s="169">
        <f t="shared" si="9"/>
        <v>-0.78845736036427017</v>
      </c>
    </row>
    <row r="188" spans="1:11">
      <c r="A188" s="616">
        <f t="shared" si="10"/>
        <v>182</v>
      </c>
      <c r="B188" s="618">
        <v>35592</v>
      </c>
      <c r="C188" s="604">
        <v>0.72222222222222221</v>
      </c>
      <c r="D188" s="617" t="s">
        <v>143</v>
      </c>
      <c r="E188" s="620" t="s">
        <v>150</v>
      </c>
      <c r="F188" s="621">
        <v>100</v>
      </c>
      <c r="G188" s="621">
        <v>2</v>
      </c>
      <c r="H188" s="794">
        <f t="shared" si="11"/>
        <v>0.11363636363636363</v>
      </c>
      <c r="I188" s="169">
        <f t="shared" si="8"/>
        <v>4.6051701859880918</v>
      </c>
      <c r="J188" s="169">
        <f t="shared" si="8"/>
        <v>0.69314718055994529</v>
      </c>
      <c r="K188" s="169">
        <f t="shared" si="9"/>
        <v>-2.174751721484161</v>
      </c>
    </row>
    <row r="189" spans="1:11">
      <c r="A189" s="616">
        <f t="shared" si="10"/>
        <v>183</v>
      </c>
      <c r="B189" s="618">
        <v>35592</v>
      </c>
      <c r="C189" s="604">
        <v>0.78402777777777777</v>
      </c>
      <c r="D189" s="617" t="s">
        <v>148</v>
      </c>
      <c r="E189" s="620" t="s">
        <v>150</v>
      </c>
      <c r="F189" s="621">
        <v>200</v>
      </c>
      <c r="G189" s="621">
        <v>0.5</v>
      </c>
      <c r="H189" s="794">
        <f t="shared" si="11"/>
        <v>5.6818181818181816E-2</v>
      </c>
      <c r="I189" s="169">
        <f t="shared" si="8"/>
        <v>5.2983173665480363</v>
      </c>
      <c r="J189" s="169">
        <f t="shared" si="8"/>
        <v>-0.69314718055994529</v>
      </c>
      <c r="K189" s="169">
        <f t="shared" si="9"/>
        <v>-2.8678989020441059</v>
      </c>
    </row>
    <row r="190" spans="1:11">
      <c r="A190" s="616">
        <f t="shared" si="10"/>
        <v>184</v>
      </c>
      <c r="B190" s="618">
        <v>35592</v>
      </c>
      <c r="C190" s="604">
        <v>0.82430555555555562</v>
      </c>
      <c r="D190" s="617" t="s">
        <v>142</v>
      </c>
      <c r="E190" s="620" t="s">
        <v>150</v>
      </c>
      <c r="F190" s="621">
        <v>200</v>
      </c>
      <c r="G190" s="621">
        <v>4</v>
      </c>
      <c r="H190" s="794">
        <f t="shared" si="11"/>
        <v>0.45454545454545453</v>
      </c>
      <c r="I190" s="169">
        <f t="shared" si="8"/>
        <v>5.2983173665480363</v>
      </c>
      <c r="J190" s="169">
        <f t="shared" si="8"/>
        <v>1.3862943611198906</v>
      </c>
      <c r="K190" s="169">
        <f t="shared" si="9"/>
        <v>-0.78845736036427017</v>
      </c>
    </row>
    <row r="191" spans="1:11">
      <c r="A191" s="616">
        <f t="shared" si="10"/>
        <v>185</v>
      </c>
      <c r="B191" s="618">
        <v>35592</v>
      </c>
      <c r="C191" s="604">
        <v>0.83194444444444438</v>
      </c>
      <c r="D191" s="617" t="s">
        <v>147</v>
      </c>
      <c r="E191" s="620" t="s">
        <v>150</v>
      </c>
      <c r="F191" s="621">
        <v>200</v>
      </c>
      <c r="G191" s="621">
        <v>1</v>
      </c>
      <c r="H191" s="794">
        <f t="shared" si="11"/>
        <v>0.11363636363636363</v>
      </c>
      <c r="I191" s="169">
        <f t="shared" si="8"/>
        <v>5.2983173665480363</v>
      </c>
      <c r="J191" s="169">
        <f t="shared" si="8"/>
        <v>0</v>
      </c>
      <c r="K191" s="169">
        <f t="shared" si="9"/>
        <v>-2.174751721484161</v>
      </c>
    </row>
    <row r="192" spans="1:11">
      <c r="A192" s="616">
        <f t="shared" si="10"/>
        <v>186</v>
      </c>
      <c r="B192" s="618">
        <v>35592</v>
      </c>
      <c r="C192" s="604">
        <v>0.88194444444444453</v>
      </c>
      <c r="D192" s="617" t="s">
        <v>148</v>
      </c>
      <c r="E192" s="620" t="s">
        <v>150</v>
      </c>
      <c r="F192" s="621">
        <v>100</v>
      </c>
      <c r="G192" s="621">
        <v>9</v>
      </c>
      <c r="H192" s="794">
        <f t="shared" si="11"/>
        <v>0.51136363636363635</v>
      </c>
      <c r="I192" s="169">
        <f t="shared" si="8"/>
        <v>4.6051701859880918</v>
      </c>
      <c r="J192" s="169">
        <f t="shared" si="8"/>
        <v>2.1972245773362196</v>
      </c>
      <c r="K192" s="169">
        <f t="shared" si="9"/>
        <v>-0.67067432470788668</v>
      </c>
    </row>
    <row r="193" spans="1:11">
      <c r="A193" s="616">
        <f t="shared" si="10"/>
        <v>187</v>
      </c>
      <c r="B193" s="618">
        <v>35596</v>
      </c>
      <c r="C193" s="604">
        <v>0.75694444444444453</v>
      </c>
      <c r="D193" s="617" t="s">
        <v>128</v>
      </c>
      <c r="E193" s="620" t="s">
        <v>150</v>
      </c>
      <c r="F193" s="621">
        <v>100</v>
      </c>
      <c r="G193" s="621">
        <v>0.5</v>
      </c>
      <c r="H193" s="794">
        <f t="shared" si="11"/>
        <v>2.8409090909090908E-2</v>
      </c>
      <c r="I193" s="169">
        <f t="shared" si="8"/>
        <v>4.6051701859880918</v>
      </c>
      <c r="J193" s="169">
        <f t="shared" si="8"/>
        <v>-0.69314718055994529</v>
      </c>
      <c r="K193" s="169">
        <f t="shared" si="9"/>
        <v>-3.5610460826040513</v>
      </c>
    </row>
    <row r="194" spans="1:11">
      <c r="A194" s="616">
        <f t="shared" si="10"/>
        <v>188</v>
      </c>
      <c r="B194" s="618">
        <v>36095</v>
      </c>
      <c r="C194" s="604">
        <v>0.80208333333333337</v>
      </c>
      <c r="D194" s="617" t="s">
        <v>145</v>
      </c>
      <c r="E194" s="620" t="s">
        <v>150</v>
      </c>
      <c r="F194" s="621">
        <v>300</v>
      </c>
      <c r="G194" s="621">
        <v>1</v>
      </c>
      <c r="H194" s="794">
        <f t="shared" si="11"/>
        <v>0.17045454545454544</v>
      </c>
      <c r="I194" s="169">
        <f t="shared" si="8"/>
        <v>5.7037824746562009</v>
      </c>
      <c r="J194" s="169">
        <f t="shared" si="8"/>
        <v>0</v>
      </c>
      <c r="K194" s="169">
        <f t="shared" si="9"/>
        <v>-1.7692866133759966</v>
      </c>
    </row>
    <row r="195" spans="1:11">
      <c r="A195" s="616">
        <f t="shared" si="10"/>
        <v>189</v>
      </c>
      <c r="B195" s="640">
        <v>36580</v>
      </c>
      <c r="C195" s="604">
        <v>0.84236111111111101</v>
      </c>
      <c r="D195" s="617" t="s">
        <v>133</v>
      </c>
      <c r="E195" s="620" t="s">
        <v>150</v>
      </c>
      <c r="F195" s="621">
        <v>150</v>
      </c>
      <c r="G195" s="621">
        <v>14</v>
      </c>
      <c r="H195" s="794">
        <f t="shared" si="11"/>
        <v>1.1931818181818181</v>
      </c>
      <c r="I195" s="169">
        <f t="shared" si="8"/>
        <v>5.0106352940962555</v>
      </c>
      <c r="J195" s="169">
        <f t="shared" si="8"/>
        <v>2.6390573296152584</v>
      </c>
      <c r="K195" s="169">
        <f t="shared" si="9"/>
        <v>0.17662353567931685</v>
      </c>
    </row>
    <row r="196" spans="1:11">
      <c r="A196" s="616">
        <f t="shared" si="10"/>
        <v>190</v>
      </c>
      <c r="B196" s="618">
        <v>36987</v>
      </c>
      <c r="C196" s="604">
        <v>0.70833333333333337</v>
      </c>
      <c r="D196" s="617" t="s">
        <v>132</v>
      </c>
      <c r="E196" s="620" t="s">
        <v>150</v>
      </c>
      <c r="F196" s="621">
        <v>100</v>
      </c>
      <c r="G196" s="621">
        <v>10</v>
      </c>
      <c r="H196" s="794">
        <f t="shared" si="11"/>
        <v>0.56818181818181812</v>
      </c>
      <c r="I196" s="169">
        <f t="shared" si="8"/>
        <v>4.6051701859880918</v>
      </c>
      <c r="J196" s="169">
        <f t="shared" si="8"/>
        <v>2.3025850929940459</v>
      </c>
      <c r="K196" s="169">
        <f t="shared" si="9"/>
        <v>-0.56531380905006057</v>
      </c>
    </row>
    <row r="197" spans="1:11">
      <c r="A197" s="616">
        <f t="shared" si="10"/>
        <v>191</v>
      </c>
      <c r="B197" s="618">
        <v>36991</v>
      </c>
      <c r="C197" s="604">
        <v>0.89027777777777783</v>
      </c>
      <c r="D197" s="617" t="s">
        <v>141</v>
      </c>
      <c r="E197" s="620" t="s">
        <v>150</v>
      </c>
      <c r="F197" s="621">
        <v>100</v>
      </c>
      <c r="G197" s="621">
        <v>1.5</v>
      </c>
      <c r="H197" s="794">
        <f t="shared" si="11"/>
        <v>8.5227272727272721E-2</v>
      </c>
      <c r="I197" s="169">
        <f t="shared" si="8"/>
        <v>4.6051701859880918</v>
      </c>
      <c r="J197" s="169">
        <f t="shared" si="8"/>
        <v>0.40546510810816438</v>
      </c>
      <c r="K197" s="169">
        <f t="shared" si="9"/>
        <v>-2.4624337939359418</v>
      </c>
    </row>
    <row r="198" spans="1:11">
      <c r="A198" s="616">
        <f t="shared" si="10"/>
        <v>192</v>
      </c>
      <c r="B198" s="618">
        <v>36991</v>
      </c>
      <c r="C198" s="604">
        <v>0.89236111111111116</v>
      </c>
      <c r="D198" s="617" t="s">
        <v>136</v>
      </c>
      <c r="E198" s="620" t="s">
        <v>150</v>
      </c>
      <c r="F198" s="621">
        <v>100</v>
      </c>
      <c r="G198" s="621">
        <v>0.5</v>
      </c>
      <c r="H198" s="794">
        <f t="shared" si="11"/>
        <v>2.8409090909090908E-2</v>
      </c>
      <c r="I198" s="169">
        <f t="shared" si="8"/>
        <v>4.6051701859880918</v>
      </c>
      <c r="J198" s="169">
        <f t="shared" si="8"/>
        <v>-0.69314718055994529</v>
      </c>
      <c r="K198" s="169">
        <f t="shared" si="9"/>
        <v>-3.5610460826040513</v>
      </c>
    </row>
    <row r="199" spans="1:11">
      <c r="A199" s="616">
        <f t="shared" si="10"/>
        <v>193</v>
      </c>
      <c r="B199" s="618">
        <v>36991</v>
      </c>
      <c r="C199" s="604">
        <v>0.95833333333333337</v>
      </c>
      <c r="D199" s="617" t="s">
        <v>128</v>
      </c>
      <c r="E199" s="620" t="s">
        <v>150</v>
      </c>
      <c r="F199" s="621">
        <v>100</v>
      </c>
      <c r="G199" s="621">
        <v>6</v>
      </c>
      <c r="H199" s="794">
        <f t="shared" si="11"/>
        <v>0.34090909090909088</v>
      </c>
      <c r="I199" s="169">
        <f t="shared" si="8"/>
        <v>4.6051701859880918</v>
      </c>
      <c r="J199" s="169">
        <f t="shared" si="8"/>
        <v>1.791759469228055</v>
      </c>
      <c r="K199" s="169">
        <f t="shared" si="9"/>
        <v>-1.0761394328160512</v>
      </c>
    </row>
    <row r="200" spans="1:11">
      <c r="A200" s="616">
        <f t="shared" si="10"/>
        <v>194</v>
      </c>
      <c r="B200" s="618">
        <v>37392</v>
      </c>
      <c r="C200" s="604">
        <v>0.82638888888888884</v>
      </c>
      <c r="D200" s="617" t="s">
        <v>136</v>
      </c>
      <c r="E200" s="620" t="s">
        <v>150</v>
      </c>
      <c r="F200" s="621">
        <v>100</v>
      </c>
      <c r="G200" s="621">
        <v>0.1</v>
      </c>
      <c r="H200" s="794">
        <f t="shared" si="11"/>
        <v>5.681818181818182E-3</v>
      </c>
      <c r="I200" s="169">
        <f t="shared" ref="I200:J263" si="12">LN(F200)</f>
        <v>4.6051701859880918</v>
      </c>
      <c r="J200" s="169">
        <f t="shared" si="12"/>
        <v>-2.3025850929940455</v>
      </c>
      <c r="K200" s="169">
        <f t="shared" ref="K200:K263" si="13">LN(H200)</f>
        <v>-5.1704839950381514</v>
      </c>
    </row>
    <row r="201" spans="1:11">
      <c r="A201" s="616">
        <f t="shared" ref="A201:A264" si="14">+A200+1</f>
        <v>195</v>
      </c>
      <c r="B201" s="618">
        <v>37399</v>
      </c>
      <c r="C201" s="604">
        <v>0.93402777777777779</v>
      </c>
      <c r="D201" s="617" t="s">
        <v>137</v>
      </c>
      <c r="E201" s="620" t="s">
        <v>150</v>
      </c>
      <c r="F201" s="621">
        <v>100</v>
      </c>
      <c r="G201" s="621">
        <v>6</v>
      </c>
      <c r="H201" s="794">
        <f t="shared" ref="H201:H264" si="15">+(F201/1760)*G201</f>
        <v>0.34090909090909088</v>
      </c>
      <c r="I201" s="169">
        <f t="shared" si="12"/>
        <v>4.6051701859880918</v>
      </c>
      <c r="J201" s="169">
        <f t="shared" si="12"/>
        <v>1.791759469228055</v>
      </c>
      <c r="K201" s="169">
        <f t="shared" si="13"/>
        <v>-1.0761394328160512</v>
      </c>
    </row>
    <row r="202" spans="1:11">
      <c r="A202" s="616">
        <f t="shared" si="14"/>
        <v>196</v>
      </c>
      <c r="B202" s="618">
        <v>37734</v>
      </c>
      <c r="C202" s="604">
        <v>0.4694444444444445</v>
      </c>
      <c r="D202" s="617" t="s">
        <v>147</v>
      </c>
      <c r="E202" s="620" t="s">
        <v>150</v>
      </c>
      <c r="F202" s="621">
        <v>25</v>
      </c>
      <c r="G202" s="621">
        <v>0.1</v>
      </c>
      <c r="H202" s="794">
        <f t="shared" si="15"/>
        <v>1.4204545454545455E-3</v>
      </c>
      <c r="I202" s="169">
        <f t="shared" si="12"/>
        <v>3.2188758248682006</v>
      </c>
      <c r="J202" s="169">
        <f t="shared" si="12"/>
        <v>-2.3025850929940455</v>
      </c>
      <c r="K202" s="169">
        <f t="shared" si="13"/>
        <v>-6.5567783561580422</v>
      </c>
    </row>
    <row r="203" spans="1:11">
      <c r="A203" s="616">
        <f t="shared" si="14"/>
        <v>197</v>
      </c>
      <c r="B203" s="618">
        <v>37756</v>
      </c>
      <c r="C203" s="604">
        <v>0.64236111111111105</v>
      </c>
      <c r="D203" s="617" t="s">
        <v>126</v>
      </c>
      <c r="E203" s="620" t="s">
        <v>150</v>
      </c>
      <c r="F203" s="621">
        <v>200</v>
      </c>
      <c r="G203" s="621">
        <v>5</v>
      </c>
      <c r="H203" s="794">
        <f t="shared" si="15"/>
        <v>0.56818181818181812</v>
      </c>
      <c r="I203" s="169">
        <f t="shared" si="12"/>
        <v>5.2983173665480363</v>
      </c>
      <c r="J203" s="169">
        <f t="shared" si="12"/>
        <v>1.6094379124341003</v>
      </c>
      <c r="K203" s="169">
        <f t="shared" si="13"/>
        <v>-0.56531380905006057</v>
      </c>
    </row>
    <row r="204" spans="1:11">
      <c r="A204" s="616">
        <f t="shared" si="14"/>
        <v>198</v>
      </c>
      <c r="B204" s="618">
        <v>37756</v>
      </c>
      <c r="C204" s="604">
        <v>0.69166666666666676</v>
      </c>
      <c r="D204" s="617" t="s">
        <v>129</v>
      </c>
      <c r="E204" s="620" t="s">
        <v>150</v>
      </c>
      <c r="F204" s="621">
        <v>1320</v>
      </c>
      <c r="G204" s="621">
        <v>10</v>
      </c>
      <c r="H204" s="794">
        <f t="shared" si="15"/>
        <v>7.5</v>
      </c>
      <c r="I204" s="169">
        <f t="shared" si="12"/>
        <v>7.1853870155804165</v>
      </c>
      <c r="J204" s="169">
        <f t="shared" si="12"/>
        <v>2.3025850929940459</v>
      </c>
      <c r="K204" s="169">
        <f t="shared" si="13"/>
        <v>2.0149030205422647</v>
      </c>
    </row>
    <row r="205" spans="1:11">
      <c r="A205" s="616">
        <f t="shared" si="14"/>
        <v>199</v>
      </c>
      <c r="B205" s="618">
        <v>37756</v>
      </c>
      <c r="C205" s="604">
        <v>0.81458333333333333</v>
      </c>
      <c r="D205" s="617" t="s">
        <v>127</v>
      </c>
      <c r="E205" s="620" t="s">
        <v>150</v>
      </c>
      <c r="F205" s="621">
        <v>30</v>
      </c>
      <c r="G205" s="621">
        <v>2</v>
      </c>
      <c r="H205" s="794">
        <f t="shared" si="15"/>
        <v>3.4090909090909088E-2</v>
      </c>
      <c r="I205" s="169">
        <f t="shared" si="12"/>
        <v>3.4011973816621555</v>
      </c>
      <c r="J205" s="169">
        <f t="shared" si="12"/>
        <v>0.69314718055994529</v>
      </c>
      <c r="K205" s="169">
        <f t="shared" si="13"/>
        <v>-3.3787245258100969</v>
      </c>
    </row>
    <row r="206" spans="1:11">
      <c r="A206" s="616">
        <f t="shared" si="14"/>
        <v>200</v>
      </c>
      <c r="B206" s="618">
        <v>37756</v>
      </c>
      <c r="C206" s="604">
        <v>0.87916666666666676</v>
      </c>
      <c r="D206" s="617" t="s">
        <v>143</v>
      </c>
      <c r="E206" s="620" t="s">
        <v>150</v>
      </c>
      <c r="F206" s="621">
        <v>100</v>
      </c>
      <c r="G206" s="621">
        <v>11.5</v>
      </c>
      <c r="H206" s="794">
        <f t="shared" si="15"/>
        <v>0.65340909090909094</v>
      </c>
      <c r="I206" s="169">
        <f t="shared" si="12"/>
        <v>4.6051701859880918</v>
      </c>
      <c r="J206" s="169">
        <f t="shared" si="12"/>
        <v>2.4423470353692043</v>
      </c>
      <c r="K206" s="169">
        <f t="shared" si="13"/>
        <v>-0.42555186667490169</v>
      </c>
    </row>
    <row r="207" spans="1:11">
      <c r="A207" s="616">
        <f t="shared" si="14"/>
        <v>201</v>
      </c>
      <c r="B207" s="618">
        <v>38159</v>
      </c>
      <c r="C207" s="604">
        <v>0.80347222222222225</v>
      </c>
      <c r="D207" s="617" t="s">
        <v>145</v>
      </c>
      <c r="E207" s="620" t="s">
        <v>150</v>
      </c>
      <c r="F207" s="621">
        <v>50</v>
      </c>
      <c r="G207" s="621">
        <v>0.4</v>
      </c>
      <c r="H207" s="794">
        <f t="shared" si="15"/>
        <v>1.1363636363636364E-2</v>
      </c>
      <c r="I207" s="169">
        <f t="shared" si="12"/>
        <v>3.912023005428146</v>
      </c>
      <c r="J207" s="169">
        <f t="shared" si="12"/>
        <v>-0.916290731874155</v>
      </c>
      <c r="K207" s="169">
        <f t="shared" si="13"/>
        <v>-4.4773368144782069</v>
      </c>
    </row>
    <row r="208" spans="1:11">
      <c r="A208" s="616">
        <f t="shared" si="14"/>
        <v>202</v>
      </c>
      <c r="B208" s="618">
        <v>38889</v>
      </c>
      <c r="C208" s="604">
        <v>0.7402777777777777</v>
      </c>
      <c r="D208" s="617" t="s">
        <v>127</v>
      </c>
      <c r="E208" s="620" t="s">
        <v>150</v>
      </c>
      <c r="F208" s="621">
        <v>300</v>
      </c>
      <c r="G208" s="621">
        <v>2</v>
      </c>
      <c r="H208" s="794">
        <f t="shared" si="15"/>
        <v>0.34090909090909088</v>
      </c>
      <c r="I208" s="169">
        <f t="shared" si="12"/>
        <v>5.7037824746562009</v>
      </c>
      <c r="J208" s="169">
        <f t="shared" si="12"/>
        <v>0.69314718055994529</v>
      </c>
      <c r="K208" s="169">
        <f t="shared" si="13"/>
        <v>-1.0761394328160512</v>
      </c>
    </row>
    <row r="209" spans="1:11">
      <c r="A209" s="616">
        <f t="shared" si="14"/>
        <v>203</v>
      </c>
      <c r="B209" s="618">
        <v>39165</v>
      </c>
      <c r="C209" s="604">
        <v>0.12430555555555556</v>
      </c>
      <c r="D209" s="617" t="s">
        <v>142</v>
      </c>
      <c r="E209" s="620" t="s">
        <v>191</v>
      </c>
      <c r="F209" s="621">
        <v>50</v>
      </c>
      <c r="G209" s="633">
        <v>2</v>
      </c>
      <c r="H209" s="794">
        <f t="shared" si="15"/>
        <v>5.6818181818181816E-2</v>
      </c>
      <c r="I209" s="169">
        <f t="shared" si="12"/>
        <v>3.912023005428146</v>
      </c>
      <c r="J209" s="169">
        <f t="shared" si="12"/>
        <v>0.69314718055994529</v>
      </c>
      <c r="K209" s="169">
        <f t="shared" si="13"/>
        <v>-2.8678989020441059</v>
      </c>
    </row>
    <row r="210" spans="1:11">
      <c r="A210" s="616">
        <f t="shared" si="14"/>
        <v>204</v>
      </c>
      <c r="B210" s="618">
        <v>39169</v>
      </c>
      <c r="C210" s="604">
        <v>0.74652777777777779</v>
      </c>
      <c r="D210" s="617" t="s">
        <v>147</v>
      </c>
      <c r="E210" s="620" t="s">
        <v>191</v>
      </c>
      <c r="F210" s="621">
        <v>150</v>
      </c>
      <c r="G210" s="621">
        <v>7.27</v>
      </c>
      <c r="H210" s="794">
        <f t="shared" si="15"/>
        <v>0.61960227272727264</v>
      </c>
      <c r="I210" s="169">
        <f t="shared" si="12"/>
        <v>5.0106352940962555</v>
      </c>
      <c r="J210" s="169">
        <f t="shared" si="12"/>
        <v>1.9837562915454279</v>
      </c>
      <c r="K210" s="169">
        <f t="shared" si="13"/>
        <v>-0.47867750239051388</v>
      </c>
    </row>
    <row r="211" spans="1:11">
      <c r="A211" s="616">
        <f t="shared" si="14"/>
        <v>205</v>
      </c>
      <c r="B211" s="618">
        <v>39169</v>
      </c>
      <c r="C211" s="604">
        <v>0.81666666666666676</v>
      </c>
      <c r="D211" s="617" t="s">
        <v>142</v>
      </c>
      <c r="E211" s="620" t="s">
        <v>191</v>
      </c>
      <c r="F211" s="621">
        <v>50</v>
      </c>
      <c r="G211" s="621">
        <v>0.25</v>
      </c>
      <c r="H211" s="794">
        <f t="shared" si="15"/>
        <v>7.102272727272727E-3</v>
      </c>
      <c r="I211" s="169">
        <f t="shared" si="12"/>
        <v>3.912023005428146</v>
      </c>
      <c r="J211" s="169">
        <f t="shared" si="12"/>
        <v>-1.3862943611198906</v>
      </c>
      <c r="K211" s="169">
        <f t="shared" si="13"/>
        <v>-4.9473404437239417</v>
      </c>
    </row>
    <row r="212" spans="1:11">
      <c r="A212" s="616">
        <f t="shared" si="14"/>
        <v>206</v>
      </c>
      <c r="B212" s="618">
        <v>39193</v>
      </c>
      <c r="C212" s="604">
        <v>0.74375000000000002</v>
      </c>
      <c r="D212" s="617" t="s">
        <v>139</v>
      </c>
      <c r="E212" s="620" t="s">
        <v>191</v>
      </c>
      <c r="F212" s="621">
        <v>880</v>
      </c>
      <c r="G212" s="621">
        <v>3.57</v>
      </c>
      <c r="H212" s="794">
        <f t="shared" si="15"/>
        <v>1.7849999999999999</v>
      </c>
      <c r="I212" s="169">
        <f t="shared" si="12"/>
        <v>6.7799219074722519</v>
      </c>
      <c r="J212" s="169">
        <f t="shared" si="12"/>
        <v>1.2725655957915476</v>
      </c>
      <c r="K212" s="169">
        <f t="shared" si="13"/>
        <v>0.57941841523160231</v>
      </c>
    </row>
    <row r="213" spans="1:11">
      <c r="A213" s="616">
        <f t="shared" si="14"/>
        <v>207</v>
      </c>
      <c r="B213" s="618">
        <v>39193</v>
      </c>
      <c r="C213" s="604">
        <v>0.74930555555555556</v>
      </c>
      <c r="D213" s="617" t="s">
        <v>134</v>
      </c>
      <c r="E213" s="620" t="s">
        <v>191</v>
      </c>
      <c r="F213" s="621">
        <v>880</v>
      </c>
      <c r="G213" s="621">
        <v>13.56</v>
      </c>
      <c r="H213" s="794">
        <f t="shared" si="15"/>
        <v>6.78</v>
      </c>
      <c r="I213" s="169">
        <f t="shared" si="12"/>
        <v>6.7799219074722519</v>
      </c>
      <c r="J213" s="169">
        <f t="shared" si="12"/>
        <v>2.6071242825122494</v>
      </c>
      <c r="K213" s="169">
        <f t="shared" si="13"/>
        <v>1.9139771019523042</v>
      </c>
    </row>
    <row r="214" spans="1:11">
      <c r="A214" s="616">
        <f t="shared" si="14"/>
        <v>208</v>
      </c>
      <c r="B214" s="618">
        <v>39193</v>
      </c>
      <c r="C214" s="604">
        <v>0.81666666666666676</v>
      </c>
      <c r="D214" s="617" t="s">
        <v>135</v>
      </c>
      <c r="E214" s="620" t="s">
        <v>191</v>
      </c>
      <c r="F214" s="621">
        <v>1320</v>
      </c>
      <c r="G214" s="621">
        <v>2.0099999999999998</v>
      </c>
      <c r="H214" s="794">
        <f t="shared" si="15"/>
        <v>1.5074999999999998</v>
      </c>
      <c r="I214" s="169">
        <f t="shared" si="12"/>
        <v>7.1853870155804165</v>
      </c>
      <c r="J214" s="169">
        <f t="shared" si="12"/>
        <v>0.69813472207098426</v>
      </c>
      <c r="K214" s="169">
        <f t="shared" si="13"/>
        <v>0.41045264961920336</v>
      </c>
    </row>
    <row r="215" spans="1:11">
      <c r="A215" s="616">
        <f t="shared" si="14"/>
        <v>209</v>
      </c>
      <c r="B215" s="618">
        <v>39193</v>
      </c>
      <c r="C215" s="604">
        <v>0.81874999999999998</v>
      </c>
      <c r="D215" s="617" t="s">
        <v>130</v>
      </c>
      <c r="E215" s="620" t="s">
        <v>191</v>
      </c>
      <c r="F215" s="621">
        <v>1320</v>
      </c>
      <c r="G215" s="621">
        <v>7.3</v>
      </c>
      <c r="H215" s="794">
        <f t="shared" si="15"/>
        <v>5.4749999999999996</v>
      </c>
      <c r="I215" s="169">
        <f t="shared" si="12"/>
        <v>7.1853870155804165</v>
      </c>
      <c r="J215" s="169">
        <f t="shared" si="12"/>
        <v>1.9878743481543455</v>
      </c>
      <c r="K215" s="169">
        <f t="shared" si="13"/>
        <v>1.7001922757025645</v>
      </c>
    </row>
    <row r="216" spans="1:11">
      <c r="A216" s="616">
        <f t="shared" si="14"/>
        <v>210</v>
      </c>
      <c r="B216" s="618">
        <v>39193</v>
      </c>
      <c r="C216" s="604">
        <v>0.82291666666666663</v>
      </c>
      <c r="D216" s="617" t="s">
        <v>146</v>
      </c>
      <c r="E216" s="620" t="s">
        <v>191</v>
      </c>
      <c r="F216" s="621">
        <v>440</v>
      </c>
      <c r="G216" s="621">
        <v>3.33</v>
      </c>
      <c r="H216" s="794">
        <f t="shared" si="15"/>
        <v>0.83250000000000002</v>
      </c>
      <c r="I216" s="169">
        <f t="shared" si="12"/>
        <v>6.0867747269123065</v>
      </c>
      <c r="J216" s="169">
        <f t="shared" si="12"/>
        <v>1.2029723039923526</v>
      </c>
      <c r="K216" s="169">
        <f t="shared" si="13"/>
        <v>-0.18332205712753813</v>
      </c>
    </row>
    <row r="217" spans="1:11">
      <c r="A217" s="616">
        <f t="shared" si="14"/>
        <v>211</v>
      </c>
      <c r="B217" s="618">
        <v>39193</v>
      </c>
      <c r="C217" s="604">
        <v>0.82291666666666663</v>
      </c>
      <c r="D217" s="617" t="s">
        <v>135</v>
      </c>
      <c r="E217" s="620" t="s">
        <v>191</v>
      </c>
      <c r="F217" s="621">
        <v>440</v>
      </c>
      <c r="G217" s="621">
        <v>12.23</v>
      </c>
      <c r="H217" s="794">
        <f t="shared" si="15"/>
        <v>3.0575000000000001</v>
      </c>
      <c r="I217" s="169">
        <f t="shared" si="12"/>
        <v>6.0867747269123065</v>
      </c>
      <c r="J217" s="169">
        <f t="shared" si="12"/>
        <v>2.503891949699081</v>
      </c>
      <c r="K217" s="169">
        <f t="shared" si="13"/>
        <v>1.1175975885791904</v>
      </c>
    </row>
    <row r="218" spans="1:11">
      <c r="A218" s="616">
        <f t="shared" si="14"/>
        <v>212</v>
      </c>
      <c r="B218" s="618">
        <v>39193</v>
      </c>
      <c r="C218" s="604">
        <v>0.83263888888888893</v>
      </c>
      <c r="D218" s="617" t="s">
        <v>135</v>
      </c>
      <c r="E218" s="620" t="s">
        <v>191</v>
      </c>
      <c r="F218" s="621">
        <v>704</v>
      </c>
      <c r="G218" s="621">
        <v>2</v>
      </c>
      <c r="H218" s="794">
        <f t="shared" si="15"/>
        <v>0.8</v>
      </c>
      <c r="I218" s="169">
        <f t="shared" si="12"/>
        <v>6.5567783561580422</v>
      </c>
      <c r="J218" s="169">
        <f t="shared" si="12"/>
        <v>0.69314718055994529</v>
      </c>
      <c r="K218" s="169">
        <f t="shared" si="13"/>
        <v>-0.22314355131420971</v>
      </c>
    </row>
    <row r="219" spans="1:11">
      <c r="A219" s="616">
        <f t="shared" si="14"/>
        <v>213</v>
      </c>
      <c r="B219" s="618">
        <v>39193</v>
      </c>
      <c r="C219" s="604">
        <v>0.83333333333333337</v>
      </c>
      <c r="D219" s="617" t="s">
        <v>145</v>
      </c>
      <c r="E219" s="620" t="s">
        <v>191</v>
      </c>
      <c r="F219" s="621">
        <v>880</v>
      </c>
      <c r="G219" s="621">
        <v>10.7</v>
      </c>
      <c r="H219" s="794">
        <f t="shared" si="15"/>
        <v>5.35</v>
      </c>
      <c r="I219" s="169">
        <f t="shared" si="12"/>
        <v>6.7799219074722519</v>
      </c>
      <c r="J219" s="169">
        <f t="shared" si="12"/>
        <v>2.3702437414678603</v>
      </c>
      <c r="K219" s="169">
        <f t="shared" si="13"/>
        <v>1.6770965609079151</v>
      </c>
    </row>
    <row r="220" spans="1:11">
      <c r="A220" s="616">
        <f t="shared" si="14"/>
        <v>214</v>
      </c>
      <c r="B220" s="618">
        <v>39193</v>
      </c>
      <c r="C220" s="604">
        <v>0.86805555555555547</v>
      </c>
      <c r="D220" s="617" t="s">
        <v>142</v>
      </c>
      <c r="E220" s="620" t="s">
        <v>191</v>
      </c>
      <c r="F220" s="621">
        <v>50</v>
      </c>
      <c r="G220" s="621">
        <v>12.7</v>
      </c>
      <c r="H220" s="794">
        <f t="shared" si="15"/>
        <v>0.36079545454545453</v>
      </c>
      <c r="I220" s="169">
        <f t="shared" si="12"/>
        <v>3.912023005428146</v>
      </c>
      <c r="J220" s="169">
        <f t="shared" si="12"/>
        <v>2.5416019934645457</v>
      </c>
      <c r="K220" s="169">
        <f t="shared" si="13"/>
        <v>-1.0194440891395058</v>
      </c>
    </row>
    <row r="221" spans="1:11">
      <c r="A221" s="616">
        <f t="shared" si="14"/>
        <v>215</v>
      </c>
      <c r="B221" s="642">
        <v>39207</v>
      </c>
      <c r="C221" s="604">
        <v>0.76875000000000004</v>
      </c>
      <c r="D221" s="617" t="s">
        <v>148</v>
      </c>
      <c r="E221" s="620" t="s">
        <v>191</v>
      </c>
      <c r="F221" s="621">
        <v>200</v>
      </c>
      <c r="G221" s="621">
        <v>0.74</v>
      </c>
      <c r="H221" s="794">
        <f t="shared" si="15"/>
        <v>8.4090909090909091E-2</v>
      </c>
      <c r="I221" s="169">
        <f t="shared" si="12"/>
        <v>5.2983173665480363</v>
      </c>
      <c r="J221" s="169">
        <f t="shared" si="12"/>
        <v>-0.30110509278392161</v>
      </c>
      <c r="K221" s="169">
        <f t="shared" si="13"/>
        <v>-2.4758568142680826</v>
      </c>
    </row>
    <row r="222" spans="1:11">
      <c r="A222" s="616">
        <f t="shared" si="14"/>
        <v>216</v>
      </c>
      <c r="B222" s="642">
        <v>39207</v>
      </c>
      <c r="C222" s="604">
        <v>0.76944444444444438</v>
      </c>
      <c r="D222" s="617" t="s">
        <v>143</v>
      </c>
      <c r="E222" s="620" t="s">
        <v>191</v>
      </c>
      <c r="F222" s="621">
        <v>200</v>
      </c>
      <c r="G222" s="621">
        <v>6.25</v>
      </c>
      <c r="H222" s="794">
        <f t="shared" si="15"/>
        <v>0.71022727272727271</v>
      </c>
      <c r="I222" s="169">
        <f t="shared" si="12"/>
        <v>5.2983173665480363</v>
      </c>
      <c r="J222" s="169">
        <f t="shared" si="12"/>
        <v>1.8325814637483102</v>
      </c>
      <c r="K222" s="169">
        <f t="shared" si="13"/>
        <v>-0.34217025773585069</v>
      </c>
    </row>
    <row r="223" spans="1:11">
      <c r="A223" s="616">
        <f t="shared" si="14"/>
        <v>217</v>
      </c>
      <c r="B223" s="618">
        <v>39225</v>
      </c>
      <c r="C223" s="604">
        <v>0.86319444444444438</v>
      </c>
      <c r="D223" s="617" t="s">
        <v>132</v>
      </c>
      <c r="E223" s="620" t="s">
        <v>191</v>
      </c>
      <c r="F223" s="621">
        <v>880</v>
      </c>
      <c r="G223" s="621">
        <v>3</v>
      </c>
      <c r="H223" s="794">
        <f t="shared" si="15"/>
        <v>1.5</v>
      </c>
      <c r="I223" s="169">
        <f t="shared" si="12"/>
        <v>6.7799219074722519</v>
      </c>
      <c r="J223" s="169">
        <f t="shared" si="12"/>
        <v>1.0986122886681098</v>
      </c>
      <c r="K223" s="169">
        <f t="shared" si="13"/>
        <v>0.40546510810816438</v>
      </c>
    </row>
    <row r="224" spans="1:11">
      <c r="A224" s="616">
        <f t="shared" si="14"/>
        <v>218</v>
      </c>
      <c r="B224" s="618">
        <v>39225</v>
      </c>
      <c r="C224" s="604">
        <v>0.91319444444444453</v>
      </c>
      <c r="D224" s="617" t="s">
        <v>133</v>
      </c>
      <c r="E224" s="620" t="s">
        <v>191</v>
      </c>
      <c r="F224" s="621">
        <v>150</v>
      </c>
      <c r="G224" s="621">
        <v>4</v>
      </c>
      <c r="H224" s="794">
        <f t="shared" si="15"/>
        <v>0.34090909090909088</v>
      </c>
      <c r="I224" s="169">
        <f t="shared" si="12"/>
        <v>5.0106352940962555</v>
      </c>
      <c r="J224" s="169">
        <f t="shared" si="12"/>
        <v>1.3862943611198906</v>
      </c>
      <c r="K224" s="169">
        <f t="shared" si="13"/>
        <v>-1.0761394328160512</v>
      </c>
    </row>
    <row r="225" spans="1:11">
      <c r="A225" s="616">
        <f t="shared" si="14"/>
        <v>219</v>
      </c>
      <c r="B225" s="618">
        <v>39233</v>
      </c>
      <c r="C225" s="604">
        <v>0.79583333333333339</v>
      </c>
      <c r="D225" s="617" t="s">
        <v>127</v>
      </c>
      <c r="E225" s="620" t="s">
        <v>191</v>
      </c>
      <c r="F225" s="621">
        <v>300</v>
      </c>
      <c r="G225" s="621">
        <v>5.27</v>
      </c>
      <c r="H225" s="794">
        <f t="shared" si="15"/>
        <v>0.89829545454545445</v>
      </c>
      <c r="I225" s="169">
        <f t="shared" si="12"/>
        <v>5.7037824746562009</v>
      </c>
      <c r="J225" s="169">
        <f t="shared" si="12"/>
        <v>1.6620303625532709</v>
      </c>
      <c r="K225" s="169">
        <f t="shared" si="13"/>
        <v>-0.10725625082272555</v>
      </c>
    </row>
    <row r="226" spans="1:11">
      <c r="A226" s="616">
        <f t="shared" si="14"/>
        <v>220</v>
      </c>
      <c r="B226" s="618">
        <v>39372</v>
      </c>
      <c r="C226" s="604">
        <v>0.96944444444444444</v>
      </c>
      <c r="D226" s="617" t="s">
        <v>145</v>
      </c>
      <c r="E226" s="620" t="s">
        <v>191</v>
      </c>
      <c r="F226" s="621">
        <v>300</v>
      </c>
      <c r="G226" s="621">
        <v>11.46</v>
      </c>
      <c r="H226" s="794">
        <f t="shared" si="15"/>
        <v>1.9534090909090909</v>
      </c>
      <c r="I226" s="169">
        <f t="shared" si="12"/>
        <v>5.7037824746562009</v>
      </c>
      <c r="J226" s="169">
        <f t="shared" si="12"/>
        <v>2.4388627112865935</v>
      </c>
      <c r="K226" s="169">
        <f t="shared" si="13"/>
        <v>0.66957609791059713</v>
      </c>
    </row>
    <row r="227" spans="1:11">
      <c r="A227" s="616">
        <f t="shared" si="14"/>
        <v>221</v>
      </c>
      <c r="B227" s="618">
        <v>39932</v>
      </c>
      <c r="C227" s="604">
        <v>0.72916666666666663</v>
      </c>
      <c r="D227" s="617" t="s">
        <v>141</v>
      </c>
      <c r="E227" s="620" t="s">
        <v>191</v>
      </c>
      <c r="F227" s="621">
        <v>25</v>
      </c>
      <c r="G227" s="621">
        <v>0.9</v>
      </c>
      <c r="H227" s="794">
        <f t="shared" si="15"/>
        <v>1.2784090909090908E-2</v>
      </c>
      <c r="I227" s="169">
        <f t="shared" si="12"/>
        <v>3.2188758248682006</v>
      </c>
      <c r="J227" s="169">
        <f t="shared" si="12"/>
        <v>-0.10536051565782628</v>
      </c>
      <c r="K227" s="169">
        <f t="shared" si="13"/>
        <v>-4.359553778821823</v>
      </c>
    </row>
    <row r="228" spans="1:11">
      <c r="A228" s="616">
        <f t="shared" si="14"/>
        <v>222</v>
      </c>
      <c r="B228" s="618">
        <v>39948</v>
      </c>
      <c r="C228" s="604">
        <v>0.68402777777777779</v>
      </c>
      <c r="D228" s="617" t="s">
        <v>142</v>
      </c>
      <c r="E228" s="620" t="s">
        <v>191</v>
      </c>
      <c r="F228" s="621">
        <v>440</v>
      </c>
      <c r="G228" s="621">
        <v>6</v>
      </c>
      <c r="H228" s="794">
        <f t="shared" si="15"/>
        <v>1.5</v>
      </c>
      <c r="I228" s="169">
        <f t="shared" si="12"/>
        <v>6.0867747269123065</v>
      </c>
      <c r="J228" s="169">
        <f t="shared" si="12"/>
        <v>1.791759469228055</v>
      </c>
      <c r="K228" s="169">
        <f t="shared" si="13"/>
        <v>0.40546510810816438</v>
      </c>
    </row>
    <row r="229" spans="1:11">
      <c r="A229" s="616">
        <f t="shared" si="14"/>
        <v>223</v>
      </c>
      <c r="B229" s="618">
        <v>40290</v>
      </c>
      <c r="C229" s="646">
        <v>0.68055555555555547</v>
      </c>
      <c r="D229" s="724" t="s">
        <v>146</v>
      </c>
      <c r="E229" s="620" t="s">
        <v>191</v>
      </c>
      <c r="F229" s="724">
        <v>100</v>
      </c>
      <c r="G229" s="724">
        <v>10.34</v>
      </c>
      <c r="H229" s="794">
        <f t="shared" si="15"/>
        <v>0.58750000000000002</v>
      </c>
      <c r="I229" s="169">
        <f t="shared" si="12"/>
        <v>4.6051701859880918</v>
      </c>
      <c r="J229" s="169">
        <f t="shared" si="12"/>
        <v>2.3360198690802831</v>
      </c>
      <c r="K229" s="169">
        <f t="shared" si="13"/>
        <v>-0.531879032963823</v>
      </c>
    </row>
    <row r="230" spans="1:11">
      <c r="A230" s="616">
        <f t="shared" si="14"/>
        <v>224</v>
      </c>
      <c r="B230" s="618">
        <v>40317</v>
      </c>
      <c r="C230" s="604">
        <v>3.888888888888889E-2</v>
      </c>
      <c r="D230" s="617" t="s">
        <v>136</v>
      </c>
      <c r="E230" s="620" t="s">
        <v>191</v>
      </c>
      <c r="F230" s="621">
        <v>100</v>
      </c>
      <c r="G230" s="621">
        <v>0.44</v>
      </c>
      <c r="H230" s="794">
        <f t="shared" si="15"/>
        <v>2.4999999999999998E-2</v>
      </c>
      <c r="I230" s="169">
        <f t="shared" si="12"/>
        <v>4.6051701859880918</v>
      </c>
      <c r="J230" s="169">
        <f t="shared" si="12"/>
        <v>-0.82098055206983023</v>
      </c>
      <c r="K230" s="169">
        <f t="shared" si="13"/>
        <v>-3.6888794541139363</v>
      </c>
    </row>
    <row r="231" spans="1:11">
      <c r="A231" s="616">
        <f t="shared" si="14"/>
        <v>225</v>
      </c>
      <c r="B231" s="618">
        <v>40321</v>
      </c>
      <c r="C231" s="604">
        <v>0.85763888888888884</v>
      </c>
      <c r="D231" s="617" t="s">
        <v>126</v>
      </c>
      <c r="E231" s="620" t="s">
        <v>191</v>
      </c>
      <c r="F231" s="621">
        <v>440</v>
      </c>
      <c r="G231" s="621">
        <v>6.01</v>
      </c>
      <c r="H231" s="794">
        <f t="shared" si="15"/>
        <v>1.5024999999999999</v>
      </c>
      <c r="I231" s="169">
        <f t="shared" si="12"/>
        <v>6.0867747269123065</v>
      </c>
      <c r="J231" s="169">
        <f t="shared" si="12"/>
        <v>1.7934247485471162</v>
      </c>
      <c r="K231" s="169">
        <f t="shared" si="13"/>
        <v>0.40713038742722557</v>
      </c>
    </row>
    <row r="232" spans="1:11">
      <c r="A232" s="853">
        <f t="shared" si="14"/>
        <v>226</v>
      </c>
      <c r="B232" s="855">
        <v>40942</v>
      </c>
      <c r="C232" s="859">
        <v>2.9166666666666664E-2</v>
      </c>
      <c r="D232" s="867" t="s">
        <v>142</v>
      </c>
      <c r="E232" s="858" t="s">
        <v>191</v>
      </c>
      <c r="F232" s="854">
        <v>100</v>
      </c>
      <c r="G232" s="854">
        <v>8.3000000000000007</v>
      </c>
      <c r="H232" s="794">
        <f t="shared" si="15"/>
        <v>0.47159090909090912</v>
      </c>
      <c r="I232" s="169">
        <f t="shared" si="12"/>
        <v>4.6051701859880918</v>
      </c>
      <c r="J232" s="169">
        <f t="shared" si="12"/>
        <v>2.1162555148025524</v>
      </c>
      <c r="K232" s="169">
        <f t="shared" si="13"/>
        <v>-0.75164338724155377</v>
      </c>
    </row>
    <row r="233" spans="1:11">
      <c r="A233" s="616">
        <f t="shared" si="14"/>
        <v>227</v>
      </c>
      <c r="B233" s="618">
        <v>41812</v>
      </c>
      <c r="C233" s="604">
        <v>0.7104166666666667</v>
      </c>
      <c r="D233" s="921" t="s">
        <v>128</v>
      </c>
      <c r="E233" s="620" t="s">
        <v>191</v>
      </c>
      <c r="F233" s="724">
        <v>150</v>
      </c>
      <c r="G233" s="724">
        <v>3.77</v>
      </c>
      <c r="H233" s="794">
        <f t="shared" si="15"/>
        <v>0.32130681818181817</v>
      </c>
      <c r="I233" s="169">
        <f t="shared" si="12"/>
        <v>5.0106352940962555</v>
      </c>
      <c r="J233" s="169">
        <f t="shared" si="12"/>
        <v>1.3270750014599193</v>
      </c>
      <c r="K233" s="169">
        <f t="shared" si="13"/>
        <v>-1.1353587924760224</v>
      </c>
    </row>
    <row r="234" spans="1:11">
      <c r="A234" s="616">
        <f t="shared" si="14"/>
        <v>228</v>
      </c>
      <c r="B234" s="618">
        <v>41812</v>
      </c>
      <c r="C234" s="604">
        <v>0.86805555555555547</v>
      </c>
      <c r="D234" s="921" t="s">
        <v>138</v>
      </c>
      <c r="E234" s="620" t="s">
        <v>191</v>
      </c>
      <c r="F234" s="724">
        <v>100</v>
      </c>
      <c r="G234" s="724">
        <v>0.86</v>
      </c>
      <c r="H234" s="794">
        <f t="shared" si="15"/>
        <v>4.8863636363636359E-2</v>
      </c>
      <c r="I234" s="169">
        <f t="shared" si="12"/>
        <v>4.6051701859880918</v>
      </c>
      <c r="J234" s="169">
        <f t="shared" si="12"/>
        <v>-0.15082288973458366</v>
      </c>
      <c r="K234" s="169">
        <f t="shared" si="13"/>
        <v>-3.0187217917786899</v>
      </c>
    </row>
    <row r="235" spans="1:11">
      <c r="A235" s="616">
        <f t="shared" si="14"/>
        <v>229</v>
      </c>
      <c r="B235" s="618">
        <v>41812</v>
      </c>
      <c r="C235" s="604">
        <v>0.86944444444444446</v>
      </c>
      <c r="D235" s="921" t="s">
        <v>137</v>
      </c>
      <c r="E235" s="620" t="s">
        <v>191</v>
      </c>
      <c r="F235" s="724">
        <v>100</v>
      </c>
      <c r="G235" s="724">
        <v>1</v>
      </c>
      <c r="H235" s="794">
        <f t="shared" si="15"/>
        <v>5.6818181818181816E-2</v>
      </c>
      <c r="I235" s="169">
        <f t="shared" si="12"/>
        <v>4.6051701859880918</v>
      </c>
      <c r="J235" s="169">
        <f t="shared" si="12"/>
        <v>0</v>
      </c>
      <c r="K235" s="169">
        <f t="shared" si="13"/>
        <v>-2.8678989020441059</v>
      </c>
    </row>
    <row r="236" spans="1:11">
      <c r="A236" s="616">
        <f t="shared" si="14"/>
        <v>230</v>
      </c>
      <c r="B236" s="618">
        <v>41921</v>
      </c>
      <c r="C236" s="604">
        <v>0.84027777777777779</v>
      </c>
      <c r="D236" s="921" t="s">
        <v>142</v>
      </c>
      <c r="E236" s="620" t="s">
        <v>191</v>
      </c>
      <c r="F236" s="724">
        <v>125</v>
      </c>
      <c r="G236" s="724">
        <v>7.03</v>
      </c>
      <c r="H236" s="794">
        <f t="shared" si="15"/>
        <v>0.49928977272727276</v>
      </c>
      <c r="I236" s="169">
        <f t="shared" si="12"/>
        <v>4.8283137373023015</v>
      </c>
      <c r="J236" s="169">
        <f t="shared" si="12"/>
        <v>1.9501867058225735</v>
      </c>
      <c r="K236" s="169">
        <f t="shared" si="13"/>
        <v>-0.69456864490732273</v>
      </c>
    </row>
    <row r="237" spans="1:11">
      <c r="A237" s="616">
        <f t="shared" si="14"/>
        <v>231</v>
      </c>
      <c r="B237" s="949">
        <v>42140</v>
      </c>
      <c r="C237" s="935">
        <v>0.55555555555555558</v>
      </c>
      <c r="D237" s="724" t="s">
        <v>147</v>
      </c>
      <c r="E237" s="620" t="s">
        <v>191</v>
      </c>
      <c r="F237" s="948">
        <v>150</v>
      </c>
      <c r="G237" s="948">
        <v>8.59</v>
      </c>
      <c r="H237" s="794">
        <f t="shared" si="15"/>
        <v>0.73210227272727268</v>
      </c>
      <c r="I237" s="169">
        <f t="shared" si="12"/>
        <v>5.0106352940962555</v>
      </c>
      <c r="J237" s="169">
        <f t="shared" si="12"/>
        <v>2.150598735996164</v>
      </c>
      <c r="K237" s="169">
        <f t="shared" si="13"/>
        <v>-0.31183505793977778</v>
      </c>
    </row>
    <row r="238" spans="1:11">
      <c r="A238" s="616">
        <f t="shared" si="14"/>
        <v>232</v>
      </c>
      <c r="B238" s="949">
        <v>42140</v>
      </c>
      <c r="C238" s="935">
        <v>0.56944444444444442</v>
      </c>
      <c r="D238" s="724" t="s">
        <v>147</v>
      </c>
      <c r="E238" s="620" t="s">
        <v>191</v>
      </c>
      <c r="F238" s="948">
        <v>100</v>
      </c>
      <c r="G238" s="948">
        <v>6</v>
      </c>
      <c r="H238" s="794">
        <f t="shared" si="15"/>
        <v>0.34090909090909088</v>
      </c>
      <c r="I238" s="169">
        <f t="shared" si="12"/>
        <v>4.6051701859880918</v>
      </c>
      <c r="J238" s="169">
        <f t="shared" si="12"/>
        <v>1.791759469228055</v>
      </c>
      <c r="K238" s="169">
        <f t="shared" si="13"/>
        <v>-1.0761394328160512</v>
      </c>
    </row>
    <row r="239" spans="1:11">
      <c r="A239" s="616">
        <f t="shared" si="14"/>
        <v>233</v>
      </c>
      <c r="B239" s="949">
        <v>42140</v>
      </c>
      <c r="C239" s="935">
        <v>0.57430555555555551</v>
      </c>
      <c r="D239" s="724" t="s">
        <v>148</v>
      </c>
      <c r="E239" s="620" t="s">
        <v>191</v>
      </c>
      <c r="F239" s="948">
        <v>100</v>
      </c>
      <c r="G239" s="948">
        <v>16.48</v>
      </c>
      <c r="H239" s="794">
        <f t="shared" si="15"/>
        <v>0.9363636363636364</v>
      </c>
      <c r="I239" s="169">
        <f t="shared" si="12"/>
        <v>4.6051701859880918</v>
      </c>
      <c r="J239" s="169">
        <f t="shared" si="12"/>
        <v>2.8021475244813256</v>
      </c>
      <c r="K239" s="169">
        <f t="shared" si="13"/>
        <v>-6.5751377562780419E-2</v>
      </c>
    </row>
    <row r="240" spans="1:11">
      <c r="A240" s="616">
        <f t="shared" si="14"/>
        <v>234</v>
      </c>
      <c r="B240" s="618">
        <v>42151</v>
      </c>
      <c r="C240" s="604">
        <v>0.70972222222222225</v>
      </c>
      <c r="D240" s="724" t="s">
        <v>138</v>
      </c>
      <c r="E240" s="620" t="s">
        <v>191</v>
      </c>
      <c r="F240" s="1015">
        <v>600</v>
      </c>
      <c r="G240" s="1015">
        <v>1.1200000000000001</v>
      </c>
      <c r="H240" s="794">
        <f t="shared" si="15"/>
        <v>0.38181818181818183</v>
      </c>
      <c r="I240" s="169">
        <f t="shared" si="12"/>
        <v>6.3969296552161463</v>
      </c>
      <c r="J240" s="169">
        <f t="shared" si="12"/>
        <v>0.11332868530700327</v>
      </c>
      <c r="K240" s="169">
        <f t="shared" si="13"/>
        <v>-0.96281074750904783</v>
      </c>
    </row>
    <row r="241" spans="1:11">
      <c r="A241" s="616">
        <f t="shared" si="14"/>
        <v>235</v>
      </c>
      <c r="B241" s="618">
        <v>42324</v>
      </c>
      <c r="C241" s="604">
        <v>0.78611111111111109</v>
      </c>
      <c r="D241" s="724" t="s">
        <v>132</v>
      </c>
      <c r="E241" s="620" t="s">
        <v>191</v>
      </c>
      <c r="F241" s="1015">
        <v>200</v>
      </c>
      <c r="G241" s="1015">
        <v>5.78</v>
      </c>
      <c r="H241" s="794">
        <f t="shared" si="15"/>
        <v>0.65681818181818186</v>
      </c>
      <c r="I241" s="169">
        <f t="shared" si="12"/>
        <v>5.2983173665480363</v>
      </c>
      <c r="J241" s="169">
        <f t="shared" si="12"/>
        <v>1.7544036826842861</v>
      </c>
      <c r="K241" s="169">
        <f t="shared" si="13"/>
        <v>-0.42034803879987465</v>
      </c>
    </row>
    <row r="242" spans="1:11">
      <c r="A242" s="616">
        <f t="shared" si="14"/>
        <v>236</v>
      </c>
      <c r="B242" s="618">
        <v>42324</v>
      </c>
      <c r="C242" s="604">
        <v>0.79166666666666663</v>
      </c>
      <c r="D242" s="724" t="s">
        <v>132</v>
      </c>
      <c r="E242" s="620" t="s">
        <v>191</v>
      </c>
      <c r="F242" s="1015">
        <v>400</v>
      </c>
      <c r="G242" s="1015">
        <v>4.17</v>
      </c>
      <c r="H242" s="794">
        <f t="shared" si="15"/>
        <v>0.94772727272727264</v>
      </c>
      <c r="I242" s="169">
        <f t="shared" si="12"/>
        <v>5.9914645471079817</v>
      </c>
      <c r="J242" s="169">
        <f t="shared" si="12"/>
        <v>1.4279160358107101</v>
      </c>
      <c r="K242" s="169">
        <f t="shared" si="13"/>
        <v>-5.3688505113505487E-2</v>
      </c>
    </row>
    <row r="243" spans="1:11">
      <c r="A243" s="616">
        <f t="shared" si="14"/>
        <v>237</v>
      </c>
      <c r="B243" s="618">
        <v>42324</v>
      </c>
      <c r="C243" s="604">
        <v>0.79652777777777783</v>
      </c>
      <c r="D243" s="724" t="s">
        <v>128</v>
      </c>
      <c r="E243" s="620" t="s">
        <v>191</v>
      </c>
      <c r="F243" s="1015">
        <v>400</v>
      </c>
      <c r="G243" s="1015">
        <v>1.01</v>
      </c>
      <c r="H243" s="794">
        <f t="shared" si="15"/>
        <v>0.22954545454545455</v>
      </c>
      <c r="I243" s="169">
        <f t="shared" si="12"/>
        <v>5.9914645471079817</v>
      </c>
      <c r="J243" s="169">
        <f t="shared" si="12"/>
        <v>9.950330853168092E-3</v>
      </c>
      <c r="K243" s="169">
        <f t="shared" si="13"/>
        <v>-1.4716542100710475</v>
      </c>
    </row>
    <row r="244" spans="1:11">
      <c r="A244" s="616">
        <f t="shared" si="14"/>
        <v>238</v>
      </c>
      <c r="B244" s="618">
        <v>42324</v>
      </c>
      <c r="C244" s="604">
        <v>0.80694444444444446</v>
      </c>
      <c r="D244" s="724" t="s">
        <v>142</v>
      </c>
      <c r="E244" s="620" t="s">
        <v>191</v>
      </c>
      <c r="F244" s="1015">
        <v>300</v>
      </c>
      <c r="G244" s="1015">
        <v>2.66</v>
      </c>
      <c r="H244" s="794">
        <f t="shared" si="15"/>
        <v>0.45340909090909087</v>
      </c>
      <c r="I244" s="169">
        <f t="shared" si="12"/>
        <v>5.7037824746562009</v>
      </c>
      <c r="J244" s="169">
        <f t="shared" si="12"/>
        <v>0.97832612279360776</v>
      </c>
      <c r="K244" s="169">
        <f t="shared" si="13"/>
        <v>-0.79096049058238882</v>
      </c>
    </row>
    <row r="245" spans="1:11">
      <c r="A245" s="616">
        <f t="shared" si="14"/>
        <v>239</v>
      </c>
      <c r="B245" s="618">
        <v>42324</v>
      </c>
      <c r="C245" s="604">
        <v>0.81111111111111101</v>
      </c>
      <c r="D245" s="724" t="s">
        <v>137</v>
      </c>
      <c r="E245" s="620" t="s">
        <v>191</v>
      </c>
      <c r="F245" s="1015">
        <v>300</v>
      </c>
      <c r="G245" s="1015">
        <v>13.34</v>
      </c>
      <c r="H245" s="794">
        <f t="shared" si="15"/>
        <v>2.273863636363636</v>
      </c>
      <c r="I245" s="169">
        <f t="shared" si="12"/>
        <v>5.7037824746562009</v>
      </c>
      <c r="J245" s="169">
        <f t="shared" si="12"/>
        <v>2.5907670404874779</v>
      </c>
      <c r="K245" s="169">
        <f t="shared" si="13"/>
        <v>0.82148042711148106</v>
      </c>
    </row>
    <row r="246" spans="1:11">
      <c r="A246" s="616">
        <f t="shared" si="14"/>
        <v>240</v>
      </c>
      <c r="B246" s="618">
        <v>42324</v>
      </c>
      <c r="C246" s="1016">
        <v>0.84722222222222221</v>
      </c>
      <c r="D246" s="1015" t="s">
        <v>138</v>
      </c>
      <c r="E246" s="620" t="s">
        <v>191</v>
      </c>
      <c r="F246" s="1015">
        <v>50</v>
      </c>
      <c r="G246" s="1015">
        <v>2.76</v>
      </c>
      <c r="H246" s="794">
        <f t="shared" si="15"/>
        <v>7.8409090909090901E-2</v>
      </c>
      <c r="I246" s="169">
        <f t="shared" si="12"/>
        <v>3.912023005428146</v>
      </c>
      <c r="J246" s="169">
        <f t="shared" si="12"/>
        <v>1.0152306797290584</v>
      </c>
      <c r="K246" s="169">
        <f t="shared" si="13"/>
        <v>-2.5458154028749931</v>
      </c>
    </row>
    <row r="247" spans="1:11">
      <c r="A247" s="616">
        <f t="shared" si="14"/>
        <v>241</v>
      </c>
      <c r="B247" s="618">
        <v>42324</v>
      </c>
      <c r="C247" s="1016">
        <v>0.85138888888888886</v>
      </c>
      <c r="D247" s="1015" t="s">
        <v>133</v>
      </c>
      <c r="E247" s="620" t="s">
        <v>191</v>
      </c>
      <c r="F247" s="1015">
        <v>50</v>
      </c>
      <c r="G247" s="1015">
        <v>23.27</v>
      </c>
      <c r="H247" s="794">
        <f t="shared" si="15"/>
        <v>0.66107954545454539</v>
      </c>
      <c r="I247" s="169">
        <f t="shared" si="12"/>
        <v>3.912023005428146</v>
      </c>
      <c r="J247" s="169">
        <f t="shared" si="12"/>
        <v>3.1471649773142003</v>
      </c>
      <c r="K247" s="169">
        <f t="shared" si="13"/>
        <v>-0.41388110528985111</v>
      </c>
    </row>
    <row r="248" spans="1:11">
      <c r="A248" s="616">
        <f t="shared" si="14"/>
        <v>242</v>
      </c>
      <c r="B248" s="618">
        <v>42324</v>
      </c>
      <c r="C248" s="1016">
        <v>0.85138888888888886</v>
      </c>
      <c r="D248" s="1015" t="s">
        <v>132</v>
      </c>
      <c r="E248" s="620" t="s">
        <v>191</v>
      </c>
      <c r="F248" s="1015">
        <v>70</v>
      </c>
      <c r="G248" s="1015">
        <v>14.59</v>
      </c>
      <c r="H248" s="794">
        <f t="shared" si="15"/>
        <v>0.58028409090909094</v>
      </c>
      <c r="I248" s="169">
        <f t="shared" si="12"/>
        <v>4.2484952420493594</v>
      </c>
      <c r="J248" s="169">
        <f t="shared" si="12"/>
        <v>2.6803363625346943</v>
      </c>
      <c r="K248" s="169">
        <f t="shared" si="13"/>
        <v>-0.54423748344814415</v>
      </c>
    </row>
    <row r="249" spans="1:11">
      <c r="A249" s="616">
        <f t="shared" si="14"/>
        <v>243</v>
      </c>
      <c r="B249" s="618">
        <v>42324</v>
      </c>
      <c r="C249" s="604">
        <v>0.89166666666666661</v>
      </c>
      <c r="D249" s="724" t="s">
        <v>128</v>
      </c>
      <c r="E249" s="620" t="s">
        <v>191</v>
      </c>
      <c r="F249" s="724">
        <v>500</v>
      </c>
      <c r="G249" s="724">
        <v>8.93</v>
      </c>
      <c r="H249" s="794">
        <f t="shared" si="15"/>
        <v>2.5369318181818183</v>
      </c>
      <c r="I249" s="169">
        <f t="shared" si="12"/>
        <v>6.2146080984221914</v>
      </c>
      <c r="J249" s="169">
        <f t="shared" si="12"/>
        <v>2.1894163948884078</v>
      </c>
      <c r="K249" s="169">
        <f t="shared" si="13"/>
        <v>0.93095540527840204</v>
      </c>
    </row>
    <row r="250" spans="1:11">
      <c r="A250" s="97">
        <f t="shared" si="14"/>
        <v>244</v>
      </c>
      <c r="B250" s="919"/>
      <c r="C250" s="920"/>
      <c r="D250" s="102"/>
      <c r="E250" s="858" t="s">
        <v>191</v>
      </c>
      <c r="F250" s="102"/>
      <c r="G250" s="102"/>
      <c r="H250" s="265">
        <f t="shared" si="15"/>
        <v>0</v>
      </c>
      <c r="I250" s="169" t="e">
        <f t="shared" si="12"/>
        <v>#NUM!</v>
      </c>
      <c r="J250" s="169" t="e">
        <f t="shared" si="12"/>
        <v>#NUM!</v>
      </c>
      <c r="K250" s="169" t="e">
        <f t="shared" si="13"/>
        <v>#NUM!</v>
      </c>
    </row>
    <row r="251" spans="1:11">
      <c r="A251" s="97">
        <f t="shared" si="14"/>
        <v>245</v>
      </c>
      <c r="B251" s="919"/>
      <c r="C251" s="920"/>
      <c r="D251" s="102"/>
      <c r="E251" s="858" t="s">
        <v>191</v>
      </c>
      <c r="F251" s="102"/>
      <c r="G251" s="102"/>
      <c r="H251" s="265">
        <f t="shared" si="15"/>
        <v>0</v>
      </c>
      <c r="I251" s="169" t="e">
        <f t="shared" si="12"/>
        <v>#NUM!</v>
      </c>
      <c r="J251" s="169" t="e">
        <f t="shared" si="12"/>
        <v>#NUM!</v>
      </c>
      <c r="K251" s="169" t="e">
        <f t="shared" si="13"/>
        <v>#NUM!</v>
      </c>
    </row>
    <row r="252" spans="1:11">
      <c r="A252" s="97">
        <f t="shared" si="14"/>
        <v>246</v>
      </c>
      <c r="B252" s="919"/>
      <c r="C252" s="920"/>
      <c r="D252" s="102"/>
      <c r="E252" s="858" t="s">
        <v>191</v>
      </c>
      <c r="F252" s="102"/>
      <c r="G252" s="102"/>
      <c r="H252" s="265">
        <f t="shared" si="15"/>
        <v>0</v>
      </c>
      <c r="I252" s="169" t="e">
        <f t="shared" si="12"/>
        <v>#NUM!</v>
      </c>
      <c r="J252" s="169" t="e">
        <f t="shared" si="12"/>
        <v>#NUM!</v>
      </c>
      <c r="K252" s="169" t="e">
        <f t="shared" si="13"/>
        <v>#NUM!</v>
      </c>
    </row>
    <row r="253" spans="1:11">
      <c r="A253" s="97">
        <f t="shared" si="14"/>
        <v>247</v>
      </c>
      <c r="B253" s="919"/>
      <c r="C253" s="920"/>
      <c r="D253" s="102"/>
      <c r="E253" s="858" t="s">
        <v>191</v>
      </c>
      <c r="F253" s="102"/>
      <c r="G253" s="102"/>
      <c r="H253" s="265">
        <f t="shared" si="15"/>
        <v>0</v>
      </c>
      <c r="I253" s="169" t="e">
        <f t="shared" si="12"/>
        <v>#NUM!</v>
      </c>
      <c r="J253" s="169" t="e">
        <f t="shared" si="12"/>
        <v>#NUM!</v>
      </c>
      <c r="K253" s="169" t="e">
        <f t="shared" si="13"/>
        <v>#NUM!</v>
      </c>
    </row>
    <row r="254" spans="1:11">
      <c r="A254" s="97">
        <f t="shared" si="14"/>
        <v>248</v>
      </c>
      <c r="B254" s="919"/>
      <c r="C254" s="920"/>
      <c r="D254" s="102"/>
      <c r="E254" s="858" t="s">
        <v>191</v>
      </c>
      <c r="F254" s="102"/>
      <c r="G254" s="102"/>
      <c r="H254" s="265">
        <f t="shared" si="15"/>
        <v>0</v>
      </c>
      <c r="I254" s="169" t="e">
        <f t="shared" si="12"/>
        <v>#NUM!</v>
      </c>
      <c r="J254" s="169" t="e">
        <f t="shared" si="12"/>
        <v>#NUM!</v>
      </c>
      <c r="K254" s="169" t="e">
        <f t="shared" si="13"/>
        <v>#NUM!</v>
      </c>
    </row>
    <row r="255" spans="1:11">
      <c r="A255" s="97">
        <f t="shared" si="14"/>
        <v>249</v>
      </c>
      <c r="B255" s="919"/>
      <c r="C255" s="920"/>
      <c r="D255" s="102"/>
      <c r="E255" s="858" t="s">
        <v>191</v>
      </c>
      <c r="F255" s="102"/>
      <c r="G255" s="102"/>
      <c r="H255" s="265">
        <f t="shared" si="15"/>
        <v>0</v>
      </c>
      <c r="I255" s="169" t="e">
        <f t="shared" si="12"/>
        <v>#NUM!</v>
      </c>
      <c r="J255" s="169" t="e">
        <f t="shared" si="12"/>
        <v>#NUM!</v>
      </c>
      <c r="K255" s="169" t="e">
        <f t="shared" si="13"/>
        <v>#NUM!</v>
      </c>
    </row>
    <row r="256" spans="1:11">
      <c r="A256" s="97">
        <f t="shared" si="14"/>
        <v>250</v>
      </c>
      <c r="B256" s="919"/>
      <c r="C256" s="920"/>
      <c r="D256" s="102"/>
      <c r="E256" s="858" t="s">
        <v>191</v>
      </c>
      <c r="F256" s="102"/>
      <c r="G256" s="102"/>
      <c r="H256" s="265">
        <f t="shared" si="15"/>
        <v>0</v>
      </c>
      <c r="I256" s="169" t="e">
        <f t="shared" si="12"/>
        <v>#NUM!</v>
      </c>
      <c r="J256" s="169" t="e">
        <f t="shared" si="12"/>
        <v>#NUM!</v>
      </c>
      <c r="K256" s="169" t="e">
        <f t="shared" si="13"/>
        <v>#NUM!</v>
      </c>
    </row>
    <row r="257" spans="1:11">
      <c r="A257" s="97">
        <f t="shared" si="14"/>
        <v>251</v>
      </c>
      <c r="B257" s="919"/>
      <c r="C257" s="920"/>
      <c r="D257" s="102"/>
      <c r="E257" s="858" t="s">
        <v>191</v>
      </c>
      <c r="F257" s="102"/>
      <c r="G257" s="102"/>
      <c r="H257" s="265">
        <f t="shared" si="15"/>
        <v>0</v>
      </c>
      <c r="I257" s="169" t="e">
        <f t="shared" si="12"/>
        <v>#NUM!</v>
      </c>
      <c r="J257" s="169" t="e">
        <f t="shared" si="12"/>
        <v>#NUM!</v>
      </c>
      <c r="K257" s="169" t="e">
        <f t="shared" si="13"/>
        <v>#NUM!</v>
      </c>
    </row>
    <row r="258" spans="1:11">
      <c r="A258" s="97">
        <f t="shared" si="14"/>
        <v>252</v>
      </c>
      <c r="B258" s="919"/>
      <c r="C258" s="920"/>
      <c r="D258" s="102"/>
      <c r="E258" s="858" t="s">
        <v>191</v>
      </c>
      <c r="F258" s="102"/>
      <c r="G258" s="102"/>
      <c r="H258" s="265">
        <f t="shared" si="15"/>
        <v>0</v>
      </c>
      <c r="I258" s="169" t="e">
        <f t="shared" si="12"/>
        <v>#NUM!</v>
      </c>
      <c r="J258" s="169" t="e">
        <f t="shared" si="12"/>
        <v>#NUM!</v>
      </c>
      <c r="K258" s="169" t="e">
        <f t="shared" si="13"/>
        <v>#NUM!</v>
      </c>
    </row>
    <row r="259" spans="1:11">
      <c r="A259" s="97">
        <f t="shared" si="14"/>
        <v>253</v>
      </c>
      <c r="B259" s="919"/>
      <c r="C259" s="920"/>
      <c r="D259" s="102"/>
      <c r="E259" s="858" t="s">
        <v>191</v>
      </c>
      <c r="F259" s="102"/>
      <c r="G259" s="102"/>
      <c r="H259" s="265">
        <f t="shared" si="15"/>
        <v>0</v>
      </c>
      <c r="I259" s="169" t="e">
        <f t="shared" si="12"/>
        <v>#NUM!</v>
      </c>
      <c r="J259" s="169" t="e">
        <f t="shared" si="12"/>
        <v>#NUM!</v>
      </c>
      <c r="K259" s="169" t="e">
        <f t="shared" si="13"/>
        <v>#NUM!</v>
      </c>
    </row>
    <row r="260" spans="1:11">
      <c r="A260" s="97">
        <f t="shared" si="14"/>
        <v>254</v>
      </c>
      <c r="B260" s="919"/>
      <c r="C260" s="920"/>
      <c r="D260" s="102"/>
      <c r="E260" s="858" t="s">
        <v>191</v>
      </c>
      <c r="F260" s="102"/>
      <c r="G260" s="102"/>
      <c r="H260" s="265">
        <f t="shared" si="15"/>
        <v>0</v>
      </c>
      <c r="I260" s="169" t="e">
        <f t="shared" si="12"/>
        <v>#NUM!</v>
      </c>
      <c r="J260" s="169" t="e">
        <f t="shared" si="12"/>
        <v>#NUM!</v>
      </c>
      <c r="K260" s="169" t="e">
        <f t="shared" si="13"/>
        <v>#NUM!</v>
      </c>
    </row>
    <row r="261" spans="1:11">
      <c r="A261" s="97">
        <f t="shared" si="14"/>
        <v>255</v>
      </c>
      <c r="B261" s="919"/>
      <c r="C261" s="920"/>
      <c r="D261" s="102"/>
      <c r="E261" s="858" t="s">
        <v>191</v>
      </c>
      <c r="F261" s="102"/>
      <c r="G261" s="102"/>
      <c r="H261" s="265">
        <f t="shared" si="15"/>
        <v>0</v>
      </c>
      <c r="I261" s="169" t="e">
        <f t="shared" si="12"/>
        <v>#NUM!</v>
      </c>
      <c r="J261" s="169" t="e">
        <f t="shared" si="12"/>
        <v>#NUM!</v>
      </c>
      <c r="K261" s="169" t="e">
        <f t="shared" si="13"/>
        <v>#NUM!</v>
      </c>
    </row>
    <row r="262" spans="1:11">
      <c r="A262" s="97">
        <f t="shared" si="14"/>
        <v>256</v>
      </c>
      <c r="B262" s="919"/>
      <c r="C262" s="920"/>
      <c r="D262" s="102"/>
      <c r="E262" s="858" t="s">
        <v>191</v>
      </c>
      <c r="F262" s="102"/>
      <c r="G262" s="102"/>
      <c r="H262" s="265">
        <f t="shared" si="15"/>
        <v>0</v>
      </c>
      <c r="I262" s="169" t="e">
        <f t="shared" si="12"/>
        <v>#NUM!</v>
      </c>
      <c r="J262" s="169" t="e">
        <f t="shared" si="12"/>
        <v>#NUM!</v>
      </c>
      <c r="K262" s="169" t="e">
        <f t="shared" si="13"/>
        <v>#NUM!</v>
      </c>
    </row>
    <row r="263" spans="1:11">
      <c r="A263" s="97">
        <f t="shared" si="14"/>
        <v>257</v>
      </c>
      <c r="B263" s="919"/>
      <c r="C263" s="920"/>
      <c r="D263" s="102"/>
      <c r="E263" s="858" t="s">
        <v>191</v>
      </c>
      <c r="F263" s="102"/>
      <c r="G263" s="102"/>
      <c r="H263" s="265">
        <f t="shared" si="15"/>
        <v>0</v>
      </c>
      <c r="I263" s="169" t="e">
        <f t="shared" si="12"/>
        <v>#NUM!</v>
      </c>
      <c r="J263" s="169" t="e">
        <f t="shared" si="12"/>
        <v>#NUM!</v>
      </c>
      <c r="K263" s="169" t="e">
        <f t="shared" si="13"/>
        <v>#NUM!</v>
      </c>
    </row>
    <row r="264" spans="1:11">
      <c r="A264" s="97">
        <f t="shared" si="14"/>
        <v>258</v>
      </c>
      <c r="B264" s="919"/>
      <c r="C264" s="920"/>
      <c r="D264" s="102"/>
      <c r="E264" s="858" t="s">
        <v>191</v>
      </c>
      <c r="F264" s="102"/>
      <c r="G264" s="102"/>
      <c r="H264" s="265">
        <f t="shared" si="15"/>
        <v>0</v>
      </c>
      <c r="I264" s="169" t="e">
        <f t="shared" ref="I264:J296" si="16">LN(F264)</f>
        <v>#NUM!</v>
      </c>
      <c r="J264" s="169" t="e">
        <f t="shared" si="16"/>
        <v>#NUM!</v>
      </c>
      <c r="K264" s="169" t="e">
        <f t="shared" ref="K264:K296" si="17">LN(H264)</f>
        <v>#NUM!</v>
      </c>
    </row>
    <row r="265" spans="1:11">
      <c r="A265" s="97">
        <f t="shared" ref="A265:A300" si="18">+A264+1</f>
        <v>259</v>
      </c>
      <c r="B265" s="919"/>
      <c r="C265" s="920"/>
      <c r="D265" s="102"/>
      <c r="E265" s="858" t="s">
        <v>191</v>
      </c>
      <c r="F265" s="102"/>
      <c r="G265" s="102"/>
      <c r="H265" s="265">
        <f t="shared" ref="H265:H296" si="19">+(F265/1760)*G265</f>
        <v>0</v>
      </c>
      <c r="I265" s="169" t="e">
        <f t="shared" si="16"/>
        <v>#NUM!</v>
      </c>
      <c r="J265" s="169" t="e">
        <f t="shared" si="16"/>
        <v>#NUM!</v>
      </c>
      <c r="K265" s="169" t="e">
        <f t="shared" si="17"/>
        <v>#NUM!</v>
      </c>
    </row>
    <row r="266" spans="1:11">
      <c r="A266" s="97">
        <f t="shared" si="18"/>
        <v>260</v>
      </c>
      <c r="B266" s="919"/>
      <c r="C266" s="920"/>
      <c r="D266" s="102"/>
      <c r="E266" s="858" t="s">
        <v>191</v>
      </c>
      <c r="F266" s="102"/>
      <c r="G266" s="102"/>
      <c r="H266" s="265">
        <f t="shared" si="19"/>
        <v>0</v>
      </c>
      <c r="I266" s="169" t="e">
        <f t="shared" si="16"/>
        <v>#NUM!</v>
      </c>
      <c r="J266" s="169" t="e">
        <f t="shared" si="16"/>
        <v>#NUM!</v>
      </c>
      <c r="K266" s="169" t="e">
        <f t="shared" si="17"/>
        <v>#NUM!</v>
      </c>
    </row>
    <row r="267" spans="1:11">
      <c r="A267" s="97">
        <f t="shared" si="18"/>
        <v>261</v>
      </c>
      <c r="B267" s="919"/>
      <c r="C267" s="920"/>
      <c r="D267" s="102"/>
      <c r="E267" s="858" t="s">
        <v>191</v>
      </c>
      <c r="F267" s="102"/>
      <c r="G267" s="102"/>
      <c r="H267" s="265">
        <f t="shared" si="19"/>
        <v>0</v>
      </c>
      <c r="I267" s="169" t="e">
        <f t="shared" si="16"/>
        <v>#NUM!</v>
      </c>
      <c r="J267" s="169" t="e">
        <f t="shared" si="16"/>
        <v>#NUM!</v>
      </c>
      <c r="K267" s="169" t="e">
        <f t="shared" si="17"/>
        <v>#NUM!</v>
      </c>
    </row>
    <row r="268" spans="1:11">
      <c r="A268" s="97">
        <f t="shared" si="18"/>
        <v>262</v>
      </c>
      <c r="B268" s="919"/>
      <c r="C268" s="920"/>
      <c r="D268" s="102"/>
      <c r="E268" s="858" t="s">
        <v>191</v>
      </c>
      <c r="F268" s="102"/>
      <c r="G268" s="102"/>
      <c r="H268" s="265">
        <f t="shared" si="19"/>
        <v>0</v>
      </c>
      <c r="I268" s="169" t="e">
        <f t="shared" si="16"/>
        <v>#NUM!</v>
      </c>
      <c r="J268" s="169" t="e">
        <f t="shared" si="16"/>
        <v>#NUM!</v>
      </c>
      <c r="K268" s="169" t="e">
        <f t="shared" si="17"/>
        <v>#NUM!</v>
      </c>
    </row>
    <row r="269" spans="1:11">
      <c r="A269" s="97">
        <f t="shared" si="18"/>
        <v>263</v>
      </c>
      <c r="B269" s="919"/>
      <c r="C269" s="920"/>
      <c r="D269" s="102"/>
      <c r="E269" s="858" t="s">
        <v>191</v>
      </c>
      <c r="F269" s="102"/>
      <c r="G269" s="102"/>
      <c r="H269" s="265">
        <f t="shared" si="19"/>
        <v>0</v>
      </c>
      <c r="I269" s="169" t="e">
        <f t="shared" si="16"/>
        <v>#NUM!</v>
      </c>
      <c r="J269" s="169" t="e">
        <f t="shared" si="16"/>
        <v>#NUM!</v>
      </c>
      <c r="K269" s="169" t="e">
        <f t="shared" si="17"/>
        <v>#NUM!</v>
      </c>
    </row>
    <row r="270" spans="1:11">
      <c r="A270" s="97">
        <f t="shared" si="18"/>
        <v>264</v>
      </c>
      <c r="B270" s="919"/>
      <c r="C270" s="920"/>
      <c r="D270" s="102"/>
      <c r="E270" s="858" t="s">
        <v>191</v>
      </c>
      <c r="F270" s="102"/>
      <c r="G270" s="102"/>
      <c r="H270" s="265">
        <f t="shared" si="19"/>
        <v>0</v>
      </c>
      <c r="I270" s="169" t="e">
        <f t="shared" si="16"/>
        <v>#NUM!</v>
      </c>
      <c r="J270" s="169" t="e">
        <f t="shared" si="16"/>
        <v>#NUM!</v>
      </c>
      <c r="K270" s="169" t="e">
        <f t="shared" si="17"/>
        <v>#NUM!</v>
      </c>
    </row>
    <row r="271" spans="1:11">
      <c r="A271" s="97">
        <f t="shared" si="18"/>
        <v>265</v>
      </c>
      <c r="B271" s="919"/>
      <c r="C271" s="920"/>
      <c r="D271" s="102"/>
      <c r="E271" s="858" t="s">
        <v>191</v>
      </c>
      <c r="F271" s="102"/>
      <c r="G271" s="102"/>
      <c r="H271" s="265">
        <f t="shared" si="19"/>
        <v>0</v>
      </c>
      <c r="I271" s="169" t="e">
        <f t="shared" si="16"/>
        <v>#NUM!</v>
      </c>
      <c r="J271" s="169" t="e">
        <f t="shared" si="16"/>
        <v>#NUM!</v>
      </c>
      <c r="K271" s="169" t="e">
        <f t="shared" si="17"/>
        <v>#NUM!</v>
      </c>
    </row>
    <row r="272" spans="1:11">
      <c r="A272" s="97">
        <f t="shared" si="18"/>
        <v>266</v>
      </c>
      <c r="B272" s="919"/>
      <c r="C272" s="920"/>
      <c r="D272" s="102"/>
      <c r="E272" s="858" t="s">
        <v>191</v>
      </c>
      <c r="F272" s="102"/>
      <c r="G272" s="102"/>
      <c r="H272" s="265">
        <f t="shared" si="19"/>
        <v>0</v>
      </c>
      <c r="I272" s="169" t="e">
        <f t="shared" si="16"/>
        <v>#NUM!</v>
      </c>
      <c r="J272" s="169" t="e">
        <f t="shared" si="16"/>
        <v>#NUM!</v>
      </c>
      <c r="K272" s="169" t="e">
        <f t="shared" si="17"/>
        <v>#NUM!</v>
      </c>
    </row>
    <row r="273" spans="1:11">
      <c r="A273" s="97">
        <f t="shared" si="18"/>
        <v>267</v>
      </c>
      <c r="B273" s="919"/>
      <c r="C273" s="920"/>
      <c r="D273" s="102"/>
      <c r="E273" s="858" t="s">
        <v>191</v>
      </c>
      <c r="F273" s="102"/>
      <c r="G273" s="102"/>
      <c r="H273" s="265">
        <f t="shared" si="19"/>
        <v>0</v>
      </c>
      <c r="I273" s="169" t="e">
        <f t="shared" si="16"/>
        <v>#NUM!</v>
      </c>
      <c r="J273" s="169" t="e">
        <f t="shared" si="16"/>
        <v>#NUM!</v>
      </c>
      <c r="K273" s="169" t="e">
        <f t="shared" si="17"/>
        <v>#NUM!</v>
      </c>
    </row>
    <row r="274" spans="1:11">
      <c r="A274" s="97">
        <f t="shared" si="18"/>
        <v>268</v>
      </c>
      <c r="B274" s="919"/>
      <c r="C274" s="920"/>
      <c r="D274" s="102"/>
      <c r="E274" s="858" t="s">
        <v>191</v>
      </c>
      <c r="F274" s="102"/>
      <c r="G274" s="102"/>
      <c r="H274" s="265">
        <f t="shared" si="19"/>
        <v>0</v>
      </c>
      <c r="I274" s="169" t="e">
        <f t="shared" si="16"/>
        <v>#NUM!</v>
      </c>
      <c r="J274" s="169" t="e">
        <f t="shared" si="16"/>
        <v>#NUM!</v>
      </c>
      <c r="K274" s="169" t="e">
        <f t="shared" si="17"/>
        <v>#NUM!</v>
      </c>
    </row>
    <row r="275" spans="1:11">
      <c r="A275" s="97">
        <f t="shared" si="18"/>
        <v>269</v>
      </c>
      <c r="B275" s="919"/>
      <c r="C275" s="920"/>
      <c r="D275" s="102"/>
      <c r="E275" s="858" t="s">
        <v>191</v>
      </c>
      <c r="F275" s="102"/>
      <c r="G275" s="102"/>
      <c r="H275" s="265">
        <f t="shared" si="19"/>
        <v>0</v>
      </c>
      <c r="I275" s="169" t="e">
        <f t="shared" si="16"/>
        <v>#NUM!</v>
      </c>
      <c r="J275" s="169" t="e">
        <f t="shared" si="16"/>
        <v>#NUM!</v>
      </c>
      <c r="K275" s="169" t="e">
        <f t="shared" si="17"/>
        <v>#NUM!</v>
      </c>
    </row>
    <row r="276" spans="1:11">
      <c r="A276" s="97">
        <f t="shared" si="18"/>
        <v>270</v>
      </c>
      <c r="B276" s="919"/>
      <c r="C276" s="920"/>
      <c r="D276" s="102"/>
      <c r="E276" s="858" t="s">
        <v>191</v>
      </c>
      <c r="F276" s="102"/>
      <c r="G276" s="102"/>
      <c r="H276" s="265">
        <f t="shared" si="19"/>
        <v>0</v>
      </c>
      <c r="I276" s="169" t="e">
        <f t="shared" si="16"/>
        <v>#NUM!</v>
      </c>
      <c r="J276" s="169" t="e">
        <f t="shared" si="16"/>
        <v>#NUM!</v>
      </c>
      <c r="K276" s="169" t="e">
        <f t="shared" si="17"/>
        <v>#NUM!</v>
      </c>
    </row>
    <row r="277" spans="1:11">
      <c r="A277" s="97">
        <f t="shared" si="18"/>
        <v>271</v>
      </c>
      <c r="B277" s="919"/>
      <c r="C277" s="920"/>
      <c r="D277" s="102"/>
      <c r="E277" s="858" t="s">
        <v>191</v>
      </c>
      <c r="F277" s="102"/>
      <c r="G277" s="102"/>
      <c r="H277" s="265">
        <f t="shared" si="19"/>
        <v>0</v>
      </c>
      <c r="I277" s="169" t="e">
        <f t="shared" si="16"/>
        <v>#NUM!</v>
      </c>
      <c r="J277" s="169" t="e">
        <f t="shared" si="16"/>
        <v>#NUM!</v>
      </c>
      <c r="K277" s="169" t="e">
        <f t="shared" si="17"/>
        <v>#NUM!</v>
      </c>
    </row>
    <row r="278" spans="1:11">
      <c r="A278" s="97">
        <f t="shared" si="18"/>
        <v>272</v>
      </c>
      <c r="B278" s="919"/>
      <c r="C278" s="920"/>
      <c r="D278" s="102"/>
      <c r="E278" s="858" t="s">
        <v>191</v>
      </c>
      <c r="F278" s="102"/>
      <c r="G278" s="102"/>
      <c r="H278" s="265">
        <f t="shared" si="19"/>
        <v>0</v>
      </c>
      <c r="I278" s="169" t="e">
        <f t="shared" si="16"/>
        <v>#NUM!</v>
      </c>
      <c r="J278" s="169" t="e">
        <f t="shared" si="16"/>
        <v>#NUM!</v>
      </c>
      <c r="K278" s="169" t="e">
        <f t="shared" si="17"/>
        <v>#NUM!</v>
      </c>
    </row>
    <row r="279" spans="1:11">
      <c r="A279" s="97">
        <f t="shared" si="18"/>
        <v>273</v>
      </c>
      <c r="B279" s="919"/>
      <c r="C279" s="920"/>
      <c r="D279" s="102"/>
      <c r="E279" s="858" t="s">
        <v>191</v>
      </c>
      <c r="F279" s="102"/>
      <c r="G279" s="102"/>
      <c r="H279" s="265">
        <f t="shared" si="19"/>
        <v>0</v>
      </c>
      <c r="I279" s="169" t="e">
        <f t="shared" si="16"/>
        <v>#NUM!</v>
      </c>
      <c r="J279" s="169" t="e">
        <f t="shared" si="16"/>
        <v>#NUM!</v>
      </c>
      <c r="K279" s="169" t="e">
        <f t="shared" si="17"/>
        <v>#NUM!</v>
      </c>
    </row>
    <row r="280" spans="1:11">
      <c r="A280" s="97">
        <f t="shared" si="18"/>
        <v>274</v>
      </c>
      <c r="B280" s="919"/>
      <c r="C280" s="920"/>
      <c r="D280" s="102"/>
      <c r="E280" s="858" t="s">
        <v>191</v>
      </c>
      <c r="F280" s="102"/>
      <c r="G280" s="102"/>
      <c r="H280" s="265">
        <f t="shared" si="19"/>
        <v>0</v>
      </c>
      <c r="I280" s="169" t="e">
        <f t="shared" si="16"/>
        <v>#NUM!</v>
      </c>
      <c r="J280" s="169" t="e">
        <f t="shared" si="16"/>
        <v>#NUM!</v>
      </c>
      <c r="K280" s="169" t="e">
        <f t="shared" si="17"/>
        <v>#NUM!</v>
      </c>
    </row>
    <row r="281" spans="1:11">
      <c r="A281" s="97">
        <f t="shared" si="18"/>
        <v>275</v>
      </c>
      <c r="B281" s="919"/>
      <c r="C281" s="920"/>
      <c r="D281" s="102"/>
      <c r="E281" s="858" t="s">
        <v>191</v>
      </c>
      <c r="F281" s="102"/>
      <c r="G281" s="102"/>
      <c r="H281" s="265">
        <f t="shared" si="19"/>
        <v>0</v>
      </c>
      <c r="I281" s="169" t="e">
        <f t="shared" si="16"/>
        <v>#NUM!</v>
      </c>
      <c r="J281" s="169" t="e">
        <f t="shared" si="16"/>
        <v>#NUM!</v>
      </c>
      <c r="K281" s="169" t="e">
        <f t="shared" si="17"/>
        <v>#NUM!</v>
      </c>
    </row>
    <row r="282" spans="1:11">
      <c r="A282" s="97">
        <f t="shared" si="18"/>
        <v>276</v>
      </c>
      <c r="B282" s="919"/>
      <c r="C282" s="920"/>
      <c r="D282" s="102"/>
      <c r="E282" s="858" t="s">
        <v>191</v>
      </c>
      <c r="F282" s="102"/>
      <c r="G282" s="102"/>
      <c r="H282" s="265">
        <f t="shared" si="19"/>
        <v>0</v>
      </c>
      <c r="I282" s="169" t="e">
        <f t="shared" si="16"/>
        <v>#NUM!</v>
      </c>
      <c r="J282" s="169" t="e">
        <f t="shared" si="16"/>
        <v>#NUM!</v>
      </c>
      <c r="K282" s="169" t="e">
        <f t="shared" si="17"/>
        <v>#NUM!</v>
      </c>
    </row>
    <row r="283" spans="1:11">
      <c r="A283" s="97">
        <f t="shared" si="18"/>
        <v>277</v>
      </c>
      <c r="B283" s="919"/>
      <c r="C283" s="920"/>
      <c r="D283" s="102"/>
      <c r="E283" s="858" t="s">
        <v>191</v>
      </c>
      <c r="F283" s="102"/>
      <c r="G283" s="102"/>
      <c r="H283" s="265">
        <f t="shared" si="19"/>
        <v>0</v>
      </c>
      <c r="I283" s="169" t="e">
        <f t="shared" si="16"/>
        <v>#NUM!</v>
      </c>
      <c r="J283" s="169" t="e">
        <f t="shared" si="16"/>
        <v>#NUM!</v>
      </c>
      <c r="K283" s="169" t="e">
        <f t="shared" si="17"/>
        <v>#NUM!</v>
      </c>
    </row>
    <row r="284" spans="1:11">
      <c r="A284" s="97">
        <f t="shared" si="18"/>
        <v>278</v>
      </c>
      <c r="B284" s="919"/>
      <c r="C284" s="920"/>
      <c r="D284" s="102"/>
      <c r="E284" s="858" t="s">
        <v>191</v>
      </c>
      <c r="F284" s="102"/>
      <c r="G284" s="102"/>
      <c r="H284" s="265">
        <f t="shared" si="19"/>
        <v>0</v>
      </c>
      <c r="I284" s="169" t="e">
        <f t="shared" si="16"/>
        <v>#NUM!</v>
      </c>
      <c r="J284" s="169" t="e">
        <f t="shared" si="16"/>
        <v>#NUM!</v>
      </c>
      <c r="K284" s="169" t="e">
        <f t="shared" si="17"/>
        <v>#NUM!</v>
      </c>
    </row>
    <row r="285" spans="1:11">
      <c r="A285" s="97">
        <f t="shared" si="18"/>
        <v>279</v>
      </c>
      <c r="B285" s="919"/>
      <c r="C285" s="920"/>
      <c r="D285" s="102"/>
      <c r="E285" s="858" t="s">
        <v>191</v>
      </c>
      <c r="F285" s="102"/>
      <c r="G285" s="102"/>
      <c r="H285" s="265">
        <f t="shared" si="19"/>
        <v>0</v>
      </c>
      <c r="I285" s="169" t="e">
        <f t="shared" si="16"/>
        <v>#NUM!</v>
      </c>
      <c r="J285" s="169" t="e">
        <f t="shared" si="16"/>
        <v>#NUM!</v>
      </c>
      <c r="K285" s="169" t="e">
        <f t="shared" si="17"/>
        <v>#NUM!</v>
      </c>
    </row>
    <row r="286" spans="1:11">
      <c r="A286" s="97">
        <f t="shared" si="18"/>
        <v>280</v>
      </c>
      <c r="B286" s="919"/>
      <c r="C286" s="920"/>
      <c r="D286" s="102"/>
      <c r="E286" s="858" t="s">
        <v>191</v>
      </c>
      <c r="F286" s="102"/>
      <c r="G286" s="102"/>
      <c r="H286" s="265">
        <f t="shared" si="19"/>
        <v>0</v>
      </c>
      <c r="I286" s="169" t="e">
        <f t="shared" si="16"/>
        <v>#NUM!</v>
      </c>
      <c r="J286" s="169" t="e">
        <f t="shared" si="16"/>
        <v>#NUM!</v>
      </c>
      <c r="K286" s="169" t="e">
        <f t="shared" si="17"/>
        <v>#NUM!</v>
      </c>
    </row>
    <row r="287" spans="1:11">
      <c r="A287" s="97">
        <f t="shared" si="18"/>
        <v>281</v>
      </c>
      <c r="B287" s="919"/>
      <c r="C287" s="920"/>
      <c r="D287" s="102"/>
      <c r="E287" s="858" t="s">
        <v>191</v>
      </c>
      <c r="F287" s="102"/>
      <c r="G287" s="102"/>
      <c r="H287" s="265">
        <f t="shared" si="19"/>
        <v>0</v>
      </c>
      <c r="I287" s="169" t="e">
        <f t="shared" si="16"/>
        <v>#NUM!</v>
      </c>
      <c r="J287" s="169" t="e">
        <f t="shared" si="16"/>
        <v>#NUM!</v>
      </c>
      <c r="K287" s="169" t="e">
        <f t="shared" si="17"/>
        <v>#NUM!</v>
      </c>
    </row>
    <row r="288" spans="1:11">
      <c r="A288" s="97">
        <f t="shared" si="18"/>
        <v>282</v>
      </c>
      <c r="B288" s="919"/>
      <c r="C288" s="920"/>
      <c r="D288" s="102"/>
      <c r="E288" s="858" t="s">
        <v>191</v>
      </c>
      <c r="F288" s="102"/>
      <c r="G288" s="102"/>
      <c r="H288" s="265">
        <f t="shared" si="19"/>
        <v>0</v>
      </c>
      <c r="I288" s="169" t="e">
        <f t="shared" si="16"/>
        <v>#NUM!</v>
      </c>
      <c r="J288" s="169" t="e">
        <f t="shared" si="16"/>
        <v>#NUM!</v>
      </c>
      <c r="K288" s="169" t="e">
        <f t="shared" si="17"/>
        <v>#NUM!</v>
      </c>
    </row>
    <row r="289" spans="1:13">
      <c r="A289" s="97">
        <f t="shared" si="18"/>
        <v>283</v>
      </c>
      <c r="B289" s="919"/>
      <c r="C289" s="920"/>
      <c r="D289" s="102"/>
      <c r="E289" s="858" t="s">
        <v>191</v>
      </c>
      <c r="F289" s="102"/>
      <c r="G289" s="102"/>
      <c r="H289" s="265">
        <f t="shared" si="19"/>
        <v>0</v>
      </c>
      <c r="I289" s="169" t="e">
        <f t="shared" si="16"/>
        <v>#NUM!</v>
      </c>
      <c r="J289" s="169" t="e">
        <f t="shared" si="16"/>
        <v>#NUM!</v>
      </c>
      <c r="K289" s="169" t="e">
        <f t="shared" si="17"/>
        <v>#NUM!</v>
      </c>
    </row>
    <row r="290" spans="1:13">
      <c r="A290" s="97">
        <f t="shared" si="18"/>
        <v>284</v>
      </c>
      <c r="B290" s="919"/>
      <c r="C290" s="920"/>
      <c r="D290" s="102"/>
      <c r="E290" s="858" t="s">
        <v>191</v>
      </c>
      <c r="F290" s="102"/>
      <c r="G290" s="102"/>
      <c r="H290" s="265">
        <f t="shared" si="19"/>
        <v>0</v>
      </c>
      <c r="I290" s="169" t="e">
        <f t="shared" si="16"/>
        <v>#NUM!</v>
      </c>
      <c r="J290" s="169" t="e">
        <f t="shared" si="16"/>
        <v>#NUM!</v>
      </c>
      <c r="K290" s="169" t="e">
        <f t="shared" si="17"/>
        <v>#NUM!</v>
      </c>
    </row>
    <row r="291" spans="1:13">
      <c r="A291" s="97">
        <f t="shared" si="18"/>
        <v>285</v>
      </c>
      <c r="B291" s="919"/>
      <c r="C291" s="920"/>
      <c r="D291" s="102"/>
      <c r="E291" s="858" t="s">
        <v>191</v>
      </c>
      <c r="F291" s="102"/>
      <c r="G291" s="102"/>
      <c r="H291" s="265">
        <f t="shared" si="19"/>
        <v>0</v>
      </c>
      <c r="I291" s="169" t="e">
        <f t="shared" si="16"/>
        <v>#NUM!</v>
      </c>
      <c r="J291" s="169" t="e">
        <f t="shared" si="16"/>
        <v>#NUM!</v>
      </c>
      <c r="K291" s="169" t="e">
        <f t="shared" si="17"/>
        <v>#NUM!</v>
      </c>
    </row>
    <row r="292" spans="1:13">
      <c r="A292" s="97">
        <f t="shared" si="18"/>
        <v>286</v>
      </c>
      <c r="B292" s="919"/>
      <c r="C292" s="920"/>
      <c r="D292" s="102"/>
      <c r="E292" s="858" t="s">
        <v>191</v>
      </c>
      <c r="F292" s="102"/>
      <c r="G292" s="102"/>
      <c r="H292" s="265">
        <f t="shared" si="19"/>
        <v>0</v>
      </c>
      <c r="I292" s="169" t="e">
        <f t="shared" si="16"/>
        <v>#NUM!</v>
      </c>
      <c r="J292" s="169" t="e">
        <f t="shared" si="16"/>
        <v>#NUM!</v>
      </c>
      <c r="K292" s="169" t="e">
        <f t="shared" si="17"/>
        <v>#NUM!</v>
      </c>
    </row>
    <row r="293" spans="1:13">
      <c r="A293" s="97">
        <f t="shared" si="18"/>
        <v>287</v>
      </c>
      <c r="B293" s="919"/>
      <c r="C293" s="920"/>
      <c r="D293" s="102"/>
      <c r="E293" s="858" t="s">
        <v>191</v>
      </c>
      <c r="F293" s="102"/>
      <c r="G293" s="102"/>
      <c r="H293" s="265">
        <f t="shared" si="19"/>
        <v>0</v>
      </c>
      <c r="I293" s="169" t="e">
        <f t="shared" si="16"/>
        <v>#NUM!</v>
      </c>
      <c r="J293" s="169" t="e">
        <f t="shared" si="16"/>
        <v>#NUM!</v>
      </c>
      <c r="K293" s="169" t="e">
        <f t="shared" si="17"/>
        <v>#NUM!</v>
      </c>
    </row>
    <row r="294" spans="1:13">
      <c r="A294" s="97">
        <f t="shared" si="18"/>
        <v>288</v>
      </c>
      <c r="B294" s="919"/>
      <c r="C294" s="920"/>
      <c r="D294" s="102"/>
      <c r="E294" s="858" t="s">
        <v>191</v>
      </c>
      <c r="F294" s="102"/>
      <c r="G294" s="102"/>
      <c r="H294" s="265">
        <f t="shared" si="19"/>
        <v>0</v>
      </c>
      <c r="I294" s="169" t="e">
        <f t="shared" si="16"/>
        <v>#NUM!</v>
      </c>
      <c r="J294" s="169" t="e">
        <f t="shared" si="16"/>
        <v>#NUM!</v>
      </c>
      <c r="K294" s="169" t="e">
        <f t="shared" si="17"/>
        <v>#NUM!</v>
      </c>
    </row>
    <row r="295" spans="1:13">
      <c r="A295" s="97">
        <f t="shared" si="18"/>
        <v>289</v>
      </c>
      <c r="B295" s="919"/>
      <c r="C295" s="920"/>
      <c r="D295" s="102"/>
      <c r="E295" s="858" t="s">
        <v>191</v>
      </c>
      <c r="F295" s="102"/>
      <c r="G295" s="102"/>
      <c r="H295" s="265">
        <f t="shared" si="19"/>
        <v>0</v>
      </c>
      <c r="I295" s="169" t="e">
        <f t="shared" si="16"/>
        <v>#NUM!</v>
      </c>
      <c r="J295" s="169" t="e">
        <f t="shared" si="16"/>
        <v>#NUM!</v>
      </c>
      <c r="K295" s="169" t="e">
        <f t="shared" si="17"/>
        <v>#NUM!</v>
      </c>
    </row>
    <row r="296" spans="1:13">
      <c r="A296" s="97">
        <f t="shared" si="18"/>
        <v>290</v>
      </c>
      <c r="B296" s="919"/>
      <c r="C296" s="920"/>
      <c r="D296" s="102"/>
      <c r="E296" s="858" t="s">
        <v>191</v>
      </c>
      <c r="F296" s="102"/>
      <c r="G296" s="102"/>
      <c r="H296" s="265">
        <f t="shared" si="19"/>
        <v>0</v>
      </c>
      <c r="I296" s="169" t="e">
        <f t="shared" si="16"/>
        <v>#NUM!</v>
      </c>
      <c r="J296" s="169" t="e">
        <f t="shared" si="16"/>
        <v>#NUM!</v>
      </c>
      <c r="K296" s="169" t="e">
        <f t="shared" si="17"/>
        <v>#NUM!</v>
      </c>
    </row>
    <row r="297" spans="1:13">
      <c r="A297" s="97">
        <f t="shared" si="18"/>
        <v>291</v>
      </c>
      <c r="B297" s="919"/>
      <c r="C297" s="920"/>
      <c r="D297" s="102"/>
      <c r="E297" s="858" t="s">
        <v>191</v>
      </c>
      <c r="F297" s="102"/>
      <c r="G297" s="102"/>
      <c r="H297" s="265">
        <f>+(F297/1760)*G297</f>
        <v>0</v>
      </c>
      <c r="I297" s="169" t="e">
        <f t="shared" ref="I297:K300" si="20">LN(F297)</f>
        <v>#NUM!</v>
      </c>
      <c r="J297" s="169" t="e">
        <f t="shared" si="20"/>
        <v>#NUM!</v>
      </c>
      <c r="K297" s="169" t="e">
        <f t="shared" si="20"/>
        <v>#NUM!</v>
      </c>
    </row>
    <row r="298" spans="1:13">
      <c r="A298" s="97">
        <f t="shared" si="18"/>
        <v>292</v>
      </c>
      <c r="B298" s="919"/>
      <c r="C298" s="920"/>
      <c r="D298" s="102"/>
      <c r="E298" s="858" t="s">
        <v>191</v>
      </c>
      <c r="F298" s="102"/>
      <c r="G298" s="102"/>
      <c r="H298" s="265">
        <f>+(F298/1760)*G298</f>
        <v>0</v>
      </c>
      <c r="I298" s="169" t="e">
        <f t="shared" si="20"/>
        <v>#NUM!</v>
      </c>
      <c r="J298" s="169" t="e">
        <f t="shared" si="20"/>
        <v>#NUM!</v>
      </c>
      <c r="K298" s="169" t="e">
        <f t="shared" si="20"/>
        <v>#NUM!</v>
      </c>
    </row>
    <row r="299" spans="1:13">
      <c r="A299" s="97">
        <f t="shared" si="18"/>
        <v>293</v>
      </c>
      <c r="B299" s="919"/>
      <c r="C299" s="920"/>
      <c r="D299" s="102"/>
      <c r="E299" s="858" t="s">
        <v>191</v>
      </c>
      <c r="F299" s="102"/>
      <c r="G299" s="102"/>
      <c r="H299" s="265">
        <f>+(F299/1760)*G299</f>
        <v>0</v>
      </c>
      <c r="I299" s="169" t="e">
        <f t="shared" si="20"/>
        <v>#NUM!</v>
      </c>
      <c r="J299" s="169" t="e">
        <f t="shared" si="20"/>
        <v>#NUM!</v>
      </c>
      <c r="K299" s="169" t="e">
        <f t="shared" si="20"/>
        <v>#NUM!</v>
      </c>
      <c r="L299" s="32"/>
      <c r="M299" s="32"/>
    </row>
    <row r="300" spans="1:13">
      <c r="A300" s="97">
        <f t="shared" si="18"/>
        <v>294</v>
      </c>
      <c r="B300" s="919"/>
      <c r="C300" s="920"/>
      <c r="D300" s="102"/>
      <c r="E300" s="858" t="s">
        <v>191</v>
      </c>
      <c r="F300" s="102"/>
      <c r="G300" s="102"/>
      <c r="H300" s="265">
        <f>+(F300/1760)*G300</f>
        <v>0</v>
      </c>
      <c r="I300" s="169" t="e">
        <f t="shared" si="20"/>
        <v>#NUM!</v>
      </c>
      <c r="J300" s="169" t="e">
        <f t="shared" si="20"/>
        <v>#NUM!</v>
      </c>
      <c r="K300" s="169" t="e">
        <f t="shared" si="20"/>
        <v>#NUM!</v>
      </c>
      <c r="L300" s="389"/>
      <c r="M300" s="32"/>
    </row>
    <row r="301" spans="1:13">
      <c r="I301" s="32"/>
      <c r="J301" s="32"/>
      <c r="K301" s="32"/>
      <c r="L301" s="32"/>
      <c r="M301" s="32"/>
    </row>
    <row r="302" spans="1:13">
      <c r="I302" s="32"/>
      <c r="J302" s="32"/>
      <c r="K302" s="32"/>
      <c r="L302" s="32"/>
      <c r="M302" s="32"/>
    </row>
  </sheetData>
  <customSheetViews>
    <customSheetView guid="{CFA9FB8A-52FF-44B9-AE70-27339693E196}" scale="90" topLeftCell="C1">
      <pane ySplit="6" topLeftCell="A284" activePane="bottomLeft" state="frozen"/>
      <selection pane="bottomLeft" activeCell="M294" sqref="M294"/>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232:D300">
      <formula1>counties</formula1>
    </dataValidation>
  </dataValidations>
  <printOptions horizontalCentered="1"/>
  <pageMargins left="0.75" right="0.75" top="1.25" bottom="0.5" header="0.5" footer="0"/>
  <pageSetup scale="74" firstPageNumber="153" fitToHeight="30" orientation="landscape" useFirstPageNumber="1" r:id="rId1"/>
  <headerFooter scaleWithDoc="0">
    <oddFooter>&amp;CPage &amp;P of 172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12" activePane="bottomLeft" state="frozen"/>
      <selection pane="bottomLeft" activeCell="G7" sqref="G7"/>
    </sheetView>
    <sheetView workbookViewId="1">
      <pane ySplit="11" topLeftCell="A12" activePane="bottomLeft" state="frozen"/>
      <selection pane="bottomLeft" activeCell="J6" sqref="J6"/>
    </sheetView>
  </sheetViews>
  <sheetFormatPr defaultRowHeight="15"/>
  <cols>
    <col min="5" max="5" width="8.109375" customWidth="1"/>
    <col min="11" max="11" width="7.88671875" bestFit="1" customWidth="1"/>
  </cols>
  <sheetData>
    <row r="1" spans="1:16" s="918" customFormat="1" ht="30" customHeight="1" thickTop="1" thickBot="1">
      <c r="A1" s="1212" t="s">
        <v>1276</v>
      </c>
      <c r="B1" s="1213"/>
      <c r="C1" s="1213"/>
      <c r="D1" s="1213"/>
      <c r="E1" s="1213"/>
      <c r="F1" s="1213"/>
      <c r="G1" s="1213"/>
      <c r="H1" s="1213"/>
      <c r="I1" s="1214"/>
    </row>
    <row r="2" spans="1:16" s="918" customFormat="1" ht="16.5" thickTop="1">
      <c r="A2" s="987"/>
      <c r="B2" s="36"/>
      <c r="C2" s="842" t="s">
        <v>213</v>
      </c>
      <c r="D2" s="842" t="s">
        <v>214</v>
      </c>
      <c r="E2" s="842" t="s">
        <v>571</v>
      </c>
      <c r="F2" s="36"/>
      <c r="G2" s="36"/>
      <c r="H2" s="36"/>
      <c r="I2" s="988"/>
    </row>
    <row r="3" spans="1:16" s="918" customFormat="1">
      <c r="A3" s="987"/>
      <c r="B3" s="40" t="s">
        <v>1030</v>
      </c>
      <c r="C3" s="40">
        <f>COUNT(G12:G310)</f>
        <v>243</v>
      </c>
      <c r="D3" s="40">
        <f>COUNT(H12:H310)</f>
        <v>243</v>
      </c>
      <c r="E3" s="40">
        <f>COUNT(I12:I310)</f>
        <v>243</v>
      </c>
      <c r="F3" s="36"/>
      <c r="G3" s="36"/>
      <c r="H3" s="36"/>
      <c r="I3" s="988"/>
    </row>
    <row r="4" spans="1:16" s="918" customFormat="1">
      <c r="A4" s="987"/>
      <c r="B4" s="40">
        <v>0.05</v>
      </c>
      <c r="C4" s="872">
        <f>EXP(INDEX(G12:G254,C3*$B$4)+(INDEX(G12:G254,C3*$B$4+1)-INDEX(G12:G254,C3*$B$4))*(C3*$B$4-INT(C3*$B$4)))</f>
        <v>10.000000000000002</v>
      </c>
      <c r="D4" s="872">
        <f>EXP(INDEX(H12:H254,D3*$B$4)+(INDEX(H12:H254,D3*$B$4+1)-INDEX(H12:H254,D3*$B$4))*(D3*$B$4-INT(D3*$B$4)))</f>
        <v>0.10000000000000002</v>
      </c>
      <c r="E4" s="872">
        <f>EXP(INDEX(I12:I254,E3*$B$4)+(INDEX(I12:I254,E3*$B$4+1)-INDEX(I12:I254,E3*$B$4))*(E3*$B$4-INT(E3*$B$4)))</f>
        <v>5.6818181818181826E-4</v>
      </c>
      <c r="F4" s="36"/>
      <c r="G4" s="36"/>
      <c r="H4" s="36"/>
      <c r="I4" s="988"/>
    </row>
    <row r="5" spans="1:16" s="918" customFormat="1">
      <c r="A5" s="987"/>
      <c r="B5" s="40" t="s">
        <v>1031</v>
      </c>
      <c r="C5" s="872">
        <f>EXP(MODE(G12:G254))</f>
        <v>100.00000000000004</v>
      </c>
      <c r="D5" s="872">
        <f>EXP(MODE(H12:H254))</f>
        <v>0.10000000000000002</v>
      </c>
      <c r="E5" s="872">
        <f>EXP(MODE(I12:I254))</f>
        <v>5.6818181818181826E-4</v>
      </c>
      <c r="F5" s="36"/>
      <c r="G5" s="36"/>
      <c r="H5" s="36"/>
      <c r="I5" s="988"/>
    </row>
    <row r="6" spans="1:16" s="918" customFormat="1">
      <c r="A6" s="987"/>
      <c r="B6" s="40" t="s">
        <v>1032</v>
      </c>
      <c r="C6" s="872">
        <f>EXP(MEDIAN(G12:G254))</f>
        <v>55.000000000000014</v>
      </c>
      <c r="D6" s="872">
        <f>EXP(MEDIAN(H12:H254))</f>
        <v>1.5</v>
      </c>
      <c r="E6" s="872">
        <f>EXP(MEDIAN(I12:I254))</f>
        <v>5.1136363636363619E-2</v>
      </c>
      <c r="F6" s="36"/>
      <c r="G6" s="36"/>
      <c r="H6" s="36"/>
      <c r="I6" s="988"/>
    </row>
    <row r="7" spans="1:16" s="918" customFormat="1">
      <c r="A7" s="987"/>
      <c r="B7" s="40" t="s">
        <v>1033</v>
      </c>
      <c r="C7" s="872">
        <f>EXP(AVERAGE(G12:G254))</f>
        <v>62.126121680739672</v>
      </c>
      <c r="D7" s="872">
        <f>EXP(AVERAGE(H12:H254))</f>
        <v>1.2437564638883667</v>
      </c>
      <c r="E7" s="872">
        <f>EXP(AVERAGE(I12:I254))</f>
        <v>4.3903275804963365E-2</v>
      </c>
      <c r="F7" s="36"/>
      <c r="G7" s="36"/>
      <c r="H7" s="36"/>
      <c r="I7" s="988"/>
    </row>
    <row r="8" spans="1:16" s="918" customFormat="1">
      <c r="A8" s="987"/>
      <c r="B8" s="40" t="s">
        <v>158</v>
      </c>
      <c r="C8" s="872">
        <f>AVERAGE(B12:B254)</f>
        <v>145.00823045267489</v>
      </c>
      <c r="D8" s="872">
        <f>AVERAGE(C12:C254)</f>
        <v>3.4287654320987646</v>
      </c>
      <c r="E8" s="872">
        <f>AVERAGE(D12:D254)</f>
        <v>0.45594568368873922</v>
      </c>
      <c r="F8" s="36"/>
      <c r="G8" s="36"/>
      <c r="H8" s="36"/>
      <c r="I8" s="988"/>
    </row>
    <row r="9" spans="1:16" s="918" customFormat="1">
      <c r="A9" s="987"/>
      <c r="B9" s="40">
        <v>0.95</v>
      </c>
      <c r="C9" s="872">
        <f>EXP(INDEX(G12:G254,C3*$B$9)+(INDEX(G12:G254,C3*$B$9+1)-INDEX(G12:G254,C3*$B$9))*(C3*$B$9-INT(C3*$B$9)))</f>
        <v>499.99999999999983</v>
      </c>
      <c r="D9" s="872">
        <f>EXP(INDEX(H12:H254,D3*$B$9)+(INDEX(H12:H254,D3*$B$9+1)-INDEX(H12:H254,D3*$B$9))*(D3*$B$9-INT(D3*$B$9)))</f>
        <v>13.208224833051718</v>
      </c>
      <c r="E9" s="872">
        <f>EXP(INDEX(I12:I254,E3*$B$9)+(INDEX(I12:I254,E3*$B$9+1)-INDEX(I12:I254,E3*$B$9))*(E3*$B$9-INT(E3*$B$9)))</f>
        <v>2.2226379978098083</v>
      </c>
      <c r="F9" s="36"/>
      <c r="G9" s="36"/>
      <c r="H9" s="36"/>
      <c r="I9" s="988"/>
    </row>
    <row r="10" spans="1:16" s="918" customFormat="1" ht="15.75" thickBot="1">
      <c r="A10" s="987"/>
      <c r="B10" s="36"/>
      <c r="C10" s="36"/>
      <c r="D10" s="36"/>
      <c r="E10" s="36"/>
      <c r="F10" s="36"/>
      <c r="G10" s="36"/>
      <c r="H10" s="36"/>
      <c r="I10" s="988"/>
    </row>
    <row r="11" spans="1:16" s="315" customFormat="1" ht="17.25" thickTop="1" thickBot="1">
      <c r="A11" s="989" t="s">
        <v>1024</v>
      </c>
      <c r="B11" s="989" t="s">
        <v>213</v>
      </c>
      <c r="C11" s="989" t="s">
        <v>214</v>
      </c>
      <c r="D11" s="989" t="s">
        <v>571</v>
      </c>
      <c r="E11" s="990" t="s">
        <v>1025</v>
      </c>
      <c r="F11" s="989" t="s">
        <v>1026</v>
      </c>
      <c r="G11" s="989" t="s">
        <v>1027</v>
      </c>
      <c r="H11" s="989" t="s">
        <v>1028</v>
      </c>
      <c r="I11" s="989" t="s">
        <v>1029</v>
      </c>
      <c r="J11" s="842"/>
      <c r="K11" s="842"/>
      <c r="O11" s="842"/>
      <c r="P11" s="842"/>
    </row>
    <row r="12" spans="1:16" ht="15.75" thickTop="1">
      <c r="A12" s="40">
        <v>1</v>
      </c>
      <c r="B12" s="40">
        <v>3</v>
      </c>
      <c r="C12" s="40">
        <v>0.1</v>
      </c>
      <c r="D12" s="40">
        <v>1.7045454545454547E-4</v>
      </c>
      <c r="E12" s="40">
        <f>(A12-0.5)/243</f>
        <v>2.05761316872428E-3</v>
      </c>
      <c r="F12" s="40">
        <f>NORMSINV(E12)</f>
        <v>-2.869191443219326</v>
      </c>
      <c r="G12" s="40">
        <f>LN(B12)</f>
        <v>1.0986122886681098</v>
      </c>
      <c r="H12" s="40">
        <f>LN(C12)</f>
        <v>-2.3025850929940455</v>
      </c>
      <c r="I12" s="40">
        <f>LN(D12)</f>
        <v>-8.6770418923581332</v>
      </c>
      <c r="J12" s="40"/>
      <c r="O12" s="40"/>
      <c r="P12" s="40"/>
    </row>
    <row r="13" spans="1:16">
      <c r="A13" s="40">
        <v>2</v>
      </c>
      <c r="B13" s="40">
        <v>6</v>
      </c>
      <c r="C13" s="40">
        <v>0.1</v>
      </c>
      <c r="D13" s="40">
        <v>3.4090909090909094E-4</v>
      </c>
      <c r="E13" s="40">
        <f t="shared" ref="E13:E76" si="0">(A13-0.5)/243</f>
        <v>6.1728395061728392E-3</v>
      </c>
      <c r="F13" s="40">
        <f t="shared" ref="F13:F76" si="1">NORMSINV(E13)</f>
        <v>-2.5021064733430647</v>
      </c>
      <c r="G13" s="40">
        <f t="shared" ref="G13:I76" si="2">LN(B13)</f>
        <v>1.791759469228055</v>
      </c>
      <c r="H13" s="40">
        <f t="shared" si="2"/>
        <v>-2.3025850929940455</v>
      </c>
      <c r="I13" s="40">
        <f t="shared" si="2"/>
        <v>-7.9838947117981878</v>
      </c>
      <c r="J13" s="40"/>
      <c r="O13" s="40"/>
      <c r="P13" s="40"/>
    </row>
    <row r="14" spans="1:16">
      <c r="A14" s="40">
        <v>3</v>
      </c>
      <c r="B14" s="40">
        <v>10</v>
      </c>
      <c r="C14" s="40">
        <v>0.1</v>
      </c>
      <c r="D14" s="40">
        <v>5.6818181818181826E-4</v>
      </c>
      <c r="E14" s="40">
        <f t="shared" si="0"/>
        <v>1.0288065843621399E-2</v>
      </c>
      <c r="F14" s="40">
        <f t="shared" si="1"/>
        <v>-2.3156729634461346</v>
      </c>
      <c r="G14" s="40">
        <f t="shared" si="2"/>
        <v>2.3025850929940459</v>
      </c>
      <c r="H14" s="40">
        <f t="shared" si="2"/>
        <v>-2.3025850929940455</v>
      </c>
      <c r="I14" s="40">
        <f t="shared" si="2"/>
        <v>-7.4730690880321973</v>
      </c>
      <c r="J14" s="40"/>
      <c r="O14" s="40"/>
      <c r="P14" s="40"/>
    </row>
    <row r="15" spans="1:16">
      <c r="A15" s="40">
        <v>4</v>
      </c>
      <c r="B15" s="40">
        <v>10</v>
      </c>
      <c r="C15" s="40">
        <v>0.1</v>
      </c>
      <c r="D15" s="40">
        <v>5.6818181818181826E-4</v>
      </c>
      <c r="E15" s="40">
        <f t="shared" si="0"/>
        <v>1.4403292181069959E-2</v>
      </c>
      <c r="F15" s="40">
        <f t="shared" si="1"/>
        <v>-2.1861233191315859</v>
      </c>
      <c r="G15" s="40">
        <f t="shared" si="2"/>
        <v>2.3025850929940459</v>
      </c>
      <c r="H15" s="40">
        <f t="shared" si="2"/>
        <v>-2.3025850929940455</v>
      </c>
      <c r="I15" s="40">
        <f t="shared" si="2"/>
        <v>-7.4730690880321973</v>
      </c>
      <c r="J15" s="40"/>
      <c r="O15" s="40"/>
      <c r="P15" s="40"/>
    </row>
    <row r="16" spans="1:16">
      <c r="A16" s="40">
        <v>5</v>
      </c>
      <c r="B16" s="40">
        <v>10</v>
      </c>
      <c r="C16" s="40">
        <v>0.1</v>
      </c>
      <c r="D16" s="40">
        <v>5.6818181818181826E-4</v>
      </c>
      <c r="E16" s="40">
        <f t="shared" si="0"/>
        <v>1.8518518518518517E-2</v>
      </c>
      <c r="F16" s="40">
        <f t="shared" si="1"/>
        <v>-2.0853555660318284</v>
      </c>
      <c r="G16" s="40">
        <f t="shared" si="2"/>
        <v>2.3025850929940459</v>
      </c>
      <c r="H16" s="40">
        <f t="shared" si="2"/>
        <v>-2.3025850929940455</v>
      </c>
      <c r="I16" s="40">
        <f t="shared" si="2"/>
        <v>-7.4730690880321973</v>
      </c>
      <c r="J16" s="40"/>
      <c r="O16" s="40"/>
      <c r="P16" s="40"/>
    </row>
    <row r="17" spans="1:16">
      <c r="A17" s="40">
        <v>6</v>
      </c>
      <c r="B17" s="40">
        <v>10</v>
      </c>
      <c r="C17" s="40">
        <v>0.1</v>
      </c>
      <c r="D17" s="40">
        <v>5.6818181818181826E-4</v>
      </c>
      <c r="E17" s="40">
        <f t="shared" si="0"/>
        <v>2.2633744855967079E-2</v>
      </c>
      <c r="F17" s="40">
        <f t="shared" si="1"/>
        <v>-2.002160339164663</v>
      </c>
      <c r="G17" s="40">
        <f t="shared" si="2"/>
        <v>2.3025850929940459</v>
      </c>
      <c r="H17" s="40">
        <f t="shared" si="2"/>
        <v>-2.3025850929940455</v>
      </c>
      <c r="I17" s="40">
        <f t="shared" si="2"/>
        <v>-7.4730690880321973</v>
      </c>
      <c r="J17" s="40"/>
      <c r="O17" s="40"/>
      <c r="P17" s="40"/>
    </row>
    <row r="18" spans="1:16">
      <c r="A18" s="40">
        <v>7</v>
      </c>
      <c r="B18" s="40">
        <v>10</v>
      </c>
      <c r="C18" s="40">
        <v>0.1</v>
      </c>
      <c r="D18" s="40">
        <v>5.6818181818181826E-4</v>
      </c>
      <c r="E18" s="40">
        <f t="shared" si="0"/>
        <v>2.6748971193415638E-2</v>
      </c>
      <c r="F18" s="40">
        <f t="shared" si="1"/>
        <v>-1.9308796091598428</v>
      </c>
      <c r="G18" s="40">
        <f t="shared" si="2"/>
        <v>2.3025850929940459</v>
      </c>
      <c r="H18" s="40">
        <f t="shared" si="2"/>
        <v>-2.3025850929940455</v>
      </c>
      <c r="I18" s="40">
        <f t="shared" si="2"/>
        <v>-7.4730690880321973</v>
      </c>
      <c r="J18" s="40"/>
      <c r="O18" s="40"/>
      <c r="P18" s="40"/>
    </row>
    <row r="19" spans="1:16">
      <c r="A19" s="40">
        <v>8</v>
      </c>
      <c r="B19" s="40">
        <v>10</v>
      </c>
      <c r="C19" s="40">
        <v>0.1</v>
      </c>
      <c r="D19" s="40">
        <v>5.6818181818181826E-4</v>
      </c>
      <c r="E19" s="40">
        <f t="shared" si="0"/>
        <v>3.0864197530864196E-2</v>
      </c>
      <c r="F19" s="40">
        <f t="shared" si="1"/>
        <v>-1.8682416548639302</v>
      </c>
      <c r="G19" s="40">
        <f t="shared" si="2"/>
        <v>2.3025850929940459</v>
      </c>
      <c r="H19" s="40">
        <f t="shared" si="2"/>
        <v>-2.3025850929940455</v>
      </c>
      <c r="I19" s="40">
        <f t="shared" si="2"/>
        <v>-7.4730690880321973</v>
      </c>
      <c r="J19" s="40"/>
      <c r="M19" s="40"/>
      <c r="N19" s="40"/>
      <c r="O19" s="40"/>
      <c r="P19" s="40"/>
    </row>
    <row r="20" spans="1:16">
      <c r="A20" s="40">
        <v>9</v>
      </c>
      <c r="B20" s="40">
        <v>10</v>
      </c>
      <c r="C20" s="40">
        <v>0.1</v>
      </c>
      <c r="D20" s="40">
        <v>5.6818181818181826E-4</v>
      </c>
      <c r="E20" s="40">
        <f t="shared" si="0"/>
        <v>3.4979423868312758E-2</v>
      </c>
      <c r="F20" s="40">
        <f t="shared" si="1"/>
        <v>-1.8121770257485288</v>
      </c>
      <c r="G20" s="40">
        <f t="shared" si="2"/>
        <v>2.3025850929940459</v>
      </c>
      <c r="H20" s="40">
        <f t="shared" si="2"/>
        <v>-2.3025850929940455</v>
      </c>
      <c r="I20" s="40">
        <f t="shared" si="2"/>
        <v>-7.4730690880321973</v>
      </c>
      <c r="J20" s="40"/>
      <c r="O20" s="40"/>
      <c r="P20" s="40"/>
    </row>
    <row r="21" spans="1:16">
      <c r="A21" s="40">
        <v>10</v>
      </c>
      <c r="B21" s="40">
        <v>10</v>
      </c>
      <c r="C21" s="40">
        <v>0.1</v>
      </c>
      <c r="D21" s="40">
        <v>5.6818181818181826E-4</v>
      </c>
      <c r="E21" s="40">
        <f t="shared" si="0"/>
        <v>3.9094650205761319E-2</v>
      </c>
      <c r="F21" s="40">
        <f t="shared" si="1"/>
        <v>-1.7612901851318292</v>
      </c>
      <c r="G21" s="40">
        <f t="shared" si="2"/>
        <v>2.3025850929940459</v>
      </c>
      <c r="H21" s="40">
        <f t="shared" si="2"/>
        <v>-2.3025850929940455</v>
      </c>
      <c r="I21" s="40">
        <f t="shared" si="2"/>
        <v>-7.4730690880321973</v>
      </c>
      <c r="J21" s="40"/>
      <c r="M21" s="40"/>
      <c r="N21" s="40"/>
      <c r="O21" s="40"/>
      <c r="P21" s="40"/>
    </row>
    <row r="22" spans="1:16">
      <c r="A22" s="40">
        <v>11</v>
      </c>
      <c r="B22" s="40">
        <v>10</v>
      </c>
      <c r="C22" s="40">
        <v>0.1</v>
      </c>
      <c r="D22" s="40">
        <v>5.6818181818181826E-4</v>
      </c>
      <c r="E22" s="40">
        <f t="shared" si="0"/>
        <v>4.3209876543209874E-2</v>
      </c>
      <c r="F22" s="40">
        <f t="shared" si="1"/>
        <v>-1.7145936537660897</v>
      </c>
      <c r="G22" s="40">
        <f t="shared" si="2"/>
        <v>2.3025850929940459</v>
      </c>
      <c r="H22" s="40">
        <f t="shared" si="2"/>
        <v>-2.3025850929940455</v>
      </c>
      <c r="I22" s="40">
        <f t="shared" si="2"/>
        <v>-7.4730690880321973</v>
      </c>
      <c r="J22" s="40"/>
      <c r="M22" s="40"/>
      <c r="N22" s="40"/>
      <c r="O22" s="40"/>
      <c r="P22" s="40"/>
    </row>
    <row r="23" spans="1:16">
      <c r="A23" s="40">
        <v>12</v>
      </c>
      <c r="B23" s="40">
        <v>10</v>
      </c>
      <c r="C23" s="40">
        <v>0.1</v>
      </c>
      <c r="D23" s="40">
        <v>5.6818181818181826E-4</v>
      </c>
      <c r="E23" s="40">
        <f t="shared" si="0"/>
        <v>4.7325102880658436E-2</v>
      </c>
      <c r="F23" s="40">
        <f t="shared" si="1"/>
        <v>-1.6713619553031223</v>
      </c>
      <c r="G23" s="40">
        <f t="shared" si="2"/>
        <v>2.3025850929940459</v>
      </c>
      <c r="H23" s="40">
        <f t="shared" si="2"/>
        <v>-2.3025850929940455</v>
      </c>
      <c r="I23" s="40">
        <f t="shared" si="2"/>
        <v>-7.4730690880321973</v>
      </c>
      <c r="J23" s="40"/>
      <c r="M23" s="40"/>
      <c r="N23" s="40"/>
      <c r="O23" s="40"/>
      <c r="P23" s="40"/>
    </row>
    <row r="24" spans="1:16">
      <c r="A24" s="40">
        <v>13</v>
      </c>
      <c r="B24" s="40">
        <v>10</v>
      </c>
      <c r="C24" s="40">
        <v>0.1</v>
      </c>
      <c r="D24" s="40">
        <v>5.6818181818181826E-4</v>
      </c>
      <c r="E24" s="40">
        <f t="shared" si="0"/>
        <v>5.1440329218106998E-2</v>
      </c>
      <c r="F24" s="40">
        <f t="shared" si="1"/>
        <v>-1.6310457876315667</v>
      </c>
      <c r="G24" s="40">
        <f t="shared" si="2"/>
        <v>2.3025850929940459</v>
      </c>
      <c r="H24" s="40">
        <f t="shared" si="2"/>
        <v>-2.3025850929940455</v>
      </c>
      <c r="I24" s="40">
        <f t="shared" si="2"/>
        <v>-7.4730690880321973</v>
      </c>
      <c r="J24" s="40"/>
      <c r="M24" s="40"/>
      <c r="N24" s="40"/>
      <c r="O24" s="40"/>
      <c r="P24" s="40"/>
    </row>
    <row r="25" spans="1:16">
      <c r="A25" s="40">
        <v>14</v>
      </c>
      <c r="B25" s="40">
        <v>10</v>
      </c>
      <c r="C25" s="40">
        <v>0.1</v>
      </c>
      <c r="D25" s="40">
        <v>5.6818181818181826E-4</v>
      </c>
      <c r="E25" s="40">
        <f t="shared" si="0"/>
        <v>5.5555555555555552E-2</v>
      </c>
      <c r="F25" s="40">
        <f t="shared" si="1"/>
        <v>-1.5932188180230502</v>
      </c>
      <c r="G25" s="40">
        <f t="shared" si="2"/>
        <v>2.3025850929940459</v>
      </c>
      <c r="H25" s="40">
        <f t="shared" si="2"/>
        <v>-2.3025850929940455</v>
      </c>
      <c r="I25" s="40">
        <f t="shared" si="2"/>
        <v>-7.4730690880321973</v>
      </c>
      <c r="J25" s="40"/>
      <c r="M25" s="40"/>
      <c r="N25" s="40"/>
      <c r="O25" s="40"/>
      <c r="P25" s="40"/>
    </row>
    <row r="26" spans="1:16">
      <c r="A26" s="40">
        <v>15</v>
      </c>
      <c r="B26" s="40">
        <v>10</v>
      </c>
      <c r="C26" s="40">
        <v>0.1</v>
      </c>
      <c r="D26" s="40">
        <v>5.6818181818181826E-4</v>
      </c>
      <c r="E26" s="40">
        <f t="shared" si="0"/>
        <v>5.9670781893004114E-2</v>
      </c>
      <c r="F26" s="40">
        <f t="shared" si="1"/>
        <v>-1.5575432357847125</v>
      </c>
      <c r="G26" s="40">
        <f t="shared" si="2"/>
        <v>2.3025850929940459</v>
      </c>
      <c r="H26" s="40">
        <f t="shared" si="2"/>
        <v>-2.3025850929940455</v>
      </c>
      <c r="I26" s="40">
        <f t="shared" si="2"/>
        <v>-7.4730690880321973</v>
      </c>
      <c r="J26" s="40"/>
      <c r="M26" s="40"/>
      <c r="N26" s="40"/>
      <c r="O26" s="40"/>
      <c r="P26" s="40"/>
    </row>
    <row r="27" spans="1:16">
      <c r="A27" s="40">
        <v>16</v>
      </c>
      <c r="B27" s="40">
        <v>10</v>
      </c>
      <c r="C27" s="40">
        <v>0.1</v>
      </c>
      <c r="D27" s="40">
        <v>5.6818181818181826E-4</v>
      </c>
      <c r="E27" s="40">
        <f t="shared" si="0"/>
        <v>6.3786008230452676E-2</v>
      </c>
      <c r="F27" s="40">
        <f t="shared" si="1"/>
        <v>-1.5237466289905284</v>
      </c>
      <c r="G27" s="40">
        <f t="shared" si="2"/>
        <v>2.3025850929940459</v>
      </c>
      <c r="H27" s="40">
        <f t="shared" si="2"/>
        <v>-2.3025850929940455</v>
      </c>
      <c r="I27" s="40">
        <f t="shared" si="2"/>
        <v>-7.4730690880321973</v>
      </c>
      <c r="J27" s="40"/>
      <c r="M27" s="40"/>
      <c r="N27" s="40"/>
      <c r="O27" s="40"/>
      <c r="P27" s="40"/>
    </row>
    <row r="28" spans="1:16">
      <c r="A28" s="40">
        <v>17</v>
      </c>
      <c r="B28" s="40">
        <v>10</v>
      </c>
      <c r="C28" s="40">
        <v>0.1</v>
      </c>
      <c r="D28" s="40">
        <v>5.6818181818181826E-4</v>
      </c>
      <c r="E28" s="40">
        <f t="shared" si="0"/>
        <v>6.7901234567901231E-2</v>
      </c>
      <c r="F28" s="40">
        <f t="shared" si="1"/>
        <v>-1.4916059817794982</v>
      </c>
      <c r="G28" s="40">
        <f t="shared" si="2"/>
        <v>2.3025850929940459</v>
      </c>
      <c r="H28" s="40">
        <f t="shared" si="2"/>
        <v>-2.3025850929940455</v>
      </c>
      <c r="I28" s="40">
        <f t="shared" si="2"/>
        <v>-7.4730690880321973</v>
      </c>
      <c r="J28" s="40"/>
      <c r="M28" s="40"/>
      <c r="N28" s="40"/>
      <c r="O28" s="40"/>
      <c r="P28" s="40"/>
    </row>
    <row r="29" spans="1:16">
      <c r="A29" s="40">
        <v>18</v>
      </c>
      <c r="B29" s="40">
        <v>10</v>
      </c>
      <c r="C29" s="40">
        <v>0.1</v>
      </c>
      <c r="D29" s="40">
        <v>5.6818181818181826E-4</v>
      </c>
      <c r="E29" s="40">
        <f t="shared" si="0"/>
        <v>7.2016460905349799E-2</v>
      </c>
      <c r="F29" s="40">
        <f t="shared" si="1"/>
        <v>-1.4609363063735881</v>
      </c>
      <c r="G29" s="40">
        <f t="shared" si="2"/>
        <v>2.3025850929940459</v>
      </c>
      <c r="H29" s="40">
        <f t="shared" si="2"/>
        <v>-2.3025850929940455</v>
      </c>
      <c r="I29" s="40">
        <f t="shared" si="2"/>
        <v>-7.4730690880321973</v>
      </c>
      <c r="J29" s="40"/>
      <c r="M29" s="40"/>
      <c r="N29" s="40"/>
      <c r="O29" s="40"/>
      <c r="P29" s="40"/>
    </row>
    <row r="30" spans="1:16">
      <c r="A30" s="40">
        <v>19</v>
      </c>
      <c r="B30" s="40">
        <v>10</v>
      </c>
      <c r="C30" s="40">
        <v>0.1</v>
      </c>
      <c r="D30" s="40">
        <v>5.6818181818181826E-4</v>
      </c>
      <c r="E30" s="40">
        <f t="shared" si="0"/>
        <v>7.6131687242798354E-2</v>
      </c>
      <c r="F30" s="40">
        <f t="shared" si="1"/>
        <v>-1.4315823826641163</v>
      </c>
      <c r="G30" s="40">
        <f t="shared" si="2"/>
        <v>2.3025850929940459</v>
      </c>
      <c r="H30" s="40">
        <f t="shared" si="2"/>
        <v>-2.3025850929940455</v>
      </c>
      <c r="I30" s="40">
        <f t="shared" si="2"/>
        <v>-7.4730690880321973</v>
      </c>
      <c r="J30" s="40"/>
      <c r="M30" s="40"/>
      <c r="N30" s="40"/>
      <c r="O30" s="40"/>
      <c r="P30" s="40"/>
    </row>
    <row r="31" spans="1:16">
      <c r="A31" s="40">
        <v>20</v>
      </c>
      <c r="B31" s="40">
        <v>10</v>
      </c>
      <c r="C31" s="40">
        <v>0.1</v>
      </c>
      <c r="D31" s="40">
        <v>5.6818181818181826E-4</v>
      </c>
      <c r="E31" s="40">
        <f t="shared" si="0"/>
        <v>8.0246913580246909E-2</v>
      </c>
      <c r="F31" s="40">
        <f t="shared" si="1"/>
        <v>-1.4034126358514019</v>
      </c>
      <c r="G31" s="40">
        <f t="shared" si="2"/>
        <v>2.3025850929940459</v>
      </c>
      <c r="H31" s="40">
        <f t="shared" si="2"/>
        <v>-2.3025850929940455</v>
      </c>
      <c r="I31" s="40">
        <f t="shared" si="2"/>
        <v>-7.4730690880321973</v>
      </c>
      <c r="J31" s="40"/>
    </row>
    <row r="32" spans="1:16">
      <c r="A32" s="40">
        <v>21</v>
      </c>
      <c r="B32" s="40">
        <v>10</v>
      </c>
      <c r="C32" s="40">
        <v>0.1</v>
      </c>
      <c r="D32" s="40">
        <v>5.6818181818181826E-4</v>
      </c>
      <c r="E32" s="40">
        <f t="shared" si="0"/>
        <v>8.4362139917695478E-2</v>
      </c>
      <c r="F32" s="40">
        <f t="shared" si="1"/>
        <v>-1.3763145187640959</v>
      </c>
      <c r="G32" s="40">
        <f t="shared" si="2"/>
        <v>2.3025850929940459</v>
      </c>
      <c r="H32" s="40">
        <f t="shared" si="2"/>
        <v>-2.3025850929940455</v>
      </c>
      <c r="I32" s="40">
        <f t="shared" si="2"/>
        <v>-7.4730690880321973</v>
      </c>
      <c r="J32" s="40"/>
      <c r="M32" s="835"/>
    </row>
    <row r="33" spans="1:16">
      <c r="A33" s="40">
        <v>22</v>
      </c>
      <c r="B33" s="40">
        <v>10</v>
      </c>
      <c r="C33" s="40">
        <v>0.1</v>
      </c>
      <c r="D33" s="40">
        <v>5.6818181818181826E-4</v>
      </c>
      <c r="E33" s="40">
        <f t="shared" si="0"/>
        <v>8.8477366255144033E-2</v>
      </c>
      <c r="F33" s="40">
        <f t="shared" si="1"/>
        <v>-1.3501909745292517</v>
      </c>
      <c r="G33" s="40">
        <f t="shared" si="2"/>
        <v>2.3025850929940459</v>
      </c>
      <c r="H33" s="40">
        <f t="shared" si="2"/>
        <v>-2.3025850929940455</v>
      </c>
      <c r="I33" s="40">
        <f t="shared" si="2"/>
        <v>-7.4730690880321973</v>
      </c>
      <c r="J33" s="40"/>
    </row>
    <row r="34" spans="1:16">
      <c r="A34" s="40">
        <v>23</v>
      </c>
      <c r="B34" s="40">
        <v>10</v>
      </c>
      <c r="C34" s="40">
        <v>0.1</v>
      </c>
      <c r="D34" s="40">
        <v>5.6818181818181826E-4</v>
      </c>
      <c r="E34" s="40">
        <f t="shared" si="0"/>
        <v>9.2592592592592587E-2</v>
      </c>
      <c r="F34" s="40">
        <f t="shared" si="1"/>
        <v>-1.3249576888929773</v>
      </c>
      <c r="G34" s="40">
        <f t="shared" si="2"/>
        <v>2.3025850929940459</v>
      </c>
      <c r="H34" s="40">
        <f t="shared" si="2"/>
        <v>-2.3025850929940455</v>
      </c>
      <c r="I34" s="40">
        <f t="shared" si="2"/>
        <v>-7.4730690880321973</v>
      </c>
      <c r="J34" s="40"/>
      <c r="K34" s="40"/>
      <c r="N34" s="40"/>
      <c r="O34" s="40"/>
      <c r="P34" s="40"/>
    </row>
    <row r="35" spans="1:16">
      <c r="A35" s="40">
        <v>24</v>
      </c>
      <c r="B35" s="40">
        <v>10</v>
      </c>
      <c r="C35" s="40">
        <v>0.1</v>
      </c>
      <c r="D35" s="40">
        <v>5.6818181818181826E-4</v>
      </c>
      <c r="E35" s="40">
        <f t="shared" si="0"/>
        <v>9.6707818930041156E-2</v>
      </c>
      <c r="F35" s="40">
        <f t="shared" si="1"/>
        <v>-1.3005409290255747</v>
      </c>
      <c r="G35" s="40">
        <f t="shared" si="2"/>
        <v>2.3025850929940459</v>
      </c>
      <c r="H35" s="40">
        <f t="shared" si="2"/>
        <v>-2.3025850929940455</v>
      </c>
      <c r="I35" s="40">
        <f t="shared" si="2"/>
        <v>-7.4730690880321973</v>
      </c>
      <c r="J35" s="40"/>
      <c r="K35" s="40"/>
      <c r="N35" s="40"/>
      <c r="O35" s="40"/>
      <c r="P35" s="40"/>
    </row>
    <row r="36" spans="1:16">
      <c r="A36" s="40">
        <v>25</v>
      </c>
      <c r="B36" s="40">
        <v>10</v>
      </c>
      <c r="C36" s="40">
        <v>0.1</v>
      </c>
      <c r="D36" s="40">
        <v>5.6818181818181826E-4</v>
      </c>
      <c r="E36" s="40">
        <f t="shared" si="0"/>
        <v>0.10082304526748971</v>
      </c>
      <c r="F36" s="40">
        <f t="shared" si="1"/>
        <v>-1.2768758242525717</v>
      </c>
      <c r="G36" s="40">
        <f t="shared" si="2"/>
        <v>2.3025850929940459</v>
      </c>
      <c r="H36" s="40">
        <f t="shared" si="2"/>
        <v>-2.3025850929940455</v>
      </c>
      <c r="I36" s="40">
        <f t="shared" si="2"/>
        <v>-7.4730690880321973</v>
      </c>
      <c r="J36" s="40"/>
      <c r="K36" s="40"/>
      <c r="N36" s="40"/>
      <c r="O36" s="40"/>
      <c r="P36" s="40"/>
    </row>
    <row r="37" spans="1:16">
      <c r="A37" s="40">
        <v>26</v>
      </c>
      <c r="B37" s="40">
        <v>10</v>
      </c>
      <c r="C37" s="40">
        <v>0.1</v>
      </c>
      <c r="D37" s="40">
        <v>9.6590909090909095E-4</v>
      </c>
      <c r="E37" s="40">
        <f t="shared" si="0"/>
        <v>0.10493827160493827</v>
      </c>
      <c r="F37" s="40">
        <f t="shared" si="1"/>
        <v>-1.2539049841737089</v>
      </c>
      <c r="G37" s="40">
        <f t="shared" si="2"/>
        <v>2.3025850929940459</v>
      </c>
      <c r="H37" s="40">
        <f t="shared" si="2"/>
        <v>-2.3025850929940455</v>
      </c>
      <c r="I37" s="40">
        <f t="shared" si="2"/>
        <v>-6.942440836970027</v>
      </c>
      <c r="J37" s="40"/>
      <c r="K37" s="40"/>
      <c r="N37" s="40"/>
      <c r="O37" s="40"/>
      <c r="P37" s="40"/>
    </row>
    <row r="38" spans="1:16">
      <c r="A38" s="40">
        <v>27</v>
      </c>
      <c r="B38" s="40">
        <v>10</v>
      </c>
      <c r="C38" s="40">
        <v>0.1</v>
      </c>
      <c r="D38" s="40">
        <v>9.6590909090909095E-4</v>
      </c>
      <c r="E38" s="40">
        <f t="shared" si="0"/>
        <v>0.10905349794238683</v>
      </c>
      <c r="F38" s="40">
        <f t="shared" si="1"/>
        <v>-1.2315773774519712</v>
      </c>
      <c r="G38" s="40">
        <f t="shared" si="2"/>
        <v>2.3025850929940459</v>
      </c>
      <c r="H38" s="40">
        <f t="shared" si="2"/>
        <v>-2.3025850929940455</v>
      </c>
      <c r="I38" s="40">
        <f t="shared" si="2"/>
        <v>-6.942440836970027</v>
      </c>
      <c r="J38" s="40"/>
      <c r="K38" s="40"/>
      <c r="N38" s="40"/>
      <c r="O38" s="40"/>
      <c r="P38" s="40"/>
    </row>
    <row r="39" spans="1:16">
      <c r="A39" s="40">
        <v>28</v>
      </c>
      <c r="B39" s="40">
        <v>10</v>
      </c>
      <c r="C39" s="40">
        <v>0.1</v>
      </c>
      <c r="D39" s="40">
        <v>9.6590909090909095E-4</v>
      </c>
      <c r="E39" s="40">
        <f t="shared" si="0"/>
        <v>0.11316872427983539</v>
      </c>
      <c r="F39" s="40">
        <f t="shared" si="1"/>
        <v>-1.2098474142099354</v>
      </c>
      <c r="G39" s="40">
        <f t="shared" si="2"/>
        <v>2.3025850929940459</v>
      </c>
      <c r="H39" s="40">
        <f t="shared" si="2"/>
        <v>-2.3025850929940455</v>
      </c>
      <c r="I39" s="40">
        <f t="shared" si="2"/>
        <v>-6.942440836970027</v>
      </c>
      <c r="J39" s="40"/>
      <c r="K39" s="40"/>
      <c r="N39" s="40"/>
      <c r="O39" s="40"/>
      <c r="P39" s="40"/>
    </row>
    <row r="40" spans="1:16">
      <c r="A40" s="40">
        <v>29</v>
      </c>
      <c r="B40" s="40">
        <v>10</v>
      </c>
      <c r="C40" s="40">
        <v>0.1</v>
      </c>
      <c r="D40" s="40">
        <v>9.6590909090909095E-4</v>
      </c>
      <c r="E40" s="40">
        <f t="shared" si="0"/>
        <v>0.11728395061728394</v>
      </c>
      <c r="F40" s="40">
        <f t="shared" si="1"/>
        <v>-1.1886741890646779</v>
      </c>
      <c r="G40" s="40">
        <f t="shared" si="2"/>
        <v>2.3025850929940459</v>
      </c>
      <c r="H40" s="40">
        <f t="shared" si="2"/>
        <v>-2.3025850929940455</v>
      </c>
      <c r="I40" s="40">
        <f t="shared" si="2"/>
        <v>-6.942440836970027</v>
      </c>
      <c r="J40" s="40"/>
      <c r="K40" s="40"/>
      <c r="N40" s="40"/>
      <c r="O40" s="40"/>
      <c r="P40" s="40"/>
    </row>
    <row r="41" spans="1:16">
      <c r="A41" s="40">
        <v>30</v>
      </c>
      <c r="B41" s="40">
        <v>13</v>
      </c>
      <c r="C41" s="40">
        <v>0.1</v>
      </c>
      <c r="D41" s="40">
        <v>9.6590909090909095E-4</v>
      </c>
      <c r="E41" s="40">
        <f t="shared" si="0"/>
        <v>0.12139917695473251</v>
      </c>
      <c r="F41" s="40">
        <f t="shared" si="1"/>
        <v>-1.1680208520770818</v>
      </c>
      <c r="G41" s="40">
        <f t="shared" si="2"/>
        <v>2.5649493574615367</v>
      </c>
      <c r="H41" s="40">
        <f t="shared" si="2"/>
        <v>-2.3025850929940455</v>
      </c>
      <c r="I41" s="40">
        <f t="shared" si="2"/>
        <v>-6.942440836970027</v>
      </c>
      <c r="J41" s="40"/>
      <c r="K41" s="40"/>
      <c r="N41" s="40"/>
      <c r="O41" s="40"/>
      <c r="P41" s="40"/>
    </row>
    <row r="42" spans="1:16">
      <c r="A42" s="40">
        <v>31</v>
      </c>
      <c r="B42" s="40">
        <v>13</v>
      </c>
      <c r="C42" s="40">
        <v>0.1</v>
      </c>
      <c r="D42" s="40">
        <v>1.1363636363636365E-3</v>
      </c>
      <c r="E42" s="40">
        <f t="shared" si="0"/>
        <v>0.12551440329218108</v>
      </c>
      <c r="F42" s="40">
        <f t="shared" si="1"/>
        <v>-1.1478540824317975</v>
      </c>
      <c r="G42" s="40">
        <f t="shared" si="2"/>
        <v>2.5649493574615367</v>
      </c>
      <c r="H42" s="40">
        <f t="shared" si="2"/>
        <v>-2.3025850929940455</v>
      </c>
      <c r="I42" s="40">
        <f t="shared" si="2"/>
        <v>-6.7799219074722519</v>
      </c>
      <c r="J42" s="40"/>
      <c r="K42" s="40"/>
      <c r="N42" s="40"/>
      <c r="O42" s="40"/>
      <c r="P42" s="40"/>
    </row>
    <row r="43" spans="1:16">
      <c r="A43" s="40">
        <v>32</v>
      </c>
      <c r="B43" s="40">
        <v>13</v>
      </c>
      <c r="C43" s="40">
        <v>0.1</v>
      </c>
      <c r="D43" s="40">
        <v>1.1363636363636365E-3</v>
      </c>
      <c r="E43" s="40">
        <f t="shared" si="0"/>
        <v>0.12962962962962962</v>
      </c>
      <c r="F43" s="40">
        <f t="shared" si="1"/>
        <v>-1.1281436452787641</v>
      </c>
      <c r="G43" s="40">
        <f t="shared" si="2"/>
        <v>2.5649493574615367</v>
      </c>
      <c r="H43" s="40">
        <f t="shared" si="2"/>
        <v>-2.3025850929940455</v>
      </c>
      <c r="I43" s="40">
        <f t="shared" si="2"/>
        <v>-6.7799219074722519</v>
      </c>
      <c r="J43" s="40"/>
      <c r="K43" s="40"/>
      <c r="N43" s="40"/>
      <c r="O43" s="40"/>
      <c r="P43" s="40"/>
    </row>
    <row r="44" spans="1:16">
      <c r="A44" s="40">
        <v>33</v>
      </c>
      <c r="B44" s="40">
        <v>17</v>
      </c>
      <c r="C44" s="40">
        <v>0.1</v>
      </c>
      <c r="D44" s="40">
        <v>1.1363636363636365E-3</v>
      </c>
      <c r="E44" s="40">
        <f t="shared" si="0"/>
        <v>0.13374485596707819</v>
      </c>
      <c r="F44" s="40">
        <f t="shared" si="1"/>
        <v>-1.1088620163928995</v>
      </c>
      <c r="G44" s="40">
        <f t="shared" si="2"/>
        <v>2.8332133440562162</v>
      </c>
      <c r="H44" s="40">
        <f t="shared" si="2"/>
        <v>-2.3025850929940455</v>
      </c>
      <c r="I44" s="40">
        <f t="shared" si="2"/>
        <v>-6.7799219074722519</v>
      </c>
      <c r="J44" s="40"/>
      <c r="K44" s="40"/>
      <c r="N44" s="40"/>
      <c r="O44" s="40"/>
      <c r="P44" s="40"/>
    </row>
    <row r="45" spans="1:16">
      <c r="A45" s="40">
        <v>34</v>
      </c>
      <c r="B45" s="40">
        <v>17</v>
      </c>
      <c r="C45" s="40">
        <v>0.1</v>
      </c>
      <c r="D45" s="40">
        <v>1.1363636363636365E-3</v>
      </c>
      <c r="E45" s="40">
        <f t="shared" si="0"/>
        <v>0.13786008230452676</v>
      </c>
      <c r="F45" s="40">
        <f t="shared" si="1"/>
        <v>-1.0899840625208512</v>
      </c>
      <c r="G45" s="40">
        <f t="shared" si="2"/>
        <v>2.8332133440562162</v>
      </c>
      <c r="H45" s="40">
        <f t="shared" si="2"/>
        <v>-2.3025850929940455</v>
      </c>
      <c r="I45" s="40">
        <f t="shared" si="2"/>
        <v>-6.7799219074722519</v>
      </c>
      <c r="J45" s="40"/>
      <c r="K45" s="40"/>
      <c r="N45" s="40"/>
      <c r="O45" s="40"/>
      <c r="P45" s="40"/>
    </row>
    <row r="46" spans="1:16">
      <c r="A46" s="40">
        <v>35</v>
      </c>
      <c r="B46" s="40">
        <v>17</v>
      </c>
      <c r="C46" s="40">
        <v>0.1</v>
      </c>
      <c r="D46" s="40">
        <v>1.1363636363636365E-3</v>
      </c>
      <c r="E46" s="40">
        <f t="shared" si="0"/>
        <v>0.1419753086419753</v>
      </c>
      <c r="F46" s="40">
        <f t="shared" si="1"/>
        <v>-1.071486767748316</v>
      </c>
      <c r="G46" s="40">
        <f t="shared" si="2"/>
        <v>2.8332133440562162</v>
      </c>
      <c r="H46" s="40">
        <f t="shared" si="2"/>
        <v>-2.3025850929940455</v>
      </c>
      <c r="I46" s="40">
        <f t="shared" si="2"/>
        <v>-6.7799219074722519</v>
      </c>
      <c r="J46" s="40"/>
      <c r="K46" s="40"/>
      <c r="N46" s="40"/>
      <c r="O46" s="40"/>
      <c r="P46" s="40"/>
    </row>
    <row r="47" spans="1:16">
      <c r="A47" s="40">
        <v>36</v>
      </c>
      <c r="B47" s="40">
        <v>17</v>
      </c>
      <c r="C47" s="40">
        <v>0.1</v>
      </c>
      <c r="D47" s="40">
        <v>1.1363636363636365E-3</v>
      </c>
      <c r="E47" s="40">
        <f t="shared" si="0"/>
        <v>0.14609053497942387</v>
      </c>
      <c r="F47" s="40">
        <f t="shared" si="1"/>
        <v>-1.0533489981289514</v>
      </c>
      <c r="G47" s="40">
        <f t="shared" si="2"/>
        <v>2.8332133440562162</v>
      </c>
      <c r="H47" s="40">
        <f t="shared" si="2"/>
        <v>-2.3025850929940455</v>
      </c>
      <c r="I47" s="40">
        <f t="shared" si="2"/>
        <v>-6.7799219074722519</v>
      </c>
      <c r="J47" s="40"/>
      <c r="K47" s="40"/>
      <c r="N47" s="40"/>
      <c r="O47" s="40"/>
      <c r="P47" s="40"/>
    </row>
    <row r="48" spans="1:16">
      <c r="A48" s="40">
        <v>37</v>
      </c>
      <c r="B48" s="40">
        <v>17</v>
      </c>
      <c r="C48" s="40">
        <v>0.1</v>
      </c>
      <c r="D48" s="40">
        <v>1.4204545454545455E-3</v>
      </c>
      <c r="E48" s="40">
        <f t="shared" si="0"/>
        <v>0.15020576131687244</v>
      </c>
      <c r="F48" s="40">
        <f t="shared" si="1"/>
        <v>-1.0355512983042106</v>
      </c>
      <c r="G48" s="40">
        <f t="shared" si="2"/>
        <v>2.8332133440562162</v>
      </c>
      <c r="H48" s="40">
        <f t="shared" si="2"/>
        <v>-2.3025850929940455</v>
      </c>
      <c r="I48" s="40">
        <f t="shared" si="2"/>
        <v>-6.5567783561580422</v>
      </c>
      <c r="J48" s="40"/>
      <c r="K48" s="40"/>
      <c r="N48" s="40"/>
      <c r="O48" s="40"/>
      <c r="P48" s="40"/>
    </row>
    <row r="49" spans="1:16">
      <c r="A49" s="40">
        <v>38</v>
      </c>
      <c r="B49" s="40">
        <v>17</v>
      </c>
      <c r="C49" s="40">
        <v>0.1</v>
      </c>
      <c r="D49" s="40">
        <v>1.4772727272727272E-3</v>
      </c>
      <c r="E49" s="40">
        <f t="shared" si="0"/>
        <v>0.15432098765432098</v>
      </c>
      <c r="F49" s="40">
        <f t="shared" si="1"/>
        <v>-1.0180757150135895</v>
      </c>
      <c r="G49" s="40">
        <f t="shared" si="2"/>
        <v>2.8332133440562162</v>
      </c>
      <c r="H49" s="40">
        <f t="shared" si="2"/>
        <v>-2.3025850929940455</v>
      </c>
      <c r="I49" s="40">
        <f t="shared" si="2"/>
        <v>-6.5175576430047615</v>
      </c>
      <c r="J49" s="40"/>
      <c r="K49" s="40"/>
      <c r="N49" s="40"/>
      <c r="O49" s="40"/>
      <c r="P49" s="40"/>
    </row>
    <row r="50" spans="1:16">
      <c r="A50" s="40">
        <v>39</v>
      </c>
      <c r="B50" s="40">
        <v>17</v>
      </c>
      <c r="C50" s="40">
        <v>0.1</v>
      </c>
      <c r="D50" s="40">
        <v>1.7045454545454545E-3</v>
      </c>
      <c r="E50" s="40">
        <f t="shared" si="0"/>
        <v>0.15843621399176955</v>
      </c>
      <c r="F50" s="40">
        <f t="shared" si="1"/>
        <v>-1.0009056433214076</v>
      </c>
      <c r="G50" s="40">
        <f t="shared" si="2"/>
        <v>2.8332133440562162</v>
      </c>
      <c r="H50" s="40">
        <f t="shared" si="2"/>
        <v>-2.3025850929940455</v>
      </c>
      <c r="I50" s="40">
        <f t="shared" si="2"/>
        <v>-6.3744567993640882</v>
      </c>
      <c r="J50" s="40"/>
      <c r="K50" s="40"/>
      <c r="N50" s="40"/>
      <c r="O50" s="40"/>
      <c r="P50" s="40"/>
    </row>
    <row r="51" spans="1:16">
      <c r="A51" s="40">
        <v>40</v>
      </c>
      <c r="B51" s="40">
        <v>17</v>
      </c>
      <c r="C51" s="40">
        <v>0.1</v>
      </c>
      <c r="D51" s="40">
        <v>1.7045454545454545E-3</v>
      </c>
      <c r="E51" s="40">
        <f t="shared" si="0"/>
        <v>0.16255144032921812</v>
      </c>
      <c r="F51" s="40">
        <f t="shared" si="1"/>
        <v>-0.98402569212497448</v>
      </c>
      <c r="G51" s="40">
        <f t="shared" si="2"/>
        <v>2.8332133440562162</v>
      </c>
      <c r="H51" s="40">
        <f t="shared" si="2"/>
        <v>-2.3025850929940455</v>
      </c>
      <c r="I51" s="40">
        <f t="shared" si="2"/>
        <v>-6.3744567993640882</v>
      </c>
      <c r="J51" s="40"/>
      <c r="K51" s="40"/>
      <c r="N51" s="40"/>
      <c r="O51" s="40"/>
      <c r="P51" s="40"/>
    </row>
    <row r="52" spans="1:16">
      <c r="A52" s="40">
        <v>41</v>
      </c>
      <c r="B52" s="40">
        <v>17</v>
      </c>
      <c r="C52" s="40">
        <v>0.1</v>
      </c>
      <c r="D52" s="40">
        <v>1.8749999999999999E-3</v>
      </c>
      <c r="E52" s="40">
        <f t="shared" si="0"/>
        <v>0.16666666666666666</v>
      </c>
      <c r="F52" s="40">
        <f t="shared" si="1"/>
        <v>-0.96742156610170071</v>
      </c>
      <c r="G52" s="40">
        <f t="shared" si="2"/>
        <v>2.8332133440562162</v>
      </c>
      <c r="H52" s="40">
        <f t="shared" si="2"/>
        <v>-2.3025850929940455</v>
      </c>
      <c r="I52" s="40">
        <f t="shared" si="2"/>
        <v>-6.2791466195597634</v>
      </c>
      <c r="J52" s="40"/>
      <c r="K52" s="40"/>
      <c r="N52" s="40"/>
      <c r="O52" s="40"/>
      <c r="P52" s="40"/>
    </row>
    <row r="53" spans="1:16">
      <c r="A53" s="40">
        <v>42</v>
      </c>
      <c r="B53" s="40">
        <v>17</v>
      </c>
      <c r="C53" s="40">
        <v>0.1</v>
      </c>
      <c r="D53" s="40">
        <v>2.2727272727272731E-3</v>
      </c>
      <c r="E53" s="40">
        <f t="shared" si="0"/>
        <v>0.17078189300411523</v>
      </c>
      <c r="F53" s="40">
        <f t="shared" si="1"/>
        <v>-0.95107996173116383</v>
      </c>
      <c r="G53" s="40">
        <f t="shared" si="2"/>
        <v>2.8332133440562162</v>
      </c>
      <c r="H53" s="40">
        <f t="shared" si="2"/>
        <v>-2.3025850929940455</v>
      </c>
      <c r="I53" s="40">
        <f t="shared" si="2"/>
        <v>-6.0867747269123065</v>
      </c>
      <c r="J53" s="40"/>
    </row>
    <row r="54" spans="1:16">
      <c r="A54" s="40">
        <v>43</v>
      </c>
      <c r="B54" s="40">
        <v>17</v>
      </c>
      <c r="C54" s="40">
        <v>0.2</v>
      </c>
      <c r="D54" s="40">
        <v>2.840909090909091E-3</v>
      </c>
      <c r="E54" s="40">
        <f t="shared" si="0"/>
        <v>0.17489711934156379</v>
      </c>
      <c r="F54" s="40">
        <f t="shared" si="1"/>
        <v>-0.93498847541645724</v>
      </c>
      <c r="G54" s="40">
        <f t="shared" si="2"/>
        <v>2.8332133440562162</v>
      </c>
      <c r="H54" s="40">
        <f t="shared" si="2"/>
        <v>-1.6094379124341003</v>
      </c>
      <c r="I54" s="40">
        <f t="shared" si="2"/>
        <v>-5.8636311755980968</v>
      </c>
      <c r="J54" s="40"/>
    </row>
    <row r="55" spans="1:16">
      <c r="A55" s="40">
        <v>44</v>
      </c>
      <c r="B55" s="40">
        <v>17</v>
      </c>
      <c r="C55" s="40">
        <v>0.2</v>
      </c>
      <c r="D55" s="40">
        <v>2.840909090909091E-3</v>
      </c>
      <c r="E55" s="40">
        <f t="shared" si="0"/>
        <v>0.17901234567901234</v>
      </c>
      <c r="F55" s="40">
        <f t="shared" si="1"/>
        <v>-0.91913552204621074</v>
      </c>
      <c r="G55" s="40">
        <f t="shared" si="2"/>
        <v>2.8332133440562162</v>
      </c>
      <c r="H55" s="40">
        <f t="shared" si="2"/>
        <v>-1.6094379124341003</v>
      </c>
      <c r="I55" s="40">
        <f t="shared" si="2"/>
        <v>-5.8636311755980968</v>
      </c>
      <c r="J55" s="40"/>
    </row>
    <row r="56" spans="1:16">
      <c r="A56" s="40">
        <v>45</v>
      </c>
      <c r="B56" s="40">
        <v>20</v>
      </c>
      <c r="C56" s="40">
        <v>0.2</v>
      </c>
      <c r="D56" s="40">
        <v>2.8977272727272727E-3</v>
      </c>
      <c r="E56" s="40">
        <f t="shared" si="0"/>
        <v>0.1831275720164609</v>
      </c>
      <c r="F56" s="40">
        <f t="shared" si="1"/>
        <v>-0.90351026259865719</v>
      </c>
      <c r="G56" s="40">
        <f t="shared" si="2"/>
        <v>2.9957322735539909</v>
      </c>
      <c r="H56" s="40">
        <f t="shared" si="2"/>
        <v>-1.6094379124341003</v>
      </c>
      <c r="I56" s="40">
        <f t="shared" si="2"/>
        <v>-5.843828548301917</v>
      </c>
      <c r="J56" s="40"/>
    </row>
    <row r="57" spans="1:16">
      <c r="A57" s="40">
        <v>46</v>
      </c>
      <c r="B57" s="40">
        <v>20</v>
      </c>
      <c r="C57" s="40">
        <v>0.2</v>
      </c>
      <c r="D57" s="40">
        <v>3.4090909090909089E-3</v>
      </c>
      <c r="E57" s="40">
        <f t="shared" si="0"/>
        <v>0.18724279835390947</v>
      </c>
      <c r="F57" s="40">
        <f t="shared" si="1"/>
        <v>-0.88810253960355767</v>
      </c>
      <c r="G57" s="40">
        <f t="shared" si="2"/>
        <v>2.9957322735539909</v>
      </c>
      <c r="H57" s="40">
        <f t="shared" si="2"/>
        <v>-1.6094379124341003</v>
      </c>
      <c r="I57" s="40">
        <f t="shared" si="2"/>
        <v>-5.6813096188041428</v>
      </c>
      <c r="J57" s="40"/>
    </row>
    <row r="58" spans="1:16">
      <c r="A58" s="40">
        <v>47</v>
      </c>
      <c r="B58" s="40">
        <v>20</v>
      </c>
      <c r="C58" s="40">
        <v>0.25</v>
      </c>
      <c r="D58" s="40">
        <v>3.4090909090909089E-3</v>
      </c>
      <c r="E58" s="40">
        <f t="shared" si="0"/>
        <v>0.19135802469135801</v>
      </c>
      <c r="F58" s="40">
        <f t="shared" si="1"/>
        <v>-0.87290281945529757</v>
      </c>
      <c r="G58" s="40">
        <f t="shared" si="2"/>
        <v>2.9957322735539909</v>
      </c>
      <c r="H58" s="40">
        <f t="shared" si="2"/>
        <v>-1.3862943611198906</v>
      </c>
      <c r="I58" s="40">
        <f t="shared" si="2"/>
        <v>-5.6813096188041428</v>
      </c>
      <c r="J58" s="40"/>
    </row>
    <row r="59" spans="1:16">
      <c r="A59" s="40">
        <v>48</v>
      </c>
      <c r="B59" s="40">
        <v>20</v>
      </c>
      <c r="C59" s="40">
        <v>0.3</v>
      </c>
      <c r="D59" s="40">
        <v>3.4090909090909089E-3</v>
      </c>
      <c r="E59" s="40">
        <f t="shared" si="0"/>
        <v>0.19547325102880658</v>
      </c>
      <c r="F59" s="40">
        <f t="shared" si="1"/>
        <v>-0.85790214071820381</v>
      </c>
      <c r="G59" s="40">
        <f t="shared" si="2"/>
        <v>2.9957322735539909</v>
      </c>
      <c r="H59" s="40">
        <f t="shared" si="2"/>
        <v>-1.2039728043259361</v>
      </c>
      <c r="I59" s="40">
        <f t="shared" si="2"/>
        <v>-5.6813096188041428</v>
      </c>
      <c r="J59" s="40"/>
    </row>
    <row r="60" spans="1:16">
      <c r="A60" s="40">
        <v>49</v>
      </c>
      <c r="B60" s="40">
        <v>20</v>
      </c>
      <c r="C60" s="40">
        <v>0.3</v>
      </c>
      <c r="D60" s="40">
        <v>4.8295454545454544E-3</v>
      </c>
      <c r="E60" s="40">
        <f t="shared" si="0"/>
        <v>0.19958847736625515</v>
      </c>
      <c r="F60" s="40">
        <f t="shared" si="1"/>
        <v>-0.8430920676885425</v>
      </c>
      <c r="G60" s="40">
        <f t="shared" si="2"/>
        <v>2.9957322735539909</v>
      </c>
      <c r="H60" s="40">
        <f t="shared" si="2"/>
        <v>-1.2039728043259361</v>
      </c>
      <c r="I60" s="40">
        <f t="shared" si="2"/>
        <v>-5.3330029245359265</v>
      </c>
      <c r="J60" s="40"/>
    </row>
    <row r="61" spans="1:16">
      <c r="A61" s="40">
        <v>50</v>
      </c>
      <c r="B61" s="40">
        <v>20</v>
      </c>
      <c r="C61" s="40">
        <v>0.3</v>
      </c>
      <c r="D61" s="40">
        <v>5.2272727272727271E-3</v>
      </c>
      <c r="E61" s="40">
        <f t="shared" si="0"/>
        <v>0.20370370370370369</v>
      </c>
      <c r="F61" s="40">
        <f t="shared" si="1"/>
        <v>-0.82846464858113456</v>
      </c>
      <c r="G61" s="40">
        <f t="shared" si="2"/>
        <v>2.9957322735539909</v>
      </c>
      <c r="H61" s="40">
        <f t="shared" si="2"/>
        <v>-1.2039728043259361</v>
      </c>
      <c r="I61" s="40">
        <f t="shared" si="2"/>
        <v>-5.2538656039772027</v>
      </c>
      <c r="J61" s="40"/>
    </row>
    <row r="62" spans="1:16">
      <c r="A62" s="40">
        <v>51</v>
      </c>
      <c r="B62" s="40">
        <v>20</v>
      </c>
      <c r="C62" s="40">
        <v>0.3</v>
      </c>
      <c r="D62" s="40">
        <v>5.681818181818182E-3</v>
      </c>
      <c r="E62" s="40">
        <f t="shared" si="0"/>
        <v>0.20781893004115226</v>
      </c>
      <c r="F62" s="40">
        <f t="shared" si="1"/>
        <v>-0.81401237779566393</v>
      </c>
      <c r="G62" s="40">
        <f t="shared" si="2"/>
        <v>2.9957322735539909</v>
      </c>
      <c r="H62" s="40">
        <f t="shared" si="2"/>
        <v>-1.2039728043259361</v>
      </c>
      <c r="I62" s="40">
        <f t="shared" si="2"/>
        <v>-5.1704839950381514</v>
      </c>
      <c r="J62" s="40"/>
    </row>
    <row r="63" spans="1:16">
      <c r="A63" s="40">
        <v>52</v>
      </c>
      <c r="B63" s="40">
        <v>20</v>
      </c>
      <c r="C63" s="40">
        <v>0.3</v>
      </c>
      <c r="D63" s="40">
        <v>5.681818181818182E-3</v>
      </c>
      <c r="E63" s="40">
        <f t="shared" si="0"/>
        <v>0.21193415637860083</v>
      </c>
      <c r="F63" s="40">
        <f t="shared" si="1"/>
        <v>-0.79972816179145556</v>
      </c>
      <c r="G63" s="40">
        <f t="shared" si="2"/>
        <v>2.9957322735539909</v>
      </c>
      <c r="H63" s="40">
        <f t="shared" si="2"/>
        <v>-1.2039728043259361</v>
      </c>
      <c r="I63" s="40">
        <f t="shared" si="2"/>
        <v>-5.1704839950381514</v>
      </c>
      <c r="J63" s="40"/>
    </row>
    <row r="64" spans="1:16">
      <c r="A64" s="40">
        <v>53</v>
      </c>
      <c r="B64" s="40">
        <v>20</v>
      </c>
      <c r="C64" s="40">
        <v>0.3</v>
      </c>
      <c r="D64" s="40">
        <v>5.681818181818182E-3</v>
      </c>
      <c r="E64" s="40">
        <f t="shared" si="0"/>
        <v>0.21604938271604937</v>
      </c>
      <c r="F64" s="40">
        <f t="shared" si="1"/>
        <v>-0.78560528816191499</v>
      </c>
      <c r="G64" s="40">
        <f t="shared" si="2"/>
        <v>2.9957322735539909</v>
      </c>
      <c r="H64" s="40">
        <f t="shared" si="2"/>
        <v>-1.2039728043259361</v>
      </c>
      <c r="I64" s="40">
        <f t="shared" si="2"/>
        <v>-5.1704839950381514</v>
      </c>
      <c r="J64" s="40"/>
    </row>
    <row r="65" spans="1:10">
      <c r="A65" s="40">
        <v>54</v>
      </c>
      <c r="B65" s="40">
        <v>20</v>
      </c>
      <c r="C65" s="40">
        <v>0.3</v>
      </c>
      <c r="D65" s="40">
        <v>5.681818181818182E-3</v>
      </c>
      <c r="E65" s="40">
        <f t="shared" si="0"/>
        <v>0.22016460905349794</v>
      </c>
      <c r="F65" s="40">
        <f t="shared" si="1"/>
        <v>-0.77163739755302307</v>
      </c>
      <c r="G65" s="40">
        <f t="shared" si="2"/>
        <v>2.9957322735539909</v>
      </c>
      <c r="H65" s="40">
        <f t="shared" si="2"/>
        <v>-1.2039728043259361</v>
      </c>
      <c r="I65" s="40">
        <f t="shared" si="2"/>
        <v>-5.1704839950381514</v>
      </c>
      <c r="J65" s="40"/>
    </row>
    <row r="66" spans="1:10">
      <c r="A66" s="40">
        <v>55</v>
      </c>
      <c r="B66" s="40">
        <v>20</v>
      </c>
      <c r="C66" s="40">
        <v>0.3</v>
      </c>
      <c r="D66" s="40">
        <v>5.681818181818182E-3</v>
      </c>
      <c r="E66" s="40">
        <f t="shared" si="0"/>
        <v>0.22427983539094651</v>
      </c>
      <c r="F66" s="40">
        <f t="shared" si="1"/>
        <v>-0.75781845811562798</v>
      </c>
      <c r="G66" s="40">
        <f t="shared" si="2"/>
        <v>2.9957322735539909</v>
      </c>
      <c r="H66" s="40">
        <f t="shared" si="2"/>
        <v>-1.2039728043259361</v>
      </c>
      <c r="I66" s="40">
        <f t="shared" si="2"/>
        <v>-5.1704839950381514</v>
      </c>
      <c r="J66" s="40"/>
    </row>
    <row r="67" spans="1:10">
      <c r="A67" s="40">
        <v>56</v>
      </c>
      <c r="B67" s="40">
        <v>20</v>
      </c>
      <c r="C67" s="40">
        <v>0.3</v>
      </c>
      <c r="D67" s="40">
        <v>5.681818181818182E-3</v>
      </c>
      <c r="E67" s="40">
        <f t="shared" si="0"/>
        <v>0.22839506172839505</v>
      </c>
      <c r="F67" s="40">
        <f t="shared" si="1"/>
        <v>-0.74414274222016763</v>
      </c>
      <c r="G67" s="40">
        <f t="shared" si="2"/>
        <v>2.9957322735539909</v>
      </c>
      <c r="H67" s="40">
        <f t="shared" si="2"/>
        <v>-1.2039728043259361</v>
      </c>
      <c r="I67" s="40">
        <f t="shared" si="2"/>
        <v>-5.1704839950381514</v>
      </c>
      <c r="J67" s="40"/>
    </row>
    <row r="68" spans="1:10">
      <c r="A68" s="40">
        <v>57</v>
      </c>
      <c r="B68" s="40">
        <v>20</v>
      </c>
      <c r="C68" s="40">
        <v>0.3</v>
      </c>
      <c r="D68" s="40">
        <v>5.681818181818182E-3</v>
      </c>
      <c r="E68" s="40">
        <f t="shared" si="0"/>
        <v>0.23251028806584362</v>
      </c>
      <c r="F68" s="40">
        <f t="shared" si="1"/>
        <v>-0.73060480519584381</v>
      </c>
      <c r="G68" s="40">
        <f t="shared" si="2"/>
        <v>2.9957322735539909</v>
      </c>
      <c r="H68" s="40">
        <f t="shared" si="2"/>
        <v>-1.2039728043259361</v>
      </c>
      <c r="I68" s="40">
        <f t="shared" si="2"/>
        <v>-5.1704839950381514</v>
      </c>
      <c r="J68" s="40"/>
    </row>
    <row r="69" spans="1:10">
      <c r="A69" s="40">
        <v>58</v>
      </c>
      <c r="B69" s="40">
        <v>20</v>
      </c>
      <c r="C69" s="40">
        <v>0.3</v>
      </c>
      <c r="D69" s="40">
        <v>7.102272727272727E-3</v>
      </c>
      <c r="E69" s="40">
        <f t="shared" si="0"/>
        <v>0.23662551440329219</v>
      </c>
      <c r="F69" s="40">
        <f t="shared" si="1"/>
        <v>-0.71719946588502648</v>
      </c>
      <c r="G69" s="40">
        <f t="shared" si="2"/>
        <v>2.9957322735539909</v>
      </c>
      <c r="H69" s="40">
        <f t="shared" si="2"/>
        <v>-1.2039728043259361</v>
      </c>
      <c r="I69" s="40">
        <f t="shared" si="2"/>
        <v>-4.9473404437239417</v>
      </c>
      <c r="J69" s="40"/>
    </row>
    <row r="70" spans="1:10">
      <c r="A70" s="40">
        <v>59</v>
      </c>
      <c r="B70" s="40">
        <v>20</v>
      </c>
      <c r="C70" s="40">
        <v>0.4</v>
      </c>
      <c r="D70" s="40">
        <v>7.3863636363636362E-3</v>
      </c>
      <c r="E70" s="40">
        <f t="shared" si="0"/>
        <v>0.24074074074074073</v>
      </c>
      <c r="F70" s="40">
        <f t="shared" si="1"/>
        <v>-0.70392178882851375</v>
      </c>
      <c r="G70" s="40">
        <f t="shared" si="2"/>
        <v>2.9957322735539909</v>
      </c>
      <c r="H70" s="40">
        <f t="shared" si="2"/>
        <v>-0.916290731874155</v>
      </c>
      <c r="I70" s="40">
        <f t="shared" si="2"/>
        <v>-4.908119730570661</v>
      </c>
      <c r="J70" s="40"/>
    </row>
    <row r="71" spans="1:10">
      <c r="A71" s="40">
        <v>60</v>
      </c>
      <c r="B71" s="40">
        <v>20</v>
      </c>
      <c r="C71" s="40">
        <v>0.4</v>
      </c>
      <c r="D71" s="40">
        <v>8.5227272727272721E-3</v>
      </c>
      <c r="E71" s="40">
        <f t="shared" si="0"/>
        <v>0.2448559670781893</v>
      </c>
      <c r="F71" s="40">
        <f t="shared" si="1"/>
        <v>-0.69076706791880604</v>
      </c>
      <c r="G71" s="40">
        <f t="shared" si="2"/>
        <v>2.9957322735539909</v>
      </c>
      <c r="H71" s="40">
        <f t="shared" si="2"/>
        <v>-0.916290731874155</v>
      </c>
      <c r="I71" s="40">
        <f t="shared" si="2"/>
        <v>-4.7650188869299877</v>
      </c>
      <c r="J71" s="40"/>
    </row>
    <row r="72" spans="1:10">
      <c r="A72" s="40">
        <v>61</v>
      </c>
      <c r="B72" s="40">
        <v>20</v>
      </c>
      <c r="C72" s="40">
        <v>0.4</v>
      </c>
      <c r="D72" s="40">
        <v>8.5227272727272721E-3</v>
      </c>
      <c r="E72" s="40">
        <f t="shared" si="0"/>
        <v>0.24897119341563786</v>
      </c>
      <c r="F72" s="40">
        <f t="shared" si="1"/>
        <v>-0.67773081137723878</v>
      </c>
      <c r="G72" s="40">
        <f t="shared" si="2"/>
        <v>2.9957322735539909</v>
      </c>
      <c r="H72" s="40">
        <f t="shared" si="2"/>
        <v>-0.916290731874155</v>
      </c>
      <c r="I72" s="40">
        <f t="shared" si="2"/>
        <v>-4.7650188869299877</v>
      </c>
      <c r="J72" s="40"/>
    </row>
    <row r="73" spans="1:10">
      <c r="A73" s="40">
        <v>62</v>
      </c>
      <c r="B73" s="40">
        <v>20</v>
      </c>
      <c r="C73" s="40">
        <v>0.4</v>
      </c>
      <c r="D73" s="40">
        <v>8.5227272727272721E-3</v>
      </c>
      <c r="E73" s="40">
        <f t="shared" si="0"/>
        <v>0.25308641975308643</v>
      </c>
      <c r="F73" s="40">
        <f t="shared" si="1"/>
        <v>-0.66480872792709123</v>
      </c>
      <c r="G73" s="40">
        <f t="shared" si="2"/>
        <v>2.9957322735539909</v>
      </c>
      <c r="H73" s="40">
        <f t="shared" si="2"/>
        <v>-0.916290731874155</v>
      </c>
      <c r="I73" s="40">
        <f t="shared" si="2"/>
        <v>-4.7650188869299877</v>
      </c>
      <c r="J73" s="40"/>
    </row>
    <row r="74" spans="1:10">
      <c r="A74" s="40">
        <v>63</v>
      </c>
      <c r="B74" s="40">
        <v>20</v>
      </c>
      <c r="C74" s="40">
        <v>0.44</v>
      </c>
      <c r="D74" s="40">
        <v>9.3749999999999997E-3</v>
      </c>
      <c r="E74" s="40">
        <f t="shared" si="0"/>
        <v>0.25720164609053497</v>
      </c>
      <c r="F74" s="40">
        <f t="shared" si="1"/>
        <v>-0.65199671404899062</v>
      </c>
      <c r="G74" s="40">
        <f t="shared" si="2"/>
        <v>2.9957322735539909</v>
      </c>
      <c r="H74" s="40">
        <f t="shared" si="2"/>
        <v>-0.82098055206983023</v>
      </c>
      <c r="I74" s="40">
        <f t="shared" si="2"/>
        <v>-4.6697087071256629</v>
      </c>
      <c r="J74" s="40"/>
    </row>
    <row r="75" spans="1:10">
      <c r="A75" s="40">
        <v>64</v>
      </c>
      <c r="B75" s="40">
        <v>20</v>
      </c>
      <c r="C75" s="40">
        <v>0.5</v>
      </c>
      <c r="D75" s="40">
        <v>9.3749999999999997E-3</v>
      </c>
      <c r="E75" s="40">
        <f t="shared" si="0"/>
        <v>0.26131687242798352</v>
      </c>
      <c r="F75" s="40">
        <f t="shared" si="1"/>
        <v>-0.63929084221735377</v>
      </c>
      <c r="G75" s="40">
        <f t="shared" si="2"/>
        <v>2.9957322735539909</v>
      </c>
      <c r="H75" s="40">
        <f t="shared" si="2"/>
        <v>-0.69314718055994529</v>
      </c>
      <c r="I75" s="40">
        <f t="shared" si="2"/>
        <v>-4.6697087071256629</v>
      </c>
      <c r="J75" s="40"/>
    </row>
    <row r="76" spans="1:10">
      <c r="A76" s="40">
        <v>65</v>
      </c>
      <c r="B76" s="40">
        <v>20</v>
      </c>
      <c r="C76" s="40">
        <v>0.5</v>
      </c>
      <c r="D76" s="40">
        <v>9.3749999999999997E-3</v>
      </c>
      <c r="E76" s="40">
        <f t="shared" si="0"/>
        <v>0.26543209876543211</v>
      </c>
      <c r="F76" s="40">
        <f t="shared" si="1"/>
        <v>-0.62668735002750697</v>
      </c>
      <c r="G76" s="40">
        <f t="shared" si="2"/>
        <v>2.9957322735539909</v>
      </c>
      <c r="H76" s="40">
        <f t="shared" si="2"/>
        <v>-0.69314718055994529</v>
      </c>
      <c r="I76" s="40">
        <f t="shared" si="2"/>
        <v>-4.6697087071256629</v>
      </c>
      <c r="J76" s="40"/>
    </row>
    <row r="77" spans="1:10">
      <c r="A77" s="40">
        <v>66</v>
      </c>
      <c r="B77" s="40">
        <v>20</v>
      </c>
      <c r="C77" s="40">
        <v>0.5</v>
      </c>
      <c r="D77" s="40">
        <v>9.6590909090909088E-3</v>
      </c>
      <c r="E77" s="40">
        <f t="shared" ref="E77:E140" si="3">(A77-0.5)/243</f>
        <v>0.26954732510288065</v>
      </c>
      <c r="F77" s="40">
        <f t="shared" ref="F77:F140" si="4">NORMSINV(E77)</f>
        <v>-0.61418263013266738</v>
      </c>
      <c r="G77" s="40">
        <f t="shared" ref="G77:I140" si="5">LN(B77)</f>
        <v>2.9957322735539909</v>
      </c>
      <c r="H77" s="40">
        <f t="shared" si="5"/>
        <v>-0.69314718055994529</v>
      </c>
      <c r="I77" s="40">
        <f t="shared" si="5"/>
        <v>-4.6398557439759811</v>
      </c>
      <c r="J77" s="40"/>
    </row>
    <row r="78" spans="1:10">
      <c r="A78" s="40">
        <v>67</v>
      </c>
      <c r="B78" s="40">
        <v>20</v>
      </c>
      <c r="C78" s="40">
        <v>0.5</v>
      </c>
      <c r="D78" s="40">
        <v>9.6590909090909088E-3</v>
      </c>
      <c r="E78" s="40">
        <f t="shared" si="3"/>
        <v>0.27366255144032919</v>
      </c>
      <c r="F78" s="40">
        <f t="shared" si="4"/>
        <v>-0.60177322091842711</v>
      </c>
      <c r="G78" s="40">
        <f t="shared" si="5"/>
        <v>2.9957322735539909</v>
      </c>
      <c r="H78" s="40">
        <f t="shared" si="5"/>
        <v>-0.69314718055994529</v>
      </c>
      <c r="I78" s="40">
        <f t="shared" si="5"/>
        <v>-4.6398557439759811</v>
      </c>
      <c r="J78" s="40"/>
    </row>
    <row r="79" spans="1:10">
      <c r="A79" s="40">
        <v>68</v>
      </c>
      <c r="B79" s="40">
        <v>20</v>
      </c>
      <c r="C79" s="40">
        <v>0.5</v>
      </c>
      <c r="D79" s="40">
        <v>9.6590909090909088E-3</v>
      </c>
      <c r="E79" s="40">
        <f t="shared" si="3"/>
        <v>0.27777777777777779</v>
      </c>
      <c r="F79" s="40">
        <f t="shared" si="4"/>
        <v>-0.58945579784977842</v>
      </c>
      <c r="G79" s="40">
        <f t="shared" si="5"/>
        <v>2.9957322735539909</v>
      </c>
      <c r="H79" s="40">
        <f t="shared" si="5"/>
        <v>-0.69314718055994529</v>
      </c>
      <c r="I79" s="40">
        <f t="shared" si="5"/>
        <v>-4.6398557439759811</v>
      </c>
      <c r="J79" s="40"/>
    </row>
    <row r="80" spans="1:10">
      <c r="A80" s="40">
        <v>69</v>
      </c>
      <c r="B80" s="40">
        <v>20</v>
      </c>
      <c r="C80" s="40">
        <v>0.5</v>
      </c>
      <c r="D80" s="40">
        <v>9.6590909090909088E-3</v>
      </c>
      <c r="E80" s="40">
        <f t="shared" si="3"/>
        <v>0.28189300411522633</v>
      </c>
      <c r="F80" s="40">
        <f t="shared" si="4"/>
        <v>-0.57722716543232322</v>
      </c>
      <c r="G80" s="40">
        <f t="shared" si="5"/>
        <v>2.9957322735539909</v>
      </c>
      <c r="H80" s="40">
        <f t="shared" si="5"/>
        <v>-0.69314718055994529</v>
      </c>
      <c r="I80" s="40">
        <f t="shared" si="5"/>
        <v>-4.6398557439759811</v>
      </c>
      <c r="J80" s="40"/>
    </row>
    <row r="81" spans="1:10">
      <c r="A81" s="40">
        <v>70</v>
      </c>
      <c r="B81" s="40">
        <v>23</v>
      </c>
      <c r="C81" s="40">
        <v>0.5</v>
      </c>
      <c r="D81" s="40">
        <v>9.6590909090909088E-3</v>
      </c>
      <c r="E81" s="40">
        <f t="shared" si="3"/>
        <v>0.28600823045267487</v>
      </c>
      <c r="F81" s="40">
        <f t="shared" si="4"/>
        <v>-0.56508424973508586</v>
      </c>
      <c r="G81" s="40">
        <f t="shared" si="5"/>
        <v>3.1354942159291497</v>
      </c>
      <c r="H81" s="40">
        <f t="shared" si="5"/>
        <v>-0.69314718055994529</v>
      </c>
      <c r="I81" s="40">
        <f t="shared" si="5"/>
        <v>-4.6398557439759811</v>
      </c>
      <c r="J81" s="40"/>
    </row>
    <row r="82" spans="1:10">
      <c r="A82" s="40">
        <v>71</v>
      </c>
      <c r="B82" s="40">
        <v>23</v>
      </c>
      <c r="C82" s="40">
        <v>0.5</v>
      </c>
      <c r="D82" s="40">
        <v>1.0227272727272725E-2</v>
      </c>
      <c r="E82" s="40">
        <f t="shared" si="3"/>
        <v>0.29012345679012347</v>
      </c>
      <c r="F82" s="40">
        <f t="shared" si="4"/>
        <v>-0.5530240914275496</v>
      </c>
      <c r="G82" s="40">
        <f t="shared" si="5"/>
        <v>3.1354942159291497</v>
      </c>
      <c r="H82" s="40">
        <f t="shared" si="5"/>
        <v>-0.69314718055994529</v>
      </c>
      <c r="I82" s="40">
        <f t="shared" si="5"/>
        <v>-4.5826973301360328</v>
      </c>
      <c r="J82" s="40"/>
    </row>
    <row r="83" spans="1:10">
      <c r="A83" s="40">
        <v>72</v>
      </c>
      <c r="B83" s="40">
        <v>25</v>
      </c>
      <c r="C83" s="40">
        <v>0.5</v>
      </c>
      <c r="D83" s="40">
        <v>1.0227272727272725E-2</v>
      </c>
      <c r="E83" s="40">
        <f t="shared" si="3"/>
        <v>0.29423868312757201</v>
      </c>
      <c r="F83" s="40">
        <f t="shared" si="4"/>
        <v>-0.54104383928809652</v>
      </c>
      <c r="G83" s="40">
        <f t="shared" si="5"/>
        <v>3.2188758248682006</v>
      </c>
      <c r="H83" s="40">
        <f t="shared" si="5"/>
        <v>-0.69314718055994529</v>
      </c>
      <c r="I83" s="40">
        <f t="shared" si="5"/>
        <v>-4.5826973301360328</v>
      </c>
      <c r="J83" s="40"/>
    </row>
    <row r="84" spans="1:10">
      <c r="A84" s="40">
        <v>73</v>
      </c>
      <c r="B84" s="40">
        <v>25</v>
      </c>
      <c r="C84" s="40">
        <v>0.5</v>
      </c>
      <c r="D84" s="40">
        <v>1.0738636363636363E-2</v>
      </c>
      <c r="E84" s="40">
        <f t="shared" si="3"/>
        <v>0.29835390946502055</v>
      </c>
      <c r="F84" s="40">
        <f t="shared" si="4"/>
        <v>-0.52914074414512824</v>
      </c>
      <c r="G84" s="40">
        <f t="shared" si="5"/>
        <v>3.2188758248682006</v>
      </c>
      <c r="H84" s="40">
        <f t="shared" si="5"/>
        <v>-0.69314718055994529</v>
      </c>
      <c r="I84" s="40">
        <f t="shared" si="5"/>
        <v>-4.5339071659666006</v>
      </c>
      <c r="J84" s="40"/>
    </row>
    <row r="85" spans="1:10">
      <c r="A85" s="40">
        <v>74</v>
      </c>
      <c r="B85" s="40">
        <v>27</v>
      </c>
      <c r="C85" s="40">
        <v>0.5</v>
      </c>
      <c r="D85" s="40">
        <v>1.1363636363636364E-2</v>
      </c>
      <c r="E85" s="40">
        <f t="shared" si="3"/>
        <v>0.30246913580246915</v>
      </c>
      <c r="F85" s="40">
        <f t="shared" si="4"/>
        <v>-0.51731215321578561</v>
      </c>
      <c r="G85" s="40">
        <f t="shared" si="5"/>
        <v>3.2958368660043291</v>
      </c>
      <c r="H85" s="40">
        <f t="shared" si="5"/>
        <v>-0.69314718055994529</v>
      </c>
      <c r="I85" s="40">
        <f t="shared" si="5"/>
        <v>-4.4773368144782069</v>
      </c>
      <c r="J85" s="40"/>
    </row>
    <row r="86" spans="1:10">
      <c r="A86" s="40">
        <v>75</v>
      </c>
      <c r="B86" s="40">
        <v>27</v>
      </c>
      <c r="C86" s="40">
        <v>0.5</v>
      </c>
      <c r="D86" s="40">
        <v>1.1363636363636364E-2</v>
      </c>
      <c r="E86" s="40">
        <f t="shared" si="3"/>
        <v>0.30658436213991769</v>
      </c>
      <c r="F86" s="40">
        <f t="shared" si="4"/>
        <v>-0.50555550481043754</v>
      </c>
      <c r="G86" s="40">
        <f t="shared" si="5"/>
        <v>3.2958368660043291</v>
      </c>
      <c r="H86" s="40">
        <f t="shared" si="5"/>
        <v>-0.69314718055994529</v>
      </c>
      <c r="I86" s="40">
        <f t="shared" si="5"/>
        <v>-4.4773368144782069</v>
      </c>
      <c r="J86" s="40"/>
    </row>
    <row r="87" spans="1:10">
      <c r="A87" s="40">
        <v>76</v>
      </c>
      <c r="B87" s="40">
        <v>30</v>
      </c>
      <c r="C87" s="40">
        <v>0.5</v>
      </c>
      <c r="D87" s="40">
        <v>1.1363636363636364E-2</v>
      </c>
      <c r="E87" s="40">
        <f t="shared" si="3"/>
        <v>0.31069958847736623</v>
      </c>
      <c r="F87" s="40">
        <f t="shared" si="4"/>
        <v>-0.49386832337402026</v>
      </c>
      <c r="G87" s="40">
        <f t="shared" si="5"/>
        <v>3.4011973816621555</v>
      </c>
      <c r="H87" s="40">
        <f t="shared" si="5"/>
        <v>-0.69314718055994529</v>
      </c>
      <c r="I87" s="40">
        <f t="shared" si="5"/>
        <v>-4.4773368144782069</v>
      </c>
      <c r="J87" s="40"/>
    </row>
    <row r="88" spans="1:10">
      <c r="A88" s="40">
        <v>77</v>
      </c>
      <c r="B88" s="40">
        <v>30</v>
      </c>
      <c r="C88" s="40">
        <v>0.5</v>
      </c>
      <c r="D88" s="40">
        <v>1.1363636363636364E-2</v>
      </c>
      <c r="E88" s="40">
        <f t="shared" si="3"/>
        <v>0.31481481481481483</v>
      </c>
      <c r="F88" s="40">
        <f t="shared" si="4"/>
        <v>-0.48224821483792318</v>
      </c>
      <c r="G88" s="40">
        <f t="shared" si="5"/>
        <v>3.4011973816621555</v>
      </c>
      <c r="H88" s="40">
        <f t="shared" si="5"/>
        <v>-0.69314718055994529</v>
      </c>
      <c r="I88" s="40">
        <f t="shared" si="5"/>
        <v>-4.4773368144782069</v>
      </c>
      <c r="J88" s="40"/>
    </row>
    <row r="89" spans="1:10">
      <c r="A89" s="40">
        <v>78</v>
      </c>
      <c r="B89" s="40">
        <v>30</v>
      </c>
      <c r="C89" s="40">
        <v>0.5</v>
      </c>
      <c r="D89" s="40">
        <v>1.1363636363636364E-2</v>
      </c>
      <c r="E89" s="40">
        <f t="shared" si="3"/>
        <v>0.31893004115226337</v>
      </c>
      <c r="F89" s="40">
        <f t="shared" si="4"/>
        <v>-0.47069286225844953</v>
      </c>
      <c r="G89" s="40">
        <f t="shared" si="5"/>
        <v>3.4011973816621555</v>
      </c>
      <c r="H89" s="40">
        <f t="shared" si="5"/>
        <v>-0.69314718055994529</v>
      </c>
      <c r="I89" s="40">
        <f t="shared" si="5"/>
        <v>-4.4773368144782069</v>
      </c>
      <c r="J89" s="40"/>
    </row>
    <row r="90" spans="1:10">
      <c r="A90" s="40">
        <v>79</v>
      </c>
      <c r="B90" s="40">
        <v>30</v>
      </c>
      <c r="C90" s="40">
        <v>0.5</v>
      </c>
      <c r="D90" s="40">
        <v>1.1363636363636364E-2</v>
      </c>
      <c r="E90" s="40">
        <f t="shared" si="3"/>
        <v>0.32304526748971191</v>
      </c>
      <c r="F90" s="40">
        <f t="shared" si="4"/>
        <v>-0.45920002171999152</v>
      </c>
      <c r="G90" s="40">
        <f t="shared" si="5"/>
        <v>3.4011973816621555</v>
      </c>
      <c r="H90" s="40">
        <f t="shared" si="5"/>
        <v>-0.69314718055994529</v>
      </c>
      <c r="I90" s="40">
        <f t="shared" si="5"/>
        <v>-4.4773368144782069</v>
      </c>
      <c r="J90" s="40"/>
    </row>
    <row r="91" spans="1:10">
      <c r="A91" s="40">
        <v>80</v>
      </c>
      <c r="B91" s="40">
        <v>30</v>
      </c>
      <c r="C91" s="40">
        <v>0.5</v>
      </c>
      <c r="D91" s="40">
        <v>1.1363636363636364E-2</v>
      </c>
      <c r="E91" s="40">
        <f t="shared" si="3"/>
        <v>0.3271604938271605</v>
      </c>
      <c r="F91" s="40">
        <f t="shared" si="4"/>
        <v>-0.44776751848294888</v>
      </c>
      <c r="G91" s="40">
        <f t="shared" si="5"/>
        <v>3.4011973816621555</v>
      </c>
      <c r="H91" s="40">
        <f t="shared" si="5"/>
        <v>-0.69314718055994529</v>
      </c>
      <c r="I91" s="40">
        <f t="shared" si="5"/>
        <v>-4.4773368144782069</v>
      </c>
      <c r="J91" s="40"/>
    </row>
    <row r="92" spans="1:10">
      <c r="A92" s="40">
        <v>81</v>
      </c>
      <c r="B92" s="40">
        <v>30</v>
      </c>
      <c r="C92" s="40">
        <v>0.6</v>
      </c>
      <c r="D92" s="40">
        <v>1.1363636363636364E-2</v>
      </c>
      <c r="E92" s="40">
        <f t="shared" si="3"/>
        <v>0.33127572016460904</v>
      </c>
      <c r="F92" s="40">
        <f t="shared" si="4"/>
        <v>-0.43639324335813162</v>
      </c>
      <c r="G92" s="40">
        <f t="shared" si="5"/>
        <v>3.4011973816621555</v>
      </c>
      <c r="H92" s="40">
        <f t="shared" si="5"/>
        <v>-0.51082562376599072</v>
      </c>
      <c r="I92" s="40">
        <f t="shared" si="5"/>
        <v>-4.4773368144782069</v>
      </c>
      <c r="J92" s="40"/>
    </row>
    <row r="93" spans="1:10">
      <c r="A93" s="40">
        <v>82</v>
      </c>
      <c r="B93" s="40">
        <v>30</v>
      </c>
      <c r="C93" s="40">
        <v>0.6</v>
      </c>
      <c r="D93" s="40">
        <v>1.1363636363636364E-2</v>
      </c>
      <c r="E93" s="40">
        <f t="shared" si="3"/>
        <v>0.33539094650205764</v>
      </c>
      <c r="F93" s="40">
        <f t="shared" si="4"/>
        <v>-0.42507514929091683</v>
      </c>
      <c r="G93" s="40">
        <f t="shared" si="5"/>
        <v>3.4011973816621555</v>
      </c>
      <c r="H93" s="40">
        <f t="shared" si="5"/>
        <v>-0.51082562376599072</v>
      </c>
      <c r="I93" s="40">
        <f t="shared" si="5"/>
        <v>-4.4773368144782069</v>
      </c>
      <c r="J93" s="40"/>
    </row>
    <row r="94" spans="1:10">
      <c r="A94" s="40">
        <v>83</v>
      </c>
      <c r="B94" s="40">
        <v>30</v>
      </c>
      <c r="C94" s="40">
        <v>0.7</v>
      </c>
      <c r="D94" s="40">
        <v>1.1363636363636364E-2</v>
      </c>
      <c r="E94" s="40">
        <f t="shared" si="3"/>
        <v>0.33950617283950618</v>
      </c>
      <c r="F94" s="40">
        <f t="shared" si="4"/>
        <v>-0.41381124813983389</v>
      </c>
      <c r="G94" s="40">
        <f t="shared" si="5"/>
        <v>3.4011973816621555</v>
      </c>
      <c r="H94" s="40">
        <f t="shared" si="5"/>
        <v>-0.35667494393873245</v>
      </c>
      <c r="I94" s="40">
        <f t="shared" si="5"/>
        <v>-4.4773368144782069</v>
      </c>
      <c r="J94" s="40"/>
    </row>
    <row r="95" spans="1:10">
      <c r="A95" s="40">
        <v>84</v>
      </c>
      <c r="B95" s="40">
        <v>33</v>
      </c>
      <c r="C95" s="40">
        <v>0.74</v>
      </c>
      <c r="D95" s="40">
        <v>1.1363636363636364E-2</v>
      </c>
      <c r="E95" s="40">
        <f t="shared" si="3"/>
        <v>0.34362139917695472</v>
      </c>
      <c r="F95" s="40">
        <f t="shared" si="4"/>
        <v>-0.40259960763550051</v>
      </c>
      <c r="G95" s="40">
        <f t="shared" si="5"/>
        <v>3.4965075614664802</v>
      </c>
      <c r="H95" s="40">
        <f t="shared" si="5"/>
        <v>-0.30110509278392161</v>
      </c>
      <c r="I95" s="40">
        <f t="shared" si="5"/>
        <v>-4.4773368144782069</v>
      </c>
      <c r="J95" s="40"/>
    </row>
    <row r="96" spans="1:10">
      <c r="A96" s="40">
        <v>85</v>
      </c>
      <c r="B96" s="40">
        <v>33</v>
      </c>
      <c r="C96" s="40">
        <v>0.8</v>
      </c>
      <c r="D96" s="40">
        <v>1.2500000000000001E-2</v>
      </c>
      <c r="E96" s="40">
        <f t="shared" si="3"/>
        <v>0.34773662551440332</v>
      </c>
      <c r="F96" s="40">
        <f t="shared" si="4"/>
        <v>-0.39143834850697584</v>
      </c>
      <c r="G96" s="40">
        <f t="shared" si="5"/>
        <v>3.4965075614664802</v>
      </c>
      <c r="H96" s="40">
        <f t="shared" si="5"/>
        <v>-0.22314355131420971</v>
      </c>
      <c r="I96" s="40">
        <f t="shared" si="5"/>
        <v>-4.3820266346738812</v>
      </c>
      <c r="J96" s="40"/>
    </row>
    <row r="97" spans="1:10">
      <c r="A97" s="40">
        <v>86</v>
      </c>
      <c r="B97" s="40">
        <v>33</v>
      </c>
      <c r="C97" s="729">
        <v>0.86</v>
      </c>
      <c r="D97" s="40">
        <v>1.2784090909090908E-2</v>
      </c>
      <c r="E97" s="40">
        <f t="shared" si="3"/>
        <v>0.35185185185185186</v>
      </c>
      <c r="F97" s="40">
        <f t="shared" si="4"/>
        <v>-0.38032564176363115</v>
      </c>
      <c r="G97" s="40">
        <f t="shared" si="5"/>
        <v>3.4965075614664802</v>
      </c>
      <c r="H97" s="40">
        <f t="shared" si="5"/>
        <v>-0.15082288973458366</v>
      </c>
      <c r="I97" s="40">
        <f t="shared" si="5"/>
        <v>-4.359553778821823</v>
      </c>
      <c r="J97" s="40"/>
    </row>
    <row r="98" spans="1:10">
      <c r="A98" s="40">
        <v>87</v>
      </c>
      <c r="B98" s="40">
        <v>33</v>
      </c>
      <c r="C98" s="40">
        <v>0.9</v>
      </c>
      <c r="D98" s="40">
        <v>1.4204545454545454E-2</v>
      </c>
      <c r="E98" s="40">
        <f t="shared" si="3"/>
        <v>0.3559670781893004</v>
      </c>
      <c r="F98" s="40">
        <f t="shared" si="4"/>
        <v>-0.36925970612157277</v>
      </c>
      <c r="G98" s="40">
        <f t="shared" si="5"/>
        <v>3.4965075614664802</v>
      </c>
      <c r="H98" s="40">
        <f t="shared" si="5"/>
        <v>-0.10536051565782628</v>
      </c>
      <c r="I98" s="40">
        <f t="shared" si="5"/>
        <v>-4.2541932631639972</v>
      </c>
      <c r="J98" s="40"/>
    </row>
    <row r="99" spans="1:10">
      <c r="A99" s="40">
        <v>88</v>
      </c>
      <c r="B99" s="40">
        <v>33</v>
      </c>
      <c r="C99" s="40">
        <v>1</v>
      </c>
      <c r="D99" s="40">
        <v>1.7045454545454544E-2</v>
      </c>
      <c r="E99" s="40">
        <f t="shared" si="3"/>
        <v>0.360082304526749</v>
      </c>
      <c r="F99" s="40">
        <f t="shared" si="4"/>
        <v>-0.35823880556450793</v>
      </c>
      <c r="G99" s="40">
        <f t="shared" si="5"/>
        <v>3.4965075614664802</v>
      </c>
      <c r="H99" s="40">
        <f t="shared" si="5"/>
        <v>0</v>
      </c>
      <c r="I99" s="40">
        <f t="shared" si="5"/>
        <v>-4.0718717063700423</v>
      </c>
      <c r="J99" s="40"/>
    </row>
    <row r="100" spans="1:10">
      <c r="A100" s="40">
        <v>89</v>
      </c>
      <c r="B100" s="40">
        <v>33</v>
      </c>
      <c r="C100" s="40">
        <v>1</v>
      </c>
      <c r="D100" s="40">
        <v>1.7045454545454544E-2</v>
      </c>
      <c r="E100" s="40">
        <f t="shared" si="3"/>
        <v>0.36419753086419754</v>
      </c>
      <c r="F100" s="40">
        <f t="shared" si="4"/>
        <v>-0.34726124702971822</v>
      </c>
      <c r="G100" s="40">
        <f t="shared" si="5"/>
        <v>3.4965075614664802</v>
      </c>
      <c r="H100" s="40">
        <f t="shared" si="5"/>
        <v>0</v>
      </c>
      <c r="I100" s="40">
        <f t="shared" si="5"/>
        <v>-4.0718717063700423</v>
      </c>
      <c r="J100" s="40"/>
    </row>
    <row r="101" spans="1:10">
      <c r="A101" s="40">
        <v>90</v>
      </c>
      <c r="B101" s="40">
        <v>33</v>
      </c>
      <c r="C101" s="40">
        <v>1</v>
      </c>
      <c r="D101" s="40">
        <v>1.7045454545454544E-2</v>
      </c>
      <c r="E101" s="40">
        <f t="shared" si="3"/>
        <v>0.36831275720164608</v>
      </c>
      <c r="F101" s="40">
        <f t="shared" si="4"/>
        <v>-0.33632537821050812</v>
      </c>
      <c r="G101" s="40">
        <f t="shared" si="5"/>
        <v>3.4965075614664802</v>
      </c>
      <c r="H101" s="40">
        <f t="shared" si="5"/>
        <v>0</v>
      </c>
      <c r="I101" s="40">
        <f t="shared" si="5"/>
        <v>-4.0718717063700423</v>
      </c>
      <c r="J101" s="40"/>
    </row>
    <row r="102" spans="1:10">
      <c r="A102" s="40">
        <v>91</v>
      </c>
      <c r="B102" s="40">
        <v>33</v>
      </c>
      <c r="C102" s="40">
        <v>1</v>
      </c>
      <c r="D102" s="40">
        <v>1.8749999999999999E-2</v>
      </c>
      <c r="E102" s="40">
        <f t="shared" si="3"/>
        <v>0.37242798353909468</v>
      </c>
      <c r="F102" s="40">
        <f t="shared" si="4"/>
        <v>-0.32542958546714418</v>
      </c>
      <c r="G102" s="40">
        <f t="shared" si="5"/>
        <v>3.4965075614664802</v>
      </c>
      <c r="H102" s="40">
        <f t="shared" si="5"/>
        <v>0</v>
      </c>
      <c r="I102" s="40">
        <f t="shared" si="5"/>
        <v>-3.9765615265657175</v>
      </c>
      <c r="J102" s="40"/>
    </row>
    <row r="103" spans="1:10">
      <c r="A103" s="40">
        <v>92</v>
      </c>
      <c r="B103" s="40">
        <v>33</v>
      </c>
      <c r="C103" s="40">
        <v>1</v>
      </c>
      <c r="D103" s="40">
        <v>2.1590909090909091E-2</v>
      </c>
      <c r="E103" s="40">
        <f t="shared" si="3"/>
        <v>0.37654320987654322</v>
      </c>
      <c r="F103" s="40">
        <f t="shared" si="4"/>
        <v>-0.31457229183888502</v>
      </c>
      <c r="G103" s="40">
        <f t="shared" si="5"/>
        <v>3.4965075614664802</v>
      </c>
      <c r="H103" s="40">
        <f t="shared" si="5"/>
        <v>0</v>
      </c>
      <c r="I103" s="40">
        <f t="shared" si="5"/>
        <v>-3.8354829283058116</v>
      </c>
      <c r="J103" s="40"/>
    </row>
    <row r="104" spans="1:10">
      <c r="A104" s="40">
        <v>93</v>
      </c>
      <c r="B104" s="40">
        <v>33</v>
      </c>
      <c r="C104" s="40">
        <v>1</v>
      </c>
      <c r="D104" s="40">
        <v>2.1874999999999999E-2</v>
      </c>
      <c r="E104" s="40">
        <f t="shared" si="3"/>
        <v>0.38065843621399176</v>
      </c>
      <c r="F104" s="40">
        <f t="shared" si="4"/>
        <v>-0.30375195515023262</v>
      </c>
      <c r="G104" s="40">
        <f t="shared" si="5"/>
        <v>3.4965075614664802</v>
      </c>
      <c r="H104" s="40">
        <f t="shared" si="5"/>
        <v>0</v>
      </c>
      <c r="I104" s="40">
        <f t="shared" si="5"/>
        <v>-3.822410846738459</v>
      </c>
      <c r="J104" s="40"/>
    </row>
    <row r="105" spans="1:10">
      <c r="A105" s="40">
        <v>94</v>
      </c>
      <c r="B105" s="40">
        <v>33</v>
      </c>
      <c r="C105" s="40">
        <v>1</v>
      </c>
      <c r="D105" s="40">
        <v>2.2727272727272728E-2</v>
      </c>
      <c r="E105" s="40">
        <f t="shared" si="3"/>
        <v>0.38477366255144035</v>
      </c>
      <c r="F105" s="40">
        <f t="shared" si="4"/>
        <v>-0.29296706620503493</v>
      </c>
      <c r="G105" s="40">
        <f t="shared" si="5"/>
        <v>3.4965075614664802</v>
      </c>
      <c r="H105" s="40">
        <f t="shared" si="5"/>
        <v>0</v>
      </c>
      <c r="I105" s="40">
        <f t="shared" si="5"/>
        <v>-3.784189633918261</v>
      </c>
      <c r="J105" s="40"/>
    </row>
    <row r="106" spans="1:10">
      <c r="A106" s="40">
        <v>95</v>
      </c>
      <c r="B106" s="40">
        <v>33</v>
      </c>
      <c r="C106" s="40">
        <v>1</v>
      </c>
      <c r="D106" s="40">
        <v>2.2727272727272728E-2</v>
      </c>
      <c r="E106" s="40">
        <f t="shared" si="3"/>
        <v>0.3888888888888889</v>
      </c>
      <c r="F106" s="40">
        <f t="shared" si="4"/>
        <v>-0.28221614706250814</v>
      </c>
      <c r="G106" s="40">
        <f t="shared" si="5"/>
        <v>3.4965075614664802</v>
      </c>
      <c r="H106" s="40">
        <f t="shared" si="5"/>
        <v>0</v>
      </c>
      <c r="I106" s="40">
        <f t="shared" si="5"/>
        <v>-3.784189633918261</v>
      </c>
      <c r="J106" s="40"/>
    </row>
    <row r="107" spans="1:10">
      <c r="A107" s="40">
        <v>96</v>
      </c>
      <c r="B107" s="40">
        <v>33</v>
      </c>
      <c r="C107" s="40">
        <v>1</v>
      </c>
      <c r="D107" s="40">
        <v>2.2727272727272728E-2</v>
      </c>
      <c r="E107" s="40">
        <f t="shared" si="3"/>
        <v>0.39300411522633744</v>
      </c>
      <c r="F107" s="40">
        <f t="shared" si="4"/>
        <v>-0.27149774938965771</v>
      </c>
      <c r="G107" s="40">
        <f t="shared" si="5"/>
        <v>3.4965075614664802</v>
      </c>
      <c r="H107" s="40">
        <f t="shared" si="5"/>
        <v>0</v>
      </c>
      <c r="I107" s="40">
        <f t="shared" si="5"/>
        <v>-3.784189633918261</v>
      </c>
      <c r="J107" s="40"/>
    </row>
    <row r="108" spans="1:10">
      <c r="A108" s="40">
        <v>97</v>
      </c>
      <c r="B108" s="40">
        <v>33</v>
      </c>
      <c r="C108" s="40">
        <v>1</v>
      </c>
      <c r="D108" s="40">
        <v>2.4375000000000001E-2</v>
      </c>
      <c r="E108" s="40">
        <f t="shared" si="3"/>
        <v>0.39711934156378603</v>
      </c>
      <c r="F108" s="40">
        <f t="shared" si="4"/>
        <v>-0.26081045288495608</v>
      </c>
      <c r="G108" s="40">
        <f t="shared" si="5"/>
        <v>3.4965075614664802</v>
      </c>
      <c r="H108" s="40">
        <f t="shared" si="5"/>
        <v>0</v>
      </c>
      <c r="I108" s="40">
        <f t="shared" si="5"/>
        <v>-3.7141972620982262</v>
      </c>
      <c r="J108" s="40"/>
    </row>
    <row r="109" spans="1:10">
      <c r="A109" s="40">
        <v>98</v>
      </c>
      <c r="B109" s="40">
        <v>37</v>
      </c>
      <c r="C109" s="40">
        <v>1</v>
      </c>
      <c r="D109" s="40">
        <v>2.5000000000000001E-2</v>
      </c>
      <c r="E109" s="40">
        <f t="shared" si="3"/>
        <v>0.40123456790123457</v>
      </c>
      <c r="F109" s="40">
        <f t="shared" si="4"/>
        <v>-0.25015286376847284</v>
      </c>
      <c r="G109" s="40">
        <f t="shared" si="5"/>
        <v>3.6109179126442243</v>
      </c>
      <c r="H109" s="40">
        <f t="shared" si="5"/>
        <v>0</v>
      </c>
      <c r="I109" s="40">
        <f t="shared" si="5"/>
        <v>-3.6888794541139363</v>
      </c>
      <c r="J109" s="40"/>
    </row>
    <row r="110" spans="1:10">
      <c r="A110" s="40">
        <v>99</v>
      </c>
      <c r="B110" s="40">
        <v>40</v>
      </c>
      <c r="C110" s="40">
        <v>1</v>
      </c>
      <c r="D110" s="40">
        <v>2.5568181818181816E-2</v>
      </c>
      <c r="E110" s="40">
        <f t="shared" si="3"/>
        <v>0.40534979423868311</v>
      </c>
      <c r="F110" s="40">
        <f t="shared" si="4"/>
        <v>-0.23952361333396816</v>
      </c>
      <c r="G110" s="40">
        <f t="shared" si="5"/>
        <v>3.6888794541139363</v>
      </c>
      <c r="H110" s="40">
        <f t="shared" si="5"/>
        <v>0</v>
      </c>
      <c r="I110" s="40">
        <f t="shared" si="5"/>
        <v>-3.6664065982618776</v>
      </c>
      <c r="J110" s="40"/>
    </row>
    <row r="111" spans="1:10">
      <c r="A111" s="40">
        <v>100</v>
      </c>
      <c r="B111" s="40">
        <v>40</v>
      </c>
      <c r="C111" s="40">
        <v>1</v>
      </c>
      <c r="D111" s="40">
        <v>2.6136363636363635E-2</v>
      </c>
      <c r="E111" s="40">
        <f t="shared" si="3"/>
        <v>0.40946502057613171</v>
      </c>
      <c r="F111" s="40">
        <f t="shared" si="4"/>
        <v>-0.22892135655875159</v>
      </c>
      <c r="G111" s="40">
        <f t="shared" si="5"/>
        <v>3.6888794541139363</v>
      </c>
      <c r="H111" s="40">
        <f t="shared" si="5"/>
        <v>0</v>
      </c>
      <c r="I111" s="40">
        <f t="shared" si="5"/>
        <v>-3.6444276915431026</v>
      </c>
      <c r="J111" s="40"/>
    </row>
    <row r="112" spans="1:10">
      <c r="A112" s="40">
        <v>101</v>
      </c>
      <c r="B112" s="40">
        <v>40</v>
      </c>
      <c r="C112" s="40">
        <v>1</v>
      </c>
      <c r="D112" s="40">
        <v>2.8409090909090908E-2</v>
      </c>
      <c r="E112" s="40">
        <f t="shared" si="3"/>
        <v>0.41358024691358025</v>
      </c>
      <c r="F112" s="40">
        <f t="shared" si="4"/>
        <v>-0.21834477076736819</v>
      </c>
      <c r="G112" s="40">
        <f t="shared" si="5"/>
        <v>3.6888794541139363</v>
      </c>
      <c r="H112" s="40">
        <f t="shared" si="5"/>
        <v>0</v>
      </c>
      <c r="I112" s="40">
        <f t="shared" si="5"/>
        <v>-3.5610460826040513</v>
      </c>
      <c r="J112" s="40"/>
    </row>
    <row r="113" spans="1:10">
      <c r="A113" s="40">
        <v>102</v>
      </c>
      <c r="B113" s="40">
        <v>40</v>
      </c>
      <c r="C113" s="40">
        <v>1</v>
      </c>
      <c r="D113" s="40">
        <v>2.8409090909090908E-2</v>
      </c>
      <c r="E113" s="40">
        <f t="shared" si="3"/>
        <v>0.41769547325102879</v>
      </c>
      <c r="F113" s="40">
        <f t="shared" si="4"/>
        <v>-0.2077925543454166</v>
      </c>
      <c r="G113" s="40">
        <f t="shared" si="5"/>
        <v>3.6888794541139363</v>
      </c>
      <c r="H113" s="40">
        <f t="shared" si="5"/>
        <v>0</v>
      </c>
      <c r="I113" s="40">
        <f t="shared" si="5"/>
        <v>-3.5610460826040513</v>
      </c>
      <c r="J113" s="40"/>
    </row>
    <row r="114" spans="1:10">
      <c r="A114" s="40">
        <v>103</v>
      </c>
      <c r="B114" s="40">
        <v>50</v>
      </c>
      <c r="C114" s="40">
        <v>1</v>
      </c>
      <c r="D114" s="40">
        <v>2.8409090909090908E-2</v>
      </c>
      <c r="E114" s="40">
        <f t="shared" si="3"/>
        <v>0.42181069958847739</v>
      </c>
      <c r="F114" s="40">
        <f t="shared" si="4"/>
        <v>-0.19726342550002815</v>
      </c>
      <c r="G114" s="40">
        <f t="shared" si="5"/>
        <v>3.912023005428146</v>
      </c>
      <c r="H114" s="40">
        <f t="shared" si="5"/>
        <v>0</v>
      </c>
      <c r="I114" s="40">
        <f t="shared" si="5"/>
        <v>-3.5610460826040513</v>
      </c>
      <c r="J114" s="40"/>
    </row>
    <row r="115" spans="1:10">
      <c r="A115" s="40">
        <v>104</v>
      </c>
      <c r="B115" s="40">
        <v>50</v>
      </c>
      <c r="C115" s="40">
        <v>1</v>
      </c>
      <c r="D115" s="40">
        <v>3.0681818181818182E-2</v>
      </c>
      <c r="E115" s="40">
        <f t="shared" si="3"/>
        <v>0.42592592592592593</v>
      </c>
      <c r="F115" s="40">
        <f t="shared" si="4"/>
        <v>-0.18675612106373712</v>
      </c>
      <c r="G115" s="40">
        <f t="shared" si="5"/>
        <v>3.912023005428146</v>
      </c>
      <c r="H115" s="40">
        <f t="shared" si="5"/>
        <v>0</v>
      </c>
      <c r="I115" s="40">
        <f t="shared" si="5"/>
        <v>-3.4840850414679232</v>
      </c>
      <c r="J115" s="40"/>
    </row>
    <row r="116" spans="1:10">
      <c r="A116" s="40">
        <v>105</v>
      </c>
      <c r="B116" s="40">
        <v>50</v>
      </c>
      <c r="C116" s="40">
        <v>1</v>
      </c>
      <c r="D116" s="40">
        <v>3.125E-2</v>
      </c>
      <c r="E116" s="40">
        <f t="shared" si="3"/>
        <v>0.43004115226337447</v>
      </c>
      <c r="F116" s="40">
        <f t="shared" si="4"/>
        <v>-0.17626939533865746</v>
      </c>
      <c r="G116" s="40">
        <f t="shared" si="5"/>
        <v>3.912023005428146</v>
      </c>
      <c r="H116" s="40">
        <f t="shared" si="5"/>
        <v>0</v>
      </c>
      <c r="I116" s="40">
        <f t="shared" si="5"/>
        <v>-3.4657359027997265</v>
      </c>
      <c r="J116" s="40"/>
    </row>
    <row r="117" spans="1:10">
      <c r="A117" s="40">
        <v>106</v>
      </c>
      <c r="B117" s="40">
        <v>50</v>
      </c>
      <c r="C117" s="40">
        <v>1</v>
      </c>
      <c r="D117" s="40">
        <v>3.125E-2</v>
      </c>
      <c r="E117" s="40">
        <f t="shared" si="3"/>
        <v>0.43415637860082307</v>
      </c>
      <c r="F117" s="40">
        <f t="shared" si="4"/>
        <v>-0.16580201897805558</v>
      </c>
      <c r="G117" s="40">
        <f t="shared" si="5"/>
        <v>3.912023005428146</v>
      </c>
      <c r="H117" s="40">
        <f t="shared" si="5"/>
        <v>0</v>
      </c>
      <c r="I117" s="40">
        <f t="shared" si="5"/>
        <v>-3.4657359027997265</v>
      </c>
      <c r="J117" s="40"/>
    </row>
    <row r="118" spans="1:10">
      <c r="A118" s="40">
        <v>107</v>
      </c>
      <c r="B118" s="40">
        <v>50</v>
      </c>
      <c r="C118" s="40">
        <v>1</v>
      </c>
      <c r="D118" s="40">
        <v>3.4090909090909088E-2</v>
      </c>
      <c r="E118" s="40">
        <f t="shared" si="3"/>
        <v>0.43827160493827161</v>
      </c>
      <c r="F118" s="40">
        <f t="shared" si="4"/>
        <v>-0.15535277790256294</v>
      </c>
      <c r="G118" s="40">
        <f t="shared" si="5"/>
        <v>3.912023005428146</v>
      </c>
      <c r="H118" s="40">
        <f t="shared" si="5"/>
        <v>0</v>
      </c>
      <c r="I118" s="40">
        <f t="shared" si="5"/>
        <v>-3.3787245258100969</v>
      </c>
      <c r="J118" s="40"/>
    </row>
    <row r="119" spans="1:10">
      <c r="A119" s="40">
        <v>108</v>
      </c>
      <c r="B119" s="40">
        <v>50</v>
      </c>
      <c r="C119" s="40">
        <v>1</v>
      </c>
      <c r="D119" s="40">
        <v>3.4090909090909088E-2</v>
      </c>
      <c r="E119" s="40">
        <f t="shared" si="3"/>
        <v>0.44238683127572015</v>
      </c>
      <c r="F119" s="40">
        <f t="shared" si="4"/>
        <v>-0.14492047224841217</v>
      </c>
      <c r="G119" s="40">
        <f t="shared" si="5"/>
        <v>3.912023005428146</v>
      </c>
      <c r="H119" s="40">
        <f t="shared" si="5"/>
        <v>0</v>
      </c>
      <c r="I119" s="40">
        <f t="shared" si="5"/>
        <v>-3.3787245258100969</v>
      </c>
      <c r="J119" s="40"/>
    </row>
    <row r="120" spans="1:10">
      <c r="A120" s="40">
        <v>109</v>
      </c>
      <c r="B120" s="40">
        <v>50</v>
      </c>
      <c r="C120" s="40">
        <v>1</v>
      </c>
      <c r="D120" s="40">
        <v>3.4090909090909088E-2</v>
      </c>
      <c r="E120" s="40">
        <f t="shared" si="3"/>
        <v>0.44650205761316875</v>
      </c>
      <c r="F120" s="40">
        <f t="shared" si="4"/>
        <v>-0.13450391534521827</v>
      </c>
      <c r="G120" s="40">
        <f t="shared" si="5"/>
        <v>3.912023005428146</v>
      </c>
      <c r="H120" s="40">
        <f t="shared" si="5"/>
        <v>0</v>
      </c>
      <c r="I120" s="40">
        <f t="shared" si="5"/>
        <v>-3.3787245258100969</v>
      </c>
      <c r="J120" s="40"/>
    </row>
    <row r="121" spans="1:10">
      <c r="A121" s="40">
        <v>110</v>
      </c>
      <c r="B121" s="40">
        <v>50</v>
      </c>
      <c r="C121" s="40">
        <v>1</v>
      </c>
      <c r="D121" s="40">
        <v>3.4090909090909088E-2</v>
      </c>
      <c r="E121" s="40">
        <f t="shared" si="3"/>
        <v>0.45061728395061729</v>
      </c>
      <c r="F121" s="40">
        <f t="shared" si="4"/>
        <v>-0.12410193272093782</v>
      </c>
      <c r="G121" s="40">
        <f t="shared" si="5"/>
        <v>3.912023005428146</v>
      </c>
      <c r="H121" s="40">
        <f t="shared" si="5"/>
        <v>0</v>
      </c>
      <c r="I121" s="40">
        <f t="shared" si="5"/>
        <v>-3.3787245258100969</v>
      </c>
      <c r="J121" s="40"/>
    </row>
    <row r="122" spans="1:10">
      <c r="A122" s="40">
        <v>111</v>
      </c>
      <c r="B122" s="40">
        <v>50</v>
      </c>
      <c r="C122" s="40">
        <v>1</v>
      </c>
      <c r="D122" s="40">
        <v>3.4090909090909088E-2</v>
      </c>
      <c r="E122" s="40">
        <f t="shared" si="3"/>
        <v>0.45473251028806583</v>
      </c>
      <c r="F122" s="40">
        <f t="shared" si="4"/>
        <v>-0.11371336113175044</v>
      </c>
      <c r="G122" s="40">
        <f t="shared" si="5"/>
        <v>3.912023005428146</v>
      </c>
      <c r="H122" s="40">
        <f t="shared" si="5"/>
        <v>0</v>
      </c>
      <c r="I122" s="40">
        <f t="shared" si="5"/>
        <v>-3.3787245258100969</v>
      </c>
      <c r="J122" s="40"/>
    </row>
    <row r="123" spans="1:10">
      <c r="A123" s="40">
        <v>112</v>
      </c>
      <c r="B123" s="40">
        <v>50</v>
      </c>
      <c r="C123" s="40">
        <v>1</v>
      </c>
      <c r="D123" s="40">
        <v>3.4090909090909088E-2</v>
      </c>
      <c r="E123" s="40">
        <f t="shared" si="3"/>
        <v>0.45884773662551442</v>
      </c>
      <c r="F123" s="40">
        <f t="shared" si="4"/>
        <v>-0.10333704761470688</v>
      </c>
      <c r="G123" s="40">
        <f t="shared" si="5"/>
        <v>3.912023005428146</v>
      </c>
      <c r="H123" s="40">
        <f t="shared" si="5"/>
        <v>0</v>
      </c>
      <c r="I123" s="40">
        <f t="shared" si="5"/>
        <v>-3.3787245258100969</v>
      </c>
      <c r="J123" s="40"/>
    </row>
    <row r="124" spans="1:10">
      <c r="A124" s="40">
        <v>113</v>
      </c>
      <c r="B124" s="40">
        <v>50</v>
      </c>
      <c r="C124" s="40">
        <v>1</v>
      </c>
      <c r="D124" s="40">
        <v>3.4090909090909088E-2</v>
      </c>
      <c r="E124" s="40">
        <f t="shared" si="3"/>
        <v>0.46296296296296297</v>
      </c>
      <c r="F124" s="40">
        <f t="shared" si="4"/>
        <v>-9.2971848561073753E-2</v>
      </c>
      <c r="G124" s="40">
        <f t="shared" si="5"/>
        <v>3.912023005428146</v>
      </c>
      <c r="H124" s="40">
        <f t="shared" si="5"/>
        <v>0</v>
      </c>
      <c r="I124" s="40">
        <f t="shared" si="5"/>
        <v>-3.3787245258100969</v>
      </c>
      <c r="J124" s="40"/>
    </row>
    <row r="125" spans="1:10">
      <c r="A125" s="40">
        <v>114</v>
      </c>
      <c r="B125" s="40">
        <v>50</v>
      </c>
      <c r="C125" s="40">
        <v>1</v>
      </c>
      <c r="D125" s="40">
        <v>3.4715909090909089E-2</v>
      </c>
      <c r="E125" s="40">
        <f t="shared" si="3"/>
        <v>0.46707818930041151</v>
      </c>
      <c r="F125" s="40">
        <f t="shared" si="4"/>
        <v>-8.2616628808385245E-2</v>
      </c>
      <c r="G125" s="40">
        <f t="shared" si="5"/>
        <v>3.912023005428146</v>
      </c>
      <c r="H125" s="40">
        <f t="shared" si="5"/>
        <v>0</v>
      </c>
      <c r="I125" s="40">
        <f t="shared" si="5"/>
        <v>-3.360557221854648</v>
      </c>
      <c r="J125" s="40"/>
    </row>
    <row r="126" spans="1:10">
      <c r="A126" s="40">
        <v>115</v>
      </c>
      <c r="B126" s="40">
        <v>50</v>
      </c>
      <c r="C126" s="40">
        <v>1</v>
      </c>
      <c r="D126" s="40">
        <v>3.7499999999999999E-2</v>
      </c>
      <c r="E126" s="40">
        <f t="shared" si="3"/>
        <v>0.4711934156378601</v>
      </c>
      <c r="F126" s="40">
        <f t="shared" si="4"/>
        <v>-7.2270260749286844E-2</v>
      </c>
      <c r="G126" s="40">
        <f t="shared" si="5"/>
        <v>3.912023005428146</v>
      </c>
      <c r="H126" s="40">
        <f t="shared" si="5"/>
        <v>0</v>
      </c>
      <c r="I126" s="40">
        <f t="shared" si="5"/>
        <v>-3.2834143460057721</v>
      </c>
      <c r="J126" s="40"/>
    </row>
    <row r="127" spans="1:10">
      <c r="A127" s="40">
        <v>116</v>
      </c>
      <c r="B127" s="40">
        <v>50</v>
      </c>
      <c r="C127" s="729">
        <v>1</v>
      </c>
      <c r="D127" s="40">
        <v>3.7499999999999999E-2</v>
      </c>
      <c r="E127" s="40">
        <f t="shared" si="3"/>
        <v>0.47530864197530864</v>
      </c>
      <c r="F127" s="40">
        <f t="shared" si="4"/>
        <v>-6.1931623455317261E-2</v>
      </c>
      <c r="G127" s="40">
        <f t="shared" si="5"/>
        <v>3.912023005428146</v>
      </c>
      <c r="H127" s="40">
        <f t="shared" si="5"/>
        <v>0</v>
      </c>
      <c r="I127" s="40">
        <f t="shared" si="5"/>
        <v>-3.2834143460057721</v>
      </c>
      <c r="J127" s="40"/>
    </row>
    <row r="128" spans="1:10">
      <c r="A128" s="40">
        <v>117</v>
      </c>
      <c r="B128" s="40">
        <v>50</v>
      </c>
      <c r="C128" s="729">
        <v>1.01</v>
      </c>
      <c r="D128" s="40">
        <v>4.0909090909090909E-2</v>
      </c>
      <c r="E128" s="40">
        <f t="shared" si="3"/>
        <v>0.47942386831275718</v>
      </c>
      <c r="F128" s="40">
        <f t="shared" si="4"/>
        <v>-5.1599601813829978E-2</v>
      </c>
      <c r="G128" s="40">
        <f t="shared" si="5"/>
        <v>3.912023005428146</v>
      </c>
      <c r="H128" s="40">
        <f t="shared" si="5"/>
        <v>9.950330853168092E-3</v>
      </c>
      <c r="I128" s="40">
        <f t="shared" si="5"/>
        <v>-3.196402969016142</v>
      </c>
      <c r="J128" s="40"/>
    </row>
    <row r="129" spans="1:10">
      <c r="A129" s="40">
        <v>118</v>
      </c>
      <c r="B129" s="40">
        <v>50</v>
      </c>
      <c r="C129" s="40">
        <v>1.1000000000000001</v>
      </c>
      <c r="D129" s="40">
        <v>4.2045454545454546E-2</v>
      </c>
      <c r="E129" s="40">
        <f t="shared" si="3"/>
        <v>0.48353909465020578</v>
      </c>
      <c r="F129" s="40">
        <f t="shared" si="4"/>
        <v>-4.1273085676310224E-2</v>
      </c>
      <c r="G129" s="40">
        <f t="shared" si="5"/>
        <v>3.912023005428146</v>
      </c>
      <c r="H129" s="40">
        <f t="shared" si="5"/>
        <v>9.5310179804324935E-2</v>
      </c>
      <c r="I129" s="40">
        <f t="shared" si="5"/>
        <v>-3.1690039948280275</v>
      </c>
      <c r="J129" s="40"/>
    </row>
    <row r="130" spans="1:10">
      <c r="A130" s="40">
        <v>119</v>
      </c>
      <c r="B130" s="729">
        <v>50</v>
      </c>
      <c r="C130" s="729">
        <v>1.1200000000000001</v>
      </c>
      <c r="D130" s="40">
        <v>4.261363636363636E-2</v>
      </c>
      <c r="E130" s="40">
        <f t="shared" si="3"/>
        <v>0.48765432098765432</v>
      </c>
      <c r="F130" s="40">
        <f t="shared" si="4"/>
        <v>-3.0950969016380642E-2</v>
      </c>
      <c r="G130" s="40">
        <f t="shared" si="5"/>
        <v>3.912023005428146</v>
      </c>
      <c r="H130" s="40">
        <f t="shared" si="5"/>
        <v>0.11332868530700327</v>
      </c>
      <c r="I130" s="40">
        <f t="shared" si="5"/>
        <v>-3.1555809744958871</v>
      </c>
      <c r="J130" s="40"/>
    </row>
    <row r="131" spans="1:10">
      <c r="A131" s="40">
        <v>120</v>
      </c>
      <c r="B131" s="729">
        <v>50</v>
      </c>
      <c r="C131" s="40">
        <v>1.3</v>
      </c>
      <c r="D131" s="729">
        <v>4.8863636363636359E-2</v>
      </c>
      <c r="E131" s="40">
        <f t="shared" si="3"/>
        <v>0.49176954732510286</v>
      </c>
      <c r="F131" s="40">
        <f t="shared" si="4"/>
        <v>-2.063214909582612E-2</v>
      </c>
      <c r="G131" s="40">
        <f t="shared" si="5"/>
        <v>3.912023005428146</v>
      </c>
      <c r="H131" s="40">
        <f t="shared" si="5"/>
        <v>0.26236426446749106</v>
      </c>
      <c r="I131" s="40">
        <f t="shared" si="5"/>
        <v>-3.0187217917786899</v>
      </c>
      <c r="J131" s="40"/>
    </row>
    <row r="132" spans="1:10">
      <c r="A132" s="40">
        <v>121</v>
      </c>
      <c r="B132" s="40">
        <v>55</v>
      </c>
      <c r="C132" s="40">
        <v>1.4</v>
      </c>
      <c r="D132" s="40">
        <v>5.1136363636363633E-2</v>
      </c>
      <c r="E132" s="40">
        <f t="shared" si="3"/>
        <v>0.49588477366255146</v>
      </c>
      <c r="F132" s="40">
        <f t="shared" si="4"/>
        <v>-1.031552563700072E-2</v>
      </c>
      <c r="G132" s="40">
        <f t="shared" si="5"/>
        <v>4.0073331852324712</v>
      </c>
      <c r="H132" s="40">
        <f t="shared" si="5"/>
        <v>0.33647223662121289</v>
      </c>
      <c r="I132" s="40">
        <f t="shared" si="5"/>
        <v>-2.9732594177019327</v>
      </c>
      <c r="J132" s="40"/>
    </row>
    <row r="133" spans="1:10">
      <c r="A133" s="40">
        <v>122</v>
      </c>
      <c r="B133" s="40">
        <v>55</v>
      </c>
      <c r="C133" s="40">
        <v>1.5</v>
      </c>
      <c r="D133" s="40">
        <v>5.1136363636363633E-2</v>
      </c>
      <c r="E133" s="40">
        <f t="shared" si="3"/>
        <v>0.5</v>
      </c>
      <c r="F133" s="40">
        <f t="shared" si="4"/>
        <v>0</v>
      </c>
      <c r="G133" s="40">
        <f t="shared" si="5"/>
        <v>4.0073331852324712</v>
      </c>
      <c r="H133" s="40">
        <f t="shared" si="5"/>
        <v>0.40546510810816438</v>
      </c>
      <c r="I133" s="40">
        <f t="shared" si="5"/>
        <v>-2.9732594177019327</v>
      </c>
      <c r="J133" s="40"/>
    </row>
    <row r="134" spans="1:10">
      <c r="A134" s="40">
        <v>123</v>
      </c>
      <c r="B134" s="40">
        <v>60</v>
      </c>
      <c r="C134" s="40">
        <v>1.5</v>
      </c>
      <c r="D134" s="40">
        <v>5.6250000000000001E-2</v>
      </c>
      <c r="E134" s="40">
        <f t="shared" si="3"/>
        <v>0.50411522633744854</v>
      </c>
      <c r="F134" s="40">
        <f t="shared" si="4"/>
        <v>1.031552563700072E-2</v>
      </c>
      <c r="G134" s="40">
        <f t="shared" si="5"/>
        <v>4.0943445622221004</v>
      </c>
      <c r="H134" s="40">
        <f t="shared" si="5"/>
        <v>0.40546510810816438</v>
      </c>
      <c r="I134" s="40">
        <f t="shared" si="5"/>
        <v>-2.8779492378976075</v>
      </c>
      <c r="J134" s="40"/>
    </row>
    <row r="135" spans="1:10">
      <c r="A135" s="40">
        <v>124</v>
      </c>
      <c r="B135" s="40">
        <v>60</v>
      </c>
      <c r="C135" s="40">
        <v>1.5</v>
      </c>
      <c r="D135" s="40">
        <v>5.6818181818181816E-2</v>
      </c>
      <c r="E135" s="40">
        <f t="shared" si="3"/>
        <v>0.50823045267489708</v>
      </c>
      <c r="F135" s="40">
        <f t="shared" si="4"/>
        <v>2.0632149095825981E-2</v>
      </c>
      <c r="G135" s="40">
        <f t="shared" si="5"/>
        <v>4.0943445622221004</v>
      </c>
      <c r="H135" s="40">
        <f t="shared" si="5"/>
        <v>0.40546510810816438</v>
      </c>
      <c r="I135" s="40">
        <f t="shared" si="5"/>
        <v>-2.8678989020441059</v>
      </c>
      <c r="J135" s="40"/>
    </row>
    <row r="136" spans="1:10">
      <c r="A136" s="40">
        <v>125</v>
      </c>
      <c r="B136" s="40">
        <v>60</v>
      </c>
      <c r="C136" s="40">
        <v>1.9</v>
      </c>
      <c r="D136" s="40">
        <v>5.6818181818181816E-2</v>
      </c>
      <c r="E136" s="40">
        <f t="shared" si="3"/>
        <v>0.51234567901234573</v>
      </c>
      <c r="F136" s="40">
        <f t="shared" si="4"/>
        <v>3.0950969016380784E-2</v>
      </c>
      <c r="G136" s="40">
        <f t="shared" si="5"/>
        <v>4.0943445622221004</v>
      </c>
      <c r="H136" s="40">
        <f t="shared" si="5"/>
        <v>0.64185388617239469</v>
      </c>
      <c r="I136" s="40">
        <f t="shared" si="5"/>
        <v>-2.8678989020441059</v>
      </c>
      <c r="J136" s="40"/>
    </row>
    <row r="137" spans="1:10">
      <c r="A137" s="40">
        <v>126</v>
      </c>
      <c r="B137" s="40">
        <v>60</v>
      </c>
      <c r="C137" s="40">
        <v>2</v>
      </c>
      <c r="D137" s="40">
        <v>5.6818181818181816E-2</v>
      </c>
      <c r="E137" s="40">
        <f t="shared" si="3"/>
        <v>0.51646090534979427</v>
      </c>
      <c r="F137" s="40">
        <f t="shared" si="4"/>
        <v>4.1273085676310356E-2</v>
      </c>
      <c r="G137" s="40">
        <f t="shared" si="5"/>
        <v>4.0943445622221004</v>
      </c>
      <c r="H137" s="40">
        <f t="shared" si="5"/>
        <v>0.69314718055994529</v>
      </c>
      <c r="I137" s="40">
        <f t="shared" si="5"/>
        <v>-2.8678989020441059</v>
      </c>
      <c r="J137" s="40"/>
    </row>
    <row r="138" spans="1:10">
      <c r="A138" s="40">
        <v>127</v>
      </c>
      <c r="B138" s="40">
        <v>60</v>
      </c>
      <c r="C138" s="40">
        <v>2</v>
      </c>
      <c r="D138" s="40">
        <v>5.6818181818181816E-2</v>
      </c>
      <c r="E138" s="40">
        <f t="shared" si="3"/>
        <v>0.52057613168724282</v>
      </c>
      <c r="F138" s="40">
        <f t="shared" si="4"/>
        <v>5.1599601813829978E-2</v>
      </c>
      <c r="G138" s="40">
        <f t="shared" si="5"/>
        <v>4.0943445622221004</v>
      </c>
      <c r="H138" s="40">
        <f t="shared" si="5"/>
        <v>0.69314718055994529</v>
      </c>
      <c r="I138" s="40">
        <f t="shared" si="5"/>
        <v>-2.8678989020441059</v>
      </c>
      <c r="J138" s="40"/>
    </row>
    <row r="139" spans="1:10">
      <c r="A139" s="40">
        <v>128</v>
      </c>
      <c r="B139" s="40">
        <v>67</v>
      </c>
      <c r="C139" s="40">
        <v>2</v>
      </c>
      <c r="D139" s="40">
        <v>5.6818181818181816E-2</v>
      </c>
      <c r="E139" s="40">
        <f t="shared" si="3"/>
        <v>0.52469135802469136</v>
      </c>
      <c r="F139" s="40">
        <f t="shared" si="4"/>
        <v>6.1931623455317261E-2</v>
      </c>
      <c r="G139" s="40">
        <f t="shared" si="5"/>
        <v>4.2046926193909657</v>
      </c>
      <c r="H139" s="40">
        <f t="shared" si="5"/>
        <v>0.69314718055994529</v>
      </c>
      <c r="I139" s="40">
        <f t="shared" si="5"/>
        <v>-2.8678989020441059</v>
      </c>
      <c r="J139" s="40"/>
    </row>
    <row r="140" spans="1:10">
      <c r="A140" s="40">
        <v>129</v>
      </c>
      <c r="B140" s="40">
        <v>70</v>
      </c>
      <c r="C140" s="40">
        <v>2</v>
      </c>
      <c r="D140" s="40">
        <v>5.6818181818181816E-2</v>
      </c>
      <c r="E140" s="40">
        <f t="shared" si="3"/>
        <v>0.5288065843621399</v>
      </c>
      <c r="F140" s="40">
        <f t="shared" si="4"/>
        <v>7.2270260749286844E-2</v>
      </c>
      <c r="G140" s="40">
        <f t="shared" si="5"/>
        <v>4.2484952420493594</v>
      </c>
      <c r="H140" s="40">
        <f t="shared" si="5"/>
        <v>0.69314718055994529</v>
      </c>
      <c r="I140" s="40">
        <f t="shared" si="5"/>
        <v>-2.8678989020441059</v>
      </c>
      <c r="J140" s="40"/>
    </row>
    <row r="141" spans="1:10">
      <c r="A141" s="40">
        <v>130</v>
      </c>
      <c r="B141" s="729">
        <v>70</v>
      </c>
      <c r="C141" s="40">
        <v>2</v>
      </c>
      <c r="D141" s="40">
        <v>5.6818181818181816E-2</v>
      </c>
      <c r="E141" s="40">
        <f t="shared" ref="E141:E204" si="6">(A141-0.5)/243</f>
        <v>0.53292181069958844</v>
      </c>
      <c r="F141" s="40">
        <f t="shared" ref="F141:F204" si="7">NORMSINV(E141)</f>
        <v>8.2616628808385092E-2</v>
      </c>
      <c r="G141" s="40">
        <f t="shared" ref="G141:I204" si="8">LN(B141)</f>
        <v>4.2484952420493594</v>
      </c>
      <c r="H141" s="40">
        <f t="shared" si="8"/>
        <v>0.69314718055994529</v>
      </c>
      <c r="I141" s="40">
        <f t="shared" si="8"/>
        <v>-2.8678989020441059</v>
      </c>
      <c r="J141" s="40"/>
    </row>
    <row r="142" spans="1:10">
      <c r="A142" s="40">
        <v>131</v>
      </c>
      <c r="B142" s="40">
        <v>73</v>
      </c>
      <c r="C142" s="40">
        <v>2</v>
      </c>
      <c r="D142" s="40">
        <v>5.6818181818181816E-2</v>
      </c>
      <c r="E142" s="40">
        <f t="shared" si="6"/>
        <v>0.53703703703703709</v>
      </c>
      <c r="F142" s="40">
        <f t="shared" si="7"/>
        <v>9.2971848561073892E-2</v>
      </c>
      <c r="G142" s="40">
        <f t="shared" si="8"/>
        <v>4.290459441148391</v>
      </c>
      <c r="H142" s="40">
        <f t="shared" si="8"/>
        <v>0.69314718055994529</v>
      </c>
      <c r="I142" s="40">
        <f t="shared" si="8"/>
        <v>-2.8678989020441059</v>
      </c>
      <c r="J142" s="40"/>
    </row>
    <row r="143" spans="1:10">
      <c r="A143" s="40">
        <v>132</v>
      </c>
      <c r="B143" s="40">
        <v>75</v>
      </c>
      <c r="C143" s="40">
        <v>2</v>
      </c>
      <c r="D143" s="729">
        <v>5.6818181818181816E-2</v>
      </c>
      <c r="E143" s="40">
        <f t="shared" si="6"/>
        <v>0.54115226337448563</v>
      </c>
      <c r="F143" s="40">
        <f t="shared" si="7"/>
        <v>0.10333704761470702</v>
      </c>
      <c r="G143" s="40">
        <f t="shared" si="8"/>
        <v>4.3174881135363101</v>
      </c>
      <c r="H143" s="40">
        <f t="shared" si="8"/>
        <v>0.69314718055994529</v>
      </c>
      <c r="I143" s="40">
        <f t="shared" si="8"/>
        <v>-2.8678989020441059</v>
      </c>
      <c r="J143" s="40"/>
    </row>
    <row r="144" spans="1:10">
      <c r="A144" s="40">
        <v>133</v>
      </c>
      <c r="B144" s="40">
        <v>77</v>
      </c>
      <c r="C144" s="40">
        <v>2</v>
      </c>
      <c r="D144" s="40">
        <v>6.7045454545454547E-2</v>
      </c>
      <c r="E144" s="40">
        <f t="shared" si="6"/>
        <v>0.54526748971193417</v>
      </c>
      <c r="F144" s="40">
        <f t="shared" si="7"/>
        <v>0.11371336113175044</v>
      </c>
      <c r="G144" s="40">
        <f t="shared" si="8"/>
        <v>4.3438054218536841</v>
      </c>
      <c r="H144" s="40">
        <f t="shared" si="8"/>
        <v>0.69314718055994529</v>
      </c>
      <c r="I144" s="40">
        <f t="shared" si="8"/>
        <v>-2.7023844635665326</v>
      </c>
      <c r="J144" s="40"/>
    </row>
    <row r="145" spans="1:10">
      <c r="A145" s="40">
        <v>134</v>
      </c>
      <c r="B145" s="40">
        <v>80</v>
      </c>
      <c r="C145" s="40">
        <v>2</v>
      </c>
      <c r="D145" s="40">
        <v>6.8181818181818177E-2</v>
      </c>
      <c r="E145" s="40">
        <f t="shared" si="6"/>
        <v>0.54938271604938271</v>
      </c>
      <c r="F145" s="40">
        <f t="shared" si="7"/>
        <v>0.12410193272093782</v>
      </c>
      <c r="G145" s="40">
        <f t="shared" si="8"/>
        <v>4.3820266346738812</v>
      </c>
      <c r="H145" s="40">
        <f t="shared" si="8"/>
        <v>0.69314718055994529</v>
      </c>
      <c r="I145" s="40">
        <f t="shared" si="8"/>
        <v>-2.6855773452501515</v>
      </c>
      <c r="J145" s="40"/>
    </row>
    <row r="146" spans="1:10">
      <c r="A146" s="40">
        <v>135</v>
      </c>
      <c r="B146" s="40">
        <v>80</v>
      </c>
      <c r="C146" s="40">
        <v>2</v>
      </c>
      <c r="D146" s="40">
        <v>7.1590909090909094E-2</v>
      </c>
      <c r="E146" s="40">
        <f t="shared" si="6"/>
        <v>0.55349794238683125</v>
      </c>
      <c r="F146" s="40">
        <f t="shared" si="7"/>
        <v>0.13450391534521827</v>
      </c>
      <c r="G146" s="40">
        <f t="shared" si="8"/>
        <v>4.3820266346738812</v>
      </c>
      <c r="H146" s="40">
        <f t="shared" si="8"/>
        <v>0.69314718055994529</v>
      </c>
      <c r="I146" s="40">
        <f t="shared" si="8"/>
        <v>-2.6367871810807193</v>
      </c>
      <c r="J146" s="40"/>
    </row>
    <row r="147" spans="1:10">
      <c r="A147" s="40">
        <v>136</v>
      </c>
      <c r="B147" s="40">
        <v>80</v>
      </c>
      <c r="C147" s="40">
        <v>2</v>
      </c>
      <c r="D147" s="40">
        <v>7.2727272727272738E-2</v>
      </c>
      <c r="E147" s="40">
        <f t="shared" si="6"/>
        <v>0.5576131687242798</v>
      </c>
      <c r="F147" s="40">
        <f t="shared" si="7"/>
        <v>0.14492047224841204</v>
      </c>
      <c r="G147" s="40">
        <f t="shared" si="8"/>
        <v>4.3820266346738812</v>
      </c>
      <c r="H147" s="40">
        <f t="shared" si="8"/>
        <v>0.69314718055994529</v>
      </c>
      <c r="I147" s="40">
        <f t="shared" si="8"/>
        <v>-2.6210388241125804</v>
      </c>
      <c r="J147" s="40"/>
    </row>
    <row r="148" spans="1:10">
      <c r="A148" s="40">
        <v>137</v>
      </c>
      <c r="B148" s="40">
        <v>90</v>
      </c>
      <c r="C148" s="40">
        <v>2</v>
      </c>
      <c r="D148" s="729">
        <v>7.8409090909090901E-2</v>
      </c>
      <c r="E148" s="40">
        <f t="shared" si="6"/>
        <v>0.56172839506172845</v>
      </c>
      <c r="F148" s="40">
        <f t="shared" si="7"/>
        <v>0.15535277790256308</v>
      </c>
      <c r="G148" s="40">
        <f t="shared" si="8"/>
        <v>4.499809670330265</v>
      </c>
      <c r="H148" s="40">
        <f t="shared" si="8"/>
        <v>0.69314718055994529</v>
      </c>
      <c r="I148" s="40">
        <f t="shared" si="8"/>
        <v>-2.5458154028749931</v>
      </c>
      <c r="J148" s="40"/>
    </row>
    <row r="149" spans="1:10">
      <c r="A149" s="40">
        <v>138</v>
      </c>
      <c r="B149" s="40">
        <v>90</v>
      </c>
      <c r="C149" s="40">
        <v>2</v>
      </c>
      <c r="D149" s="40">
        <v>8.0625000000000002E-2</v>
      </c>
      <c r="E149" s="40">
        <f t="shared" si="6"/>
        <v>0.56584362139917699</v>
      </c>
      <c r="F149" s="40">
        <f t="shared" si="7"/>
        <v>0.16580201897805572</v>
      </c>
      <c r="G149" s="40">
        <f t="shared" si="8"/>
        <v>4.499809670330265</v>
      </c>
      <c r="H149" s="40">
        <f t="shared" si="8"/>
        <v>0.69314718055994529</v>
      </c>
      <c r="I149" s="40">
        <f t="shared" si="8"/>
        <v>-2.5179465038662006</v>
      </c>
      <c r="J149" s="40"/>
    </row>
    <row r="150" spans="1:10">
      <c r="A150" s="40">
        <v>139</v>
      </c>
      <c r="B150" s="40">
        <v>90</v>
      </c>
      <c r="C150" s="40">
        <v>2</v>
      </c>
      <c r="D150" s="40">
        <v>8.4090909090909091E-2</v>
      </c>
      <c r="E150" s="40">
        <f t="shared" si="6"/>
        <v>0.56995884773662553</v>
      </c>
      <c r="F150" s="40">
        <f t="shared" si="7"/>
        <v>0.17626939533865746</v>
      </c>
      <c r="G150" s="40">
        <f t="shared" si="8"/>
        <v>4.499809670330265</v>
      </c>
      <c r="H150" s="40">
        <f t="shared" si="8"/>
        <v>0.69314718055994529</v>
      </c>
      <c r="I150" s="40">
        <f t="shared" si="8"/>
        <v>-2.4758568142680826</v>
      </c>
      <c r="J150" s="40"/>
    </row>
    <row r="151" spans="1:10">
      <c r="A151" s="40">
        <v>140</v>
      </c>
      <c r="B151" s="40">
        <v>100</v>
      </c>
      <c r="C151" s="40">
        <v>2</v>
      </c>
      <c r="D151" s="40">
        <v>8.5227272727272721E-2</v>
      </c>
      <c r="E151" s="40">
        <f t="shared" si="6"/>
        <v>0.57407407407407407</v>
      </c>
      <c r="F151" s="40">
        <f t="shared" si="7"/>
        <v>0.18675612106373712</v>
      </c>
      <c r="G151" s="40">
        <f t="shared" si="8"/>
        <v>4.6051701859880918</v>
      </c>
      <c r="H151" s="40">
        <f t="shared" si="8"/>
        <v>0.69314718055994529</v>
      </c>
      <c r="I151" s="40">
        <f t="shared" si="8"/>
        <v>-2.4624337939359418</v>
      </c>
      <c r="J151" s="40"/>
    </row>
    <row r="152" spans="1:10">
      <c r="A152" s="40">
        <v>141</v>
      </c>
      <c r="B152" s="40">
        <v>100</v>
      </c>
      <c r="C152" s="40">
        <v>2</v>
      </c>
      <c r="D152" s="40">
        <v>8.5227272727272721E-2</v>
      </c>
      <c r="E152" s="40">
        <f t="shared" si="6"/>
        <v>0.57818930041152261</v>
      </c>
      <c r="F152" s="40">
        <f t="shared" si="7"/>
        <v>0.19726342550002815</v>
      </c>
      <c r="G152" s="40">
        <f t="shared" si="8"/>
        <v>4.6051701859880918</v>
      </c>
      <c r="H152" s="40">
        <f t="shared" si="8"/>
        <v>0.69314718055994529</v>
      </c>
      <c r="I152" s="40">
        <f t="shared" si="8"/>
        <v>-2.4624337939359418</v>
      </c>
      <c r="J152" s="40"/>
    </row>
    <row r="153" spans="1:10">
      <c r="A153" s="40">
        <v>142</v>
      </c>
      <c r="B153" s="40">
        <v>100</v>
      </c>
      <c r="C153" s="40">
        <v>2</v>
      </c>
      <c r="D153" s="40">
        <v>8.5227272727272721E-2</v>
      </c>
      <c r="E153" s="40">
        <f t="shared" si="6"/>
        <v>0.58230452674897115</v>
      </c>
      <c r="F153" s="40">
        <f t="shared" si="7"/>
        <v>0.20779255434541649</v>
      </c>
      <c r="G153" s="40">
        <f t="shared" si="8"/>
        <v>4.6051701859880918</v>
      </c>
      <c r="H153" s="40">
        <f t="shared" si="8"/>
        <v>0.69314718055994529</v>
      </c>
      <c r="I153" s="40">
        <f t="shared" si="8"/>
        <v>-2.4624337939359418</v>
      </c>
      <c r="J153" s="40"/>
    </row>
    <row r="154" spans="1:10">
      <c r="A154" s="40">
        <v>143</v>
      </c>
      <c r="B154" s="40">
        <v>100</v>
      </c>
      <c r="C154" s="40">
        <v>2</v>
      </c>
      <c r="D154" s="40">
        <v>8.5227272727272721E-2</v>
      </c>
      <c r="E154" s="40">
        <f t="shared" si="6"/>
        <v>0.5864197530864198</v>
      </c>
      <c r="F154" s="40">
        <f t="shared" si="7"/>
        <v>0.21834477076736838</v>
      </c>
      <c r="G154" s="40">
        <f t="shared" si="8"/>
        <v>4.6051701859880918</v>
      </c>
      <c r="H154" s="40">
        <f t="shared" si="8"/>
        <v>0.69314718055994529</v>
      </c>
      <c r="I154" s="40">
        <f t="shared" si="8"/>
        <v>-2.4624337939359418</v>
      </c>
      <c r="J154" s="40"/>
    </row>
    <row r="155" spans="1:10">
      <c r="A155" s="40">
        <v>144</v>
      </c>
      <c r="B155" s="40">
        <v>100</v>
      </c>
      <c r="C155" s="40">
        <v>2</v>
      </c>
      <c r="D155" s="40">
        <v>9.375E-2</v>
      </c>
      <c r="E155" s="40">
        <f t="shared" si="6"/>
        <v>0.59053497942386834</v>
      </c>
      <c r="F155" s="40">
        <f t="shared" si="7"/>
        <v>0.22892135655875176</v>
      </c>
      <c r="G155" s="40">
        <f t="shared" si="8"/>
        <v>4.6051701859880918</v>
      </c>
      <c r="H155" s="40">
        <f t="shared" si="8"/>
        <v>0.69314718055994529</v>
      </c>
      <c r="I155" s="40">
        <f t="shared" si="8"/>
        <v>-2.367123614131617</v>
      </c>
      <c r="J155" s="40"/>
    </row>
    <row r="156" spans="1:10">
      <c r="A156" s="40">
        <v>145</v>
      </c>
      <c r="B156" s="40">
        <v>100</v>
      </c>
      <c r="C156" s="40">
        <v>2</v>
      </c>
      <c r="D156" s="40">
        <v>0.10227272727272728</v>
      </c>
      <c r="E156" s="40">
        <f t="shared" si="6"/>
        <v>0.59465020576131689</v>
      </c>
      <c r="F156" s="40">
        <f t="shared" si="7"/>
        <v>0.23952361333396816</v>
      </c>
      <c r="G156" s="40">
        <f t="shared" si="8"/>
        <v>4.6051701859880918</v>
      </c>
      <c r="H156" s="40">
        <f t="shared" si="8"/>
        <v>0.69314718055994529</v>
      </c>
      <c r="I156" s="40">
        <f t="shared" si="8"/>
        <v>-2.2801122371419869</v>
      </c>
      <c r="J156" s="40"/>
    </row>
    <row r="157" spans="1:10">
      <c r="A157" s="40">
        <v>146</v>
      </c>
      <c r="B157" s="40">
        <v>100</v>
      </c>
      <c r="C157" s="40">
        <v>2</v>
      </c>
      <c r="D157" s="40">
        <v>0.11363636363636363</v>
      </c>
      <c r="E157" s="40">
        <f t="shared" si="6"/>
        <v>0.59876543209876543</v>
      </c>
      <c r="F157" s="40">
        <f t="shared" si="7"/>
        <v>0.25015286376847284</v>
      </c>
      <c r="G157" s="40">
        <f t="shared" si="8"/>
        <v>4.6051701859880918</v>
      </c>
      <c r="H157" s="40">
        <f t="shared" si="8"/>
        <v>0.69314718055994529</v>
      </c>
      <c r="I157" s="40">
        <f t="shared" si="8"/>
        <v>-2.174751721484161</v>
      </c>
      <c r="J157" s="40"/>
    </row>
    <row r="158" spans="1:10">
      <c r="A158" s="40">
        <v>147</v>
      </c>
      <c r="B158" s="40">
        <v>100</v>
      </c>
      <c r="C158" s="40">
        <v>2</v>
      </c>
      <c r="D158" s="40">
        <v>0.11363636363636363</v>
      </c>
      <c r="E158" s="40">
        <f t="shared" si="6"/>
        <v>0.60288065843621397</v>
      </c>
      <c r="F158" s="40">
        <f t="shared" si="7"/>
        <v>0.26081045288495608</v>
      </c>
      <c r="G158" s="40">
        <f t="shared" si="8"/>
        <v>4.6051701859880918</v>
      </c>
      <c r="H158" s="40">
        <f t="shared" si="8"/>
        <v>0.69314718055994529</v>
      </c>
      <c r="I158" s="40">
        <f t="shared" si="8"/>
        <v>-2.174751721484161</v>
      </c>
      <c r="J158" s="40"/>
    </row>
    <row r="159" spans="1:10">
      <c r="A159" s="40">
        <v>148</v>
      </c>
      <c r="B159" s="40">
        <v>100</v>
      </c>
      <c r="C159" s="40">
        <v>2</v>
      </c>
      <c r="D159" s="40">
        <v>0.11363636363636363</v>
      </c>
      <c r="E159" s="40">
        <f t="shared" si="6"/>
        <v>0.60699588477366251</v>
      </c>
      <c r="F159" s="40">
        <f t="shared" si="7"/>
        <v>0.27149774938965759</v>
      </c>
      <c r="G159" s="40">
        <f t="shared" si="8"/>
        <v>4.6051701859880918</v>
      </c>
      <c r="H159" s="40">
        <f t="shared" si="8"/>
        <v>0.69314718055994529</v>
      </c>
      <c r="I159" s="40">
        <f t="shared" si="8"/>
        <v>-2.174751721484161</v>
      </c>
      <c r="J159" s="40"/>
    </row>
    <row r="160" spans="1:10">
      <c r="A160" s="40">
        <v>149</v>
      </c>
      <c r="B160" s="40">
        <v>100</v>
      </c>
      <c r="C160" s="40">
        <v>2.0099999999999998</v>
      </c>
      <c r="D160" s="40">
        <v>0.11363636363636363</v>
      </c>
      <c r="E160" s="40">
        <f t="shared" si="6"/>
        <v>0.61111111111111116</v>
      </c>
      <c r="F160" s="40">
        <f t="shared" si="7"/>
        <v>0.28221614706250825</v>
      </c>
      <c r="G160" s="40">
        <f t="shared" si="8"/>
        <v>4.6051701859880918</v>
      </c>
      <c r="H160" s="40">
        <f t="shared" si="8"/>
        <v>0.69813472207098426</v>
      </c>
      <c r="I160" s="40">
        <f t="shared" si="8"/>
        <v>-2.174751721484161</v>
      </c>
      <c r="J160" s="40"/>
    </row>
    <row r="161" spans="1:10">
      <c r="A161" s="40">
        <v>150</v>
      </c>
      <c r="B161" s="40">
        <v>100</v>
      </c>
      <c r="C161" s="40">
        <v>2.2000000000000002</v>
      </c>
      <c r="D161" s="40">
        <v>0.12784090909090909</v>
      </c>
      <c r="E161" s="40">
        <f t="shared" si="6"/>
        <v>0.6152263374485597</v>
      </c>
      <c r="F161" s="40">
        <f t="shared" si="7"/>
        <v>0.2929670662050351</v>
      </c>
      <c r="G161" s="40">
        <f t="shared" si="8"/>
        <v>4.6051701859880918</v>
      </c>
      <c r="H161" s="40">
        <f t="shared" si="8"/>
        <v>0.78845736036427028</v>
      </c>
      <c r="I161" s="40">
        <f t="shared" si="8"/>
        <v>-2.0569686858277771</v>
      </c>
      <c r="J161" s="40"/>
    </row>
    <row r="162" spans="1:10">
      <c r="A162" s="40">
        <v>151</v>
      </c>
      <c r="B162" s="40">
        <v>100</v>
      </c>
      <c r="C162" s="40">
        <v>2.5</v>
      </c>
      <c r="D162" s="40">
        <v>0.13636363636363635</v>
      </c>
      <c r="E162" s="40">
        <f t="shared" si="6"/>
        <v>0.61934156378600824</v>
      </c>
      <c r="F162" s="40">
        <f t="shared" si="7"/>
        <v>0.30375195515023262</v>
      </c>
      <c r="G162" s="40">
        <f t="shared" si="8"/>
        <v>4.6051701859880918</v>
      </c>
      <c r="H162" s="40">
        <f t="shared" si="8"/>
        <v>0.91629073187415511</v>
      </c>
      <c r="I162" s="40">
        <f t="shared" si="8"/>
        <v>-1.9924301646902063</v>
      </c>
      <c r="J162" s="40"/>
    </row>
    <row r="163" spans="1:10">
      <c r="A163" s="40">
        <v>152</v>
      </c>
      <c r="B163" s="40">
        <v>100</v>
      </c>
      <c r="C163" s="40">
        <v>2.5</v>
      </c>
      <c r="D163" s="40">
        <v>0.13636363636363635</v>
      </c>
      <c r="E163" s="40">
        <f t="shared" si="6"/>
        <v>0.62345679012345678</v>
      </c>
      <c r="F163" s="40">
        <f t="shared" si="7"/>
        <v>0.31457229183888502</v>
      </c>
      <c r="G163" s="40">
        <f t="shared" si="8"/>
        <v>4.6051701859880918</v>
      </c>
      <c r="H163" s="40">
        <f t="shared" si="8"/>
        <v>0.91629073187415511</v>
      </c>
      <c r="I163" s="40">
        <f t="shared" si="8"/>
        <v>-1.9924301646902063</v>
      </c>
      <c r="J163" s="40"/>
    </row>
    <row r="164" spans="1:10">
      <c r="A164" s="40">
        <v>153</v>
      </c>
      <c r="B164" s="40">
        <v>100</v>
      </c>
      <c r="C164" s="40">
        <v>2.5</v>
      </c>
      <c r="D164" s="40">
        <v>0.13750000000000001</v>
      </c>
      <c r="E164" s="40">
        <f t="shared" si="6"/>
        <v>0.62757201646090532</v>
      </c>
      <c r="F164" s="40">
        <f t="shared" si="7"/>
        <v>0.32542958546714418</v>
      </c>
      <c r="G164" s="40">
        <f t="shared" si="8"/>
        <v>4.6051701859880918</v>
      </c>
      <c r="H164" s="40">
        <f t="shared" si="8"/>
        <v>0.91629073187415511</v>
      </c>
      <c r="I164" s="40">
        <f t="shared" si="8"/>
        <v>-1.984131361875511</v>
      </c>
      <c r="J164" s="40"/>
    </row>
    <row r="165" spans="1:10">
      <c r="A165" s="40">
        <v>154</v>
      </c>
      <c r="B165" s="40">
        <v>100</v>
      </c>
      <c r="C165" s="40">
        <v>2.5</v>
      </c>
      <c r="D165" s="40">
        <v>0.13875000000000001</v>
      </c>
      <c r="E165" s="40">
        <f t="shared" si="6"/>
        <v>0.63168724279835387</v>
      </c>
      <c r="F165" s="40">
        <f t="shared" si="7"/>
        <v>0.3363253782105079</v>
      </c>
      <c r="G165" s="40">
        <f t="shared" si="8"/>
        <v>4.6051701859880918</v>
      </c>
      <c r="H165" s="40">
        <f t="shared" si="8"/>
        <v>0.91629073187415511</v>
      </c>
      <c r="I165" s="40">
        <f t="shared" si="8"/>
        <v>-1.975081526355593</v>
      </c>
      <c r="J165" s="40"/>
    </row>
    <row r="166" spans="1:10">
      <c r="A166" s="40">
        <v>155</v>
      </c>
      <c r="B166" s="40">
        <v>100</v>
      </c>
      <c r="C166" s="40">
        <v>2.5</v>
      </c>
      <c r="D166" s="40">
        <v>0.14204545454545453</v>
      </c>
      <c r="E166" s="40">
        <f t="shared" si="6"/>
        <v>0.63580246913580252</v>
      </c>
      <c r="F166" s="40">
        <f t="shared" si="7"/>
        <v>0.34726124702971828</v>
      </c>
      <c r="G166" s="40">
        <f t="shared" si="8"/>
        <v>4.6051701859880918</v>
      </c>
      <c r="H166" s="40">
        <f t="shared" si="8"/>
        <v>0.91629073187415511</v>
      </c>
      <c r="I166" s="40">
        <f t="shared" si="8"/>
        <v>-1.951608170169951</v>
      </c>
      <c r="J166" s="40"/>
    </row>
    <row r="167" spans="1:10">
      <c r="A167" s="40">
        <v>156</v>
      </c>
      <c r="B167" s="40">
        <v>100</v>
      </c>
      <c r="C167" s="729">
        <v>2.66</v>
      </c>
      <c r="D167" s="40">
        <v>0.15</v>
      </c>
      <c r="E167" s="40">
        <f t="shared" si="6"/>
        <v>0.63991769547325106</v>
      </c>
      <c r="F167" s="40">
        <f t="shared" si="7"/>
        <v>0.35823880556450799</v>
      </c>
      <c r="G167" s="40">
        <f t="shared" si="8"/>
        <v>4.6051701859880918</v>
      </c>
      <c r="H167" s="40">
        <f t="shared" si="8"/>
        <v>0.97832612279360776</v>
      </c>
      <c r="I167" s="40">
        <f t="shared" si="8"/>
        <v>-1.8971199848858813</v>
      </c>
      <c r="J167" s="40"/>
    </row>
    <row r="168" spans="1:10">
      <c r="A168" s="40">
        <v>157</v>
      </c>
      <c r="B168" s="40">
        <v>100</v>
      </c>
      <c r="C168" s="729">
        <v>2.76</v>
      </c>
      <c r="D168" s="40">
        <v>0.15625</v>
      </c>
      <c r="E168" s="40">
        <f t="shared" si="6"/>
        <v>0.6440329218106996</v>
      </c>
      <c r="F168" s="40">
        <f t="shared" si="7"/>
        <v>0.36925970612157277</v>
      </c>
      <c r="G168" s="40">
        <f t="shared" si="8"/>
        <v>4.6051701859880918</v>
      </c>
      <c r="H168" s="40">
        <f t="shared" si="8"/>
        <v>1.0152306797290584</v>
      </c>
      <c r="I168" s="40">
        <f t="shared" si="8"/>
        <v>-1.8562979903656263</v>
      </c>
      <c r="J168" s="40"/>
    </row>
    <row r="169" spans="1:10">
      <c r="A169" s="40">
        <v>158</v>
      </c>
      <c r="B169" s="40">
        <v>100</v>
      </c>
      <c r="C169" s="40">
        <v>3</v>
      </c>
      <c r="D169" s="40">
        <v>0.15909090909090909</v>
      </c>
      <c r="E169" s="40">
        <f t="shared" si="6"/>
        <v>0.64814814814814814</v>
      </c>
      <c r="F169" s="40">
        <f t="shared" si="7"/>
        <v>0.38032564176363115</v>
      </c>
      <c r="G169" s="40">
        <f t="shared" si="8"/>
        <v>4.6051701859880918</v>
      </c>
      <c r="H169" s="40">
        <f t="shared" si="8"/>
        <v>1.0986122886681098</v>
      </c>
      <c r="I169" s="40">
        <f t="shared" si="8"/>
        <v>-1.8382794848629478</v>
      </c>
      <c r="J169" s="40"/>
    </row>
    <row r="170" spans="1:10">
      <c r="A170" s="40">
        <v>159</v>
      </c>
      <c r="B170" s="40">
        <v>100</v>
      </c>
      <c r="C170" s="40">
        <v>3</v>
      </c>
      <c r="D170" s="40">
        <v>0.17045454545454544</v>
      </c>
      <c r="E170" s="40">
        <f t="shared" si="6"/>
        <v>0.65226337448559668</v>
      </c>
      <c r="F170" s="40">
        <f t="shared" si="7"/>
        <v>0.39143834850697584</v>
      </c>
      <c r="G170" s="40">
        <f t="shared" si="8"/>
        <v>4.6051701859880918</v>
      </c>
      <c r="H170" s="40">
        <f t="shared" si="8"/>
        <v>1.0986122886681098</v>
      </c>
      <c r="I170" s="40">
        <f t="shared" si="8"/>
        <v>-1.7692866133759966</v>
      </c>
      <c r="J170" s="40"/>
    </row>
    <row r="171" spans="1:10">
      <c r="A171" s="40">
        <v>160</v>
      </c>
      <c r="B171" s="40">
        <v>100</v>
      </c>
      <c r="C171" s="40">
        <v>3</v>
      </c>
      <c r="D171" s="40">
        <v>0.17045454545454544</v>
      </c>
      <c r="E171" s="40">
        <f t="shared" si="6"/>
        <v>0.65637860082304522</v>
      </c>
      <c r="F171" s="40">
        <f t="shared" si="7"/>
        <v>0.4025996076355004</v>
      </c>
      <c r="G171" s="40">
        <f t="shared" si="8"/>
        <v>4.6051701859880918</v>
      </c>
      <c r="H171" s="40">
        <f t="shared" si="8"/>
        <v>1.0986122886681098</v>
      </c>
      <c r="I171" s="40">
        <f t="shared" si="8"/>
        <v>-1.7692866133759966</v>
      </c>
      <c r="J171" s="40"/>
    </row>
    <row r="172" spans="1:10">
      <c r="A172" s="40">
        <v>161</v>
      </c>
      <c r="B172" s="40">
        <v>100</v>
      </c>
      <c r="C172" s="40">
        <v>3</v>
      </c>
      <c r="D172" s="40">
        <v>0.17045454545454544</v>
      </c>
      <c r="E172" s="40">
        <f t="shared" si="6"/>
        <v>0.66049382716049387</v>
      </c>
      <c r="F172" s="40">
        <f t="shared" si="7"/>
        <v>0.41381124813983405</v>
      </c>
      <c r="G172" s="40">
        <f t="shared" si="8"/>
        <v>4.6051701859880918</v>
      </c>
      <c r="H172" s="40">
        <f t="shared" si="8"/>
        <v>1.0986122886681098</v>
      </c>
      <c r="I172" s="40">
        <f t="shared" si="8"/>
        <v>-1.7692866133759966</v>
      </c>
      <c r="J172" s="40"/>
    </row>
    <row r="173" spans="1:10">
      <c r="A173" s="40">
        <v>162</v>
      </c>
      <c r="B173" s="40">
        <v>100</v>
      </c>
      <c r="C173" s="40">
        <v>3</v>
      </c>
      <c r="D173" s="40">
        <v>0.17045454545454544</v>
      </c>
      <c r="E173" s="40">
        <f t="shared" si="6"/>
        <v>0.66460905349794241</v>
      </c>
      <c r="F173" s="40">
        <f t="shared" si="7"/>
        <v>0.42507514929091705</v>
      </c>
      <c r="G173" s="40">
        <f t="shared" si="8"/>
        <v>4.6051701859880918</v>
      </c>
      <c r="H173" s="40">
        <f t="shared" si="8"/>
        <v>1.0986122886681098</v>
      </c>
      <c r="I173" s="40">
        <f t="shared" si="8"/>
        <v>-1.7692866133759966</v>
      </c>
      <c r="J173" s="40"/>
    </row>
    <row r="174" spans="1:10">
      <c r="A174" s="40">
        <v>163</v>
      </c>
      <c r="B174" s="40">
        <v>100</v>
      </c>
      <c r="C174" s="40">
        <v>3</v>
      </c>
      <c r="D174" s="40">
        <v>0.2</v>
      </c>
      <c r="E174" s="40">
        <f t="shared" si="6"/>
        <v>0.66872427983539096</v>
      </c>
      <c r="F174" s="40">
        <f t="shared" si="7"/>
        <v>0.43639324335813162</v>
      </c>
      <c r="G174" s="40">
        <f t="shared" si="8"/>
        <v>4.6051701859880918</v>
      </c>
      <c r="H174" s="40">
        <f t="shared" si="8"/>
        <v>1.0986122886681098</v>
      </c>
      <c r="I174" s="40">
        <f t="shared" si="8"/>
        <v>-1.6094379124341003</v>
      </c>
      <c r="J174" s="40"/>
    </row>
    <row r="175" spans="1:10">
      <c r="A175" s="40">
        <v>164</v>
      </c>
      <c r="B175" s="40">
        <v>100</v>
      </c>
      <c r="C175" s="40">
        <v>3</v>
      </c>
      <c r="D175" s="40">
        <v>0.20454545454545453</v>
      </c>
      <c r="E175" s="40">
        <f t="shared" si="6"/>
        <v>0.6728395061728395</v>
      </c>
      <c r="F175" s="40">
        <f t="shared" si="7"/>
        <v>0.44776751848294888</v>
      </c>
      <c r="G175" s="40">
        <f t="shared" si="8"/>
        <v>4.6051701859880918</v>
      </c>
      <c r="H175" s="40">
        <f t="shared" si="8"/>
        <v>1.0986122886681098</v>
      </c>
      <c r="I175" s="40">
        <f t="shared" si="8"/>
        <v>-1.5869650565820419</v>
      </c>
      <c r="J175" s="40"/>
    </row>
    <row r="176" spans="1:10">
      <c r="A176" s="40">
        <v>165</v>
      </c>
      <c r="B176" s="40">
        <v>100</v>
      </c>
      <c r="C176" s="40">
        <v>3</v>
      </c>
      <c r="D176" s="40">
        <v>0.20454545454545453</v>
      </c>
      <c r="E176" s="40">
        <f t="shared" si="6"/>
        <v>0.67695473251028804</v>
      </c>
      <c r="F176" s="40">
        <f t="shared" si="7"/>
        <v>0.4592000217199913</v>
      </c>
      <c r="G176" s="40">
        <f t="shared" si="8"/>
        <v>4.6051701859880918</v>
      </c>
      <c r="H176" s="40">
        <f t="shared" si="8"/>
        <v>1.0986122886681098</v>
      </c>
      <c r="I176" s="40">
        <f t="shared" si="8"/>
        <v>-1.5869650565820419</v>
      </c>
      <c r="J176" s="40"/>
    </row>
    <row r="177" spans="1:10">
      <c r="A177" s="40">
        <v>166</v>
      </c>
      <c r="B177" s="40">
        <v>100</v>
      </c>
      <c r="C177" s="40">
        <v>3</v>
      </c>
      <c r="D177" s="40">
        <v>0.2130681818181818</v>
      </c>
      <c r="E177" s="40">
        <f t="shared" si="6"/>
        <v>0.68106995884773658</v>
      </c>
      <c r="F177" s="40">
        <f t="shared" si="7"/>
        <v>0.47069286225844953</v>
      </c>
      <c r="G177" s="40">
        <f t="shared" si="8"/>
        <v>4.6051701859880918</v>
      </c>
      <c r="H177" s="40">
        <f t="shared" si="8"/>
        <v>1.0986122886681098</v>
      </c>
      <c r="I177" s="40">
        <f t="shared" si="8"/>
        <v>-1.5461430620617869</v>
      </c>
      <c r="J177" s="40"/>
    </row>
    <row r="178" spans="1:10">
      <c r="A178" s="40">
        <v>167</v>
      </c>
      <c r="B178" s="40">
        <v>100</v>
      </c>
      <c r="C178" s="40">
        <v>3</v>
      </c>
      <c r="D178" s="40">
        <v>0.22159090909090912</v>
      </c>
      <c r="E178" s="40">
        <f t="shared" si="6"/>
        <v>0.68518518518518523</v>
      </c>
      <c r="F178" s="40">
        <f t="shared" si="7"/>
        <v>0.48224821483792335</v>
      </c>
      <c r="G178" s="40">
        <f t="shared" si="8"/>
        <v>4.6051701859880918</v>
      </c>
      <c r="H178" s="40">
        <f t="shared" si="8"/>
        <v>1.0986122886681098</v>
      </c>
      <c r="I178" s="40">
        <f t="shared" si="8"/>
        <v>-1.5069223489085053</v>
      </c>
      <c r="J178" s="40"/>
    </row>
    <row r="179" spans="1:10">
      <c r="A179" s="40">
        <v>168</v>
      </c>
      <c r="B179" s="922">
        <v>100</v>
      </c>
      <c r="C179" s="40">
        <v>3.3</v>
      </c>
      <c r="D179" s="40">
        <v>0.22500000000000001</v>
      </c>
      <c r="E179" s="40">
        <f t="shared" si="6"/>
        <v>0.68930041152263377</v>
      </c>
      <c r="F179" s="40">
        <f t="shared" si="7"/>
        <v>0.49386832337402026</v>
      </c>
      <c r="G179" s="40">
        <f t="shared" si="8"/>
        <v>4.6051701859880918</v>
      </c>
      <c r="H179" s="40">
        <f t="shared" si="8"/>
        <v>1.1939224684724346</v>
      </c>
      <c r="I179" s="40">
        <f t="shared" si="8"/>
        <v>-1.4916548767777169</v>
      </c>
      <c r="J179" s="40"/>
    </row>
    <row r="180" spans="1:10">
      <c r="A180" s="40">
        <v>169</v>
      </c>
      <c r="B180" s="729">
        <v>100</v>
      </c>
      <c r="C180" s="40">
        <v>3.33</v>
      </c>
      <c r="D180" s="40">
        <v>0.22727272727272727</v>
      </c>
      <c r="E180" s="40">
        <f t="shared" si="6"/>
        <v>0.69341563786008231</v>
      </c>
      <c r="F180" s="40">
        <f t="shared" si="7"/>
        <v>0.50555550481043754</v>
      </c>
      <c r="G180" s="40">
        <f t="shared" si="8"/>
        <v>4.6051701859880918</v>
      </c>
      <c r="H180" s="40">
        <f t="shared" si="8"/>
        <v>1.2029723039923526</v>
      </c>
      <c r="I180" s="40">
        <f t="shared" si="8"/>
        <v>-1.4816045409242156</v>
      </c>
      <c r="J180" s="40"/>
    </row>
    <row r="181" spans="1:10">
      <c r="A181" s="40">
        <v>170</v>
      </c>
      <c r="B181" s="729">
        <v>100</v>
      </c>
      <c r="C181" s="40">
        <v>3.5</v>
      </c>
      <c r="D181" s="729">
        <v>0.22954545454545455</v>
      </c>
      <c r="E181" s="40">
        <f t="shared" si="6"/>
        <v>0.69753086419753085</v>
      </c>
      <c r="F181" s="40">
        <f t="shared" si="7"/>
        <v>0.51731215321578561</v>
      </c>
      <c r="G181" s="40">
        <f t="shared" si="8"/>
        <v>4.6051701859880918</v>
      </c>
      <c r="H181" s="40">
        <f t="shared" si="8"/>
        <v>1.2527629684953681</v>
      </c>
      <c r="I181" s="40">
        <f t="shared" si="8"/>
        <v>-1.4716542100710475</v>
      </c>
      <c r="J181" s="40"/>
    </row>
    <row r="182" spans="1:10">
      <c r="A182" s="40">
        <v>171</v>
      </c>
      <c r="B182" s="729">
        <v>100</v>
      </c>
      <c r="C182" s="40">
        <v>3.57</v>
      </c>
      <c r="D182" s="40">
        <v>0.27840909090909088</v>
      </c>
      <c r="E182" s="40">
        <f t="shared" si="6"/>
        <v>0.70164609053497939</v>
      </c>
      <c r="F182" s="40">
        <f t="shared" si="7"/>
        <v>0.52914074414512802</v>
      </c>
      <c r="G182" s="40">
        <f t="shared" si="8"/>
        <v>4.6051701859880918</v>
      </c>
      <c r="H182" s="40">
        <f t="shared" si="8"/>
        <v>1.2725655957915476</v>
      </c>
      <c r="I182" s="40">
        <f t="shared" si="8"/>
        <v>-1.2786636969275254</v>
      </c>
      <c r="J182" s="40"/>
    </row>
    <row r="183" spans="1:10">
      <c r="A183" s="40">
        <v>172</v>
      </c>
      <c r="B183" s="729">
        <v>100</v>
      </c>
      <c r="C183" s="40">
        <v>3.6</v>
      </c>
      <c r="D183" s="40">
        <v>0.28409090909090912</v>
      </c>
      <c r="E183" s="40">
        <f t="shared" si="6"/>
        <v>0.70576131687242794</v>
      </c>
      <c r="F183" s="40">
        <f t="shared" si="7"/>
        <v>0.5410438392880963</v>
      </c>
      <c r="G183" s="40">
        <f t="shared" si="8"/>
        <v>4.6051701859880918</v>
      </c>
      <c r="H183" s="40">
        <f t="shared" si="8"/>
        <v>1.2809338454620642</v>
      </c>
      <c r="I183" s="40">
        <f t="shared" si="8"/>
        <v>-1.2584609896100056</v>
      </c>
      <c r="J183" s="40"/>
    </row>
    <row r="184" spans="1:10">
      <c r="A184" s="40">
        <v>173</v>
      </c>
      <c r="B184" s="40">
        <v>110</v>
      </c>
      <c r="C184" s="40">
        <v>3.6</v>
      </c>
      <c r="D184" s="40">
        <v>0.29625000000000001</v>
      </c>
      <c r="E184" s="40">
        <f t="shared" si="6"/>
        <v>0.70987654320987659</v>
      </c>
      <c r="F184" s="40">
        <f t="shared" si="7"/>
        <v>0.55302409142754982</v>
      </c>
      <c r="G184" s="40">
        <f t="shared" si="8"/>
        <v>4.7004803657924166</v>
      </c>
      <c r="H184" s="40">
        <f t="shared" si="8"/>
        <v>1.2809338454620642</v>
      </c>
      <c r="I184" s="40">
        <f t="shared" si="8"/>
        <v>-1.216551586532796</v>
      </c>
      <c r="J184" s="40"/>
    </row>
    <row r="185" spans="1:10">
      <c r="A185" s="40">
        <v>174</v>
      </c>
      <c r="B185" s="40">
        <v>110</v>
      </c>
      <c r="C185" s="40">
        <v>3.6</v>
      </c>
      <c r="D185" s="40">
        <v>0.3125</v>
      </c>
      <c r="E185" s="40">
        <f t="shared" si="6"/>
        <v>0.71399176954732513</v>
      </c>
      <c r="F185" s="40">
        <f t="shared" si="7"/>
        <v>0.56508424973508586</v>
      </c>
      <c r="G185" s="40">
        <f t="shared" si="8"/>
        <v>4.7004803657924166</v>
      </c>
      <c r="H185" s="40">
        <f t="shared" si="8"/>
        <v>1.2809338454620642</v>
      </c>
      <c r="I185" s="40">
        <f t="shared" si="8"/>
        <v>-1.1631508098056809</v>
      </c>
      <c r="J185" s="40"/>
    </row>
    <row r="186" spans="1:10">
      <c r="A186" s="40">
        <v>175</v>
      </c>
      <c r="B186" s="40">
        <v>110</v>
      </c>
      <c r="C186" s="729">
        <v>3.77</v>
      </c>
      <c r="D186" s="729">
        <v>0.32130681818181817</v>
      </c>
      <c r="E186" s="40">
        <f t="shared" si="6"/>
        <v>0.71810699588477367</v>
      </c>
      <c r="F186" s="40">
        <f t="shared" si="7"/>
        <v>0.57722716543232322</v>
      </c>
      <c r="G186" s="40">
        <f t="shared" si="8"/>
        <v>4.7004803657924166</v>
      </c>
      <c r="H186" s="40">
        <f t="shared" si="8"/>
        <v>1.3270750014599193</v>
      </c>
      <c r="I186" s="40">
        <f t="shared" si="8"/>
        <v>-1.1353587924760224</v>
      </c>
      <c r="J186" s="40"/>
    </row>
    <row r="187" spans="1:10">
      <c r="A187" s="40">
        <v>176</v>
      </c>
      <c r="B187" s="729">
        <v>125</v>
      </c>
      <c r="C187" s="40">
        <v>3.8</v>
      </c>
      <c r="D187" s="40">
        <v>0.34090909090909088</v>
      </c>
      <c r="E187" s="40">
        <f t="shared" si="6"/>
        <v>0.72222222222222221</v>
      </c>
      <c r="F187" s="40">
        <f t="shared" si="7"/>
        <v>0.58945579784977842</v>
      </c>
      <c r="G187" s="40">
        <f t="shared" si="8"/>
        <v>4.8283137373023015</v>
      </c>
      <c r="H187" s="40">
        <f t="shared" si="8"/>
        <v>1.33500106673234</v>
      </c>
      <c r="I187" s="40">
        <f t="shared" si="8"/>
        <v>-1.0761394328160512</v>
      </c>
      <c r="J187" s="40"/>
    </row>
    <row r="188" spans="1:10">
      <c r="A188" s="40">
        <v>177</v>
      </c>
      <c r="B188" s="40">
        <v>130</v>
      </c>
      <c r="C188" s="40">
        <v>4</v>
      </c>
      <c r="D188" s="40">
        <v>0.34090909090909088</v>
      </c>
      <c r="E188" s="40">
        <f t="shared" si="6"/>
        <v>0.72633744855967075</v>
      </c>
      <c r="F188" s="40">
        <f t="shared" si="7"/>
        <v>0.60177322091842655</v>
      </c>
      <c r="G188" s="40">
        <f t="shared" si="8"/>
        <v>4.8675344504555822</v>
      </c>
      <c r="H188" s="40">
        <f t="shared" si="8"/>
        <v>1.3862943611198906</v>
      </c>
      <c r="I188" s="40">
        <f t="shared" si="8"/>
        <v>-1.0761394328160512</v>
      </c>
      <c r="J188" s="40"/>
    </row>
    <row r="189" spans="1:10">
      <c r="A189" s="40">
        <v>178</v>
      </c>
      <c r="B189" s="40">
        <v>140</v>
      </c>
      <c r="C189" s="40">
        <v>4</v>
      </c>
      <c r="D189" s="40">
        <v>0.34090909090909088</v>
      </c>
      <c r="E189" s="40">
        <f t="shared" si="6"/>
        <v>0.73045267489711929</v>
      </c>
      <c r="F189" s="40">
        <f t="shared" si="7"/>
        <v>0.61418263013266772</v>
      </c>
      <c r="G189" s="40">
        <f t="shared" si="8"/>
        <v>4.9416424226093039</v>
      </c>
      <c r="H189" s="40">
        <f t="shared" si="8"/>
        <v>1.3862943611198906</v>
      </c>
      <c r="I189" s="40">
        <f t="shared" si="8"/>
        <v>-1.0761394328160512</v>
      </c>
      <c r="J189" s="40"/>
    </row>
    <row r="190" spans="1:10">
      <c r="A190" s="40">
        <v>179</v>
      </c>
      <c r="B190" s="40">
        <v>150</v>
      </c>
      <c r="C190" s="40">
        <v>4</v>
      </c>
      <c r="D190" s="40">
        <v>0.34090909090909088</v>
      </c>
      <c r="E190" s="40">
        <f t="shared" si="6"/>
        <v>0.73456790123456794</v>
      </c>
      <c r="F190" s="40">
        <f t="shared" si="7"/>
        <v>0.6266873500275072</v>
      </c>
      <c r="G190" s="40">
        <f t="shared" si="8"/>
        <v>5.0106352940962555</v>
      </c>
      <c r="H190" s="40">
        <f t="shared" si="8"/>
        <v>1.3862943611198906</v>
      </c>
      <c r="I190" s="40">
        <f t="shared" si="8"/>
        <v>-1.0761394328160512</v>
      </c>
      <c r="J190" s="40"/>
    </row>
    <row r="191" spans="1:10">
      <c r="A191" s="40">
        <v>180</v>
      </c>
      <c r="B191" s="40">
        <v>150</v>
      </c>
      <c r="C191" s="40">
        <v>4</v>
      </c>
      <c r="D191" s="40">
        <v>0.34090909090909088</v>
      </c>
      <c r="E191" s="40">
        <f t="shared" si="6"/>
        <v>0.73868312757201648</v>
      </c>
      <c r="F191" s="40">
        <f t="shared" si="7"/>
        <v>0.63929084221735377</v>
      </c>
      <c r="G191" s="40">
        <f t="shared" si="8"/>
        <v>5.0106352940962555</v>
      </c>
      <c r="H191" s="40">
        <f t="shared" si="8"/>
        <v>1.3862943611198906</v>
      </c>
      <c r="I191" s="40">
        <f t="shared" si="8"/>
        <v>-1.0761394328160512</v>
      </c>
      <c r="J191" s="40"/>
    </row>
    <row r="192" spans="1:10">
      <c r="A192" s="40">
        <v>181</v>
      </c>
      <c r="B192" s="40">
        <v>150</v>
      </c>
      <c r="C192" s="40">
        <v>4</v>
      </c>
      <c r="D192" s="40">
        <v>0.34090909090909088</v>
      </c>
      <c r="E192" s="40">
        <f t="shared" si="6"/>
        <v>0.74279835390946503</v>
      </c>
      <c r="F192" s="40">
        <f t="shared" si="7"/>
        <v>0.65199671404899062</v>
      </c>
      <c r="G192" s="40">
        <f t="shared" si="8"/>
        <v>5.0106352940962555</v>
      </c>
      <c r="H192" s="40">
        <f t="shared" si="8"/>
        <v>1.3862943611198906</v>
      </c>
      <c r="I192" s="40">
        <f t="shared" si="8"/>
        <v>-1.0761394328160512</v>
      </c>
      <c r="J192" s="40"/>
    </row>
    <row r="193" spans="1:10">
      <c r="A193" s="40">
        <v>182</v>
      </c>
      <c r="B193" s="40">
        <v>150</v>
      </c>
      <c r="C193" s="40">
        <v>4</v>
      </c>
      <c r="D193" s="40">
        <v>0.34090909090909088</v>
      </c>
      <c r="E193" s="40">
        <f t="shared" si="6"/>
        <v>0.74691358024691357</v>
      </c>
      <c r="F193" s="40">
        <f t="shared" si="7"/>
        <v>0.66480872792709123</v>
      </c>
      <c r="G193" s="40">
        <f t="shared" si="8"/>
        <v>5.0106352940962555</v>
      </c>
      <c r="H193" s="40">
        <f t="shared" si="8"/>
        <v>1.3862943611198906</v>
      </c>
      <c r="I193" s="40">
        <f t="shared" si="8"/>
        <v>-1.0761394328160512</v>
      </c>
      <c r="J193" s="40"/>
    </row>
    <row r="194" spans="1:10">
      <c r="A194" s="40">
        <v>183</v>
      </c>
      <c r="B194" s="40">
        <v>150</v>
      </c>
      <c r="C194" s="40">
        <v>4</v>
      </c>
      <c r="D194" s="729">
        <v>0.34090909090909088</v>
      </c>
      <c r="E194" s="40">
        <f t="shared" si="6"/>
        <v>0.75102880658436211</v>
      </c>
      <c r="F194" s="40">
        <f t="shared" si="7"/>
        <v>0.67773081137723878</v>
      </c>
      <c r="G194" s="40">
        <f t="shared" si="8"/>
        <v>5.0106352940962555</v>
      </c>
      <c r="H194" s="40">
        <f t="shared" si="8"/>
        <v>1.3862943611198906</v>
      </c>
      <c r="I194" s="40">
        <f t="shared" si="8"/>
        <v>-1.0761394328160512</v>
      </c>
      <c r="J194" s="40"/>
    </row>
    <row r="195" spans="1:10">
      <c r="A195" s="40">
        <v>184</v>
      </c>
      <c r="B195" s="40">
        <v>150</v>
      </c>
      <c r="C195" s="40">
        <v>4</v>
      </c>
      <c r="D195" s="40">
        <v>0.36079545454545453</v>
      </c>
      <c r="E195" s="40">
        <f t="shared" si="6"/>
        <v>0.75514403292181065</v>
      </c>
      <c r="F195" s="40">
        <f t="shared" si="7"/>
        <v>0.69076706791880538</v>
      </c>
      <c r="G195" s="40">
        <f t="shared" si="8"/>
        <v>5.0106352940962555</v>
      </c>
      <c r="H195" s="40">
        <f t="shared" si="8"/>
        <v>1.3862943611198906</v>
      </c>
      <c r="I195" s="40">
        <f t="shared" si="8"/>
        <v>-1.0194440891395058</v>
      </c>
      <c r="J195" s="40"/>
    </row>
    <row r="196" spans="1:10">
      <c r="A196" s="40">
        <v>185</v>
      </c>
      <c r="B196" s="40">
        <v>150</v>
      </c>
      <c r="C196" s="40">
        <v>4</v>
      </c>
      <c r="D196" s="729">
        <v>0.38181818181818183</v>
      </c>
      <c r="E196" s="40">
        <f t="shared" si="6"/>
        <v>0.7592592592592593</v>
      </c>
      <c r="F196" s="40">
        <f t="shared" si="7"/>
        <v>0.70392178882851375</v>
      </c>
      <c r="G196" s="40">
        <f t="shared" si="8"/>
        <v>5.0106352940962555</v>
      </c>
      <c r="H196" s="40">
        <f t="shared" si="8"/>
        <v>1.3862943611198906</v>
      </c>
      <c r="I196" s="40">
        <f t="shared" si="8"/>
        <v>-0.96281074750904783</v>
      </c>
      <c r="J196" s="40"/>
    </row>
    <row r="197" spans="1:10">
      <c r="A197" s="40">
        <v>186</v>
      </c>
      <c r="B197" s="40">
        <v>150</v>
      </c>
      <c r="C197" s="729">
        <v>4.17</v>
      </c>
      <c r="D197" s="40">
        <v>0.41477272727272729</v>
      </c>
      <c r="E197" s="40">
        <f t="shared" si="6"/>
        <v>0.76337448559670784</v>
      </c>
      <c r="F197" s="40">
        <f t="shared" si="7"/>
        <v>0.71719946588502648</v>
      </c>
      <c r="G197" s="40">
        <f t="shared" si="8"/>
        <v>5.0106352940962555</v>
      </c>
      <c r="H197" s="40">
        <f t="shared" si="8"/>
        <v>1.4279160358107101</v>
      </c>
      <c r="I197" s="40">
        <f t="shared" si="8"/>
        <v>-0.88002455388976064</v>
      </c>
      <c r="J197" s="40"/>
    </row>
    <row r="198" spans="1:10">
      <c r="A198" s="40">
        <v>187</v>
      </c>
      <c r="B198" s="40">
        <v>150</v>
      </c>
      <c r="C198" s="40">
        <v>4.3</v>
      </c>
      <c r="D198" s="729">
        <v>0.45340909090909087</v>
      </c>
      <c r="E198" s="40">
        <f t="shared" si="6"/>
        <v>0.76748971193415638</v>
      </c>
      <c r="F198" s="40">
        <f t="shared" si="7"/>
        <v>0.73060480519584381</v>
      </c>
      <c r="G198" s="40">
        <f t="shared" si="8"/>
        <v>5.0106352940962555</v>
      </c>
      <c r="H198" s="40">
        <f t="shared" si="8"/>
        <v>1.4586150226995167</v>
      </c>
      <c r="I198" s="40">
        <f t="shared" si="8"/>
        <v>-0.79096049058238882</v>
      </c>
      <c r="J198" s="40"/>
    </row>
    <row r="199" spans="1:10">
      <c r="A199" s="40">
        <v>188</v>
      </c>
      <c r="B199" s="729">
        <v>150</v>
      </c>
      <c r="C199" s="40">
        <v>4.3</v>
      </c>
      <c r="D199" s="40">
        <v>0.45454545454545453</v>
      </c>
      <c r="E199" s="40">
        <f t="shared" si="6"/>
        <v>0.77160493827160492</v>
      </c>
      <c r="F199" s="40">
        <f t="shared" si="7"/>
        <v>0.74414274222016763</v>
      </c>
      <c r="G199" s="40">
        <f t="shared" si="8"/>
        <v>5.0106352940962555</v>
      </c>
      <c r="H199" s="40">
        <f t="shared" si="8"/>
        <v>1.4586150226995167</v>
      </c>
      <c r="I199" s="40">
        <f t="shared" si="8"/>
        <v>-0.78845736036427017</v>
      </c>
      <c r="J199" s="40"/>
    </row>
    <row r="200" spans="1:10">
      <c r="A200" s="40">
        <v>189</v>
      </c>
      <c r="B200" s="729">
        <v>150</v>
      </c>
      <c r="C200" s="40">
        <v>4.5</v>
      </c>
      <c r="D200" s="40">
        <v>0.45454545454545453</v>
      </c>
      <c r="E200" s="40">
        <f t="shared" si="6"/>
        <v>0.77572016460905346</v>
      </c>
      <c r="F200" s="40">
        <f t="shared" si="7"/>
        <v>0.75781845811562798</v>
      </c>
      <c r="G200" s="40">
        <f t="shared" si="8"/>
        <v>5.0106352940962555</v>
      </c>
      <c r="H200" s="40">
        <f t="shared" si="8"/>
        <v>1.5040773967762742</v>
      </c>
      <c r="I200" s="40">
        <f t="shared" si="8"/>
        <v>-0.78845736036427017</v>
      </c>
      <c r="J200" s="40"/>
    </row>
    <row r="201" spans="1:10">
      <c r="A201" s="40">
        <v>190</v>
      </c>
      <c r="B201" s="40">
        <v>160</v>
      </c>
      <c r="C201" s="40">
        <v>4.7</v>
      </c>
      <c r="D201" s="40">
        <v>0.45454545454545459</v>
      </c>
      <c r="E201" s="40">
        <f t="shared" si="6"/>
        <v>0.77983539094650201</v>
      </c>
      <c r="F201" s="40">
        <f t="shared" si="7"/>
        <v>0.77163739755302341</v>
      </c>
      <c r="G201" s="40">
        <f t="shared" si="8"/>
        <v>5.0751738152338266</v>
      </c>
      <c r="H201" s="40">
        <f t="shared" si="8"/>
        <v>1.547562508716013</v>
      </c>
      <c r="I201" s="40">
        <f t="shared" si="8"/>
        <v>-0.78845736036427005</v>
      </c>
      <c r="J201" s="40"/>
    </row>
    <row r="202" spans="1:10">
      <c r="A202" s="40">
        <v>191</v>
      </c>
      <c r="B202" s="40">
        <v>177</v>
      </c>
      <c r="C202" s="40">
        <v>4.7</v>
      </c>
      <c r="D202" s="873">
        <v>0.47159090909090912</v>
      </c>
      <c r="E202" s="40">
        <f t="shared" si="6"/>
        <v>0.78395061728395066</v>
      </c>
      <c r="F202" s="40">
        <f t="shared" si="7"/>
        <v>0.78560528816191499</v>
      </c>
      <c r="G202" s="40">
        <f t="shared" si="8"/>
        <v>5.1761497325738288</v>
      </c>
      <c r="H202" s="40">
        <f t="shared" si="8"/>
        <v>1.547562508716013</v>
      </c>
      <c r="I202" s="40">
        <f t="shared" si="8"/>
        <v>-0.75164338724155377</v>
      </c>
      <c r="J202" s="40"/>
    </row>
    <row r="203" spans="1:10">
      <c r="A203" s="40">
        <v>192</v>
      </c>
      <c r="B203" s="40">
        <v>200</v>
      </c>
      <c r="C203" s="40">
        <v>4.9000000000000004</v>
      </c>
      <c r="D203" s="40">
        <v>0.47727272727272729</v>
      </c>
      <c r="E203" s="40">
        <f t="shared" si="6"/>
        <v>0.7880658436213992</v>
      </c>
      <c r="F203" s="40">
        <f t="shared" si="7"/>
        <v>0.79972816179145556</v>
      </c>
      <c r="G203" s="40">
        <f t="shared" si="8"/>
        <v>5.2983173665480363</v>
      </c>
      <c r="H203" s="40">
        <f t="shared" si="8"/>
        <v>1.589235205116581</v>
      </c>
      <c r="I203" s="40">
        <f t="shared" si="8"/>
        <v>-0.73966719619483812</v>
      </c>
      <c r="J203" s="40"/>
    </row>
    <row r="204" spans="1:10">
      <c r="A204" s="40">
        <v>193</v>
      </c>
      <c r="B204" s="40">
        <v>200</v>
      </c>
      <c r="C204" s="40">
        <v>5</v>
      </c>
      <c r="D204" s="729">
        <v>0.49928977272727276</v>
      </c>
      <c r="E204" s="40">
        <f t="shared" si="6"/>
        <v>0.79218106995884774</v>
      </c>
      <c r="F204" s="40">
        <f t="shared" si="7"/>
        <v>0.81401237779566393</v>
      </c>
      <c r="G204" s="40">
        <f t="shared" si="8"/>
        <v>5.2983173665480363</v>
      </c>
      <c r="H204" s="40">
        <f t="shared" si="8"/>
        <v>1.6094379124341003</v>
      </c>
      <c r="I204" s="40">
        <f t="shared" si="8"/>
        <v>-0.69456864490732273</v>
      </c>
      <c r="J204" s="40"/>
    </row>
    <row r="205" spans="1:10">
      <c r="A205" s="40">
        <v>194</v>
      </c>
      <c r="B205" s="40">
        <v>200</v>
      </c>
      <c r="C205" s="40">
        <v>5</v>
      </c>
      <c r="D205" s="40">
        <v>0.51136363636363635</v>
      </c>
      <c r="E205" s="40">
        <f t="shared" ref="E205:E254" si="9">(A205-0.5)/243</f>
        <v>0.79629629629629628</v>
      </c>
      <c r="F205" s="40">
        <f t="shared" ref="F205:F254" si="10">NORMSINV(E205)</f>
        <v>0.82846464858113456</v>
      </c>
      <c r="G205" s="40">
        <f t="shared" ref="G205:I236" si="11">LN(B205)</f>
        <v>5.2983173665480363</v>
      </c>
      <c r="H205" s="40">
        <f t="shared" si="11"/>
        <v>1.6094379124341003</v>
      </c>
      <c r="I205" s="40">
        <f t="shared" si="11"/>
        <v>-0.67067432470788668</v>
      </c>
      <c r="J205" s="40"/>
    </row>
    <row r="206" spans="1:10">
      <c r="A206" s="40">
        <v>195</v>
      </c>
      <c r="B206" s="40">
        <v>200</v>
      </c>
      <c r="C206" s="40">
        <v>5.27</v>
      </c>
      <c r="D206" s="40">
        <v>0.53409090909090906</v>
      </c>
      <c r="E206" s="40">
        <f t="shared" si="9"/>
        <v>0.80041152263374482</v>
      </c>
      <c r="F206" s="40">
        <f t="shared" si="10"/>
        <v>0.8430920676885425</v>
      </c>
      <c r="G206" s="40">
        <f t="shared" si="11"/>
        <v>5.2983173665480363</v>
      </c>
      <c r="H206" s="40">
        <f t="shared" si="11"/>
        <v>1.6620303625532709</v>
      </c>
      <c r="I206" s="40">
        <f t="shared" si="11"/>
        <v>-0.62718921276814799</v>
      </c>
      <c r="J206" s="40"/>
    </row>
    <row r="207" spans="1:10">
      <c r="A207" s="40">
        <v>196</v>
      </c>
      <c r="B207" s="40">
        <v>200</v>
      </c>
      <c r="C207" s="729">
        <v>5.78</v>
      </c>
      <c r="D207" s="40">
        <v>0.56818181818181812</v>
      </c>
      <c r="E207" s="40">
        <f t="shared" si="9"/>
        <v>0.80452674897119336</v>
      </c>
      <c r="F207" s="40">
        <f t="shared" si="10"/>
        <v>0.85790214071820192</v>
      </c>
      <c r="G207" s="40">
        <f t="shared" si="11"/>
        <v>5.2983173665480363</v>
      </c>
      <c r="H207" s="40">
        <f t="shared" si="11"/>
        <v>1.7544036826842861</v>
      </c>
      <c r="I207" s="40">
        <f t="shared" si="11"/>
        <v>-0.56531380905006057</v>
      </c>
      <c r="J207" s="40"/>
    </row>
    <row r="208" spans="1:10">
      <c r="A208" s="40">
        <v>197</v>
      </c>
      <c r="B208" s="40">
        <v>200</v>
      </c>
      <c r="C208" s="40">
        <v>5.9</v>
      </c>
      <c r="D208" s="40">
        <v>0.56818181818181812</v>
      </c>
      <c r="E208" s="40">
        <f t="shared" si="9"/>
        <v>0.80864197530864201</v>
      </c>
      <c r="F208" s="40">
        <f t="shared" si="10"/>
        <v>0.87290281945529757</v>
      </c>
      <c r="G208" s="40">
        <f t="shared" si="11"/>
        <v>5.2983173665480363</v>
      </c>
      <c r="H208" s="40">
        <f t="shared" si="11"/>
        <v>1.7749523509116738</v>
      </c>
      <c r="I208" s="40">
        <f t="shared" si="11"/>
        <v>-0.56531380905006057</v>
      </c>
      <c r="J208" s="40"/>
    </row>
    <row r="209" spans="1:10">
      <c r="A209" s="40">
        <v>198</v>
      </c>
      <c r="B209" s="40">
        <v>200</v>
      </c>
      <c r="C209" s="40">
        <v>6</v>
      </c>
      <c r="D209" s="40">
        <v>0.56818181818181812</v>
      </c>
      <c r="E209" s="40">
        <f t="shared" si="9"/>
        <v>0.81275720164609055</v>
      </c>
      <c r="F209" s="40">
        <f t="shared" si="10"/>
        <v>0.88810253960355767</v>
      </c>
      <c r="G209" s="40">
        <f t="shared" si="11"/>
        <v>5.2983173665480363</v>
      </c>
      <c r="H209" s="40">
        <f t="shared" si="11"/>
        <v>1.791759469228055</v>
      </c>
      <c r="I209" s="40">
        <f t="shared" si="11"/>
        <v>-0.56531380905006057</v>
      </c>
      <c r="J209" s="40"/>
    </row>
    <row r="210" spans="1:10">
      <c r="A210" s="40">
        <v>199</v>
      </c>
      <c r="B210" s="40">
        <v>200</v>
      </c>
      <c r="C210" s="40">
        <v>6</v>
      </c>
      <c r="D210" s="40">
        <v>0.56818181818181823</v>
      </c>
      <c r="E210" s="40">
        <f t="shared" si="9"/>
        <v>0.8168724279835391</v>
      </c>
      <c r="F210" s="40">
        <f t="shared" si="10"/>
        <v>0.90351026259865719</v>
      </c>
      <c r="G210" s="40">
        <f t="shared" si="11"/>
        <v>5.2983173665480363</v>
      </c>
      <c r="H210" s="40">
        <f t="shared" si="11"/>
        <v>1.791759469228055</v>
      </c>
      <c r="I210" s="40">
        <f t="shared" si="11"/>
        <v>-0.56531380905006035</v>
      </c>
      <c r="J210" s="40"/>
    </row>
    <row r="211" spans="1:10">
      <c r="A211" s="40">
        <v>200</v>
      </c>
      <c r="B211" s="40">
        <v>200</v>
      </c>
      <c r="C211" s="40">
        <v>6</v>
      </c>
      <c r="D211" s="729">
        <v>0.58028409090909094</v>
      </c>
      <c r="E211" s="40">
        <f t="shared" si="9"/>
        <v>0.82098765432098764</v>
      </c>
      <c r="F211" s="40">
        <f t="shared" si="10"/>
        <v>0.91913552204621074</v>
      </c>
      <c r="G211" s="40">
        <f t="shared" si="11"/>
        <v>5.2983173665480363</v>
      </c>
      <c r="H211" s="40">
        <f t="shared" si="11"/>
        <v>1.791759469228055</v>
      </c>
      <c r="I211" s="40">
        <f t="shared" si="11"/>
        <v>-0.54423748344814415</v>
      </c>
      <c r="J211" s="40"/>
    </row>
    <row r="212" spans="1:10">
      <c r="A212" s="40">
        <v>201</v>
      </c>
      <c r="B212" s="40">
        <v>200</v>
      </c>
      <c r="C212" s="729">
        <v>6</v>
      </c>
      <c r="D212" s="40">
        <v>0.58750000000000002</v>
      </c>
      <c r="E212" s="40">
        <f t="shared" si="9"/>
        <v>0.82510288065843618</v>
      </c>
      <c r="F212" s="40">
        <f t="shared" si="10"/>
        <v>0.93498847541645724</v>
      </c>
      <c r="G212" s="40">
        <f t="shared" si="11"/>
        <v>5.2983173665480363</v>
      </c>
      <c r="H212" s="40">
        <f t="shared" si="11"/>
        <v>1.791759469228055</v>
      </c>
      <c r="I212" s="40">
        <f t="shared" si="11"/>
        <v>-0.531879032963823</v>
      </c>
      <c r="J212" s="40"/>
    </row>
    <row r="213" spans="1:10">
      <c r="A213" s="40">
        <v>202</v>
      </c>
      <c r="B213" s="40">
        <v>200</v>
      </c>
      <c r="C213" s="40">
        <v>6.01</v>
      </c>
      <c r="D213" s="40">
        <v>0.61960227272727264</v>
      </c>
      <c r="E213" s="40">
        <f t="shared" si="9"/>
        <v>0.82921810699588472</v>
      </c>
      <c r="F213" s="40">
        <f t="shared" si="10"/>
        <v>0.95107996173116438</v>
      </c>
      <c r="G213" s="40">
        <f t="shared" si="11"/>
        <v>5.2983173665480363</v>
      </c>
      <c r="H213" s="40">
        <f t="shared" si="11"/>
        <v>1.7934247485471162</v>
      </c>
      <c r="I213" s="40">
        <f t="shared" si="11"/>
        <v>-0.47867750239051388</v>
      </c>
      <c r="J213" s="40"/>
    </row>
    <row r="214" spans="1:10">
      <c r="A214" s="40">
        <v>203</v>
      </c>
      <c r="B214" s="729">
        <v>200</v>
      </c>
      <c r="C214" s="40">
        <v>6.25</v>
      </c>
      <c r="D214" s="40">
        <v>0.63636363636363635</v>
      </c>
      <c r="E214" s="40">
        <f t="shared" si="9"/>
        <v>0.83333333333333337</v>
      </c>
      <c r="F214" s="40">
        <f t="shared" si="10"/>
        <v>0.96742156610170071</v>
      </c>
      <c r="G214" s="40">
        <f t="shared" si="11"/>
        <v>5.2983173665480363</v>
      </c>
      <c r="H214" s="40">
        <f t="shared" si="11"/>
        <v>1.8325814637483102</v>
      </c>
      <c r="I214" s="40">
        <f t="shared" si="11"/>
        <v>-0.45198512374305727</v>
      </c>
      <c r="J214" s="40"/>
    </row>
    <row r="215" spans="1:10">
      <c r="A215" s="40">
        <v>204</v>
      </c>
      <c r="B215" s="40">
        <v>210</v>
      </c>
      <c r="C215" s="40">
        <v>6.4</v>
      </c>
      <c r="D215" s="40">
        <v>0.65340909090909094</v>
      </c>
      <c r="E215" s="40">
        <f t="shared" si="9"/>
        <v>0.83744855967078191</v>
      </c>
      <c r="F215" s="40">
        <f t="shared" si="10"/>
        <v>0.98402569212497448</v>
      </c>
      <c r="G215" s="40">
        <f t="shared" si="11"/>
        <v>5.3471075307174685</v>
      </c>
      <c r="H215" s="40">
        <f t="shared" si="11"/>
        <v>1.8562979903656263</v>
      </c>
      <c r="I215" s="40">
        <f t="shared" si="11"/>
        <v>-0.42555186667490169</v>
      </c>
      <c r="J215" s="40"/>
    </row>
    <row r="216" spans="1:10">
      <c r="A216" s="40">
        <v>205</v>
      </c>
      <c r="B216" s="40">
        <v>250</v>
      </c>
      <c r="C216" s="40">
        <v>7</v>
      </c>
      <c r="D216" s="40">
        <v>0.65477272727272728</v>
      </c>
      <c r="E216" s="40">
        <f t="shared" si="9"/>
        <v>0.84156378600823045</v>
      </c>
      <c r="F216" s="40">
        <f t="shared" si="10"/>
        <v>1.0009056433214076</v>
      </c>
      <c r="G216" s="40">
        <f t="shared" si="11"/>
        <v>5.521460917862246</v>
      </c>
      <c r="H216" s="40">
        <f t="shared" si="11"/>
        <v>1.9459101490553132</v>
      </c>
      <c r="I216" s="40">
        <f t="shared" si="11"/>
        <v>-0.42346708482182405</v>
      </c>
      <c r="J216" s="40"/>
    </row>
    <row r="217" spans="1:10">
      <c r="A217" s="40">
        <v>206</v>
      </c>
      <c r="B217" s="40">
        <v>250</v>
      </c>
      <c r="C217" s="40">
        <v>7</v>
      </c>
      <c r="D217" s="729">
        <v>0.65681818181818186</v>
      </c>
      <c r="E217" s="40">
        <f t="shared" si="9"/>
        <v>0.84567901234567899</v>
      </c>
      <c r="F217" s="40">
        <f t="shared" si="10"/>
        <v>1.0180757150135895</v>
      </c>
      <c r="G217" s="40">
        <f t="shared" si="11"/>
        <v>5.521460917862246</v>
      </c>
      <c r="H217" s="40">
        <f t="shared" si="11"/>
        <v>1.9459101490553132</v>
      </c>
      <c r="I217" s="40">
        <f t="shared" si="11"/>
        <v>-0.42034803879987465</v>
      </c>
      <c r="J217" s="40"/>
    </row>
    <row r="218" spans="1:10">
      <c r="A218" s="40">
        <v>207</v>
      </c>
      <c r="B218" s="40">
        <v>250</v>
      </c>
      <c r="C218" s="729">
        <v>7.03</v>
      </c>
      <c r="D218" s="729">
        <v>0.66107954545454539</v>
      </c>
      <c r="E218" s="40">
        <f t="shared" si="9"/>
        <v>0.84979423868312753</v>
      </c>
      <c r="F218" s="40">
        <f t="shared" si="10"/>
        <v>1.0355512983042106</v>
      </c>
      <c r="G218" s="40">
        <f t="shared" si="11"/>
        <v>5.521460917862246</v>
      </c>
      <c r="H218" s="40">
        <f t="shared" si="11"/>
        <v>1.9501867058225735</v>
      </c>
      <c r="I218" s="40">
        <f t="shared" si="11"/>
        <v>-0.41388110528985111</v>
      </c>
      <c r="J218" s="40"/>
    </row>
    <row r="219" spans="1:10">
      <c r="A219" s="40">
        <v>208</v>
      </c>
      <c r="B219" s="40">
        <v>275</v>
      </c>
      <c r="C219" s="40">
        <v>7.27</v>
      </c>
      <c r="D219" s="40">
        <v>0.70397727272727273</v>
      </c>
      <c r="E219" s="40">
        <f t="shared" si="9"/>
        <v>0.85390946502057619</v>
      </c>
      <c r="F219" s="40">
        <f t="shared" si="10"/>
        <v>1.0533489981289517</v>
      </c>
      <c r="G219" s="40">
        <f t="shared" si="11"/>
        <v>5.6167710976665717</v>
      </c>
      <c r="H219" s="40">
        <f t="shared" si="11"/>
        <v>1.9837562915454279</v>
      </c>
      <c r="I219" s="40">
        <f t="shared" si="11"/>
        <v>-0.351009206403055</v>
      </c>
      <c r="J219" s="40"/>
    </row>
    <row r="220" spans="1:10">
      <c r="A220" s="40">
        <v>209</v>
      </c>
      <c r="B220" s="40">
        <v>300</v>
      </c>
      <c r="C220" s="40">
        <v>7.3</v>
      </c>
      <c r="D220" s="40">
        <v>0.71022727272727271</v>
      </c>
      <c r="E220" s="40">
        <f t="shared" si="9"/>
        <v>0.85802469135802473</v>
      </c>
      <c r="F220" s="40">
        <f t="shared" si="10"/>
        <v>1.071486767748316</v>
      </c>
      <c r="G220" s="40">
        <f t="shared" si="11"/>
        <v>5.7037824746562009</v>
      </c>
      <c r="H220" s="40">
        <f t="shared" si="11"/>
        <v>1.9878743481543455</v>
      </c>
      <c r="I220" s="40">
        <f t="shared" si="11"/>
        <v>-0.34217025773585069</v>
      </c>
      <c r="J220" s="40"/>
    </row>
    <row r="221" spans="1:10">
      <c r="A221" s="40">
        <v>210</v>
      </c>
      <c r="B221" s="40">
        <v>300</v>
      </c>
      <c r="C221" s="40">
        <v>7.4</v>
      </c>
      <c r="D221" s="729">
        <v>0.73210227272727268</v>
      </c>
      <c r="E221" s="40">
        <f t="shared" si="9"/>
        <v>0.86213991769547327</v>
      </c>
      <c r="F221" s="40">
        <f t="shared" si="10"/>
        <v>1.0899840625208512</v>
      </c>
      <c r="G221" s="40">
        <f t="shared" si="11"/>
        <v>5.7037824746562009</v>
      </c>
      <c r="H221" s="40">
        <f t="shared" si="11"/>
        <v>2.0014800002101243</v>
      </c>
      <c r="I221" s="40">
        <f t="shared" si="11"/>
        <v>-0.31183505793977778</v>
      </c>
      <c r="J221" s="40"/>
    </row>
    <row r="222" spans="1:10">
      <c r="A222" s="40">
        <v>211</v>
      </c>
      <c r="B222" s="40">
        <v>300</v>
      </c>
      <c r="C222" s="40">
        <v>8</v>
      </c>
      <c r="D222" s="40">
        <v>0.79545454545454541</v>
      </c>
      <c r="E222" s="40">
        <f t="shared" si="9"/>
        <v>0.86625514403292181</v>
      </c>
      <c r="F222" s="40">
        <f t="shared" si="10"/>
        <v>1.1088620163928995</v>
      </c>
      <c r="G222" s="40">
        <f t="shared" si="11"/>
        <v>5.7037824746562009</v>
      </c>
      <c r="H222" s="40">
        <f t="shared" si="11"/>
        <v>2.0794415416798357</v>
      </c>
      <c r="I222" s="40">
        <f t="shared" si="11"/>
        <v>-0.22884157242884753</v>
      </c>
      <c r="J222" s="40"/>
    </row>
    <row r="223" spans="1:10">
      <c r="A223" s="40">
        <v>212</v>
      </c>
      <c r="B223" s="40">
        <v>300</v>
      </c>
      <c r="C223" s="874">
        <v>8.3000000000000007</v>
      </c>
      <c r="D223" s="40">
        <v>0.8</v>
      </c>
      <c r="E223" s="40">
        <f t="shared" si="9"/>
        <v>0.87037037037037035</v>
      </c>
      <c r="F223" s="40">
        <f t="shared" si="10"/>
        <v>1.1281436452787641</v>
      </c>
      <c r="G223" s="40">
        <f t="shared" si="11"/>
        <v>5.7037824746562009</v>
      </c>
      <c r="H223" s="40">
        <f t="shared" si="11"/>
        <v>2.1162555148025524</v>
      </c>
      <c r="I223" s="40">
        <f t="shared" si="11"/>
        <v>-0.22314355131420971</v>
      </c>
      <c r="J223" s="40"/>
    </row>
    <row r="224" spans="1:10">
      <c r="A224" s="40">
        <v>213</v>
      </c>
      <c r="B224" s="40">
        <v>300</v>
      </c>
      <c r="C224" s="729">
        <v>8.59</v>
      </c>
      <c r="D224" s="40">
        <v>0.81</v>
      </c>
      <c r="E224" s="40">
        <f t="shared" si="9"/>
        <v>0.87448559670781889</v>
      </c>
      <c r="F224" s="40">
        <f t="shared" si="10"/>
        <v>1.1478540824317975</v>
      </c>
      <c r="G224" s="40">
        <f t="shared" si="11"/>
        <v>5.7037824746562009</v>
      </c>
      <c r="H224" s="40">
        <f t="shared" si="11"/>
        <v>2.150598735996164</v>
      </c>
      <c r="I224" s="40">
        <f t="shared" si="11"/>
        <v>-0.21072103131565253</v>
      </c>
      <c r="J224" s="40"/>
    </row>
    <row r="225" spans="1:10">
      <c r="A225" s="40">
        <v>214</v>
      </c>
      <c r="B225" s="40">
        <v>300</v>
      </c>
      <c r="C225" s="729">
        <v>8.93</v>
      </c>
      <c r="D225" s="40">
        <v>0.83250000000000002</v>
      </c>
      <c r="E225" s="40">
        <f t="shared" si="9"/>
        <v>0.87860082304526754</v>
      </c>
      <c r="F225" s="40">
        <f t="shared" si="10"/>
        <v>1.1680208520770821</v>
      </c>
      <c r="G225" s="40">
        <f t="shared" si="11"/>
        <v>5.7037824746562009</v>
      </c>
      <c r="H225" s="40">
        <f t="shared" si="11"/>
        <v>2.1894163948884078</v>
      </c>
      <c r="I225" s="40">
        <f t="shared" si="11"/>
        <v>-0.18332205712753813</v>
      </c>
      <c r="J225" s="40"/>
    </row>
    <row r="226" spans="1:10">
      <c r="A226" s="40">
        <v>215</v>
      </c>
      <c r="B226" s="729">
        <v>300</v>
      </c>
      <c r="C226" s="40">
        <v>9</v>
      </c>
      <c r="D226" s="40">
        <v>0.89829545454545445</v>
      </c>
      <c r="E226" s="40">
        <f t="shared" si="9"/>
        <v>0.88271604938271608</v>
      </c>
      <c r="F226" s="40">
        <f t="shared" si="10"/>
        <v>1.1886741890646779</v>
      </c>
      <c r="G226" s="40">
        <f t="shared" si="11"/>
        <v>5.7037824746562009</v>
      </c>
      <c r="H226" s="40">
        <f t="shared" si="11"/>
        <v>2.1972245773362196</v>
      </c>
      <c r="I226" s="40">
        <f t="shared" si="11"/>
        <v>-0.10725625082272555</v>
      </c>
      <c r="J226" s="40"/>
    </row>
    <row r="227" spans="1:10">
      <c r="A227" s="40">
        <v>216</v>
      </c>
      <c r="B227" s="729">
        <v>300</v>
      </c>
      <c r="C227" s="40">
        <v>10</v>
      </c>
      <c r="D227" s="729">
        <v>0.9363636363636364</v>
      </c>
      <c r="E227" s="40">
        <f t="shared" si="9"/>
        <v>0.88683127572016462</v>
      </c>
      <c r="F227" s="40">
        <f t="shared" si="10"/>
        <v>1.2098474142099354</v>
      </c>
      <c r="G227" s="40">
        <f t="shared" si="11"/>
        <v>5.7037824746562009</v>
      </c>
      <c r="H227" s="40">
        <f t="shared" si="11"/>
        <v>2.3025850929940459</v>
      </c>
      <c r="I227" s="40">
        <f t="shared" si="11"/>
        <v>-6.5751377562780419E-2</v>
      </c>
      <c r="J227" s="40"/>
    </row>
    <row r="228" spans="1:10">
      <c r="A228" s="40">
        <v>217</v>
      </c>
      <c r="B228" s="40">
        <v>333</v>
      </c>
      <c r="C228" s="40">
        <v>10</v>
      </c>
      <c r="D228" s="40">
        <v>0.9375</v>
      </c>
      <c r="E228" s="40">
        <f t="shared" si="9"/>
        <v>0.89094650205761317</v>
      </c>
      <c r="F228" s="40">
        <f t="shared" si="10"/>
        <v>1.2315773774519712</v>
      </c>
      <c r="G228" s="40">
        <f t="shared" si="11"/>
        <v>5.8081424899804439</v>
      </c>
      <c r="H228" s="40">
        <f t="shared" si="11"/>
        <v>2.3025850929940459</v>
      </c>
      <c r="I228" s="40">
        <f t="shared" si="11"/>
        <v>-6.4538521137571178E-2</v>
      </c>
      <c r="J228" s="40"/>
    </row>
    <row r="229" spans="1:10">
      <c r="A229" s="40">
        <v>218</v>
      </c>
      <c r="B229" s="40">
        <v>350</v>
      </c>
      <c r="C229" s="40">
        <v>10</v>
      </c>
      <c r="D229" s="729">
        <v>0.94772727272727264</v>
      </c>
      <c r="E229" s="40">
        <f t="shared" si="9"/>
        <v>0.89506172839506171</v>
      </c>
      <c r="F229" s="40">
        <f t="shared" si="10"/>
        <v>1.2539049841737089</v>
      </c>
      <c r="G229" s="40">
        <f t="shared" si="11"/>
        <v>5.857933154483459</v>
      </c>
      <c r="H229" s="40">
        <f t="shared" si="11"/>
        <v>2.3025850929940459</v>
      </c>
      <c r="I229" s="40">
        <f t="shared" si="11"/>
        <v>-5.3688505113505487E-2</v>
      </c>
      <c r="J229" s="40"/>
    </row>
    <row r="230" spans="1:10">
      <c r="A230" s="40">
        <v>219</v>
      </c>
      <c r="B230" s="729">
        <v>400</v>
      </c>
      <c r="C230" s="40">
        <v>10</v>
      </c>
      <c r="D230" s="40">
        <v>1.075</v>
      </c>
      <c r="E230" s="40">
        <f t="shared" si="9"/>
        <v>0.89917695473251025</v>
      </c>
      <c r="F230" s="40">
        <f t="shared" si="10"/>
        <v>1.27687582425257</v>
      </c>
      <c r="G230" s="40">
        <f t="shared" si="11"/>
        <v>5.9914645471079817</v>
      </c>
      <c r="H230" s="40">
        <f t="shared" si="11"/>
        <v>2.3025850929940459</v>
      </c>
      <c r="I230" s="40">
        <f t="shared" si="11"/>
        <v>7.2320661579626078E-2</v>
      </c>
      <c r="J230" s="40"/>
    </row>
    <row r="231" spans="1:10">
      <c r="A231" s="40">
        <v>220</v>
      </c>
      <c r="B231" s="729">
        <v>400</v>
      </c>
      <c r="C231" s="40">
        <v>10</v>
      </c>
      <c r="D231" s="40">
        <v>1.1931818181818181</v>
      </c>
      <c r="E231" s="40">
        <f t="shared" si="9"/>
        <v>0.9032921810699589</v>
      </c>
      <c r="F231" s="40">
        <f t="shared" si="10"/>
        <v>1.3005409290255749</v>
      </c>
      <c r="G231" s="40">
        <f t="shared" si="11"/>
        <v>5.9914645471079817</v>
      </c>
      <c r="H231" s="40">
        <f t="shared" si="11"/>
        <v>2.3025850929940459</v>
      </c>
      <c r="I231" s="40">
        <f t="shared" si="11"/>
        <v>0.17662353567931685</v>
      </c>
      <c r="J231" s="40"/>
    </row>
    <row r="232" spans="1:10">
      <c r="A232" s="40">
        <v>221</v>
      </c>
      <c r="B232" s="40">
        <v>440</v>
      </c>
      <c r="C232" s="40">
        <v>10.34</v>
      </c>
      <c r="D232" s="40">
        <v>1.2250000000000001</v>
      </c>
      <c r="E232" s="40">
        <f t="shared" si="9"/>
        <v>0.90740740740740744</v>
      </c>
      <c r="F232" s="40">
        <f t="shared" si="10"/>
        <v>1.3249576888929773</v>
      </c>
      <c r="G232" s="40">
        <f t="shared" si="11"/>
        <v>6.0867747269123065</v>
      </c>
      <c r="H232" s="40">
        <f t="shared" si="11"/>
        <v>2.3360198690802831</v>
      </c>
      <c r="I232" s="40">
        <f t="shared" si="11"/>
        <v>0.20294084399669038</v>
      </c>
      <c r="J232" s="40"/>
    </row>
    <row r="233" spans="1:10">
      <c r="A233" s="40">
        <v>222</v>
      </c>
      <c r="B233" s="40">
        <v>440</v>
      </c>
      <c r="C233" s="40">
        <v>10.7</v>
      </c>
      <c r="D233" s="40">
        <v>1.4204545454545456</v>
      </c>
      <c r="E233" s="40">
        <f t="shared" si="9"/>
        <v>0.91152263374485598</v>
      </c>
      <c r="F233" s="40">
        <f t="shared" si="10"/>
        <v>1.3501909745292517</v>
      </c>
      <c r="G233" s="40">
        <f t="shared" si="11"/>
        <v>6.0867747269123065</v>
      </c>
      <c r="H233" s="40">
        <f t="shared" si="11"/>
        <v>2.3702437414678603</v>
      </c>
      <c r="I233" s="40">
        <f t="shared" si="11"/>
        <v>0.35097692282409476</v>
      </c>
      <c r="J233" s="40"/>
    </row>
    <row r="234" spans="1:10">
      <c r="A234" s="40">
        <v>223</v>
      </c>
      <c r="B234" s="40">
        <v>440</v>
      </c>
      <c r="C234" s="40">
        <v>10.9</v>
      </c>
      <c r="D234" s="40">
        <v>1.5</v>
      </c>
      <c r="E234" s="40">
        <f t="shared" si="9"/>
        <v>0.91563786008230452</v>
      </c>
      <c r="F234" s="40">
        <f t="shared" si="10"/>
        <v>1.3763145187640959</v>
      </c>
      <c r="G234" s="40">
        <f t="shared" si="11"/>
        <v>6.0867747269123065</v>
      </c>
      <c r="H234" s="40">
        <f t="shared" si="11"/>
        <v>2.388762789235098</v>
      </c>
      <c r="I234" s="40">
        <f t="shared" si="11"/>
        <v>0.40546510810816438</v>
      </c>
      <c r="J234" s="40"/>
    </row>
    <row r="235" spans="1:10">
      <c r="A235" s="40">
        <v>224</v>
      </c>
      <c r="B235" s="40">
        <v>440</v>
      </c>
      <c r="C235" s="40">
        <v>11</v>
      </c>
      <c r="D235" s="40">
        <v>1.5</v>
      </c>
      <c r="E235" s="40">
        <f t="shared" si="9"/>
        <v>0.91975308641975306</v>
      </c>
      <c r="F235" s="40">
        <f t="shared" si="10"/>
        <v>1.4034126358514019</v>
      </c>
      <c r="G235" s="40">
        <f t="shared" si="11"/>
        <v>6.0867747269123065</v>
      </c>
      <c r="H235" s="40">
        <f t="shared" si="11"/>
        <v>2.3978952727983707</v>
      </c>
      <c r="I235" s="40">
        <f t="shared" si="11"/>
        <v>0.40546510810816438</v>
      </c>
      <c r="J235" s="40"/>
    </row>
    <row r="236" spans="1:10">
      <c r="A236" s="40">
        <v>225</v>
      </c>
      <c r="B236" s="40">
        <v>440</v>
      </c>
      <c r="C236" s="40">
        <v>11.1</v>
      </c>
      <c r="D236" s="40">
        <v>1.5024999999999999</v>
      </c>
      <c r="E236" s="40">
        <f t="shared" si="9"/>
        <v>0.9238683127572016</v>
      </c>
      <c r="F236" s="40">
        <f t="shared" si="10"/>
        <v>1.4315823826641134</v>
      </c>
      <c r="G236" s="40">
        <f t="shared" si="11"/>
        <v>6.0867747269123065</v>
      </c>
      <c r="H236" s="40">
        <f t="shared" si="11"/>
        <v>2.4069451083182885</v>
      </c>
      <c r="I236" s="40">
        <f t="shared" si="11"/>
        <v>0.40713038742722557</v>
      </c>
      <c r="J236" s="40"/>
    </row>
    <row r="237" spans="1:10">
      <c r="A237" s="40">
        <v>226</v>
      </c>
      <c r="B237" s="839">
        <v>440</v>
      </c>
      <c r="C237" s="840">
        <v>11.46</v>
      </c>
      <c r="D237" s="40">
        <v>1.5075000000000001</v>
      </c>
      <c r="E237" s="40">
        <f t="shared" si="9"/>
        <v>0.92798353909465026</v>
      </c>
      <c r="F237" s="40">
        <f t="shared" si="10"/>
        <v>1.4609363063735892</v>
      </c>
      <c r="G237" s="40">
        <f t="shared" ref="G237" si="12">LN(B237)</f>
        <v>6.0867747269123065</v>
      </c>
      <c r="H237" s="40">
        <f t="shared" ref="H237" si="13">LN(C237)</f>
        <v>2.4388627112865935</v>
      </c>
      <c r="I237" s="40">
        <f t="shared" ref="I237" si="14">LN(D237)</f>
        <v>0.41045264961920352</v>
      </c>
      <c r="J237" s="40"/>
    </row>
    <row r="238" spans="1:10">
      <c r="A238" s="729">
        <v>227</v>
      </c>
      <c r="B238" s="40">
        <v>440</v>
      </c>
      <c r="C238" s="40">
        <v>11.5</v>
      </c>
      <c r="D238" s="40">
        <v>1.7045454545454544</v>
      </c>
      <c r="E238" s="40">
        <f t="shared" si="9"/>
        <v>0.9320987654320988</v>
      </c>
      <c r="F238" s="729">
        <f t="shared" si="10"/>
        <v>1.4916059817794989</v>
      </c>
      <c r="G238" s="40">
        <f t="shared" ref="G238:G241" si="15">LN(B238)</f>
        <v>6.0867747269123065</v>
      </c>
      <c r="H238" s="40">
        <f t="shared" ref="H238:H241" si="16">LN(C238)</f>
        <v>2.4423470353692043</v>
      </c>
      <c r="I238" s="40">
        <f t="shared" ref="I238:I241" si="17">LN(D238)</f>
        <v>0.53329847961804921</v>
      </c>
      <c r="J238" s="40"/>
    </row>
    <row r="239" spans="1:10">
      <c r="A239" s="729">
        <v>228</v>
      </c>
      <c r="B239" s="40">
        <v>500</v>
      </c>
      <c r="C239" s="40">
        <v>12</v>
      </c>
      <c r="D239" s="40">
        <v>1.7849999999999999</v>
      </c>
      <c r="E239" s="40">
        <f t="shared" si="9"/>
        <v>0.93621399176954734</v>
      </c>
      <c r="F239" s="729">
        <f t="shared" si="10"/>
        <v>1.5237466289905293</v>
      </c>
      <c r="G239" s="40">
        <f t="shared" si="15"/>
        <v>6.2146080984221914</v>
      </c>
      <c r="H239" s="40">
        <f t="shared" si="16"/>
        <v>2.4849066497880004</v>
      </c>
      <c r="I239" s="40">
        <f t="shared" si="17"/>
        <v>0.57941841523160231</v>
      </c>
      <c r="J239" s="40"/>
    </row>
    <row r="240" spans="1:10">
      <c r="A240" s="729">
        <v>229</v>
      </c>
      <c r="B240" s="40">
        <v>500</v>
      </c>
      <c r="C240" s="40">
        <v>12.23</v>
      </c>
      <c r="D240" s="40">
        <v>1.875</v>
      </c>
      <c r="E240" s="40">
        <f t="shared" si="9"/>
        <v>0.94032921810699588</v>
      </c>
      <c r="F240" s="729">
        <f t="shared" si="10"/>
        <v>1.5575432357847121</v>
      </c>
      <c r="G240" s="40">
        <f t="shared" si="15"/>
        <v>6.2146080984221914</v>
      </c>
      <c r="H240" s="40">
        <f t="shared" si="16"/>
        <v>2.503891949699081</v>
      </c>
      <c r="I240" s="40">
        <f t="shared" si="17"/>
        <v>0.62860865942237409</v>
      </c>
      <c r="J240" s="40"/>
    </row>
    <row r="241" spans="1:10">
      <c r="A241" s="729">
        <v>230</v>
      </c>
      <c r="B241" s="40">
        <v>500</v>
      </c>
      <c r="C241" s="40">
        <v>12.7</v>
      </c>
      <c r="D241" s="40">
        <v>1.9534090909090909</v>
      </c>
      <c r="E241" s="40">
        <f t="shared" si="9"/>
        <v>0.94444444444444442</v>
      </c>
      <c r="F241" s="729">
        <f t="shared" si="10"/>
        <v>1.59321881802305</v>
      </c>
      <c r="G241" s="40">
        <f t="shared" si="15"/>
        <v>6.2146080984221914</v>
      </c>
      <c r="H241" s="40">
        <f t="shared" si="16"/>
        <v>2.5416019934645457</v>
      </c>
      <c r="I241" s="40">
        <f t="shared" si="17"/>
        <v>0.66957609791059713</v>
      </c>
      <c r="J241" s="40"/>
    </row>
    <row r="242" spans="1:10">
      <c r="A242" s="729">
        <v>231</v>
      </c>
      <c r="B242" s="729">
        <v>500</v>
      </c>
      <c r="C242" s="40">
        <v>13.3</v>
      </c>
      <c r="D242" s="729">
        <v>2.273863636363636</v>
      </c>
      <c r="E242" s="40">
        <f t="shared" si="9"/>
        <v>0.94855967078189296</v>
      </c>
      <c r="F242" s="729">
        <f t="shared" si="10"/>
        <v>1.6310457876315667</v>
      </c>
      <c r="G242" s="40">
        <f t="shared" ref="G242:G254" si="18">LN(B242)</f>
        <v>6.2146080984221914</v>
      </c>
      <c r="H242" s="40">
        <f t="shared" ref="H242:H254" si="19">LN(C242)</f>
        <v>2.5877640352277083</v>
      </c>
      <c r="I242" s="40">
        <f t="shared" ref="I242:I254" si="20">LN(D242)</f>
        <v>0.82148042711148106</v>
      </c>
      <c r="J242" s="40"/>
    </row>
    <row r="243" spans="1:10">
      <c r="A243" s="729">
        <v>232</v>
      </c>
      <c r="B243" s="729">
        <v>600</v>
      </c>
      <c r="C243" s="729">
        <v>13.34</v>
      </c>
      <c r="D243" s="729">
        <v>2.5369318181818183</v>
      </c>
      <c r="E243" s="40">
        <f t="shared" si="9"/>
        <v>0.95267489711934161</v>
      </c>
      <c r="F243" s="729">
        <f t="shared" si="10"/>
        <v>1.6713619553031227</v>
      </c>
      <c r="G243" s="40">
        <f t="shared" si="18"/>
        <v>6.3969296552161463</v>
      </c>
      <c r="H243" s="40">
        <f t="shared" si="19"/>
        <v>2.5907670404874779</v>
      </c>
      <c r="I243" s="40">
        <f t="shared" si="20"/>
        <v>0.93095540527840204</v>
      </c>
      <c r="J243" s="40"/>
    </row>
    <row r="244" spans="1:10">
      <c r="A244" s="729">
        <v>233</v>
      </c>
      <c r="B244" s="40">
        <v>704</v>
      </c>
      <c r="C244" s="40">
        <v>13.56</v>
      </c>
      <c r="D244" s="40">
        <v>2.85</v>
      </c>
      <c r="E244" s="40">
        <f t="shared" si="9"/>
        <v>0.95679012345679015</v>
      </c>
      <c r="F244" s="729">
        <f t="shared" si="10"/>
        <v>1.7145936537660904</v>
      </c>
      <c r="G244" s="40">
        <f t="shared" si="18"/>
        <v>6.5567783561580422</v>
      </c>
      <c r="H244" s="40">
        <f t="shared" si="19"/>
        <v>2.6071242825122494</v>
      </c>
      <c r="I244" s="40">
        <f t="shared" si="20"/>
        <v>1.0473189942805592</v>
      </c>
      <c r="J244" s="40"/>
    </row>
    <row r="245" spans="1:10">
      <c r="A245" s="729">
        <v>234</v>
      </c>
      <c r="B245" s="40">
        <v>880</v>
      </c>
      <c r="C245" s="40">
        <v>14</v>
      </c>
      <c r="D245" s="40">
        <v>3.0575000000000001</v>
      </c>
      <c r="E245" s="40">
        <f t="shared" si="9"/>
        <v>0.96090534979423869</v>
      </c>
      <c r="F245" s="729">
        <f t="shared" si="10"/>
        <v>1.7612901851318292</v>
      </c>
      <c r="G245" s="40">
        <f t="shared" si="18"/>
        <v>6.7799219074722519</v>
      </c>
      <c r="H245" s="40">
        <f t="shared" si="19"/>
        <v>2.6390573296152584</v>
      </c>
      <c r="I245" s="40">
        <f t="shared" si="20"/>
        <v>1.1175975885791904</v>
      </c>
      <c r="J245" s="40"/>
    </row>
    <row r="246" spans="1:10">
      <c r="A246" s="729">
        <v>235</v>
      </c>
      <c r="B246" s="40">
        <v>880</v>
      </c>
      <c r="C246" s="729">
        <v>14.59</v>
      </c>
      <c r="D246" s="40">
        <v>3.0965909090909096</v>
      </c>
      <c r="E246" s="40">
        <f t="shared" si="9"/>
        <v>0.96502057613168724</v>
      </c>
      <c r="F246" s="729">
        <f t="shared" si="10"/>
        <v>1.8121770257485288</v>
      </c>
      <c r="G246" s="40">
        <f t="shared" si="18"/>
        <v>6.7799219074722519</v>
      </c>
      <c r="H246" s="40">
        <f t="shared" si="19"/>
        <v>2.6803363625346943</v>
      </c>
      <c r="I246" s="40">
        <f t="shared" si="20"/>
        <v>1.1303017996250924</v>
      </c>
      <c r="J246" s="40"/>
    </row>
    <row r="247" spans="1:10">
      <c r="A247" s="729">
        <v>236</v>
      </c>
      <c r="B247" s="40">
        <v>880</v>
      </c>
      <c r="C247" s="40">
        <v>15.8</v>
      </c>
      <c r="D247" s="40">
        <v>3.7784090909090913</v>
      </c>
      <c r="E247" s="40">
        <f t="shared" si="9"/>
        <v>0.96913580246913578</v>
      </c>
      <c r="F247" s="729">
        <f t="shared" si="10"/>
        <v>1.8682416548639302</v>
      </c>
      <c r="G247" s="40">
        <f t="shared" si="18"/>
        <v>6.7799219074722519</v>
      </c>
      <c r="H247" s="40">
        <f t="shared" si="19"/>
        <v>2.760009940032921</v>
      </c>
      <c r="I247" s="40">
        <f t="shared" si="20"/>
        <v>1.3293030456177024</v>
      </c>
      <c r="J247" s="40"/>
    </row>
    <row r="248" spans="1:10">
      <c r="A248" s="729">
        <v>237</v>
      </c>
      <c r="B248" s="40">
        <v>880</v>
      </c>
      <c r="C248" s="729">
        <v>16.48</v>
      </c>
      <c r="D248" s="40">
        <v>4.1246590909090912</v>
      </c>
      <c r="E248" s="40">
        <f t="shared" si="9"/>
        <v>0.97325102880658432</v>
      </c>
      <c r="F248" s="729">
        <f t="shared" si="10"/>
        <v>1.9308796091598426</v>
      </c>
      <c r="G248" s="40">
        <f t="shared" si="18"/>
        <v>6.7799219074722519</v>
      </c>
      <c r="H248" s="40">
        <f t="shared" si="19"/>
        <v>2.8021475244813256</v>
      </c>
      <c r="I248" s="40">
        <f t="shared" si="20"/>
        <v>1.4169833717432898</v>
      </c>
      <c r="J248" s="40"/>
    </row>
    <row r="249" spans="1:10">
      <c r="A249" s="729">
        <v>238</v>
      </c>
      <c r="B249" s="40">
        <v>880</v>
      </c>
      <c r="C249" s="1034">
        <v>17.2</v>
      </c>
      <c r="D249" s="40">
        <v>5.35</v>
      </c>
      <c r="E249" s="40">
        <f t="shared" si="9"/>
        <v>0.97736625514403297</v>
      </c>
      <c r="F249" s="729">
        <f t="shared" si="10"/>
        <v>2.0021603391646638</v>
      </c>
      <c r="G249" s="40">
        <f t="shared" si="18"/>
        <v>6.7799219074722519</v>
      </c>
      <c r="H249" s="40">
        <f t="shared" si="19"/>
        <v>2.8449093838194073</v>
      </c>
      <c r="I249" s="40">
        <f t="shared" si="20"/>
        <v>1.6770965609079151</v>
      </c>
      <c r="J249" s="40"/>
    </row>
    <row r="250" spans="1:10">
      <c r="A250" s="729">
        <v>239</v>
      </c>
      <c r="B250" s="1034">
        <v>1320</v>
      </c>
      <c r="C250" s="40">
        <v>20</v>
      </c>
      <c r="D250" s="40">
        <v>5.4749999999999996</v>
      </c>
      <c r="E250" s="40">
        <f t="shared" si="9"/>
        <v>0.98148148148148151</v>
      </c>
      <c r="F250" s="729">
        <f t="shared" si="10"/>
        <v>2.0853555660318293</v>
      </c>
      <c r="G250" s="40">
        <f t="shared" si="18"/>
        <v>7.1853870155804165</v>
      </c>
      <c r="H250" s="40">
        <f t="shared" si="19"/>
        <v>2.9957322735539909</v>
      </c>
      <c r="I250" s="40">
        <f t="shared" si="20"/>
        <v>1.7001922757025645</v>
      </c>
      <c r="J250" s="40"/>
    </row>
    <row r="251" spans="1:10">
      <c r="A251" s="729">
        <v>240</v>
      </c>
      <c r="B251" s="40">
        <v>1320</v>
      </c>
      <c r="C251" s="40">
        <v>21.8</v>
      </c>
      <c r="D251" s="40">
        <v>5.55</v>
      </c>
      <c r="E251" s="40">
        <f t="shared" si="9"/>
        <v>0.98559670781893005</v>
      </c>
      <c r="F251" s="729">
        <f t="shared" si="10"/>
        <v>2.1861233191315868</v>
      </c>
      <c r="G251" s="40">
        <f t="shared" si="18"/>
        <v>7.1853870155804165</v>
      </c>
      <c r="H251" s="40">
        <f t="shared" si="19"/>
        <v>3.0819099697950434</v>
      </c>
      <c r="I251" s="40">
        <f t="shared" si="20"/>
        <v>1.7137979277583431</v>
      </c>
      <c r="J251" s="40"/>
    </row>
    <row r="252" spans="1:10">
      <c r="A252" s="729">
        <v>241</v>
      </c>
      <c r="B252" s="40">
        <v>1320</v>
      </c>
      <c r="C252" s="729">
        <v>23.27</v>
      </c>
      <c r="D252" s="40">
        <v>6.78</v>
      </c>
      <c r="E252" s="40">
        <f t="shared" si="9"/>
        <v>0.98971193415637859</v>
      </c>
      <c r="F252" s="729">
        <f t="shared" si="10"/>
        <v>2.3156729634461346</v>
      </c>
      <c r="G252" s="40">
        <f t="shared" si="18"/>
        <v>7.1853870155804165</v>
      </c>
      <c r="H252" s="40">
        <f t="shared" si="19"/>
        <v>3.1471649773142003</v>
      </c>
      <c r="I252" s="40">
        <f t="shared" si="20"/>
        <v>1.9139771019523042</v>
      </c>
      <c r="J252" s="40"/>
    </row>
    <row r="253" spans="1:10">
      <c r="A253" s="729">
        <v>242</v>
      </c>
      <c r="B253" s="40">
        <v>1320</v>
      </c>
      <c r="C253" s="40">
        <v>23.9</v>
      </c>
      <c r="D253" s="40">
        <v>6.7897727272727275</v>
      </c>
      <c r="E253" s="40">
        <f t="shared" si="9"/>
        <v>0.99382716049382713</v>
      </c>
      <c r="F253" s="729">
        <f t="shared" si="10"/>
        <v>2.5021064733430629</v>
      </c>
      <c r="G253" s="40">
        <f t="shared" si="18"/>
        <v>7.1853870155804165</v>
      </c>
      <c r="H253" s="40">
        <f t="shared" si="19"/>
        <v>3.1738784589374651</v>
      </c>
      <c r="I253" s="40">
        <f t="shared" si="20"/>
        <v>1.9154174693274593</v>
      </c>
      <c r="J253" s="40"/>
    </row>
    <row r="254" spans="1:10">
      <c r="A254" s="729">
        <v>243</v>
      </c>
      <c r="B254" s="1034">
        <v>1320</v>
      </c>
      <c r="C254" s="1034">
        <v>43.2</v>
      </c>
      <c r="D254" s="40">
        <v>7.5</v>
      </c>
      <c r="E254" s="40">
        <f t="shared" si="9"/>
        <v>0.99794238683127567</v>
      </c>
      <c r="F254" s="729">
        <f t="shared" si="10"/>
        <v>2.8691914432193188</v>
      </c>
      <c r="G254" s="40">
        <f t="shared" si="18"/>
        <v>7.1853870155804165</v>
      </c>
      <c r="H254" s="40">
        <f t="shared" si="19"/>
        <v>3.7658404952500648</v>
      </c>
      <c r="I254" s="40">
        <f t="shared" si="20"/>
        <v>2.0149030205422647</v>
      </c>
      <c r="J254" s="40"/>
    </row>
    <row r="255" spans="1:10">
      <c r="A255" s="872"/>
      <c r="B255" s="872"/>
      <c r="C255" s="872"/>
      <c r="D255" s="872"/>
      <c r="E255" s="872"/>
      <c r="F255" s="872"/>
      <c r="G255" s="872"/>
      <c r="H255" s="872"/>
      <c r="I255" s="872"/>
      <c r="J255" s="40"/>
    </row>
    <row r="256" spans="1:10">
      <c r="A256" s="872"/>
      <c r="B256" s="872"/>
      <c r="C256" s="872"/>
      <c r="D256" s="872"/>
      <c r="E256" s="872"/>
      <c r="F256" s="872"/>
      <c r="G256" s="872"/>
      <c r="H256" s="872"/>
      <c r="I256" s="872"/>
      <c r="J256" s="40"/>
    </row>
    <row r="257" spans="1:10">
      <c r="A257" s="872"/>
      <c r="B257" s="872"/>
      <c r="C257" s="872"/>
      <c r="D257" s="872"/>
      <c r="E257" s="872"/>
      <c r="F257" s="872"/>
      <c r="G257" s="872"/>
      <c r="H257" s="872"/>
      <c r="I257" s="872"/>
      <c r="J257" s="40"/>
    </row>
    <row r="258" spans="1:10">
      <c r="A258" s="872"/>
      <c r="B258" s="872"/>
      <c r="C258" s="872"/>
      <c r="D258" s="872"/>
      <c r="E258" s="872"/>
      <c r="F258" s="872"/>
      <c r="G258" s="872"/>
      <c r="H258" s="872"/>
      <c r="I258" s="872"/>
      <c r="J258" s="40"/>
    </row>
    <row r="259" spans="1:10">
      <c r="A259" s="872"/>
      <c r="B259" s="872"/>
      <c r="C259" s="872"/>
      <c r="D259" s="872"/>
      <c r="E259" s="872"/>
      <c r="F259" s="872"/>
      <c r="G259" s="872"/>
      <c r="H259" s="872"/>
      <c r="I259" s="872"/>
      <c r="J259" s="40"/>
    </row>
    <row r="260" spans="1:10">
      <c r="A260" s="872"/>
      <c r="B260" s="872"/>
      <c r="C260" s="872"/>
      <c r="D260" s="872"/>
      <c r="E260" s="872"/>
      <c r="F260" s="872"/>
      <c r="G260" s="872"/>
      <c r="H260" s="872"/>
      <c r="I260" s="872"/>
      <c r="J260" s="40"/>
    </row>
    <row r="261" spans="1:10">
      <c r="A261" s="872"/>
      <c r="B261" s="872"/>
      <c r="C261" s="872"/>
      <c r="D261" s="872"/>
      <c r="E261" s="872"/>
      <c r="F261" s="872"/>
      <c r="G261" s="872"/>
      <c r="H261" s="872"/>
      <c r="I261" s="872"/>
      <c r="J261" s="40"/>
    </row>
    <row r="262" spans="1:10">
      <c r="A262" s="872"/>
      <c r="B262" s="872"/>
      <c r="C262" s="872"/>
      <c r="D262" s="872"/>
      <c r="E262" s="872"/>
      <c r="F262" s="872"/>
      <c r="G262" s="872"/>
      <c r="H262" s="872"/>
      <c r="I262" s="872"/>
      <c r="J262" s="40"/>
    </row>
    <row r="263" spans="1:10">
      <c r="A263" s="872"/>
      <c r="B263" s="872"/>
      <c r="C263" s="872"/>
      <c r="D263" s="872"/>
      <c r="E263" s="872"/>
      <c r="F263" s="872"/>
      <c r="G263" s="872"/>
      <c r="H263" s="872"/>
      <c r="I263" s="872"/>
      <c r="J263" s="40"/>
    </row>
    <row r="264" spans="1:10">
      <c r="A264" s="872"/>
      <c r="B264" s="872"/>
      <c r="C264" s="872"/>
      <c r="D264" s="872"/>
      <c r="E264" s="872"/>
      <c r="F264" s="872"/>
      <c r="G264" s="872"/>
      <c r="H264" s="872"/>
      <c r="I264" s="872"/>
      <c r="J264" s="40"/>
    </row>
    <row r="265" spans="1:10">
      <c r="A265" s="872"/>
      <c r="B265" s="872"/>
      <c r="C265" s="872"/>
      <c r="D265" s="872"/>
      <c r="E265" s="872"/>
      <c r="F265" s="872"/>
      <c r="G265" s="872"/>
      <c r="H265" s="872"/>
      <c r="I265" s="872"/>
      <c r="J265" s="40"/>
    </row>
    <row r="266" spans="1:10">
      <c r="A266" s="872"/>
      <c r="B266" s="872"/>
      <c r="C266" s="872"/>
      <c r="D266" s="872"/>
      <c r="E266" s="872"/>
      <c r="F266" s="872"/>
      <c r="G266" s="872"/>
      <c r="H266" s="872"/>
      <c r="I266" s="872"/>
      <c r="J266" s="40"/>
    </row>
    <row r="267" spans="1:10">
      <c r="A267" s="872"/>
      <c r="B267" s="872"/>
      <c r="C267" s="872"/>
      <c r="D267" s="872"/>
      <c r="E267" s="872"/>
      <c r="F267" s="872"/>
      <c r="G267" s="872"/>
      <c r="H267" s="872"/>
      <c r="I267" s="872"/>
      <c r="J267" s="40"/>
    </row>
    <row r="268" spans="1:10">
      <c r="A268" s="872"/>
      <c r="B268" s="872"/>
      <c r="C268" s="872"/>
      <c r="D268" s="872"/>
      <c r="E268" s="872"/>
      <c r="F268" s="872"/>
      <c r="G268" s="872"/>
      <c r="H268" s="872"/>
      <c r="I268" s="872"/>
      <c r="J268" s="40"/>
    </row>
    <row r="269" spans="1:10">
      <c r="A269" s="872"/>
      <c r="B269" s="872"/>
      <c r="C269" s="872"/>
      <c r="D269" s="872"/>
      <c r="E269" s="872"/>
      <c r="F269" s="872"/>
      <c r="G269" s="872"/>
      <c r="H269" s="872"/>
      <c r="I269" s="872"/>
      <c r="J269" s="40"/>
    </row>
    <row r="270" spans="1:10">
      <c r="A270" s="872"/>
      <c r="B270" s="872"/>
      <c r="C270" s="872"/>
      <c r="D270" s="872"/>
      <c r="E270" s="872"/>
      <c r="F270" s="872"/>
      <c r="G270" s="872"/>
      <c r="H270" s="872"/>
      <c r="I270" s="872"/>
      <c r="J270" s="40"/>
    </row>
    <row r="271" spans="1:10">
      <c r="A271" s="872"/>
      <c r="B271" s="872"/>
      <c r="C271" s="872"/>
      <c r="D271" s="872"/>
      <c r="E271" s="872"/>
      <c r="F271" s="872"/>
      <c r="G271" s="872"/>
      <c r="H271" s="872"/>
      <c r="I271" s="872"/>
      <c r="J271" s="40"/>
    </row>
    <row r="272" spans="1:10">
      <c r="A272" s="872"/>
      <c r="B272" s="872"/>
      <c r="C272" s="872"/>
      <c r="D272" s="872"/>
      <c r="E272" s="872"/>
      <c r="F272" s="872"/>
      <c r="G272" s="872"/>
      <c r="H272" s="872"/>
      <c r="I272" s="872"/>
      <c r="J272" s="40"/>
    </row>
    <row r="273" spans="1:10">
      <c r="A273" s="872"/>
      <c r="B273" s="872"/>
      <c r="C273" s="872"/>
      <c r="D273" s="872"/>
      <c r="E273" s="872"/>
      <c r="F273" s="872"/>
      <c r="G273" s="872"/>
      <c r="H273" s="872"/>
      <c r="I273" s="872"/>
      <c r="J273" s="40"/>
    </row>
    <row r="274" spans="1:10">
      <c r="A274" s="872"/>
      <c r="B274" s="872"/>
      <c r="C274" s="872"/>
      <c r="D274" s="872"/>
      <c r="E274" s="872"/>
      <c r="F274" s="872"/>
      <c r="G274" s="872"/>
      <c r="H274" s="872"/>
      <c r="I274" s="872"/>
      <c r="J274" s="40"/>
    </row>
    <row r="275" spans="1:10">
      <c r="A275" s="872"/>
      <c r="B275" s="872"/>
      <c r="C275" s="872"/>
      <c r="D275" s="872"/>
      <c r="E275" s="872"/>
      <c r="F275" s="872"/>
      <c r="G275" s="872"/>
      <c r="H275" s="872"/>
      <c r="I275" s="872"/>
      <c r="J275" s="40"/>
    </row>
    <row r="276" spans="1:10">
      <c r="A276" s="872"/>
      <c r="B276" s="872"/>
      <c r="C276" s="872"/>
      <c r="D276" s="872"/>
      <c r="E276" s="872"/>
      <c r="F276" s="872"/>
      <c r="G276" s="872"/>
      <c r="H276" s="872"/>
      <c r="I276" s="872"/>
      <c r="J276" s="40"/>
    </row>
    <row r="277" spans="1:10">
      <c r="A277" s="872"/>
      <c r="B277" s="872"/>
      <c r="C277" s="872"/>
      <c r="D277" s="872"/>
      <c r="E277" s="872"/>
      <c r="F277" s="872"/>
      <c r="G277" s="872"/>
      <c r="H277" s="872"/>
      <c r="I277" s="872"/>
      <c r="J277" s="40"/>
    </row>
    <row r="278" spans="1:10">
      <c r="A278" s="872"/>
      <c r="B278" s="872"/>
      <c r="C278" s="872"/>
      <c r="D278" s="872"/>
      <c r="E278" s="872"/>
      <c r="F278" s="872"/>
      <c r="G278" s="872"/>
      <c r="H278" s="872"/>
      <c r="I278" s="872"/>
      <c r="J278" s="40"/>
    </row>
    <row r="279" spans="1:10">
      <c r="A279" s="872"/>
      <c r="B279" s="872"/>
      <c r="C279" s="872"/>
      <c r="D279" s="872"/>
      <c r="E279" s="872"/>
      <c r="F279" s="872"/>
      <c r="G279" s="872"/>
      <c r="H279" s="872"/>
      <c r="I279" s="872"/>
      <c r="J279" s="40"/>
    </row>
    <row r="280" spans="1:10">
      <c r="A280" s="872"/>
      <c r="B280" s="872"/>
      <c r="C280" s="872"/>
      <c r="D280" s="872"/>
      <c r="E280" s="872"/>
      <c r="F280" s="872"/>
      <c r="G280" s="872"/>
      <c r="H280" s="872"/>
      <c r="I280" s="872"/>
      <c r="J280" s="40"/>
    </row>
    <row r="281" spans="1:10">
      <c r="A281" s="872"/>
      <c r="B281" s="872"/>
      <c r="C281" s="872"/>
      <c r="D281" s="872"/>
      <c r="E281" s="872"/>
      <c r="F281" s="872"/>
      <c r="G281" s="872"/>
      <c r="H281" s="872"/>
      <c r="I281" s="872"/>
      <c r="J281" s="40"/>
    </row>
    <row r="282" spans="1:10">
      <c r="A282" s="872"/>
      <c r="B282" s="872"/>
      <c r="C282" s="872"/>
      <c r="D282" s="872"/>
      <c r="E282" s="872"/>
      <c r="F282" s="872"/>
      <c r="G282" s="872"/>
      <c r="H282" s="872"/>
      <c r="I282" s="872"/>
      <c r="J282" s="40"/>
    </row>
    <row r="283" spans="1:10">
      <c r="A283" s="872"/>
      <c r="B283" s="872"/>
      <c r="C283" s="872"/>
      <c r="D283" s="872"/>
      <c r="E283" s="872"/>
      <c r="F283" s="872"/>
      <c r="G283" s="872"/>
      <c r="H283" s="872"/>
      <c r="I283" s="872"/>
      <c r="J283" s="40"/>
    </row>
    <row r="284" spans="1:10">
      <c r="A284" s="872"/>
      <c r="B284" s="872"/>
      <c r="C284" s="872"/>
      <c r="D284" s="872"/>
      <c r="E284" s="872"/>
      <c r="F284" s="872"/>
      <c r="G284" s="872"/>
      <c r="H284" s="872"/>
      <c r="I284" s="872"/>
      <c r="J284" s="40"/>
    </row>
    <row r="285" spans="1:10">
      <c r="A285" s="872"/>
      <c r="B285" s="872"/>
      <c r="C285" s="872"/>
      <c r="D285" s="872"/>
      <c r="E285" s="872"/>
      <c r="F285" s="872"/>
      <c r="G285" s="872"/>
      <c r="H285" s="872"/>
      <c r="I285" s="872"/>
      <c r="J285" s="40"/>
    </row>
    <row r="286" spans="1:10">
      <c r="A286" s="872"/>
      <c r="B286" s="872"/>
      <c r="C286" s="872"/>
      <c r="D286" s="872"/>
      <c r="E286" s="872"/>
      <c r="F286" s="872"/>
      <c r="G286" s="872"/>
      <c r="H286" s="872"/>
      <c r="I286" s="872"/>
      <c r="J286" s="40"/>
    </row>
    <row r="287" spans="1:10">
      <c r="A287" s="872"/>
      <c r="B287" s="872"/>
      <c r="C287" s="872"/>
      <c r="D287" s="872"/>
      <c r="E287" s="872"/>
      <c r="F287" s="872"/>
      <c r="G287" s="872"/>
      <c r="H287" s="872"/>
      <c r="I287" s="872"/>
      <c r="J287" s="40"/>
    </row>
    <row r="288" spans="1:10">
      <c r="A288" s="872"/>
      <c r="B288" s="872"/>
      <c r="C288" s="872"/>
      <c r="D288" s="872"/>
      <c r="E288" s="872"/>
      <c r="F288" s="872"/>
      <c r="G288" s="872"/>
      <c r="H288" s="872"/>
      <c r="I288" s="872"/>
      <c r="J288" s="40"/>
    </row>
    <row r="289" spans="1:10">
      <c r="A289" s="872"/>
      <c r="B289" s="872"/>
      <c r="C289" s="872"/>
      <c r="D289" s="872"/>
      <c r="E289" s="872"/>
      <c r="F289" s="872"/>
      <c r="G289" s="872"/>
      <c r="H289" s="872"/>
      <c r="I289" s="872"/>
      <c r="J289" s="40"/>
    </row>
    <row r="290" spans="1:10">
      <c r="A290" s="872"/>
      <c r="B290" s="872"/>
      <c r="C290" s="872"/>
      <c r="D290" s="872"/>
      <c r="E290" s="872"/>
      <c r="F290" s="872"/>
      <c r="G290" s="872"/>
      <c r="H290" s="872"/>
      <c r="I290" s="872"/>
      <c r="J290" s="40"/>
    </row>
    <row r="291" spans="1:10">
      <c r="A291" s="872"/>
      <c r="B291" s="872"/>
      <c r="C291" s="872"/>
      <c r="D291" s="872"/>
      <c r="E291" s="872"/>
      <c r="F291" s="872"/>
      <c r="G291" s="872"/>
      <c r="H291" s="872"/>
      <c r="I291" s="872"/>
      <c r="J291" s="40"/>
    </row>
    <row r="292" spans="1:10">
      <c r="A292" s="872"/>
      <c r="B292" s="872"/>
      <c r="C292" s="872"/>
      <c r="D292" s="872"/>
      <c r="E292" s="872"/>
      <c r="F292" s="872"/>
      <c r="G292" s="872"/>
      <c r="H292" s="872"/>
      <c r="I292" s="872"/>
      <c r="J292" s="40"/>
    </row>
    <row r="293" spans="1:10">
      <c r="A293" s="872"/>
      <c r="B293" s="872"/>
      <c r="C293" s="872"/>
      <c r="D293" s="872"/>
      <c r="E293" s="872"/>
      <c r="F293" s="872"/>
      <c r="G293" s="872"/>
      <c r="H293" s="872"/>
      <c r="I293" s="872"/>
      <c r="J293" s="40"/>
    </row>
    <row r="294" spans="1:10">
      <c r="A294" s="872"/>
      <c r="B294" s="872"/>
      <c r="C294" s="872"/>
      <c r="D294" s="872"/>
      <c r="E294" s="872"/>
      <c r="F294" s="872"/>
      <c r="G294" s="872"/>
      <c r="H294" s="872"/>
      <c r="I294" s="872"/>
      <c r="J294" s="40"/>
    </row>
    <row r="295" spans="1:10">
      <c r="A295" s="872"/>
      <c r="B295" s="872"/>
      <c r="C295" s="872"/>
      <c r="D295" s="872"/>
      <c r="E295" s="872"/>
      <c r="F295" s="872"/>
      <c r="G295" s="872"/>
      <c r="H295" s="872"/>
      <c r="I295" s="872"/>
      <c r="J295" s="40"/>
    </row>
    <row r="296" spans="1:10">
      <c r="A296" s="872"/>
      <c r="B296" s="872"/>
      <c r="C296" s="872"/>
      <c r="D296" s="872"/>
      <c r="E296" s="872"/>
      <c r="F296" s="872"/>
      <c r="G296" s="872"/>
      <c r="H296" s="872"/>
      <c r="I296" s="872"/>
      <c r="J296" s="40"/>
    </row>
    <row r="297" spans="1:10">
      <c r="A297" s="872"/>
      <c r="B297" s="872"/>
      <c r="C297" s="872"/>
      <c r="D297" s="872"/>
      <c r="E297" s="872"/>
      <c r="F297" s="872"/>
      <c r="G297" s="872"/>
      <c r="H297" s="872"/>
      <c r="I297" s="872"/>
      <c r="J297" s="40"/>
    </row>
    <row r="298" spans="1:10">
      <c r="A298" s="872"/>
      <c r="B298" s="872"/>
      <c r="C298" s="872"/>
      <c r="D298" s="872"/>
      <c r="E298" s="872"/>
      <c r="F298" s="872"/>
      <c r="G298" s="872"/>
      <c r="H298" s="872"/>
      <c r="I298" s="872"/>
      <c r="J298" s="40"/>
    </row>
    <row r="299" spans="1:10">
      <c r="A299" s="872"/>
      <c r="B299" s="872"/>
      <c r="C299" s="872"/>
      <c r="D299" s="872"/>
      <c r="E299" s="872"/>
      <c r="F299" s="872"/>
      <c r="G299" s="872"/>
      <c r="H299" s="872"/>
      <c r="I299" s="872"/>
      <c r="J299" s="40"/>
    </row>
    <row r="300" spans="1:10">
      <c r="A300" s="872"/>
      <c r="B300" s="872"/>
      <c r="C300" s="872"/>
      <c r="D300" s="872"/>
      <c r="E300" s="872"/>
      <c r="F300" s="872"/>
      <c r="G300" s="872"/>
      <c r="H300" s="872"/>
      <c r="I300" s="872"/>
      <c r="J300" s="40"/>
    </row>
    <row r="301" spans="1:10">
      <c r="A301" s="872"/>
      <c r="B301" s="872"/>
      <c r="C301" s="872"/>
      <c r="D301" s="872"/>
      <c r="E301" s="872"/>
      <c r="F301" s="872"/>
      <c r="G301" s="872"/>
      <c r="H301" s="872"/>
      <c r="I301" s="872"/>
      <c r="J301" s="40"/>
    </row>
    <row r="302" spans="1:10">
      <c r="A302" s="872"/>
      <c r="B302" s="872"/>
      <c r="C302" s="872"/>
      <c r="D302" s="872"/>
      <c r="E302" s="872"/>
      <c r="F302" s="872"/>
      <c r="G302" s="872"/>
      <c r="H302" s="872"/>
      <c r="I302" s="872"/>
      <c r="J302" s="40"/>
    </row>
    <row r="303" spans="1:10">
      <c r="A303" s="872"/>
      <c r="B303" s="872"/>
      <c r="C303" s="872"/>
      <c r="D303" s="872"/>
      <c r="E303" s="872"/>
      <c r="F303" s="872"/>
      <c r="G303" s="872"/>
      <c r="H303" s="872"/>
      <c r="I303" s="872"/>
      <c r="J303" s="40"/>
    </row>
    <row r="304" spans="1:10">
      <c r="A304" s="872"/>
      <c r="B304" s="872"/>
      <c r="C304" s="872"/>
      <c r="D304" s="872"/>
      <c r="E304" s="872"/>
      <c r="F304" s="872"/>
      <c r="G304" s="872"/>
      <c r="H304" s="872"/>
      <c r="I304" s="872"/>
      <c r="J304" s="40"/>
    </row>
    <row r="305" spans="1:10">
      <c r="A305" s="872"/>
      <c r="B305" s="872"/>
      <c r="C305" s="872"/>
      <c r="D305" s="872"/>
      <c r="E305" s="872"/>
      <c r="F305" s="872"/>
      <c r="G305" s="872"/>
      <c r="H305" s="872"/>
      <c r="I305" s="872"/>
      <c r="J305" s="40"/>
    </row>
    <row r="306" spans="1:10">
      <c r="A306" s="872"/>
      <c r="B306" s="872"/>
      <c r="C306" s="872"/>
      <c r="D306" s="872"/>
      <c r="E306" s="872"/>
      <c r="F306" s="872"/>
      <c r="G306" s="872"/>
      <c r="H306" s="872"/>
      <c r="I306" s="872"/>
      <c r="J306" s="40"/>
    </row>
    <row r="307" spans="1:10">
      <c r="A307" s="872"/>
      <c r="B307" s="872"/>
      <c r="C307" s="872"/>
      <c r="D307" s="872"/>
      <c r="E307" s="872"/>
      <c r="F307" s="872"/>
      <c r="G307" s="872"/>
      <c r="H307" s="872"/>
      <c r="I307" s="872"/>
      <c r="J307" s="40"/>
    </row>
    <row r="308" spans="1:10">
      <c r="A308" s="872"/>
      <c r="B308" s="872"/>
      <c r="C308" s="872"/>
      <c r="D308" s="872"/>
      <c r="E308" s="872"/>
      <c r="F308" s="872"/>
      <c r="G308" s="872"/>
      <c r="H308" s="872"/>
      <c r="I308" s="872"/>
      <c r="J308" s="40"/>
    </row>
    <row r="309" spans="1:10">
      <c r="A309" s="872"/>
      <c r="B309" s="872"/>
      <c r="C309" s="872"/>
      <c r="D309" s="872"/>
      <c r="E309" s="872"/>
      <c r="F309" s="872"/>
      <c r="G309" s="872"/>
      <c r="H309" s="872"/>
      <c r="I309" s="872"/>
      <c r="J309" s="40"/>
    </row>
    <row r="310" spans="1:10">
      <c r="A310" s="872"/>
      <c r="B310" s="872"/>
      <c r="C310" s="872"/>
      <c r="D310" s="872"/>
      <c r="E310" s="872"/>
      <c r="F310" s="872"/>
      <c r="G310" s="872"/>
      <c r="H310" s="872"/>
      <c r="I310" s="872"/>
      <c r="J310" s="40"/>
    </row>
    <row r="311" spans="1:10">
      <c r="A311" s="729"/>
      <c r="B311" s="729"/>
      <c r="C311" s="729"/>
      <c r="D311" s="729"/>
      <c r="E311" s="40"/>
      <c r="F311" s="40"/>
      <c r="G311" s="40"/>
      <c r="H311" s="40"/>
      <c r="I311" s="40"/>
      <c r="J311" s="40"/>
    </row>
    <row r="312" spans="1:10">
      <c r="A312" s="729"/>
      <c r="B312" s="729"/>
      <c r="C312" s="729"/>
      <c r="D312" s="729"/>
      <c r="E312" s="40"/>
      <c r="F312" s="40"/>
      <c r="G312" s="40"/>
      <c r="H312" s="40"/>
      <c r="I312" s="40"/>
      <c r="J312" s="40"/>
    </row>
    <row r="313" spans="1:10">
      <c r="A313" s="729"/>
      <c r="B313" s="729"/>
      <c r="C313" s="729"/>
      <c r="D313" s="729"/>
      <c r="E313" s="40"/>
      <c r="F313" s="40"/>
      <c r="G313" s="40"/>
      <c r="H313" s="40"/>
      <c r="I313" s="40"/>
      <c r="J313" s="40"/>
    </row>
    <row r="314" spans="1:10">
      <c r="A314" s="729"/>
      <c r="B314" s="729"/>
      <c r="C314" s="729"/>
      <c r="D314" s="729"/>
      <c r="E314" s="40"/>
      <c r="F314" s="40"/>
      <c r="G314" s="40"/>
      <c r="H314" s="40"/>
      <c r="I314" s="40"/>
      <c r="J314" s="40"/>
    </row>
    <row r="315" spans="1:10">
      <c r="A315" s="729"/>
      <c r="B315" s="729"/>
      <c r="C315" s="729"/>
      <c r="D315" s="729"/>
      <c r="E315" s="40"/>
      <c r="F315" s="40"/>
      <c r="G315" s="40"/>
      <c r="H315" s="40"/>
      <c r="I315" s="40"/>
      <c r="J315" s="40"/>
    </row>
    <row r="316" spans="1:10">
      <c r="A316" s="729"/>
      <c r="B316" s="729"/>
      <c r="C316" s="729"/>
      <c r="D316" s="729"/>
      <c r="E316" s="40"/>
      <c r="F316" s="40"/>
      <c r="G316" s="40"/>
      <c r="H316" s="40"/>
      <c r="I316" s="40"/>
      <c r="J316" s="40"/>
    </row>
    <row r="317" spans="1:10">
      <c r="A317" s="729"/>
      <c r="B317" s="729"/>
      <c r="C317" s="729"/>
      <c r="D317" s="729"/>
      <c r="E317" s="40"/>
      <c r="F317" s="40"/>
      <c r="G317" s="40"/>
      <c r="H317" s="40"/>
      <c r="I317" s="40"/>
      <c r="J317" s="40"/>
    </row>
    <row r="318" spans="1:10">
      <c r="A318" s="729"/>
      <c r="B318" s="729"/>
      <c r="C318" s="729"/>
      <c r="D318" s="729"/>
      <c r="E318" s="40"/>
      <c r="F318" s="40"/>
      <c r="G318" s="40"/>
      <c r="H318" s="40"/>
      <c r="I318" s="40"/>
      <c r="J318" s="40"/>
    </row>
    <row r="319" spans="1:10">
      <c r="A319" s="729"/>
      <c r="B319" s="729"/>
      <c r="C319" s="729"/>
      <c r="D319" s="729"/>
      <c r="E319" s="40"/>
      <c r="F319" s="40"/>
      <c r="G319" s="40"/>
      <c r="H319" s="40"/>
      <c r="I319" s="40"/>
      <c r="J319" s="40"/>
    </row>
    <row r="320" spans="1:10">
      <c r="A320" s="729"/>
      <c r="B320" s="729"/>
      <c r="C320" s="729"/>
      <c r="D320" s="729"/>
      <c r="E320" s="40"/>
      <c r="F320" s="40"/>
      <c r="G320" s="40"/>
      <c r="H320" s="40"/>
      <c r="I320" s="40"/>
      <c r="J320" s="40"/>
    </row>
    <row r="321" spans="1:10">
      <c r="A321" s="729"/>
      <c r="B321" s="729"/>
      <c r="C321" s="729"/>
      <c r="D321" s="729"/>
      <c r="E321" s="40"/>
      <c r="F321" s="40"/>
      <c r="G321" s="40"/>
      <c r="H321" s="40"/>
      <c r="I321" s="40"/>
      <c r="J321" s="40"/>
    </row>
    <row r="322" spans="1:10">
      <c r="A322" s="729"/>
      <c r="B322" s="729"/>
      <c r="C322" s="729"/>
      <c r="D322" s="729"/>
      <c r="E322" s="40"/>
      <c r="F322" s="40"/>
      <c r="G322" s="40"/>
      <c r="H322" s="40"/>
      <c r="I322" s="40"/>
      <c r="J322" s="40"/>
    </row>
    <row r="323" spans="1:10">
      <c r="A323" s="729"/>
      <c r="B323" s="729"/>
      <c r="C323" s="729"/>
      <c r="D323" s="729"/>
      <c r="E323" s="40"/>
      <c r="F323" s="40"/>
      <c r="G323" s="40"/>
      <c r="H323" s="40"/>
      <c r="I323" s="40"/>
      <c r="J323" s="40"/>
    </row>
    <row r="324" spans="1:10">
      <c r="A324" s="729"/>
      <c r="B324" s="729"/>
      <c r="C324" s="729"/>
      <c r="D324" s="729"/>
      <c r="E324" s="40"/>
      <c r="F324" s="40"/>
      <c r="G324" s="40"/>
      <c r="H324" s="40"/>
      <c r="I324" s="40"/>
      <c r="J324" s="40"/>
    </row>
    <row r="325" spans="1:10">
      <c r="A325" s="729"/>
      <c r="B325" s="729"/>
      <c r="C325" s="729"/>
      <c r="D325" s="729"/>
      <c r="E325" s="40"/>
      <c r="F325" s="40"/>
      <c r="G325" s="40"/>
      <c r="H325" s="40"/>
      <c r="I325" s="40"/>
      <c r="J325" s="40"/>
    </row>
    <row r="326" spans="1:10">
      <c r="A326" s="729"/>
      <c r="B326" s="729"/>
      <c r="C326" s="729"/>
      <c r="D326" s="729"/>
      <c r="E326" s="40"/>
      <c r="F326" s="40"/>
      <c r="G326" s="40"/>
      <c r="H326" s="40"/>
      <c r="I326" s="40"/>
      <c r="J326" s="40"/>
    </row>
    <row r="327" spans="1:10">
      <c r="A327" s="729"/>
      <c r="B327" s="729"/>
      <c r="C327" s="729"/>
      <c r="D327" s="729"/>
      <c r="E327" s="40"/>
      <c r="F327" s="40"/>
      <c r="G327" s="40"/>
      <c r="H327" s="40"/>
      <c r="I327" s="40"/>
      <c r="J327" s="40"/>
    </row>
    <row r="328" spans="1:10">
      <c r="A328" s="729"/>
      <c r="B328" s="729"/>
      <c r="C328" s="729"/>
      <c r="D328" s="729"/>
      <c r="E328" s="40"/>
      <c r="F328" s="40"/>
      <c r="G328" s="40"/>
      <c r="H328" s="40"/>
      <c r="I328" s="40"/>
      <c r="J328" s="40"/>
    </row>
    <row r="329" spans="1:10">
      <c r="A329" s="729"/>
      <c r="B329" s="729"/>
      <c r="C329" s="729"/>
      <c r="D329" s="729"/>
      <c r="E329" s="40"/>
      <c r="F329" s="40"/>
      <c r="G329" s="40"/>
      <c r="H329" s="40"/>
      <c r="I329" s="40"/>
      <c r="J329" s="40"/>
    </row>
    <row r="330" spans="1:10">
      <c r="A330" s="729"/>
      <c r="B330" s="729"/>
      <c r="C330" s="729"/>
      <c r="D330" s="729"/>
      <c r="E330" s="40"/>
      <c r="F330" s="40"/>
      <c r="G330" s="40"/>
      <c r="H330" s="40"/>
      <c r="I330" s="40"/>
      <c r="J330" s="40"/>
    </row>
    <row r="331" spans="1:10">
      <c r="A331" s="729"/>
      <c r="B331" s="729"/>
      <c r="C331" s="729"/>
      <c r="D331" s="729"/>
      <c r="E331" s="40"/>
      <c r="F331" s="40"/>
      <c r="G331" s="40"/>
      <c r="H331" s="40"/>
      <c r="I331" s="40"/>
      <c r="J331" s="40"/>
    </row>
    <row r="332" spans="1:10">
      <c r="A332" s="729"/>
      <c r="B332" s="729"/>
      <c r="C332" s="729"/>
      <c r="D332" s="729"/>
      <c r="E332" s="40"/>
      <c r="F332" s="40"/>
      <c r="G332" s="40"/>
      <c r="H332" s="40"/>
      <c r="I332" s="40"/>
      <c r="J332" s="40"/>
    </row>
    <row r="333" spans="1:10">
      <c r="A333" s="729"/>
      <c r="B333" s="729"/>
      <c r="C333" s="729"/>
      <c r="D333" s="729"/>
      <c r="E333" s="40"/>
      <c r="F333" s="40"/>
      <c r="G333" s="40"/>
      <c r="H333" s="40"/>
      <c r="I333" s="40"/>
      <c r="J333" s="40"/>
    </row>
    <row r="334" spans="1:10">
      <c r="A334" s="729"/>
      <c r="B334" s="729"/>
      <c r="C334" s="729"/>
      <c r="D334" s="729"/>
      <c r="E334" s="40"/>
      <c r="F334" s="40"/>
      <c r="G334" s="40"/>
      <c r="H334" s="40"/>
      <c r="I334" s="40"/>
      <c r="J334" s="40"/>
    </row>
    <row r="335" spans="1:10">
      <c r="A335" s="729"/>
      <c r="B335" s="729"/>
      <c r="C335" s="729"/>
      <c r="D335" s="729"/>
      <c r="E335" s="40"/>
      <c r="F335" s="40"/>
      <c r="G335" s="40"/>
      <c r="H335" s="40"/>
      <c r="I335" s="40"/>
      <c r="J335" s="40"/>
    </row>
    <row r="336" spans="1:10">
      <c r="A336" s="729"/>
      <c r="B336" s="729"/>
      <c r="C336" s="729"/>
      <c r="D336" s="729"/>
      <c r="E336" s="40"/>
      <c r="F336" s="40"/>
      <c r="G336" s="40"/>
      <c r="H336" s="40"/>
      <c r="I336" s="40"/>
      <c r="J336" s="40"/>
    </row>
    <row r="337" spans="1:10">
      <c r="A337" s="729"/>
      <c r="B337" s="729"/>
      <c r="C337" s="729"/>
      <c r="D337" s="729"/>
      <c r="E337" s="40"/>
      <c r="F337" s="40"/>
      <c r="G337" s="40"/>
      <c r="H337" s="40"/>
      <c r="I337" s="40"/>
      <c r="J337" s="40"/>
    </row>
    <row r="338" spans="1:10">
      <c r="A338" s="729"/>
      <c r="B338" s="729"/>
      <c r="C338" s="729"/>
      <c r="D338" s="729"/>
      <c r="E338" s="40"/>
      <c r="F338" s="40"/>
      <c r="G338" s="40"/>
      <c r="H338" s="40"/>
      <c r="I338" s="40"/>
      <c r="J338" s="40"/>
    </row>
    <row r="339" spans="1:10">
      <c r="A339" s="729"/>
      <c r="B339" s="729"/>
      <c r="C339" s="729"/>
      <c r="D339" s="729"/>
      <c r="E339" s="40"/>
      <c r="F339" s="40"/>
      <c r="G339" s="40"/>
      <c r="H339" s="40"/>
      <c r="I339" s="40"/>
      <c r="J339" s="40"/>
    </row>
    <row r="340" spans="1:10">
      <c r="A340" s="729"/>
      <c r="B340" s="729"/>
      <c r="C340" s="729"/>
      <c r="D340" s="729"/>
      <c r="E340" s="40"/>
      <c r="F340" s="40"/>
      <c r="G340" s="40"/>
      <c r="H340" s="40"/>
      <c r="I340" s="40"/>
      <c r="J340" s="40"/>
    </row>
    <row r="341" spans="1:10">
      <c r="A341" s="729"/>
      <c r="B341" s="729"/>
      <c r="C341" s="729"/>
      <c r="D341" s="729"/>
      <c r="E341" s="40"/>
      <c r="F341" s="40"/>
      <c r="G341" s="40"/>
      <c r="H341" s="40"/>
      <c r="I341" s="40"/>
      <c r="J341" s="40"/>
    </row>
    <row r="342" spans="1:10">
      <c r="A342" s="729"/>
      <c r="B342" s="729"/>
      <c r="C342" s="729"/>
      <c r="D342" s="729"/>
      <c r="E342" s="40"/>
      <c r="F342" s="40"/>
      <c r="G342" s="40"/>
      <c r="H342" s="40"/>
      <c r="I342" s="40"/>
      <c r="J342" s="40"/>
    </row>
    <row r="343" spans="1:10">
      <c r="A343" s="729"/>
      <c r="B343" s="729"/>
      <c r="C343" s="729"/>
      <c r="D343" s="729"/>
      <c r="E343" s="40"/>
      <c r="F343" s="40"/>
      <c r="G343" s="40"/>
      <c r="H343" s="40"/>
      <c r="I343" s="40"/>
      <c r="J343" s="40"/>
    </row>
    <row r="344" spans="1:10">
      <c r="A344" s="729"/>
      <c r="B344" s="729"/>
      <c r="C344" s="729"/>
      <c r="D344" s="729"/>
      <c r="E344" s="40"/>
      <c r="F344" s="40"/>
      <c r="G344" s="40"/>
      <c r="H344" s="40"/>
      <c r="I344" s="40"/>
      <c r="J344" s="40"/>
    </row>
    <row r="345" spans="1:10">
      <c r="A345" s="729"/>
      <c r="B345" s="729"/>
      <c r="C345" s="729"/>
      <c r="D345" s="729"/>
      <c r="E345" s="40"/>
      <c r="F345" s="40"/>
      <c r="G345" s="40"/>
      <c r="H345" s="40"/>
      <c r="I345" s="40"/>
      <c r="J345" s="40"/>
    </row>
    <row r="346" spans="1:10">
      <c r="A346" s="729"/>
      <c r="B346" s="729"/>
      <c r="C346" s="729"/>
      <c r="D346" s="729"/>
      <c r="E346" s="40"/>
      <c r="F346" s="40"/>
      <c r="G346" s="40"/>
      <c r="H346" s="40"/>
      <c r="I346" s="40"/>
      <c r="J346" s="40"/>
    </row>
    <row r="347" spans="1:10">
      <c r="A347" s="729"/>
      <c r="B347" s="729"/>
      <c r="C347" s="729"/>
      <c r="D347" s="729"/>
      <c r="E347" s="40"/>
      <c r="F347" s="40"/>
      <c r="G347" s="40"/>
      <c r="H347" s="40"/>
      <c r="I347" s="40"/>
      <c r="J347" s="40"/>
    </row>
    <row r="348" spans="1:10">
      <c r="A348" s="729"/>
      <c r="B348" s="729"/>
      <c r="C348" s="729"/>
      <c r="D348" s="729"/>
      <c r="E348" s="40"/>
      <c r="F348" s="40"/>
      <c r="G348" s="40"/>
      <c r="H348" s="40"/>
      <c r="I348" s="40"/>
      <c r="J348" s="40"/>
    </row>
    <row r="349" spans="1:10">
      <c r="A349" s="729"/>
      <c r="B349" s="729"/>
      <c r="C349" s="729"/>
      <c r="D349" s="729"/>
      <c r="E349" s="40"/>
      <c r="F349" s="40"/>
      <c r="G349" s="40"/>
      <c r="H349" s="40"/>
      <c r="I349" s="40"/>
      <c r="J349" s="40"/>
    </row>
    <row r="350" spans="1:10">
      <c r="A350" s="729"/>
      <c r="B350" s="729"/>
      <c r="C350" s="729"/>
      <c r="D350" s="729"/>
      <c r="E350" s="40"/>
      <c r="F350" s="40"/>
      <c r="G350" s="40"/>
      <c r="H350" s="40"/>
      <c r="I350" s="40"/>
      <c r="J350" s="40"/>
    </row>
    <row r="351" spans="1:10">
      <c r="A351" s="729"/>
      <c r="B351" s="729"/>
      <c r="C351" s="729"/>
      <c r="D351" s="729"/>
      <c r="E351" s="40"/>
      <c r="F351" s="40"/>
      <c r="G351" s="40"/>
      <c r="H351" s="40"/>
      <c r="I351" s="40"/>
      <c r="J351" s="40"/>
    </row>
    <row r="352" spans="1:10">
      <c r="A352" s="729"/>
      <c r="B352" s="729"/>
      <c r="C352" s="729"/>
      <c r="D352" s="729"/>
      <c r="E352" s="40"/>
      <c r="F352" s="40"/>
      <c r="G352" s="40"/>
      <c r="H352" s="40"/>
      <c r="I352" s="40"/>
      <c r="J352" s="40"/>
    </row>
    <row r="353" spans="1:10">
      <c r="A353" s="729"/>
      <c r="B353" s="729"/>
      <c r="C353" s="729"/>
      <c r="D353" s="729"/>
      <c r="E353" s="40"/>
      <c r="F353" s="40"/>
      <c r="G353" s="40"/>
      <c r="H353" s="40"/>
      <c r="I353" s="40"/>
      <c r="J353" s="40"/>
    </row>
    <row r="354" spans="1:10">
      <c r="A354" s="729"/>
      <c r="B354" s="729"/>
      <c r="C354" s="729"/>
      <c r="D354" s="729"/>
      <c r="E354" s="40"/>
      <c r="F354" s="40"/>
      <c r="G354" s="40"/>
      <c r="H354" s="40"/>
      <c r="I354" s="40"/>
      <c r="J354" s="40"/>
    </row>
    <row r="355" spans="1:10">
      <c r="A355" s="729"/>
      <c r="B355" s="729"/>
      <c r="C355" s="729"/>
      <c r="D355" s="729"/>
      <c r="E355" s="40"/>
      <c r="F355" s="40"/>
      <c r="G355" s="40"/>
      <c r="H355" s="40"/>
      <c r="I355" s="40"/>
      <c r="J355" s="40"/>
    </row>
    <row r="356" spans="1:10">
      <c r="A356" s="729"/>
      <c r="B356" s="729"/>
      <c r="C356" s="729"/>
      <c r="D356" s="729"/>
      <c r="E356" s="40"/>
      <c r="F356" s="40"/>
      <c r="G356" s="40"/>
      <c r="H356" s="40"/>
      <c r="I356" s="40"/>
      <c r="J356" s="40"/>
    </row>
    <row r="357" spans="1:10">
      <c r="A357" s="729"/>
      <c r="B357" s="729"/>
      <c r="C357" s="729"/>
      <c r="D357" s="729"/>
      <c r="E357" s="40"/>
      <c r="F357" s="40"/>
      <c r="G357" s="40"/>
      <c r="H357" s="40"/>
      <c r="I357" s="40"/>
      <c r="J357" s="40"/>
    </row>
    <row r="358" spans="1:10">
      <c r="A358" s="729"/>
      <c r="B358" s="729"/>
      <c r="C358" s="729"/>
      <c r="D358" s="729"/>
      <c r="E358" s="40"/>
      <c r="F358" s="40"/>
      <c r="G358" s="40"/>
      <c r="H358" s="40"/>
      <c r="I358" s="40"/>
      <c r="J358" s="40"/>
    </row>
    <row r="359" spans="1:10">
      <c r="A359" s="729"/>
      <c r="B359" s="729"/>
      <c r="C359" s="729"/>
      <c r="D359" s="729"/>
      <c r="E359" s="40"/>
      <c r="F359" s="40"/>
      <c r="G359" s="40"/>
      <c r="H359" s="40"/>
      <c r="I359" s="40"/>
      <c r="J359" s="40"/>
    </row>
    <row r="360" spans="1:10">
      <c r="A360" s="729"/>
      <c r="B360" s="729"/>
      <c r="C360" s="729"/>
      <c r="D360" s="729"/>
      <c r="E360" s="40"/>
      <c r="F360" s="40"/>
      <c r="G360" s="40"/>
      <c r="H360" s="40"/>
      <c r="I360" s="40"/>
      <c r="J360" s="40"/>
    </row>
    <row r="361" spans="1:10">
      <c r="A361" s="729"/>
      <c r="B361" s="729"/>
      <c r="C361" s="729"/>
      <c r="D361" s="729"/>
      <c r="E361" s="40"/>
      <c r="F361" s="40"/>
      <c r="G361" s="40"/>
      <c r="H361" s="40"/>
      <c r="I361" s="40"/>
      <c r="J361" s="40"/>
    </row>
    <row r="362" spans="1:10">
      <c r="A362" s="729"/>
      <c r="B362" s="729"/>
      <c r="C362" s="729"/>
      <c r="D362" s="729"/>
      <c r="E362" s="40"/>
      <c r="F362" s="40"/>
      <c r="G362" s="40"/>
      <c r="H362" s="40"/>
      <c r="I362" s="40"/>
      <c r="J362" s="40"/>
    </row>
    <row r="363" spans="1:10">
      <c r="A363" s="729"/>
      <c r="B363" s="729"/>
      <c r="C363" s="729"/>
      <c r="D363" s="729"/>
      <c r="E363" s="40"/>
      <c r="F363" s="40"/>
      <c r="G363" s="40"/>
      <c r="H363" s="40"/>
      <c r="I363" s="40"/>
      <c r="J363" s="40"/>
    </row>
    <row r="364" spans="1:10">
      <c r="A364" s="729"/>
      <c r="B364" s="729"/>
      <c r="C364" s="729"/>
      <c r="D364" s="729"/>
      <c r="E364" s="40"/>
      <c r="F364" s="40"/>
      <c r="G364" s="40"/>
      <c r="H364" s="40"/>
      <c r="I364" s="40"/>
      <c r="J364" s="40"/>
    </row>
    <row r="365" spans="1:10">
      <c r="A365" s="729"/>
      <c r="B365" s="729"/>
      <c r="C365" s="729"/>
      <c r="D365" s="729"/>
      <c r="E365" s="40"/>
      <c r="F365" s="40"/>
      <c r="G365" s="40"/>
      <c r="H365" s="40"/>
      <c r="I365" s="40"/>
      <c r="J365" s="40"/>
    </row>
    <row r="366" spans="1:10">
      <c r="A366" s="729"/>
      <c r="B366" s="729"/>
      <c r="C366" s="729"/>
      <c r="D366" s="729"/>
      <c r="E366" s="40"/>
      <c r="F366" s="40"/>
      <c r="G366" s="40"/>
      <c r="H366" s="40"/>
      <c r="I366" s="40"/>
      <c r="J366" s="40"/>
    </row>
    <row r="367" spans="1:10">
      <c r="A367" s="729"/>
      <c r="B367" s="729"/>
      <c r="C367" s="729"/>
      <c r="D367" s="729"/>
      <c r="E367" s="40"/>
      <c r="F367" s="40"/>
      <c r="G367" s="40"/>
      <c r="H367" s="40"/>
      <c r="I367" s="40"/>
      <c r="J367" s="40"/>
    </row>
    <row r="368" spans="1:10">
      <c r="A368" s="729"/>
      <c r="B368" s="729"/>
      <c r="C368" s="729"/>
      <c r="D368" s="729"/>
      <c r="E368" s="40"/>
      <c r="F368" s="40"/>
      <c r="G368" s="40"/>
      <c r="H368" s="40"/>
      <c r="I368" s="40"/>
      <c r="J368" s="40"/>
    </row>
    <row r="369" spans="1:10">
      <c r="A369" s="729"/>
      <c r="B369" s="729"/>
      <c r="C369" s="729"/>
      <c r="D369" s="729"/>
      <c r="E369" s="40"/>
      <c r="F369" s="40"/>
      <c r="G369" s="40"/>
      <c r="H369" s="40"/>
      <c r="I369" s="40"/>
      <c r="J369" s="40"/>
    </row>
    <row r="370" spans="1:10">
      <c r="A370" s="729"/>
      <c r="B370" s="729"/>
      <c r="C370" s="729"/>
      <c r="D370" s="729"/>
      <c r="E370" s="40"/>
      <c r="F370" s="40"/>
      <c r="G370" s="40"/>
      <c r="H370" s="40"/>
      <c r="I370" s="40"/>
      <c r="J370" s="40"/>
    </row>
    <row r="371" spans="1:10">
      <c r="A371" s="729"/>
      <c r="B371" s="729"/>
      <c r="C371" s="729"/>
      <c r="D371" s="729"/>
      <c r="E371" s="40"/>
      <c r="F371" s="40"/>
      <c r="G371" s="40"/>
      <c r="H371" s="40"/>
      <c r="I371" s="40"/>
      <c r="J371" s="40"/>
    </row>
    <row r="372" spans="1:10">
      <c r="A372" s="729"/>
      <c r="B372" s="729"/>
      <c r="C372" s="729"/>
      <c r="D372" s="729"/>
      <c r="E372" s="40"/>
      <c r="F372" s="40"/>
      <c r="G372" s="40"/>
      <c r="H372" s="40"/>
      <c r="I372" s="40"/>
      <c r="J372" s="40"/>
    </row>
    <row r="373" spans="1:10">
      <c r="A373" s="729"/>
      <c r="B373" s="729"/>
      <c r="C373" s="729"/>
      <c r="D373" s="729"/>
      <c r="E373" s="40"/>
      <c r="F373" s="40"/>
      <c r="G373" s="40"/>
      <c r="H373" s="40"/>
      <c r="I373" s="40"/>
      <c r="J373" s="40"/>
    </row>
    <row r="374" spans="1:10">
      <c r="A374" s="729"/>
      <c r="B374" s="729"/>
      <c r="C374" s="729"/>
      <c r="D374" s="729"/>
      <c r="E374" s="40"/>
      <c r="F374" s="40"/>
      <c r="G374" s="40"/>
      <c r="H374" s="40"/>
      <c r="I374" s="40"/>
      <c r="J374" s="40"/>
    </row>
    <row r="375" spans="1:10">
      <c r="A375" s="729"/>
      <c r="B375" s="729"/>
      <c r="C375" s="729"/>
      <c r="D375" s="729"/>
      <c r="E375" s="40"/>
      <c r="F375" s="40"/>
      <c r="G375" s="40"/>
      <c r="H375" s="40"/>
      <c r="I375" s="40"/>
      <c r="J375" s="40"/>
    </row>
    <row r="376" spans="1:10">
      <c r="A376" s="729"/>
      <c r="B376" s="729"/>
      <c r="C376" s="729"/>
      <c r="D376" s="729"/>
      <c r="E376" s="40"/>
      <c r="F376" s="40"/>
      <c r="G376" s="40"/>
      <c r="H376" s="40"/>
      <c r="I376" s="40"/>
      <c r="J376" s="40"/>
    </row>
    <row r="377" spans="1:10">
      <c r="A377" s="729"/>
      <c r="B377" s="729"/>
      <c r="C377" s="729"/>
      <c r="D377" s="729"/>
      <c r="E377" s="40"/>
      <c r="F377" s="40"/>
      <c r="G377" s="40"/>
      <c r="H377" s="40"/>
      <c r="I377" s="40"/>
      <c r="J377" s="40"/>
    </row>
    <row r="378" spans="1:10">
      <c r="A378" s="729"/>
      <c r="B378" s="729"/>
      <c r="C378" s="729"/>
      <c r="D378" s="729"/>
      <c r="E378" s="40"/>
      <c r="F378" s="40"/>
      <c r="G378" s="40"/>
      <c r="H378" s="40"/>
      <c r="I378" s="40"/>
      <c r="J378" s="40"/>
    </row>
    <row r="379" spans="1:10">
      <c r="A379" s="729"/>
      <c r="B379" s="729"/>
      <c r="C379" s="729"/>
      <c r="D379" s="729"/>
      <c r="E379" s="40"/>
      <c r="F379" s="40"/>
      <c r="G379" s="40"/>
      <c r="H379" s="40"/>
      <c r="I379" s="40"/>
      <c r="J379" s="40"/>
    </row>
    <row r="380" spans="1:10">
      <c r="A380" s="729"/>
      <c r="B380" s="729"/>
      <c r="C380" s="729"/>
      <c r="D380" s="729"/>
      <c r="E380" s="40"/>
      <c r="F380" s="40"/>
      <c r="G380" s="40"/>
      <c r="H380" s="40"/>
      <c r="I380" s="40"/>
      <c r="J380" s="40"/>
    </row>
    <row r="381" spans="1:10">
      <c r="A381" s="729"/>
      <c r="B381" s="729"/>
      <c r="C381" s="729"/>
      <c r="D381" s="729"/>
      <c r="E381" s="40"/>
      <c r="F381" s="40"/>
      <c r="G381" s="40"/>
      <c r="H381" s="40"/>
      <c r="I381" s="40"/>
      <c r="J381" s="40"/>
    </row>
    <row r="382" spans="1:10">
      <c r="A382" s="729"/>
      <c r="B382" s="729"/>
      <c r="C382" s="729"/>
      <c r="D382" s="729"/>
      <c r="E382" s="40"/>
      <c r="F382" s="40"/>
      <c r="G382" s="40"/>
      <c r="H382" s="40"/>
      <c r="I382" s="40"/>
      <c r="J382" s="40"/>
    </row>
    <row r="383" spans="1:10">
      <c r="A383" s="729"/>
      <c r="B383" s="729"/>
      <c r="C383" s="729"/>
      <c r="D383" s="729"/>
      <c r="E383" s="40"/>
      <c r="F383" s="40"/>
      <c r="G383" s="40"/>
      <c r="H383" s="40"/>
      <c r="I383" s="40"/>
      <c r="J383" s="40"/>
    </row>
    <row r="384" spans="1:10">
      <c r="A384" s="729"/>
      <c r="B384" s="729"/>
      <c r="C384" s="729"/>
      <c r="D384" s="729"/>
      <c r="E384" s="40"/>
      <c r="F384" s="40"/>
      <c r="G384" s="40"/>
      <c r="H384" s="40"/>
      <c r="I384" s="40"/>
      <c r="J384" s="40"/>
    </row>
    <row r="385" spans="1:10">
      <c r="A385" s="729"/>
      <c r="B385" s="729"/>
      <c r="C385" s="729"/>
      <c r="D385" s="729"/>
      <c r="E385" s="40"/>
      <c r="F385" s="40"/>
      <c r="G385" s="40"/>
      <c r="H385" s="40"/>
      <c r="I385" s="40"/>
      <c r="J385" s="40"/>
    </row>
    <row r="386" spans="1:10">
      <c r="A386" s="729"/>
      <c r="B386" s="729"/>
      <c r="C386" s="729"/>
      <c r="D386" s="729"/>
      <c r="E386" s="40"/>
      <c r="F386" s="40"/>
      <c r="G386" s="40"/>
      <c r="H386" s="40"/>
      <c r="I386" s="40"/>
      <c r="J386" s="40"/>
    </row>
    <row r="387" spans="1:10">
      <c r="A387" s="729"/>
      <c r="B387" s="729"/>
      <c r="C387" s="729"/>
      <c r="D387" s="729"/>
      <c r="E387" s="40"/>
      <c r="F387" s="40"/>
      <c r="G387" s="40"/>
      <c r="H387" s="40"/>
      <c r="I387" s="40"/>
      <c r="J387" s="40"/>
    </row>
    <row r="388" spans="1:10">
      <c r="A388" s="729"/>
      <c r="B388" s="729"/>
      <c r="C388" s="729"/>
      <c r="D388" s="729"/>
      <c r="E388" s="40"/>
      <c r="F388" s="40"/>
      <c r="G388" s="40"/>
      <c r="H388" s="40"/>
      <c r="I388" s="40"/>
      <c r="J388" s="40"/>
    </row>
    <row r="389" spans="1:10">
      <c r="A389" s="729"/>
      <c r="B389" s="729"/>
      <c r="C389" s="729"/>
      <c r="D389" s="729"/>
      <c r="E389" s="40"/>
      <c r="F389" s="40"/>
      <c r="G389" s="40"/>
      <c r="H389" s="40"/>
      <c r="I389" s="40"/>
      <c r="J389" s="40"/>
    </row>
    <row r="390" spans="1:10">
      <c r="A390" s="729"/>
      <c r="B390" s="729"/>
      <c r="C390" s="729"/>
      <c r="D390" s="729"/>
      <c r="E390" s="40"/>
      <c r="F390" s="40"/>
      <c r="G390" s="40"/>
      <c r="H390" s="40"/>
      <c r="I390" s="40"/>
      <c r="J390" s="40"/>
    </row>
    <row r="391" spans="1:10">
      <c r="A391" s="729"/>
      <c r="B391" s="729"/>
      <c r="C391" s="729"/>
      <c r="D391" s="729"/>
      <c r="E391" s="40"/>
      <c r="F391" s="40"/>
      <c r="G391" s="40"/>
      <c r="H391" s="40"/>
      <c r="I391" s="40"/>
      <c r="J391" s="40"/>
    </row>
    <row r="392" spans="1:10">
      <c r="A392" s="729"/>
      <c r="B392" s="729"/>
      <c r="C392" s="729"/>
      <c r="D392" s="729"/>
      <c r="E392" s="40"/>
      <c r="F392" s="40"/>
      <c r="G392" s="40"/>
      <c r="H392" s="40"/>
      <c r="I392" s="40"/>
      <c r="J392" s="40"/>
    </row>
    <row r="393" spans="1:10">
      <c r="A393" s="729"/>
      <c r="B393" s="729"/>
      <c r="C393" s="729"/>
      <c r="D393" s="729"/>
      <c r="E393" s="40"/>
      <c r="F393" s="40"/>
      <c r="G393" s="40"/>
      <c r="H393" s="40"/>
      <c r="I393" s="40"/>
      <c r="J393" s="40"/>
    </row>
    <row r="394" spans="1:10">
      <c r="A394" s="729"/>
      <c r="B394" s="729"/>
      <c r="C394" s="729"/>
      <c r="D394" s="729"/>
      <c r="E394" s="40"/>
      <c r="F394" s="40"/>
      <c r="G394" s="40"/>
      <c r="H394" s="40"/>
      <c r="I394" s="40"/>
      <c r="J394" s="40"/>
    </row>
    <row r="395" spans="1:10">
      <c r="A395" s="729"/>
      <c r="B395" s="729"/>
      <c r="C395" s="729"/>
      <c r="D395" s="729"/>
      <c r="E395" s="40"/>
      <c r="F395" s="40"/>
      <c r="G395" s="40"/>
      <c r="H395" s="40"/>
      <c r="I395" s="40"/>
      <c r="J395" s="40"/>
    </row>
    <row r="396" spans="1:10">
      <c r="A396" s="729"/>
      <c r="B396" s="729"/>
      <c r="C396" s="729"/>
      <c r="D396" s="729"/>
      <c r="E396" s="40"/>
      <c r="F396" s="40"/>
      <c r="G396" s="40"/>
      <c r="H396" s="40"/>
      <c r="I396" s="40"/>
      <c r="J396" s="40"/>
    </row>
    <row r="397" spans="1:10">
      <c r="A397" s="729"/>
      <c r="B397" s="729"/>
      <c r="C397" s="729"/>
      <c r="D397" s="729"/>
      <c r="E397" s="40"/>
      <c r="F397" s="40"/>
      <c r="G397" s="40"/>
      <c r="H397" s="40"/>
      <c r="I397" s="40"/>
      <c r="J397" s="40"/>
    </row>
    <row r="398" spans="1:10">
      <c r="A398" s="729"/>
      <c r="B398" s="729"/>
      <c r="C398" s="729"/>
      <c r="D398" s="729"/>
      <c r="E398" s="40"/>
      <c r="F398" s="40"/>
      <c r="G398" s="40"/>
      <c r="H398" s="40"/>
      <c r="I398" s="40"/>
      <c r="J398" s="40"/>
    </row>
    <row r="399" spans="1:10">
      <c r="A399" s="729"/>
      <c r="B399" s="729"/>
      <c r="C399" s="729"/>
      <c r="D399" s="729"/>
      <c r="E399" s="40"/>
      <c r="F399" s="40"/>
      <c r="G399" s="40"/>
      <c r="H399" s="40"/>
      <c r="I399" s="40"/>
      <c r="J399" s="40"/>
    </row>
    <row r="400" spans="1:10">
      <c r="A400" s="729"/>
      <c r="B400" s="729"/>
      <c r="C400" s="729"/>
      <c r="D400" s="729"/>
      <c r="E400" s="40"/>
      <c r="F400" s="40"/>
      <c r="G400" s="40"/>
      <c r="H400" s="40"/>
      <c r="I400" s="40"/>
      <c r="J400" s="40"/>
    </row>
    <row r="401" spans="1:10">
      <c r="A401" s="729"/>
      <c r="B401" s="729"/>
      <c r="C401" s="729"/>
      <c r="D401" s="729"/>
      <c r="E401" s="40"/>
      <c r="F401" s="40"/>
      <c r="G401" s="40"/>
      <c r="H401" s="40"/>
      <c r="I401" s="40"/>
      <c r="J401" s="40"/>
    </row>
    <row r="402" spans="1:10">
      <c r="A402" s="729"/>
      <c r="B402" s="729"/>
      <c r="C402" s="729"/>
      <c r="D402" s="729"/>
      <c r="E402" s="40"/>
      <c r="F402" s="40"/>
      <c r="G402" s="40"/>
      <c r="H402" s="40"/>
      <c r="I402" s="40"/>
      <c r="J402" s="40"/>
    </row>
    <row r="403" spans="1:10">
      <c r="A403" s="729"/>
      <c r="B403" s="729"/>
      <c r="C403" s="729"/>
      <c r="D403" s="729"/>
      <c r="E403" s="40"/>
      <c r="F403" s="40"/>
      <c r="G403" s="40"/>
      <c r="H403" s="40"/>
      <c r="I403" s="40"/>
      <c r="J403" s="40"/>
    </row>
    <row r="404" spans="1:10">
      <c r="A404" s="729"/>
      <c r="B404" s="729"/>
      <c r="C404" s="729"/>
      <c r="D404" s="729"/>
      <c r="E404" s="40"/>
      <c r="F404" s="40"/>
      <c r="G404" s="40"/>
      <c r="H404" s="40"/>
      <c r="I404" s="40"/>
      <c r="J404" s="40"/>
    </row>
    <row r="405" spans="1:10">
      <c r="A405" s="729"/>
      <c r="B405" s="729"/>
      <c r="C405" s="729"/>
      <c r="D405" s="729"/>
      <c r="E405" s="40"/>
      <c r="F405" s="40"/>
      <c r="G405" s="40"/>
      <c r="H405" s="40"/>
      <c r="I405" s="40"/>
      <c r="J405" s="40"/>
    </row>
    <row r="406" spans="1:10">
      <c r="A406" s="729"/>
      <c r="B406" s="729"/>
      <c r="C406" s="729"/>
      <c r="D406" s="729"/>
      <c r="E406" s="40"/>
      <c r="F406" s="40"/>
      <c r="G406" s="40"/>
      <c r="H406" s="40"/>
      <c r="I406" s="40"/>
      <c r="J406" s="40"/>
    </row>
    <row r="407" spans="1:10">
      <c r="A407" s="729"/>
      <c r="B407" s="729"/>
      <c r="C407" s="729"/>
      <c r="D407" s="729"/>
      <c r="E407" s="40"/>
      <c r="F407" s="40"/>
      <c r="G407" s="40"/>
      <c r="H407" s="40"/>
      <c r="I407" s="40"/>
      <c r="J407" s="40"/>
    </row>
    <row r="408" spans="1:10">
      <c r="A408" s="729"/>
      <c r="B408" s="729"/>
      <c r="C408" s="729"/>
      <c r="D408" s="729"/>
      <c r="E408" s="40"/>
      <c r="F408" s="40"/>
      <c r="G408" s="40"/>
      <c r="H408" s="40"/>
      <c r="I408" s="40"/>
      <c r="J408" s="40"/>
    </row>
    <row r="409" spans="1:10">
      <c r="A409" s="729"/>
      <c r="B409" s="729"/>
      <c r="C409" s="729"/>
      <c r="D409" s="729"/>
      <c r="E409" s="40"/>
      <c r="F409" s="40"/>
      <c r="G409" s="40"/>
      <c r="H409" s="40"/>
      <c r="I409" s="40"/>
      <c r="J409" s="40"/>
    </row>
    <row r="410" spans="1:10">
      <c r="A410" s="729"/>
      <c r="B410" s="729"/>
      <c r="C410" s="729"/>
      <c r="D410" s="729"/>
      <c r="E410" s="40"/>
      <c r="F410" s="40"/>
      <c r="G410" s="40"/>
      <c r="H410" s="40"/>
      <c r="I410" s="40"/>
      <c r="J410" s="40"/>
    </row>
    <row r="411" spans="1:10">
      <c r="A411" s="729"/>
      <c r="B411" s="729"/>
      <c r="C411" s="729"/>
      <c r="D411" s="729"/>
      <c r="E411" s="40"/>
      <c r="F411" s="40"/>
      <c r="G411" s="40"/>
      <c r="H411" s="40"/>
      <c r="I411" s="40"/>
      <c r="J411" s="40"/>
    </row>
    <row r="412" spans="1:10">
      <c r="A412" s="729"/>
      <c r="B412" s="729"/>
      <c r="C412" s="729"/>
      <c r="D412" s="729"/>
      <c r="E412" s="40"/>
      <c r="F412" s="40"/>
      <c r="G412" s="40"/>
      <c r="H412" s="40"/>
      <c r="I412" s="40"/>
      <c r="J412" s="40"/>
    </row>
    <row r="413" spans="1:10">
      <c r="A413" s="729"/>
      <c r="B413" s="729"/>
      <c r="C413" s="729"/>
      <c r="D413" s="729"/>
      <c r="E413" s="40"/>
      <c r="F413" s="40"/>
      <c r="G413" s="40"/>
      <c r="H413" s="40"/>
      <c r="I413" s="40"/>
      <c r="J413" s="40"/>
    </row>
    <row r="414" spans="1:10">
      <c r="A414" s="729"/>
      <c r="B414" s="729"/>
      <c r="C414" s="729"/>
      <c r="D414" s="729"/>
      <c r="E414" s="40"/>
      <c r="F414" s="40"/>
      <c r="G414" s="40"/>
      <c r="H414" s="40"/>
      <c r="I414" s="40"/>
      <c r="J414" s="40"/>
    </row>
    <row r="415" spans="1:10">
      <c r="A415" s="729"/>
      <c r="B415" s="729"/>
      <c r="C415" s="729"/>
      <c r="D415" s="729"/>
      <c r="E415" s="40"/>
      <c r="F415" s="40"/>
      <c r="G415" s="40"/>
      <c r="H415" s="40"/>
      <c r="I415" s="40"/>
      <c r="J415" s="40"/>
    </row>
    <row r="416" spans="1:10">
      <c r="A416" s="729"/>
      <c r="B416" s="729"/>
      <c r="C416" s="729"/>
      <c r="D416" s="729"/>
      <c r="E416" s="40"/>
      <c r="F416" s="40"/>
      <c r="G416" s="40"/>
      <c r="H416" s="40"/>
      <c r="I416" s="40"/>
      <c r="J416" s="40"/>
    </row>
    <row r="417" spans="1:10">
      <c r="A417" s="729"/>
      <c r="B417" s="729"/>
      <c r="C417" s="729"/>
      <c r="D417" s="729"/>
      <c r="E417" s="40"/>
      <c r="F417" s="40"/>
      <c r="G417" s="40"/>
      <c r="H417" s="40"/>
      <c r="I417" s="40"/>
      <c r="J417" s="40"/>
    </row>
    <row r="418" spans="1:10">
      <c r="A418" s="729"/>
      <c r="B418" s="729"/>
      <c r="C418" s="729"/>
      <c r="D418" s="729"/>
      <c r="E418" s="40"/>
      <c r="F418" s="40"/>
      <c r="G418" s="40"/>
      <c r="H418" s="40"/>
      <c r="I418" s="40"/>
      <c r="J418" s="40"/>
    </row>
    <row r="419" spans="1:10">
      <c r="A419" s="729"/>
      <c r="B419" s="729"/>
      <c r="C419" s="729"/>
      <c r="D419" s="729"/>
      <c r="E419" s="40"/>
      <c r="F419" s="40"/>
      <c r="G419" s="40"/>
      <c r="H419" s="40"/>
      <c r="I419" s="40"/>
      <c r="J419" s="40"/>
    </row>
    <row r="420" spans="1:10">
      <c r="A420" s="729"/>
      <c r="B420" s="729"/>
      <c r="C420" s="729"/>
      <c r="D420" s="729"/>
      <c r="E420" s="40"/>
      <c r="F420" s="40"/>
      <c r="G420" s="40"/>
      <c r="H420" s="40"/>
      <c r="I420" s="40"/>
      <c r="J420" s="40"/>
    </row>
    <row r="421" spans="1:10">
      <c r="A421" s="729"/>
      <c r="B421" s="729"/>
      <c r="C421" s="729"/>
      <c r="D421" s="729"/>
      <c r="E421" s="40"/>
      <c r="F421" s="40"/>
      <c r="G421" s="40"/>
      <c r="H421" s="40"/>
      <c r="I421" s="40"/>
      <c r="J421" s="40"/>
    </row>
    <row r="422" spans="1:10">
      <c r="A422" s="729"/>
      <c r="B422" s="729"/>
      <c r="C422" s="729"/>
      <c r="D422" s="729"/>
      <c r="E422" s="40"/>
      <c r="F422" s="40"/>
      <c r="G422" s="40"/>
      <c r="H422" s="40"/>
      <c r="I422" s="40"/>
      <c r="J422" s="40"/>
    </row>
    <row r="423" spans="1:10">
      <c r="A423" s="729"/>
      <c r="B423" s="729"/>
      <c r="C423" s="729"/>
      <c r="D423" s="729"/>
      <c r="E423" s="40"/>
      <c r="F423" s="40"/>
      <c r="G423" s="40"/>
      <c r="H423" s="40"/>
      <c r="I423" s="40"/>
      <c r="J423" s="40"/>
    </row>
    <row r="424" spans="1:10">
      <c r="A424" s="729"/>
      <c r="B424" s="729"/>
      <c r="C424" s="729"/>
      <c r="D424" s="729"/>
      <c r="E424" s="40"/>
      <c r="F424" s="40"/>
      <c r="G424" s="40"/>
      <c r="H424" s="40"/>
      <c r="I424" s="40"/>
      <c r="J424" s="40"/>
    </row>
    <row r="425" spans="1:10">
      <c r="A425" s="729"/>
      <c r="B425" s="729"/>
      <c r="C425" s="729"/>
      <c r="D425" s="729"/>
      <c r="E425" s="40"/>
      <c r="F425" s="40"/>
      <c r="G425" s="40"/>
      <c r="H425" s="40"/>
      <c r="I425" s="40"/>
      <c r="J425" s="40"/>
    </row>
    <row r="426" spans="1:10">
      <c r="A426" s="729"/>
      <c r="B426" s="729"/>
      <c r="C426" s="729"/>
      <c r="D426" s="729"/>
      <c r="E426" s="40"/>
      <c r="F426" s="40"/>
      <c r="G426" s="40"/>
      <c r="H426" s="40"/>
      <c r="I426" s="40"/>
      <c r="J426" s="40"/>
    </row>
    <row r="427" spans="1:10">
      <c r="A427" s="729"/>
      <c r="B427" s="729"/>
      <c r="C427" s="729"/>
      <c r="D427" s="729"/>
      <c r="E427" s="40"/>
      <c r="F427" s="40"/>
      <c r="G427" s="40"/>
      <c r="H427" s="40"/>
      <c r="I427" s="40"/>
      <c r="J427" s="40"/>
    </row>
    <row r="428" spans="1:10">
      <c r="A428" s="729"/>
      <c r="B428" s="729"/>
      <c r="C428" s="729"/>
      <c r="D428" s="729"/>
      <c r="E428" s="40"/>
      <c r="F428" s="40"/>
      <c r="G428" s="40"/>
      <c r="H428" s="40"/>
      <c r="I428" s="40"/>
      <c r="J428" s="40"/>
    </row>
    <row r="429" spans="1:10">
      <c r="A429" s="729"/>
      <c r="B429" s="729"/>
      <c r="C429" s="729"/>
      <c r="D429" s="729"/>
      <c r="E429" s="40"/>
      <c r="F429" s="40"/>
      <c r="G429" s="40"/>
      <c r="H429" s="40"/>
      <c r="I429" s="40"/>
      <c r="J429" s="40"/>
    </row>
    <row r="430" spans="1:10">
      <c r="A430" s="729"/>
      <c r="B430" s="729"/>
      <c r="C430" s="729"/>
      <c r="D430" s="729"/>
      <c r="E430" s="40"/>
      <c r="F430" s="40"/>
      <c r="G430" s="40"/>
      <c r="H430" s="40"/>
      <c r="I430" s="40"/>
      <c r="J430" s="40"/>
    </row>
    <row r="431" spans="1:10">
      <c r="A431" s="729"/>
      <c r="B431" s="729"/>
      <c r="C431" s="729"/>
      <c r="D431" s="729"/>
      <c r="E431" s="40"/>
      <c r="F431" s="40"/>
      <c r="G431" s="40"/>
      <c r="H431" s="40"/>
      <c r="I431" s="40"/>
      <c r="J431" s="40"/>
    </row>
    <row r="432" spans="1:10">
      <c r="A432" s="729"/>
      <c r="B432" s="729"/>
      <c r="C432" s="729"/>
      <c r="D432" s="729"/>
      <c r="E432" s="40"/>
      <c r="F432" s="40"/>
      <c r="G432" s="40"/>
      <c r="H432" s="40"/>
      <c r="I432" s="40"/>
      <c r="J432" s="40"/>
    </row>
    <row r="433" spans="1:10">
      <c r="A433" s="729"/>
      <c r="B433" s="729"/>
      <c r="C433" s="729"/>
      <c r="D433" s="729"/>
      <c r="E433" s="40"/>
      <c r="F433" s="40"/>
      <c r="G433" s="40"/>
      <c r="H433" s="40"/>
      <c r="I433" s="40"/>
      <c r="J433" s="40"/>
    </row>
    <row r="434" spans="1:10">
      <c r="A434" s="729"/>
      <c r="B434" s="729"/>
      <c r="C434" s="729"/>
      <c r="D434" s="729"/>
      <c r="E434" s="40"/>
      <c r="F434" s="40"/>
      <c r="G434" s="40"/>
      <c r="H434" s="40"/>
      <c r="I434" s="40"/>
      <c r="J434" s="40"/>
    </row>
    <row r="435" spans="1:10">
      <c r="A435" s="729"/>
      <c r="B435" s="729"/>
      <c r="C435" s="729"/>
      <c r="D435" s="729"/>
      <c r="E435" s="40"/>
      <c r="F435" s="40"/>
      <c r="G435" s="40"/>
      <c r="H435" s="40"/>
      <c r="I435" s="40"/>
      <c r="J435" s="40"/>
    </row>
    <row r="436" spans="1:10">
      <c r="A436" s="729"/>
      <c r="B436" s="729"/>
      <c r="C436" s="729"/>
      <c r="D436" s="729"/>
      <c r="E436" s="40"/>
      <c r="F436" s="40"/>
      <c r="G436" s="40"/>
      <c r="H436" s="40"/>
      <c r="I436" s="40"/>
      <c r="J436" s="40"/>
    </row>
    <row r="437" spans="1:10">
      <c r="A437" s="729"/>
      <c r="B437" s="729"/>
      <c r="C437" s="729"/>
      <c r="D437" s="729"/>
      <c r="E437" s="40"/>
      <c r="F437" s="40"/>
      <c r="G437" s="40"/>
      <c r="H437" s="40"/>
      <c r="I437" s="40"/>
      <c r="J437" s="40"/>
    </row>
    <row r="438" spans="1:10">
      <c r="A438" s="729"/>
      <c r="B438" s="729"/>
      <c r="C438" s="729"/>
      <c r="D438" s="729"/>
      <c r="E438" s="40"/>
      <c r="F438" s="40"/>
      <c r="G438" s="40"/>
      <c r="H438" s="40"/>
      <c r="I438" s="40"/>
      <c r="J438" s="40"/>
    </row>
    <row r="439" spans="1:10">
      <c r="A439" s="729"/>
      <c r="B439" s="729"/>
      <c r="C439" s="729"/>
      <c r="D439" s="729"/>
      <c r="E439" s="40"/>
      <c r="F439" s="40"/>
      <c r="G439" s="40"/>
      <c r="H439" s="40"/>
      <c r="I439" s="40"/>
      <c r="J439" s="40"/>
    </row>
    <row r="440" spans="1:10">
      <c r="A440" s="729"/>
      <c r="B440" s="729"/>
      <c r="C440" s="729"/>
      <c r="D440" s="729"/>
      <c r="E440" s="40"/>
      <c r="F440" s="40"/>
      <c r="G440" s="40"/>
      <c r="H440" s="40"/>
      <c r="I440" s="40"/>
      <c r="J440" s="40"/>
    </row>
    <row r="441" spans="1:10">
      <c r="A441" s="729"/>
      <c r="B441" s="729"/>
      <c r="C441" s="729"/>
      <c r="D441" s="729"/>
      <c r="E441" s="40"/>
      <c r="F441" s="40"/>
      <c r="G441" s="40"/>
      <c r="H441" s="40"/>
      <c r="I441" s="40"/>
      <c r="J441" s="40"/>
    </row>
    <row r="442" spans="1:10">
      <c r="A442" s="729"/>
      <c r="B442" s="729"/>
      <c r="C442" s="729"/>
      <c r="D442" s="729"/>
      <c r="E442" s="40"/>
      <c r="F442" s="40"/>
      <c r="G442" s="40"/>
      <c r="H442" s="40"/>
      <c r="I442" s="40"/>
      <c r="J442" s="40"/>
    </row>
    <row r="443" spans="1:10">
      <c r="A443" s="729"/>
      <c r="B443" s="729"/>
      <c r="C443" s="729"/>
      <c r="D443" s="729"/>
      <c r="E443" s="40"/>
      <c r="F443" s="40"/>
      <c r="G443" s="40"/>
      <c r="H443" s="40"/>
      <c r="I443" s="40"/>
      <c r="J443" s="40"/>
    </row>
    <row r="444" spans="1:10">
      <c r="A444" s="729"/>
      <c r="B444" s="729"/>
      <c r="C444" s="729"/>
      <c r="D444" s="729"/>
      <c r="E444" s="40"/>
      <c r="F444" s="40"/>
      <c r="G444" s="40"/>
      <c r="H444" s="40"/>
      <c r="I444" s="40"/>
      <c r="J444" s="40"/>
    </row>
    <row r="445" spans="1:10">
      <c r="A445" s="729"/>
      <c r="B445" s="729"/>
      <c r="C445" s="729"/>
      <c r="D445" s="729"/>
      <c r="E445" s="40"/>
      <c r="F445" s="40"/>
      <c r="G445" s="40"/>
      <c r="H445" s="40"/>
      <c r="I445" s="40"/>
      <c r="J445" s="40"/>
    </row>
    <row r="446" spans="1:10">
      <c r="A446" s="729"/>
      <c r="B446" s="729"/>
      <c r="C446" s="729"/>
      <c r="D446" s="729"/>
      <c r="E446" s="40"/>
      <c r="F446" s="40"/>
      <c r="G446" s="40"/>
      <c r="H446" s="40"/>
      <c r="I446" s="40"/>
      <c r="J446" s="40"/>
    </row>
    <row r="447" spans="1:10">
      <c r="A447" s="729"/>
      <c r="B447" s="729"/>
      <c r="C447" s="729"/>
      <c r="D447" s="729"/>
      <c r="E447" s="40"/>
      <c r="F447" s="40"/>
      <c r="G447" s="40"/>
      <c r="H447" s="40"/>
      <c r="I447" s="40"/>
      <c r="J447" s="40"/>
    </row>
    <row r="448" spans="1:10">
      <c r="A448" s="729"/>
      <c r="B448" s="729"/>
      <c r="C448" s="729"/>
      <c r="D448" s="729"/>
      <c r="E448" s="40"/>
      <c r="F448" s="40"/>
      <c r="G448" s="40"/>
      <c r="H448" s="40"/>
      <c r="I448" s="40"/>
      <c r="J448" s="40"/>
    </row>
    <row r="449" spans="1:10">
      <c r="A449" s="729"/>
      <c r="B449" s="729"/>
      <c r="C449" s="729"/>
      <c r="D449" s="729"/>
      <c r="E449" s="40"/>
      <c r="F449" s="40"/>
      <c r="G449" s="40"/>
      <c r="H449" s="40"/>
      <c r="I449" s="40"/>
      <c r="J449" s="40"/>
    </row>
    <row r="450" spans="1:10">
      <c r="A450" s="729"/>
      <c r="B450" s="729"/>
      <c r="C450" s="729"/>
      <c r="D450" s="729"/>
      <c r="E450" s="40"/>
      <c r="F450" s="40"/>
      <c r="G450" s="40"/>
      <c r="H450" s="40"/>
      <c r="I450" s="40"/>
      <c r="J450" s="40"/>
    </row>
    <row r="451" spans="1:10">
      <c r="A451" s="729"/>
      <c r="B451" s="729"/>
      <c r="C451" s="729"/>
      <c r="D451" s="729"/>
      <c r="E451" s="40"/>
      <c r="F451" s="40"/>
      <c r="G451" s="40"/>
      <c r="H451" s="40"/>
      <c r="I451" s="40"/>
      <c r="J451" s="40"/>
    </row>
    <row r="452" spans="1:10">
      <c r="A452" s="729"/>
      <c r="B452" s="729"/>
      <c r="C452" s="729"/>
      <c r="D452" s="729"/>
      <c r="E452" s="40"/>
      <c r="F452" s="40"/>
      <c r="G452" s="40"/>
      <c r="H452" s="40"/>
      <c r="I452" s="40"/>
      <c r="J452" s="40"/>
    </row>
    <row r="453" spans="1:10">
      <c r="A453" s="729"/>
      <c r="B453" s="729"/>
      <c r="C453" s="729"/>
      <c r="D453" s="729"/>
      <c r="E453" s="40"/>
      <c r="F453" s="40"/>
      <c r="G453" s="40"/>
      <c r="H453" s="40"/>
      <c r="I453" s="40"/>
      <c r="J453" s="40"/>
    </row>
    <row r="454" spans="1:10">
      <c r="A454" s="729"/>
      <c r="B454" s="729"/>
      <c r="C454" s="729"/>
      <c r="D454" s="729"/>
      <c r="E454" s="40"/>
      <c r="F454" s="40"/>
      <c r="G454" s="40"/>
      <c r="H454" s="40"/>
      <c r="I454" s="40"/>
      <c r="J454" s="40"/>
    </row>
    <row r="455" spans="1:10">
      <c r="A455" s="729"/>
      <c r="B455" s="729"/>
      <c r="C455" s="729"/>
      <c r="D455" s="729"/>
      <c r="E455" s="40"/>
      <c r="F455" s="40"/>
      <c r="G455" s="40"/>
      <c r="H455" s="40"/>
      <c r="I455" s="40"/>
      <c r="J455" s="40"/>
    </row>
    <row r="456" spans="1:10">
      <c r="A456" s="729"/>
      <c r="B456" s="729"/>
      <c r="C456" s="729"/>
      <c r="D456" s="729"/>
      <c r="E456" s="40"/>
      <c r="F456" s="40"/>
      <c r="G456" s="40"/>
      <c r="H456" s="40"/>
      <c r="I456" s="40"/>
      <c r="J456" s="40"/>
    </row>
    <row r="457" spans="1:10">
      <c r="A457" s="729"/>
      <c r="B457" s="729"/>
      <c r="C457" s="729"/>
      <c r="D457" s="729"/>
      <c r="E457" s="40"/>
      <c r="F457" s="40"/>
      <c r="G457" s="40"/>
      <c r="H457" s="40"/>
      <c r="I457" s="40"/>
      <c r="J457" s="40"/>
    </row>
    <row r="458" spans="1:10">
      <c r="A458" s="729"/>
      <c r="B458" s="729"/>
      <c r="C458" s="729"/>
      <c r="D458" s="729"/>
      <c r="E458" s="40"/>
      <c r="F458" s="40"/>
      <c r="G458" s="40"/>
      <c r="H458" s="40"/>
      <c r="I458" s="40"/>
      <c r="J458" s="40"/>
    </row>
    <row r="459" spans="1:10">
      <c r="A459" s="729"/>
      <c r="B459" s="729"/>
      <c r="C459" s="729"/>
      <c r="D459" s="729"/>
      <c r="E459" s="40"/>
      <c r="F459" s="40"/>
      <c r="G459" s="40"/>
      <c r="H459" s="40"/>
      <c r="I459" s="40"/>
      <c r="J459" s="40"/>
    </row>
    <row r="460" spans="1:10">
      <c r="A460" s="729"/>
      <c r="B460" s="729"/>
      <c r="C460" s="729"/>
      <c r="D460" s="729"/>
      <c r="E460" s="40"/>
      <c r="F460" s="40"/>
      <c r="G460" s="40"/>
      <c r="H460" s="40"/>
      <c r="I460" s="40"/>
      <c r="J460" s="40"/>
    </row>
    <row r="461" spans="1:10">
      <c r="A461" s="729"/>
      <c r="B461" s="729"/>
      <c r="C461" s="729"/>
      <c r="D461" s="729"/>
      <c r="E461" s="40"/>
      <c r="F461" s="40"/>
      <c r="G461" s="40"/>
      <c r="H461" s="40"/>
      <c r="I461" s="40"/>
      <c r="J461" s="40"/>
    </row>
    <row r="462" spans="1:10">
      <c r="A462" s="729"/>
      <c r="B462" s="729"/>
      <c r="C462" s="729"/>
      <c r="D462" s="729"/>
      <c r="E462" s="40"/>
      <c r="F462" s="40"/>
      <c r="G462" s="40"/>
      <c r="H462" s="40"/>
      <c r="I462" s="40"/>
      <c r="J462" s="40"/>
    </row>
    <row r="463" spans="1:10">
      <c r="A463" s="729"/>
      <c r="B463" s="729"/>
      <c r="C463" s="729"/>
      <c r="D463" s="729"/>
      <c r="E463" s="40"/>
      <c r="F463" s="40"/>
      <c r="G463" s="40"/>
      <c r="H463" s="40"/>
      <c r="I463" s="40"/>
      <c r="J463" s="40"/>
    </row>
    <row r="464" spans="1:10">
      <c r="A464" s="729"/>
      <c r="B464" s="729"/>
      <c r="C464" s="729"/>
      <c r="D464" s="729"/>
      <c r="E464" s="40"/>
      <c r="F464" s="40"/>
      <c r="G464" s="40"/>
      <c r="H464" s="40"/>
      <c r="I464" s="40"/>
      <c r="J464" s="40"/>
    </row>
    <row r="465" spans="1:10">
      <c r="A465" s="729"/>
      <c r="B465" s="729"/>
      <c r="C465" s="729"/>
      <c r="D465" s="729"/>
      <c r="E465" s="40"/>
      <c r="F465" s="40"/>
      <c r="G465" s="40"/>
      <c r="H465" s="40"/>
      <c r="I465" s="40"/>
      <c r="J465" s="40"/>
    </row>
    <row r="466" spans="1:10">
      <c r="A466" s="729"/>
      <c r="B466" s="729"/>
      <c r="C466" s="729"/>
      <c r="D466" s="729"/>
      <c r="E466" s="40"/>
      <c r="F466" s="40"/>
      <c r="G466" s="40"/>
      <c r="H466" s="40"/>
      <c r="I466" s="40"/>
      <c r="J466" s="40"/>
    </row>
    <row r="467" spans="1:10">
      <c r="A467" s="729"/>
      <c r="B467" s="729"/>
      <c r="C467" s="729"/>
      <c r="D467" s="729"/>
      <c r="E467" s="40"/>
      <c r="F467" s="40"/>
      <c r="G467" s="40"/>
      <c r="H467" s="40"/>
      <c r="I467" s="40"/>
      <c r="J467" s="40"/>
    </row>
    <row r="468" spans="1:10">
      <c r="A468" s="729"/>
      <c r="B468" s="729"/>
      <c r="C468" s="729"/>
      <c r="D468" s="729"/>
      <c r="E468" s="40"/>
      <c r="F468" s="40"/>
      <c r="G468" s="40"/>
      <c r="H468" s="40"/>
      <c r="I468" s="40"/>
      <c r="J468" s="40"/>
    </row>
    <row r="469" spans="1:10">
      <c r="A469" s="729"/>
      <c r="B469" s="729"/>
      <c r="C469" s="729"/>
      <c r="D469" s="729"/>
      <c r="E469" s="40"/>
      <c r="F469" s="40"/>
      <c r="G469" s="40"/>
      <c r="H469" s="40"/>
      <c r="I469" s="40"/>
      <c r="J469" s="40"/>
    </row>
    <row r="470" spans="1:10">
      <c r="A470" s="729"/>
      <c r="B470" s="729"/>
      <c r="C470" s="729"/>
      <c r="D470" s="729"/>
      <c r="E470" s="40"/>
      <c r="F470" s="40"/>
      <c r="G470" s="40"/>
      <c r="H470" s="40"/>
      <c r="I470" s="40"/>
      <c r="J470" s="40"/>
    </row>
    <row r="471" spans="1:10">
      <c r="A471" s="729"/>
      <c r="B471" s="729"/>
      <c r="C471" s="729"/>
      <c r="D471" s="729"/>
      <c r="E471" s="40"/>
      <c r="F471" s="40"/>
      <c r="G471" s="40"/>
      <c r="H471" s="40"/>
      <c r="I471" s="40"/>
      <c r="J471" s="40"/>
    </row>
    <row r="472" spans="1:10">
      <c r="A472" s="729"/>
      <c r="B472" s="729"/>
      <c r="C472" s="729"/>
      <c r="D472" s="729"/>
      <c r="E472" s="40"/>
      <c r="F472" s="40"/>
      <c r="G472" s="40"/>
      <c r="H472" s="40"/>
      <c r="I472" s="40"/>
      <c r="J472" s="40"/>
    </row>
    <row r="473" spans="1:10">
      <c r="A473" s="729"/>
      <c r="B473" s="729"/>
      <c r="C473" s="729"/>
      <c r="D473" s="729"/>
      <c r="E473" s="40"/>
      <c r="F473" s="40"/>
      <c r="G473" s="40"/>
      <c r="H473" s="40"/>
      <c r="I473" s="40"/>
      <c r="J473" s="40"/>
    </row>
    <row r="474" spans="1:10">
      <c r="A474" s="729"/>
      <c r="B474" s="729"/>
      <c r="C474" s="729"/>
      <c r="D474" s="729"/>
      <c r="E474" s="40"/>
      <c r="F474" s="40"/>
      <c r="G474" s="40"/>
      <c r="H474" s="40"/>
      <c r="I474" s="40"/>
      <c r="J474" s="40"/>
    </row>
    <row r="475" spans="1:10">
      <c r="A475" s="729"/>
      <c r="B475" s="729"/>
      <c r="C475" s="729"/>
      <c r="D475" s="729"/>
      <c r="E475" s="40"/>
      <c r="F475" s="40"/>
      <c r="G475" s="40"/>
      <c r="H475" s="40"/>
      <c r="I475" s="40"/>
      <c r="J475" s="40"/>
    </row>
    <row r="476" spans="1:10">
      <c r="A476" s="729"/>
      <c r="B476" s="729"/>
      <c r="C476" s="729"/>
      <c r="D476" s="729"/>
      <c r="E476" s="40"/>
      <c r="F476" s="40"/>
      <c r="G476" s="40"/>
      <c r="H476" s="40"/>
      <c r="I476" s="40"/>
      <c r="J476" s="40"/>
    </row>
    <row r="477" spans="1:10">
      <c r="A477" s="729"/>
      <c r="B477" s="729"/>
      <c r="C477" s="729"/>
      <c r="D477" s="729"/>
      <c r="E477" s="40"/>
      <c r="F477" s="40"/>
      <c r="G477" s="40"/>
      <c r="H477" s="40"/>
      <c r="I477" s="40"/>
      <c r="J477" s="40"/>
    </row>
    <row r="478" spans="1:10">
      <c r="A478" s="729"/>
      <c r="B478" s="729"/>
      <c r="C478" s="729"/>
      <c r="D478" s="729"/>
      <c r="E478" s="40"/>
      <c r="F478" s="40"/>
      <c r="G478" s="40"/>
      <c r="H478" s="40"/>
      <c r="I478" s="40"/>
      <c r="J478" s="40"/>
    </row>
    <row r="479" spans="1:10">
      <c r="A479" s="729"/>
      <c r="B479" s="729"/>
      <c r="C479" s="729"/>
      <c r="D479" s="729"/>
      <c r="E479" s="40"/>
      <c r="F479" s="40"/>
      <c r="G479" s="40"/>
      <c r="H479" s="40"/>
      <c r="I479" s="40"/>
      <c r="J479" s="40"/>
    </row>
    <row r="480" spans="1:10">
      <c r="A480" s="729"/>
      <c r="B480" s="729"/>
      <c r="C480" s="729"/>
      <c r="D480" s="729"/>
      <c r="E480" s="40"/>
      <c r="F480" s="40"/>
      <c r="G480" s="40"/>
      <c r="H480" s="40"/>
      <c r="I480" s="40"/>
      <c r="J480" s="40"/>
    </row>
    <row r="481" spans="1:10">
      <c r="A481" s="729"/>
      <c r="B481" s="729"/>
      <c r="C481" s="729"/>
      <c r="D481" s="729"/>
      <c r="E481" s="40"/>
      <c r="F481" s="40"/>
      <c r="G481" s="40"/>
      <c r="H481" s="40"/>
      <c r="I481" s="40"/>
      <c r="J481" s="40"/>
    </row>
    <row r="482" spans="1:10">
      <c r="A482" s="729"/>
      <c r="B482" s="729"/>
      <c r="C482" s="729"/>
      <c r="D482" s="729"/>
      <c r="E482" s="40"/>
      <c r="F482" s="40"/>
      <c r="G482" s="40"/>
      <c r="H482" s="40"/>
      <c r="I482" s="40"/>
      <c r="J482" s="40"/>
    </row>
    <row r="483" spans="1:10">
      <c r="A483" s="729"/>
      <c r="B483" s="729"/>
      <c r="C483" s="729"/>
      <c r="D483" s="729"/>
      <c r="E483" s="40"/>
      <c r="F483" s="40"/>
      <c r="G483" s="40"/>
      <c r="H483" s="40"/>
      <c r="I483" s="40"/>
      <c r="J483" s="40"/>
    </row>
    <row r="484" spans="1:10">
      <c r="A484" s="729"/>
      <c r="B484" s="729"/>
      <c r="C484" s="729"/>
      <c r="D484" s="729"/>
      <c r="E484" s="40"/>
      <c r="F484" s="40"/>
      <c r="G484" s="40"/>
      <c r="H484" s="40"/>
      <c r="I484" s="40"/>
      <c r="J484" s="40"/>
    </row>
    <row r="485" spans="1:10">
      <c r="A485" s="729"/>
      <c r="B485" s="729"/>
      <c r="C485" s="729"/>
      <c r="D485" s="729"/>
      <c r="E485" s="40"/>
      <c r="F485" s="40"/>
      <c r="G485" s="40"/>
      <c r="H485" s="40"/>
      <c r="I485" s="40"/>
      <c r="J485" s="40"/>
    </row>
    <row r="486" spans="1:10">
      <c r="A486" s="729"/>
      <c r="B486" s="729"/>
      <c r="C486" s="729"/>
      <c r="D486" s="729"/>
      <c r="E486" s="40"/>
      <c r="F486" s="40"/>
      <c r="G486" s="40"/>
      <c r="H486" s="40"/>
      <c r="I486" s="40"/>
      <c r="J486" s="40"/>
    </row>
    <row r="487" spans="1:10">
      <c r="A487" s="729"/>
      <c r="B487" s="729"/>
      <c r="C487" s="729"/>
      <c r="D487" s="729"/>
      <c r="E487" s="40"/>
      <c r="F487" s="40"/>
      <c r="G487" s="40"/>
      <c r="H487" s="40"/>
      <c r="I487" s="40"/>
      <c r="J487" s="40"/>
    </row>
    <row r="488" spans="1:10">
      <c r="A488" s="729"/>
      <c r="B488" s="729"/>
      <c r="C488" s="729"/>
      <c r="D488" s="729"/>
      <c r="E488" s="40"/>
      <c r="F488" s="40"/>
      <c r="G488" s="40"/>
      <c r="H488" s="40"/>
      <c r="I488" s="40"/>
      <c r="J488" s="40"/>
    </row>
    <row r="489" spans="1:10">
      <c r="A489" s="729"/>
      <c r="B489" s="729"/>
      <c r="C489" s="729"/>
      <c r="D489" s="729"/>
      <c r="E489" s="40"/>
      <c r="F489" s="40"/>
      <c r="G489" s="40"/>
      <c r="H489" s="40"/>
      <c r="I489" s="40"/>
      <c r="J489" s="40"/>
    </row>
    <row r="490" spans="1:10">
      <c r="A490" s="729"/>
      <c r="B490" s="729"/>
      <c r="C490" s="729"/>
      <c r="D490" s="729"/>
      <c r="E490" s="40"/>
      <c r="F490" s="40"/>
      <c r="G490" s="40"/>
      <c r="H490" s="40"/>
      <c r="I490" s="40"/>
      <c r="J490" s="40"/>
    </row>
    <row r="491" spans="1:10">
      <c r="A491" s="729"/>
      <c r="B491" s="729"/>
      <c r="C491" s="729"/>
      <c r="D491" s="729"/>
      <c r="E491" s="40"/>
      <c r="F491" s="40"/>
      <c r="G491" s="40"/>
      <c r="H491" s="40"/>
      <c r="I491" s="40"/>
      <c r="J491" s="40"/>
    </row>
    <row r="492" spans="1:10">
      <c r="A492" s="729"/>
      <c r="B492" s="729"/>
      <c r="C492" s="729"/>
      <c r="D492" s="729"/>
      <c r="E492" s="40"/>
      <c r="F492" s="40"/>
      <c r="G492" s="40"/>
      <c r="H492" s="40"/>
      <c r="I492" s="40"/>
      <c r="J492" s="40"/>
    </row>
    <row r="493" spans="1:10">
      <c r="A493" s="729"/>
      <c r="B493" s="729"/>
      <c r="C493" s="729"/>
      <c r="D493" s="729"/>
      <c r="E493" s="40"/>
      <c r="F493" s="40"/>
      <c r="G493" s="40"/>
      <c r="H493" s="40"/>
      <c r="I493" s="40"/>
      <c r="J493" s="40"/>
    </row>
    <row r="494" spans="1:10">
      <c r="A494" s="729"/>
      <c r="B494" s="729"/>
      <c r="C494" s="729"/>
      <c r="D494" s="729"/>
      <c r="E494" s="40"/>
      <c r="F494" s="40"/>
      <c r="G494" s="40"/>
      <c r="H494" s="40"/>
      <c r="I494" s="40"/>
      <c r="J494" s="40"/>
    </row>
    <row r="495" spans="1:10">
      <c r="A495" s="729"/>
      <c r="B495" s="729"/>
      <c r="C495" s="729"/>
      <c r="D495" s="729"/>
      <c r="E495" s="40"/>
      <c r="F495" s="40"/>
      <c r="G495" s="40"/>
      <c r="H495" s="40"/>
      <c r="I495" s="40"/>
      <c r="J495" s="40"/>
    </row>
    <row r="496" spans="1:10">
      <c r="A496" s="729"/>
      <c r="B496" s="729"/>
      <c r="C496" s="729"/>
      <c r="D496" s="729"/>
      <c r="E496" s="40"/>
      <c r="F496" s="40"/>
      <c r="G496" s="40"/>
      <c r="H496" s="40"/>
      <c r="I496" s="40"/>
      <c r="J496" s="40"/>
    </row>
    <row r="497" spans="1:10">
      <c r="A497" s="729"/>
      <c r="B497" s="729"/>
      <c r="C497" s="729"/>
      <c r="D497" s="729"/>
      <c r="E497" s="40"/>
      <c r="F497" s="40"/>
      <c r="G497" s="40"/>
      <c r="H497" s="40"/>
      <c r="I497" s="40"/>
      <c r="J497" s="40"/>
    </row>
    <row r="498" spans="1:10">
      <c r="A498" s="729"/>
      <c r="B498" s="729"/>
      <c r="C498" s="729"/>
      <c r="D498" s="729"/>
      <c r="E498" s="40"/>
      <c r="F498" s="40"/>
      <c r="G498" s="40"/>
      <c r="H498" s="40"/>
      <c r="I498" s="40"/>
      <c r="J498" s="40"/>
    </row>
    <row r="499" spans="1:10">
      <c r="A499" s="729"/>
      <c r="B499" s="729"/>
      <c r="C499" s="729"/>
      <c r="D499" s="729"/>
      <c r="E499" s="40"/>
      <c r="F499" s="40"/>
      <c r="G499" s="40"/>
      <c r="H499" s="40"/>
      <c r="I499" s="40"/>
      <c r="J499" s="40"/>
    </row>
    <row r="500" spans="1:10">
      <c r="A500" s="729"/>
      <c r="B500" s="729"/>
      <c r="C500" s="729"/>
      <c r="D500" s="729"/>
      <c r="E500" s="40"/>
      <c r="F500" s="40"/>
      <c r="G500" s="40"/>
      <c r="H500" s="40"/>
      <c r="I500" s="40"/>
      <c r="J500" s="40"/>
    </row>
    <row r="501" spans="1:10">
      <c r="A501" s="729"/>
      <c r="B501" s="729"/>
      <c r="C501" s="729"/>
      <c r="D501" s="729"/>
      <c r="E501" s="40"/>
      <c r="F501" s="40"/>
      <c r="G501" s="40"/>
      <c r="H501" s="40"/>
      <c r="I501" s="40"/>
      <c r="J501" s="40"/>
    </row>
    <row r="502" spans="1:10">
      <c r="A502" s="729"/>
      <c r="B502" s="729"/>
      <c r="C502" s="729"/>
      <c r="D502" s="729"/>
      <c r="E502" s="40"/>
      <c r="F502" s="40"/>
      <c r="G502" s="40"/>
      <c r="H502" s="40"/>
      <c r="I502" s="40"/>
      <c r="J502" s="40"/>
    </row>
    <row r="503" spans="1:10">
      <c r="A503" s="729"/>
      <c r="B503" s="729"/>
      <c r="C503" s="729"/>
      <c r="D503" s="729"/>
      <c r="E503" s="40"/>
      <c r="F503" s="40"/>
      <c r="G503" s="40"/>
      <c r="H503" s="40"/>
      <c r="I503" s="40"/>
      <c r="J503" s="40"/>
    </row>
    <row r="504" spans="1:10">
      <c r="A504" s="729"/>
      <c r="B504" s="729"/>
      <c r="C504" s="729"/>
      <c r="D504" s="729"/>
      <c r="E504" s="40"/>
      <c r="F504" s="40"/>
      <c r="G504" s="40"/>
      <c r="H504" s="40"/>
      <c r="I504" s="40"/>
      <c r="J504" s="40"/>
    </row>
    <row r="505" spans="1:10">
      <c r="A505" s="729"/>
      <c r="B505" s="729"/>
      <c r="C505" s="729"/>
      <c r="D505" s="729"/>
      <c r="E505" s="40"/>
      <c r="F505" s="40"/>
      <c r="G505" s="40"/>
      <c r="H505" s="40"/>
      <c r="I505" s="40"/>
      <c r="J505" s="40"/>
    </row>
    <row r="506" spans="1:10">
      <c r="A506" s="729"/>
      <c r="B506" s="729"/>
      <c r="C506" s="729"/>
      <c r="D506" s="729"/>
      <c r="E506" s="40"/>
      <c r="F506" s="40"/>
      <c r="G506" s="40"/>
      <c r="H506" s="40"/>
      <c r="I506" s="40"/>
      <c r="J506" s="40"/>
    </row>
    <row r="507" spans="1:10">
      <c r="A507" s="729"/>
      <c r="B507" s="729"/>
      <c r="C507" s="729"/>
      <c r="D507" s="729"/>
      <c r="E507" s="40"/>
      <c r="F507" s="40"/>
      <c r="G507" s="40"/>
      <c r="H507" s="40"/>
      <c r="I507" s="40"/>
      <c r="J507" s="40"/>
    </row>
    <row r="508" spans="1:10">
      <c r="A508" s="729"/>
      <c r="B508" s="729"/>
      <c r="C508" s="729"/>
      <c r="D508" s="729"/>
      <c r="E508" s="40"/>
      <c r="F508" s="40"/>
      <c r="G508" s="40"/>
      <c r="H508" s="40"/>
      <c r="I508" s="40"/>
      <c r="J508" s="40"/>
    </row>
    <row r="509" spans="1:10">
      <c r="A509" s="729"/>
      <c r="B509" s="729"/>
      <c r="C509" s="729"/>
      <c r="D509" s="729"/>
      <c r="E509" s="40"/>
      <c r="F509" s="40"/>
      <c r="G509" s="40"/>
      <c r="H509" s="40"/>
      <c r="I509" s="40"/>
      <c r="J509" s="40"/>
    </row>
    <row r="510" spans="1:10">
      <c r="A510" s="40"/>
      <c r="B510" s="40"/>
      <c r="C510" s="729"/>
      <c r="D510" s="729"/>
      <c r="E510" s="40"/>
      <c r="F510" s="40"/>
      <c r="G510" s="40"/>
      <c r="H510" s="40"/>
      <c r="I510" s="40"/>
      <c r="J510" s="40"/>
    </row>
    <row r="511" spans="1:10">
      <c r="A511" s="40"/>
      <c r="B511" s="40"/>
      <c r="C511" s="729"/>
      <c r="D511" s="729"/>
      <c r="E511" s="40"/>
      <c r="F511" s="40"/>
      <c r="G511" s="40"/>
      <c r="H511" s="40"/>
      <c r="I511" s="40"/>
      <c r="J511" s="40"/>
    </row>
    <row r="512" spans="1:10">
      <c r="A512" s="40"/>
      <c r="B512" s="40"/>
      <c r="C512" s="40"/>
      <c r="D512" s="40"/>
      <c r="E512" s="40"/>
      <c r="F512" s="40"/>
      <c r="G512" s="40"/>
      <c r="H512" s="40"/>
      <c r="I512" s="40"/>
      <c r="J512" s="40"/>
    </row>
    <row r="513" spans="1:10">
      <c r="A513" s="40"/>
      <c r="B513" s="40"/>
      <c r="C513" s="40"/>
      <c r="D513" s="40"/>
      <c r="E513" s="40"/>
      <c r="F513" s="40"/>
      <c r="G513" s="40"/>
      <c r="H513" s="40"/>
      <c r="I513" s="40"/>
      <c r="J513" s="40"/>
    </row>
    <row r="514" spans="1:10">
      <c r="A514" s="40"/>
      <c r="B514" s="40"/>
      <c r="C514" s="40"/>
      <c r="D514" s="40"/>
      <c r="E514" s="40"/>
      <c r="F514" s="40"/>
      <c r="G514" s="40"/>
      <c r="H514" s="40"/>
      <c r="I514" s="40"/>
      <c r="J514" s="40"/>
    </row>
    <row r="515" spans="1:10">
      <c r="A515" s="40"/>
      <c r="B515" s="40"/>
      <c r="C515" s="40"/>
      <c r="D515" s="40"/>
      <c r="E515" s="40"/>
      <c r="F515" s="40"/>
      <c r="G515" s="40"/>
      <c r="H515" s="40"/>
      <c r="I515" s="40"/>
      <c r="J515" s="40"/>
    </row>
    <row r="516" spans="1:10">
      <c r="A516" s="40"/>
      <c r="B516" s="40"/>
      <c r="C516" s="40"/>
      <c r="D516" s="40"/>
      <c r="E516" s="40"/>
      <c r="F516" s="40"/>
      <c r="G516" s="40"/>
      <c r="H516" s="40"/>
      <c r="I516" s="40"/>
      <c r="J516" s="40"/>
    </row>
    <row r="517" spans="1:10">
      <c r="A517" s="40"/>
      <c r="B517" s="40"/>
      <c r="C517" s="40"/>
      <c r="D517" s="40"/>
      <c r="E517" s="40"/>
      <c r="F517" s="40"/>
      <c r="G517" s="40"/>
      <c r="H517" s="40"/>
      <c r="I517" s="40"/>
      <c r="J517" s="40"/>
    </row>
    <row r="518" spans="1:10">
      <c r="A518" s="40"/>
      <c r="B518" s="40"/>
      <c r="C518" s="40"/>
      <c r="D518" s="40"/>
      <c r="E518" s="40"/>
      <c r="F518" s="40"/>
      <c r="G518" s="40"/>
      <c r="H518" s="40"/>
      <c r="I518" s="40"/>
      <c r="J518" s="40"/>
    </row>
    <row r="519" spans="1:10">
      <c r="A519" s="40"/>
      <c r="B519" s="40"/>
      <c r="C519" s="40"/>
      <c r="D519" s="40"/>
      <c r="E519" s="40"/>
      <c r="F519" s="40"/>
      <c r="G519" s="40"/>
      <c r="H519" s="40"/>
      <c r="I519" s="40"/>
      <c r="J519" s="40"/>
    </row>
    <row r="520" spans="1:10">
      <c r="A520" s="40"/>
      <c r="B520" s="40"/>
      <c r="C520" s="40"/>
      <c r="D520" s="40"/>
      <c r="E520" s="40"/>
      <c r="F520" s="40"/>
      <c r="G520" s="40"/>
      <c r="H520" s="40"/>
      <c r="I520" s="40"/>
      <c r="J520" s="40"/>
    </row>
    <row r="521" spans="1:10">
      <c r="A521" s="40"/>
      <c r="B521" s="40"/>
      <c r="C521" s="40"/>
      <c r="D521" s="40"/>
      <c r="E521" s="40"/>
      <c r="F521" s="40"/>
      <c r="G521" s="40"/>
      <c r="H521" s="40"/>
      <c r="I521" s="40"/>
      <c r="J521" s="40"/>
    </row>
    <row r="522" spans="1:10">
      <c r="A522" s="40"/>
      <c r="B522" s="40"/>
      <c r="C522" s="40"/>
      <c r="D522" s="40"/>
      <c r="E522" s="40"/>
      <c r="F522" s="40"/>
      <c r="G522" s="40"/>
      <c r="H522" s="40"/>
      <c r="I522" s="40"/>
      <c r="J522" s="40"/>
    </row>
    <row r="523" spans="1:10">
      <c r="A523" s="40"/>
      <c r="B523" s="40"/>
      <c r="C523" s="40"/>
      <c r="D523" s="40"/>
      <c r="E523" s="40"/>
      <c r="F523" s="40"/>
      <c r="G523" s="40"/>
      <c r="H523" s="40"/>
      <c r="I523" s="40"/>
      <c r="J523" s="40"/>
    </row>
    <row r="524" spans="1:10">
      <c r="A524" s="40"/>
      <c r="B524" s="40"/>
      <c r="C524" s="40"/>
      <c r="D524" s="40"/>
      <c r="E524" s="40"/>
      <c r="F524" s="40"/>
      <c r="G524" s="40"/>
      <c r="H524" s="40"/>
      <c r="I524" s="40"/>
      <c r="J524" s="40"/>
    </row>
    <row r="525" spans="1:10">
      <c r="A525" s="40"/>
      <c r="B525" s="40"/>
      <c r="C525" s="40"/>
      <c r="D525" s="40"/>
      <c r="E525" s="40"/>
      <c r="F525" s="40"/>
      <c r="G525" s="40"/>
      <c r="H525" s="40"/>
      <c r="I525" s="40"/>
      <c r="J525" s="40"/>
    </row>
    <row r="526" spans="1:10">
      <c r="A526" s="40"/>
      <c r="B526" s="40"/>
      <c r="C526" s="40"/>
      <c r="D526" s="40"/>
      <c r="E526" s="40"/>
      <c r="F526" s="40"/>
      <c r="G526" s="40"/>
      <c r="H526" s="40"/>
      <c r="I526" s="40"/>
      <c r="J526" s="40"/>
    </row>
    <row r="527" spans="1:10">
      <c r="A527" s="40"/>
      <c r="B527" s="40"/>
      <c r="C527" s="40"/>
      <c r="D527" s="40"/>
      <c r="E527" s="40"/>
      <c r="F527" s="40"/>
      <c r="G527" s="40"/>
      <c r="H527" s="40"/>
      <c r="I527" s="40"/>
      <c r="J527" s="40"/>
    </row>
    <row r="528" spans="1:10">
      <c r="A528" s="40"/>
      <c r="B528" s="40"/>
      <c r="C528" s="40"/>
      <c r="D528" s="40"/>
      <c r="E528" s="40"/>
      <c r="F528" s="40"/>
      <c r="G528" s="40"/>
      <c r="H528" s="40"/>
      <c r="I528" s="40"/>
      <c r="J528" s="40"/>
    </row>
    <row r="529" spans="1:10">
      <c r="A529" s="40"/>
      <c r="B529" s="40"/>
      <c r="C529" s="40"/>
      <c r="D529" s="40"/>
      <c r="E529" s="40"/>
      <c r="F529" s="40"/>
      <c r="G529" s="40"/>
      <c r="H529" s="40"/>
      <c r="I529" s="40"/>
      <c r="J529" s="40"/>
    </row>
    <row r="530" spans="1:10">
      <c r="A530" s="40"/>
      <c r="B530" s="40"/>
      <c r="C530" s="40"/>
      <c r="D530" s="40"/>
      <c r="E530" s="40"/>
      <c r="F530" s="40"/>
      <c r="G530" s="40"/>
      <c r="H530" s="40"/>
      <c r="I530" s="40"/>
      <c r="J530" s="40"/>
    </row>
    <row r="531" spans="1:10">
      <c r="A531" s="40"/>
      <c r="B531" s="40"/>
      <c r="C531" s="40"/>
      <c r="D531" s="40"/>
      <c r="E531" s="40"/>
      <c r="F531" s="40"/>
      <c r="G531" s="40"/>
      <c r="H531" s="40"/>
      <c r="I531" s="40"/>
      <c r="J531" s="40"/>
    </row>
    <row r="532" spans="1:10">
      <c r="A532" s="40"/>
      <c r="B532" s="40"/>
      <c r="C532" s="40"/>
      <c r="D532" s="40"/>
      <c r="E532" s="40"/>
      <c r="F532" s="40"/>
      <c r="G532" s="40"/>
      <c r="H532" s="40"/>
      <c r="I532" s="40"/>
      <c r="J532" s="40"/>
    </row>
    <row r="533" spans="1:10">
      <c r="A533" s="40"/>
      <c r="B533" s="40"/>
      <c r="C533" s="40"/>
      <c r="D533" s="40"/>
      <c r="E533" s="40"/>
      <c r="F533" s="40"/>
      <c r="G533" s="40"/>
      <c r="H533" s="40"/>
      <c r="I533" s="40"/>
      <c r="J533" s="40"/>
    </row>
    <row r="534" spans="1:10">
      <c r="A534" s="40"/>
      <c r="B534" s="40"/>
      <c r="C534" s="40"/>
      <c r="D534" s="40"/>
      <c r="E534" s="40"/>
      <c r="F534" s="40"/>
      <c r="G534" s="40"/>
      <c r="H534" s="40"/>
      <c r="I534" s="40"/>
      <c r="J534" s="40"/>
    </row>
    <row r="535" spans="1:10">
      <c r="A535" s="40"/>
      <c r="B535" s="40"/>
      <c r="C535" s="40"/>
      <c r="D535" s="40"/>
      <c r="E535" s="40"/>
      <c r="F535" s="40"/>
      <c r="G535" s="40"/>
      <c r="H535" s="40"/>
      <c r="I535" s="40"/>
      <c r="J535" s="40"/>
    </row>
    <row r="536" spans="1:10">
      <c r="A536" s="40"/>
      <c r="B536" s="40"/>
      <c r="C536" s="40"/>
      <c r="D536" s="40"/>
      <c r="E536" s="40"/>
      <c r="F536" s="40"/>
      <c r="G536" s="40"/>
      <c r="H536" s="40"/>
      <c r="I536" s="40"/>
      <c r="J536" s="40"/>
    </row>
    <row r="537" spans="1:10">
      <c r="A537" s="40"/>
      <c r="B537" s="40"/>
      <c r="C537" s="40"/>
      <c r="D537" s="40"/>
      <c r="E537" s="40"/>
      <c r="F537" s="40"/>
      <c r="G537" s="40"/>
      <c r="H537" s="40"/>
      <c r="I537" s="40"/>
      <c r="J537" s="40"/>
    </row>
    <row r="538" spans="1:10">
      <c r="A538" s="40"/>
      <c r="B538" s="40"/>
      <c r="C538" s="40"/>
      <c r="D538" s="40"/>
      <c r="E538" s="40"/>
      <c r="F538" s="40"/>
      <c r="G538" s="40"/>
      <c r="H538" s="40"/>
      <c r="I538" s="40"/>
      <c r="J538" s="40"/>
    </row>
    <row r="539" spans="1:10">
      <c r="A539" s="40"/>
      <c r="B539" s="40"/>
      <c r="C539" s="40"/>
      <c r="D539" s="40"/>
      <c r="E539" s="40"/>
      <c r="F539" s="40"/>
      <c r="G539" s="40"/>
      <c r="H539" s="40"/>
      <c r="I539" s="40"/>
      <c r="J539" s="40"/>
    </row>
    <row r="540" spans="1:10">
      <c r="A540" s="40"/>
      <c r="B540" s="40"/>
      <c r="C540" s="40"/>
      <c r="D540" s="40"/>
      <c r="E540" s="40"/>
      <c r="F540" s="40"/>
      <c r="G540" s="40"/>
      <c r="H540" s="40"/>
      <c r="I540" s="40"/>
      <c r="J540" s="40"/>
    </row>
    <row r="541" spans="1:10">
      <c r="A541" s="40"/>
      <c r="B541" s="40"/>
      <c r="C541" s="40"/>
      <c r="D541" s="40"/>
      <c r="E541" s="40"/>
      <c r="F541" s="40"/>
      <c r="G541" s="40"/>
      <c r="H541" s="40"/>
      <c r="I541" s="40"/>
      <c r="J541" s="40"/>
    </row>
    <row r="542" spans="1:10">
      <c r="A542" s="40"/>
      <c r="B542" s="40"/>
      <c r="C542" s="40"/>
      <c r="D542" s="40"/>
      <c r="E542" s="40"/>
      <c r="F542" s="40"/>
      <c r="G542" s="40"/>
      <c r="H542" s="40"/>
      <c r="I542" s="40"/>
      <c r="J542" s="40"/>
    </row>
    <row r="543" spans="1:10">
      <c r="A543" s="40"/>
      <c r="B543" s="40"/>
      <c r="C543" s="40"/>
      <c r="D543" s="40"/>
      <c r="E543" s="40"/>
      <c r="F543" s="40"/>
      <c r="G543" s="40"/>
      <c r="H543" s="40"/>
      <c r="I543" s="40"/>
      <c r="J543" s="40"/>
    </row>
    <row r="544" spans="1:10">
      <c r="A544" s="40"/>
      <c r="B544" s="40"/>
      <c r="C544" s="40"/>
      <c r="D544" s="40"/>
      <c r="E544" s="40"/>
      <c r="F544" s="40"/>
      <c r="G544" s="40"/>
      <c r="H544" s="40"/>
      <c r="I544" s="40"/>
      <c r="J544" s="40"/>
    </row>
    <row r="545" spans="1:10">
      <c r="A545" s="40"/>
      <c r="B545" s="40"/>
      <c r="C545" s="40"/>
      <c r="D545" s="40"/>
      <c r="E545" s="40"/>
      <c r="F545" s="40"/>
      <c r="G545" s="40"/>
      <c r="H545" s="40"/>
      <c r="I545" s="40"/>
      <c r="J545" s="40"/>
    </row>
    <row r="546" spans="1:10">
      <c r="A546" s="40"/>
      <c r="B546" s="40"/>
      <c r="C546" s="40"/>
      <c r="D546" s="40"/>
      <c r="E546" s="40"/>
      <c r="F546" s="40"/>
      <c r="G546" s="40"/>
      <c r="H546" s="40"/>
      <c r="I546" s="40"/>
      <c r="J546" s="40"/>
    </row>
    <row r="547" spans="1:10">
      <c r="A547" s="40"/>
      <c r="B547" s="40"/>
      <c r="C547" s="40"/>
      <c r="D547" s="40"/>
      <c r="E547" s="40"/>
      <c r="F547" s="40"/>
      <c r="G547" s="40"/>
      <c r="H547" s="40"/>
      <c r="I547" s="40"/>
      <c r="J547" s="40"/>
    </row>
    <row r="548" spans="1:10">
      <c r="A548" s="40"/>
      <c r="B548" s="40"/>
      <c r="C548" s="40"/>
      <c r="D548" s="40"/>
      <c r="E548" s="40"/>
      <c r="F548" s="40"/>
      <c r="G548" s="40"/>
      <c r="H548" s="40"/>
      <c r="I548" s="40"/>
      <c r="J548" s="40"/>
    </row>
    <row r="549" spans="1:10">
      <c r="A549" s="40"/>
      <c r="B549" s="40"/>
      <c r="C549" s="40"/>
      <c r="D549" s="40"/>
      <c r="E549" s="40"/>
      <c r="F549" s="40"/>
      <c r="G549" s="40"/>
      <c r="H549" s="40"/>
      <c r="I549" s="40"/>
      <c r="J549" s="40"/>
    </row>
    <row r="550" spans="1:10">
      <c r="A550" s="40"/>
      <c r="B550" s="40"/>
      <c r="C550" s="40"/>
      <c r="D550" s="40"/>
      <c r="E550" s="40"/>
      <c r="F550" s="40"/>
      <c r="G550" s="40"/>
      <c r="H550" s="40"/>
      <c r="I550" s="40"/>
      <c r="J550" s="40"/>
    </row>
    <row r="551" spans="1:10">
      <c r="A551" s="40"/>
      <c r="B551" s="40"/>
      <c r="C551" s="40"/>
      <c r="D551" s="40"/>
      <c r="E551" s="40"/>
      <c r="F551" s="40"/>
      <c r="G551" s="40"/>
      <c r="H551" s="40"/>
      <c r="I551" s="40"/>
      <c r="J551" s="40"/>
    </row>
    <row r="552" spans="1:10">
      <c r="A552" s="40"/>
      <c r="B552" s="40"/>
      <c r="C552" s="40"/>
      <c r="D552" s="40"/>
      <c r="E552" s="40"/>
      <c r="F552" s="40"/>
      <c r="G552" s="40"/>
      <c r="H552" s="40"/>
      <c r="I552" s="40"/>
      <c r="J552" s="40"/>
    </row>
    <row r="553" spans="1:10">
      <c r="A553" s="40"/>
      <c r="B553" s="40"/>
      <c r="C553" s="40"/>
      <c r="D553" s="40"/>
      <c r="E553" s="40"/>
      <c r="F553" s="40"/>
      <c r="G553" s="40"/>
      <c r="H553" s="40"/>
      <c r="I553" s="40"/>
      <c r="J553" s="40"/>
    </row>
    <row r="554" spans="1:10">
      <c r="A554" s="40"/>
      <c r="B554" s="40"/>
      <c r="C554" s="40"/>
      <c r="D554" s="40"/>
      <c r="E554" s="40"/>
      <c r="F554" s="40"/>
      <c r="G554" s="40"/>
      <c r="H554" s="40"/>
      <c r="I554" s="40"/>
      <c r="J554" s="40"/>
    </row>
    <row r="555" spans="1:10">
      <c r="A555" s="40"/>
      <c r="B555" s="40"/>
      <c r="C555" s="40"/>
      <c r="D555" s="40"/>
      <c r="E555" s="40"/>
      <c r="F555" s="40"/>
      <c r="G555" s="40"/>
      <c r="H555" s="40"/>
      <c r="I555" s="40"/>
      <c r="J555" s="40"/>
    </row>
    <row r="556" spans="1:10">
      <c r="A556" s="40"/>
      <c r="B556" s="40"/>
      <c r="C556" s="40"/>
      <c r="D556" s="40"/>
      <c r="E556" s="40"/>
      <c r="F556" s="40"/>
      <c r="G556" s="40"/>
      <c r="H556" s="40"/>
      <c r="I556" s="40"/>
      <c r="J556" s="40"/>
    </row>
    <row r="557" spans="1:10">
      <c r="A557" s="40"/>
      <c r="B557" s="40"/>
      <c r="C557" s="40"/>
      <c r="D557" s="40"/>
      <c r="E557" s="40"/>
      <c r="F557" s="40"/>
      <c r="G557" s="40"/>
      <c r="H557" s="40"/>
      <c r="I557" s="40"/>
      <c r="J557" s="40"/>
    </row>
    <row r="558" spans="1:10">
      <c r="A558" s="40"/>
      <c r="B558" s="40"/>
      <c r="C558" s="40"/>
      <c r="D558" s="40"/>
      <c r="E558" s="40"/>
      <c r="F558" s="40"/>
      <c r="G558" s="40"/>
      <c r="H558" s="40"/>
      <c r="I558" s="40"/>
      <c r="J558" s="40"/>
    </row>
    <row r="559" spans="1:10">
      <c r="A559" s="40"/>
      <c r="B559" s="40"/>
      <c r="C559" s="40"/>
      <c r="D559" s="40"/>
      <c r="E559" s="40"/>
      <c r="F559" s="40"/>
      <c r="G559" s="40"/>
      <c r="H559" s="40"/>
      <c r="I559" s="40"/>
      <c r="J559" s="40"/>
    </row>
    <row r="560" spans="1:10">
      <c r="A560" s="40"/>
      <c r="B560" s="40"/>
      <c r="C560" s="40"/>
      <c r="D560" s="40"/>
      <c r="E560" s="40"/>
      <c r="F560" s="40"/>
      <c r="G560" s="40"/>
      <c r="H560" s="40"/>
      <c r="I560" s="40"/>
      <c r="J560" s="40"/>
    </row>
    <row r="561" spans="1:10">
      <c r="A561" s="40"/>
      <c r="B561" s="40"/>
      <c r="C561" s="40"/>
      <c r="D561" s="40"/>
      <c r="E561" s="40"/>
      <c r="F561" s="40"/>
      <c r="G561" s="40"/>
      <c r="H561" s="40"/>
      <c r="I561" s="40"/>
      <c r="J561" s="40"/>
    </row>
    <row r="562" spans="1:10">
      <c r="A562" s="40"/>
      <c r="B562" s="40"/>
      <c r="C562" s="40"/>
      <c r="D562" s="40"/>
      <c r="E562" s="40"/>
      <c r="F562" s="40"/>
      <c r="G562" s="40"/>
      <c r="H562" s="40"/>
      <c r="I562" s="40"/>
      <c r="J562" s="40"/>
    </row>
    <row r="563" spans="1:10">
      <c r="A563" s="40"/>
      <c r="B563" s="40"/>
      <c r="C563" s="40"/>
      <c r="D563" s="40"/>
      <c r="E563" s="40"/>
      <c r="F563" s="40"/>
      <c r="G563" s="40"/>
      <c r="H563" s="40"/>
      <c r="I563" s="40"/>
      <c r="J563" s="40"/>
    </row>
    <row r="564" spans="1:10">
      <c r="A564" s="40"/>
      <c r="B564" s="40"/>
      <c r="C564" s="40"/>
      <c r="D564" s="40"/>
      <c r="E564" s="40"/>
      <c r="F564" s="40"/>
      <c r="G564" s="40"/>
      <c r="H564" s="40"/>
      <c r="I564" s="40"/>
      <c r="J564" s="40"/>
    </row>
    <row r="565" spans="1:10">
      <c r="A565" s="40"/>
      <c r="B565" s="40"/>
      <c r="C565" s="40"/>
      <c r="D565" s="40"/>
      <c r="E565" s="40"/>
      <c r="F565" s="40"/>
      <c r="G565" s="40"/>
      <c r="H565" s="40"/>
      <c r="I565" s="40"/>
      <c r="J565" s="40"/>
    </row>
    <row r="566" spans="1:10">
      <c r="A566" s="40"/>
      <c r="B566" s="40"/>
      <c r="C566" s="40"/>
      <c r="D566" s="40"/>
      <c r="E566" s="40"/>
      <c r="F566" s="40"/>
      <c r="G566" s="40"/>
      <c r="H566" s="40"/>
      <c r="I566" s="40"/>
      <c r="J566" s="40"/>
    </row>
    <row r="567" spans="1:10">
      <c r="A567" s="40"/>
      <c r="B567" s="40"/>
      <c r="C567" s="40"/>
      <c r="D567" s="40"/>
      <c r="E567" s="40"/>
      <c r="F567" s="40"/>
      <c r="G567" s="40"/>
      <c r="H567" s="40"/>
      <c r="I567" s="40"/>
      <c r="J567" s="40"/>
    </row>
    <row r="568" spans="1:10">
      <c r="A568" s="40"/>
      <c r="B568" s="40"/>
      <c r="C568" s="40"/>
      <c r="D568" s="40"/>
      <c r="E568" s="40"/>
      <c r="F568" s="40"/>
      <c r="G568" s="40"/>
      <c r="H568" s="40"/>
      <c r="I568" s="40"/>
      <c r="J568" s="40"/>
    </row>
    <row r="569" spans="1:10">
      <c r="A569" s="40"/>
      <c r="B569" s="40"/>
      <c r="C569" s="40"/>
      <c r="D569" s="40"/>
      <c r="E569" s="40"/>
      <c r="F569" s="40"/>
      <c r="G569" s="40"/>
      <c r="H569" s="40"/>
      <c r="I569" s="40"/>
      <c r="J569" s="40"/>
    </row>
    <row r="570" spans="1:10">
      <c r="A570" s="40"/>
      <c r="B570" s="40"/>
      <c r="C570" s="40"/>
      <c r="D570" s="40"/>
      <c r="E570" s="40"/>
      <c r="F570" s="40"/>
      <c r="G570" s="40"/>
      <c r="H570" s="40"/>
      <c r="I570" s="40"/>
      <c r="J570" s="40"/>
    </row>
    <row r="571" spans="1:10">
      <c r="A571" s="40"/>
      <c r="B571" s="40"/>
      <c r="C571" s="40"/>
      <c r="D571" s="40"/>
      <c r="E571" s="40"/>
      <c r="F571" s="40"/>
      <c r="G571" s="40"/>
      <c r="H571" s="40"/>
      <c r="I571" s="40"/>
      <c r="J571" s="40"/>
    </row>
    <row r="572" spans="1:10">
      <c r="A572" s="40"/>
      <c r="B572" s="40"/>
      <c r="C572" s="40"/>
      <c r="D572" s="40"/>
      <c r="E572" s="40"/>
      <c r="F572" s="40"/>
      <c r="G572" s="40"/>
      <c r="H572" s="40"/>
      <c r="I572" s="40"/>
      <c r="J572" s="40"/>
    </row>
    <row r="573" spans="1:10">
      <c r="A573" s="40"/>
      <c r="B573" s="40"/>
      <c r="C573" s="40"/>
      <c r="D573" s="40"/>
      <c r="E573" s="40"/>
      <c r="F573" s="40"/>
      <c r="G573" s="40"/>
      <c r="H573" s="40"/>
      <c r="I573" s="40"/>
      <c r="J573" s="40"/>
    </row>
    <row r="574" spans="1:10">
      <c r="A574" s="40"/>
      <c r="B574" s="40"/>
      <c r="C574" s="40"/>
      <c r="D574" s="40"/>
      <c r="E574" s="40"/>
      <c r="F574" s="40"/>
      <c r="G574" s="40"/>
      <c r="H574" s="40"/>
      <c r="I574" s="40"/>
      <c r="J574" s="40"/>
    </row>
    <row r="575" spans="1:10">
      <c r="A575" s="40"/>
      <c r="B575" s="40"/>
      <c r="C575" s="40"/>
      <c r="D575" s="40"/>
      <c r="E575" s="40"/>
      <c r="F575" s="40"/>
      <c r="G575" s="40"/>
      <c r="H575" s="40"/>
      <c r="I575" s="40"/>
      <c r="J575" s="40"/>
    </row>
    <row r="576" spans="1:10">
      <c r="A576" s="40"/>
      <c r="B576" s="40"/>
      <c r="C576" s="40"/>
      <c r="D576" s="40"/>
      <c r="E576" s="40"/>
      <c r="F576" s="40"/>
      <c r="G576" s="40"/>
      <c r="H576" s="40"/>
      <c r="I576" s="40"/>
      <c r="J576" s="40"/>
    </row>
    <row r="577" spans="1:10">
      <c r="A577" s="40"/>
      <c r="B577" s="40"/>
      <c r="C577" s="40"/>
      <c r="D577" s="40"/>
      <c r="E577" s="40"/>
      <c r="F577" s="40"/>
      <c r="G577" s="40"/>
      <c r="H577" s="40"/>
      <c r="I577" s="40"/>
      <c r="J577" s="40"/>
    </row>
    <row r="578" spans="1:10">
      <c r="A578" s="40"/>
      <c r="B578" s="40"/>
      <c r="C578" s="40"/>
      <c r="D578" s="40"/>
      <c r="E578" s="40"/>
      <c r="F578" s="40"/>
      <c r="G578" s="40"/>
      <c r="H578" s="40"/>
      <c r="I578" s="40"/>
      <c r="J578" s="40"/>
    </row>
    <row r="579" spans="1:10">
      <c r="A579" s="40"/>
      <c r="B579" s="40"/>
      <c r="C579" s="40"/>
      <c r="D579" s="40"/>
      <c r="E579" s="40"/>
      <c r="F579" s="40"/>
      <c r="G579" s="40"/>
      <c r="H579" s="40"/>
      <c r="I579" s="40"/>
      <c r="J579" s="40"/>
    </row>
    <row r="580" spans="1:10">
      <c r="A580" s="40"/>
      <c r="B580" s="40"/>
      <c r="C580" s="40"/>
      <c r="D580" s="40"/>
      <c r="E580" s="40"/>
      <c r="F580" s="40"/>
      <c r="G580" s="40"/>
      <c r="H580" s="40"/>
      <c r="I580" s="40"/>
      <c r="J580" s="40"/>
    </row>
    <row r="581" spans="1:10">
      <c r="A581" s="40"/>
      <c r="B581" s="40"/>
      <c r="C581" s="40"/>
      <c r="D581" s="40"/>
      <c r="E581" s="40"/>
      <c r="F581" s="40"/>
      <c r="G581" s="40"/>
      <c r="H581" s="40"/>
      <c r="I581" s="40"/>
      <c r="J581" s="40"/>
    </row>
    <row r="582" spans="1:10">
      <c r="A582" s="40"/>
      <c r="B582" s="40"/>
      <c r="C582" s="40"/>
      <c r="D582" s="40"/>
      <c r="E582" s="40"/>
      <c r="F582" s="40"/>
      <c r="G582" s="40"/>
      <c r="H582" s="40"/>
      <c r="I582" s="40"/>
      <c r="J582" s="40"/>
    </row>
    <row r="583" spans="1:10">
      <c r="A583" s="40"/>
      <c r="B583" s="40"/>
      <c r="C583" s="40"/>
      <c r="D583" s="40"/>
      <c r="E583" s="40"/>
      <c r="F583" s="40"/>
      <c r="G583" s="40"/>
      <c r="H583" s="40"/>
      <c r="I583" s="40"/>
      <c r="J583" s="40"/>
    </row>
    <row r="584" spans="1:10">
      <c r="A584" s="40"/>
      <c r="B584" s="40"/>
      <c r="C584" s="40"/>
      <c r="D584" s="40"/>
      <c r="E584" s="40"/>
      <c r="F584" s="40"/>
      <c r="G584" s="40"/>
      <c r="H584" s="40"/>
      <c r="I584" s="40"/>
      <c r="J584" s="40"/>
    </row>
    <row r="585" spans="1:10">
      <c r="A585" s="40"/>
      <c r="B585" s="40"/>
      <c r="C585" s="40"/>
      <c r="D585" s="40"/>
      <c r="E585" s="40"/>
      <c r="F585" s="40"/>
      <c r="G585" s="40"/>
      <c r="H585" s="40"/>
      <c r="I585" s="40"/>
      <c r="J585" s="40"/>
    </row>
    <row r="586" spans="1:10">
      <c r="A586" s="40"/>
      <c r="B586" s="40"/>
      <c r="C586" s="40"/>
      <c r="D586" s="40"/>
      <c r="E586" s="40"/>
      <c r="F586" s="40"/>
      <c r="G586" s="40"/>
      <c r="H586" s="40"/>
      <c r="I586" s="40"/>
      <c r="J586" s="40"/>
    </row>
    <row r="587" spans="1:10">
      <c r="A587" s="40"/>
      <c r="B587" s="40"/>
      <c r="C587" s="40"/>
      <c r="D587" s="40"/>
      <c r="E587" s="40"/>
      <c r="F587" s="40"/>
      <c r="G587" s="40"/>
      <c r="H587" s="40"/>
      <c r="I587" s="40"/>
      <c r="J587" s="40"/>
    </row>
    <row r="588" spans="1:10">
      <c r="A588" s="40"/>
      <c r="B588" s="40"/>
      <c r="C588" s="40"/>
      <c r="D588" s="40"/>
      <c r="E588" s="40"/>
      <c r="F588" s="40"/>
      <c r="G588" s="40"/>
      <c r="H588" s="40"/>
      <c r="I588" s="40"/>
      <c r="J588" s="40"/>
    </row>
    <row r="589" spans="1:10">
      <c r="A589" s="40"/>
      <c r="B589" s="40"/>
      <c r="C589" s="40"/>
      <c r="D589" s="40"/>
      <c r="E589" s="40"/>
      <c r="F589" s="40"/>
      <c r="G589" s="40"/>
      <c r="H589" s="40"/>
      <c r="I589" s="40"/>
      <c r="J589" s="40"/>
    </row>
    <row r="590" spans="1:10">
      <c r="A590" s="40"/>
      <c r="B590" s="40"/>
      <c r="C590" s="40"/>
      <c r="D590" s="40"/>
      <c r="E590" s="40"/>
      <c r="F590" s="40"/>
      <c r="G590" s="40"/>
      <c r="H590" s="40"/>
      <c r="I590" s="40"/>
      <c r="J590" s="40"/>
    </row>
    <row r="591" spans="1:10">
      <c r="A591" s="40"/>
      <c r="B591" s="40"/>
      <c r="C591" s="40"/>
      <c r="D591" s="40"/>
      <c r="E591" s="40"/>
      <c r="F591" s="40"/>
      <c r="G591" s="40"/>
      <c r="H591" s="40"/>
      <c r="I591" s="40"/>
      <c r="J591" s="40"/>
    </row>
    <row r="592" spans="1:10">
      <c r="A592" s="40"/>
      <c r="B592" s="40"/>
      <c r="C592" s="40"/>
      <c r="D592" s="40"/>
      <c r="E592" s="40"/>
      <c r="F592" s="40"/>
      <c r="G592" s="40"/>
      <c r="H592" s="40"/>
      <c r="I592" s="40"/>
      <c r="J592" s="40"/>
    </row>
    <row r="593" spans="1:10">
      <c r="A593" s="40"/>
      <c r="B593" s="40"/>
      <c r="C593" s="40"/>
      <c r="D593" s="40"/>
      <c r="E593" s="40"/>
      <c r="F593" s="40"/>
      <c r="G593" s="40"/>
      <c r="H593" s="40"/>
      <c r="I593" s="40"/>
      <c r="J593" s="40"/>
    </row>
    <row r="594" spans="1:10">
      <c r="A594" s="40"/>
      <c r="B594" s="40"/>
      <c r="C594" s="40"/>
      <c r="D594" s="40"/>
      <c r="E594" s="40"/>
      <c r="F594" s="40"/>
      <c r="G594" s="40"/>
      <c r="H594" s="40"/>
      <c r="I594" s="40"/>
      <c r="J594" s="40"/>
    </row>
    <row r="595" spans="1:10">
      <c r="A595" s="40"/>
      <c r="B595" s="40"/>
      <c r="C595" s="40"/>
      <c r="D595" s="40"/>
      <c r="E595" s="40"/>
      <c r="F595" s="40"/>
      <c r="G595" s="40"/>
      <c r="H595" s="40"/>
      <c r="I595" s="40"/>
      <c r="J595" s="40"/>
    </row>
    <row r="596" spans="1:10">
      <c r="A596" s="40"/>
      <c r="B596" s="40"/>
      <c r="C596" s="40"/>
      <c r="D596" s="40"/>
      <c r="E596" s="40"/>
      <c r="F596" s="40"/>
      <c r="G596" s="40"/>
      <c r="H596" s="40"/>
      <c r="I596" s="40"/>
      <c r="J596" s="40"/>
    </row>
    <row r="597" spans="1:10">
      <c r="A597" s="40"/>
      <c r="B597" s="40"/>
      <c r="C597" s="40"/>
      <c r="D597" s="40"/>
      <c r="E597" s="40"/>
      <c r="F597" s="40"/>
      <c r="G597" s="40"/>
      <c r="H597" s="40"/>
      <c r="I597" s="40"/>
      <c r="J597" s="40"/>
    </row>
    <row r="598" spans="1:10">
      <c r="A598" s="40"/>
      <c r="B598" s="40"/>
      <c r="C598" s="40"/>
      <c r="D598" s="40"/>
      <c r="E598" s="40"/>
      <c r="F598" s="40"/>
      <c r="G598" s="40"/>
      <c r="H598" s="40"/>
      <c r="I598" s="40"/>
      <c r="J598" s="40"/>
    </row>
    <row r="599" spans="1:10">
      <c r="A599" s="40"/>
      <c r="B599" s="40"/>
      <c r="C599" s="40"/>
      <c r="D599" s="40"/>
      <c r="E599" s="40"/>
      <c r="F599" s="40"/>
      <c r="G599" s="40"/>
      <c r="H599" s="40"/>
      <c r="I599" s="40"/>
      <c r="J599" s="40"/>
    </row>
    <row r="600" spans="1:10">
      <c r="A600" s="40"/>
      <c r="B600" s="40"/>
      <c r="C600" s="40"/>
      <c r="D600" s="40"/>
      <c r="E600" s="40"/>
      <c r="F600" s="40"/>
      <c r="G600" s="40"/>
      <c r="H600" s="40"/>
      <c r="I600" s="40"/>
      <c r="J600" s="40"/>
    </row>
    <row r="601" spans="1:10">
      <c r="A601" s="40"/>
      <c r="B601" s="40"/>
      <c r="C601" s="40"/>
      <c r="D601" s="40"/>
      <c r="E601" s="40"/>
      <c r="F601" s="40"/>
      <c r="G601" s="40"/>
      <c r="H601" s="40"/>
      <c r="I601" s="40"/>
      <c r="J601" s="40"/>
    </row>
    <row r="602" spans="1:10">
      <c r="A602" s="40"/>
      <c r="B602" s="40"/>
      <c r="C602" s="40"/>
      <c r="D602" s="40"/>
      <c r="E602" s="40"/>
      <c r="F602" s="40"/>
      <c r="G602" s="40"/>
      <c r="H602" s="40"/>
      <c r="I602" s="40"/>
      <c r="J602" s="40"/>
    </row>
    <row r="603" spans="1:10">
      <c r="A603" s="40"/>
      <c r="B603" s="40"/>
      <c r="C603" s="40"/>
      <c r="D603" s="40"/>
      <c r="E603" s="40"/>
      <c r="F603" s="40"/>
      <c r="G603" s="40"/>
      <c r="H603" s="40"/>
      <c r="I603" s="40"/>
      <c r="J603" s="40"/>
    </row>
    <row r="604" spans="1:10">
      <c r="A604" s="40"/>
      <c r="B604" s="40"/>
      <c r="C604" s="40"/>
      <c r="D604" s="40"/>
      <c r="E604" s="40"/>
      <c r="F604" s="40"/>
      <c r="G604" s="40"/>
      <c r="H604" s="40"/>
      <c r="I604" s="40"/>
      <c r="J604" s="40"/>
    </row>
    <row r="605" spans="1:10">
      <c r="A605" s="40"/>
      <c r="B605" s="40"/>
      <c r="C605" s="40"/>
      <c r="D605" s="40"/>
      <c r="E605" s="40"/>
      <c r="F605" s="40"/>
      <c r="G605" s="40"/>
      <c r="H605" s="40"/>
      <c r="I605" s="40"/>
      <c r="J605" s="40"/>
    </row>
    <row r="606" spans="1:10">
      <c r="A606" s="40"/>
      <c r="B606" s="40"/>
      <c r="C606" s="40"/>
      <c r="D606" s="40"/>
      <c r="E606" s="40"/>
      <c r="F606" s="40"/>
      <c r="G606" s="40"/>
      <c r="H606" s="40"/>
      <c r="I606" s="40"/>
      <c r="J606" s="40"/>
    </row>
    <row r="607" spans="1:10">
      <c r="A607" s="40"/>
      <c r="B607" s="40"/>
      <c r="C607" s="40"/>
      <c r="D607" s="40"/>
      <c r="E607" s="40"/>
      <c r="F607" s="40"/>
      <c r="G607" s="40"/>
      <c r="H607" s="40"/>
      <c r="I607" s="40"/>
      <c r="J607" s="40"/>
    </row>
    <row r="608" spans="1:10">
      <c r="A608" s="40"/>
      <c r="B608" s="40"/>
      <c r="C608" s="40"/>
      <c r="D608" s="40"/>
      <c r="E608" s="40"/>
      <c r="F608" s="40"/>
      <c r="G608" s="40"/>
      <c r="H608" s="40"/>
      <c r="I608" s="40"/>
      <c r="J608" s="40"/>
    </row>
    <row r="609" spans="1:10">
      <c r="A609" s="40"/>
      <c r="B609" s="40"/>
      <c r="C609" s="40"/>
      <c r="D609" s="40"/>
      <c r="E609" s="40"/>
      <c r="F609" s="40"/>
      <c r="G609" s="40"/>
      <c r="H609" s="40"/>
      <c r="I609" s="40"/>
      <c r="J609" s="40"/>
    </row>
    <row r="610" spans="1:10">
      <c r="A610" s="40"/>
      <c r="B610" s="40"/>
      <c r="C610" s="40"/>
      <c r="D610" s="40"/>
      <c r="E610" s="40"/>
      <c r="F610" s="40"/>
      <c r="G610" s="40"/>
      <c r="H610" s="40"/>
      <c r="I610" s="40"/>
      <c r="J610" s="40"/>
    </row>
    <row r="611" spans="1:10">
      <c r="A611" s="40"/>
      <c r="B611" s="40"/>
      <c r="C611" s="40"/>
      <c r="D611" s="40"/>
      <c r="E611" s="40"/>
      <c r="F611" s="40"/>
      <c r="G611" s="40"/>
      <c r="H611" s="40"/>
      <c r="I611" s="40"/>
      <c r="J611" s="40"/>
    </row>
    <row r="612" spans="1:10">
      <c r="A612" s="40"/>
      <c r="B612" s="40"/>
      <c r="C612" s="40"/>
      <c r="D612" s="40"/>
      <c r="E612" s="40"/>
      <c r="F612" s="40"/>
      <c r="G612" s="40"/>
      <c r="H612" s="40"/>
      <c r="I612" s="40"/>
      <c r="J612" s="40"/>
    </row>
    <row r="613" spans="1:10">
      <c r="A613" s="40"/>
      <c r="B613" s="40"/>
      <c r="C613" s="40"/>
      <c r="D613" s="40"/>
      <c r="E613" s="40"/>
      <c r="F613" s="40"/>
      <c r="G613" s="40"/>
      <c r="H613" s="40"/>
      <c r="I613" s="40"/>
      <c r="J613" s="40"/>
    </row>
    <row r="614" spans="1:10">
      <c r="A614" s="40"/>
      <c r="B614" s="40"/>
      <c r="C614" s="40"/>
      <c r="D614" s="40"/>
      <c r="E614" s="40"/>
      <c r="F614" s="40"/>
      <c r="G614" s="40"/>
      <c r="H614" s="40"/>
      <c r="I614" s="40"/>
      <c r="J614" s="40"/>
    </row>
    <row r="615" spans="1:10">
      <c r="A615" s="40"/>
      <c r="B615" s="40"/>
      <c r="C615" s="40"/>
      <c r="D615" s="40"/>
      <c r="E615" s="40"/>
      <c r="F615" s="40"/>
      <c r="G615" s="40"/>
      <c r="H615" s="40"/>
      <c r="I615" s="40"/>
      <c r="J615" s="40"/>
    </row>
    <row r="616" spans="1:10">
      <c r="A616" s="40"/>
      <c r="B616" s="40"/>
      <c r="C616" s="40"/>
      <c r="D616" s="40"/>
      <c r="E616" s="40"/>
      <c r="F616" s="40"/>
      <c r="G616" s="40"/>
      <c r="H616" s="40"/>
      <c r="I616" s="40"/>
      <c r="J616" s="40"/>
    </row>
    <row r="617" spans="1:10">
      <c r="A617" s="40"/>
      <c r="B617" s="40"/>
      <c r="C617" s="40"/>
      <c r="D617" s="40"/>
      <c r="E617" s="40"/>
      <c r="F617" s="40"/>
      <c r="G617" s="40"/>
      <c r="H617" s="40"/>
      <c r="I617" s="40"/>
      <c r="J617" s="40"/>
    </row>
    <row r="618" spans="1:10">
      <c r="A618" s="40"/>
      <c r="B618" s="40"/>
      <c r="C618" s="40"/>
      <c r="D618" s="40"/>
      <c r="E618" s="40"/>
      <c r="F618" s="40"/>
      <c r="G618" s="40"/>
      <c r="H618" s="40"/>
      <c r="I618" s="40"/>
      <c r="J618" s="40"/>
    </row>
    <row r="619" spans="1:10">
      <c r="A619" s="40"/>
      <c r="B619" s="40"/>
      <c r="C619" s="40"/>
      <c r="D619" s="40"/>
      <c r="E619" s="40"/>
      <c r="F619" s="40"/>
      <c r="G619" s="40"/>
      <c r="H619" s="40"/>
      <c r="I619" s="40"/>
      <c r="J619" s="40"/>
    </row>
    <row r="620" spans="1:10">
      <c r="A620" s="40"/>
      <c r="B620" s="40"/>
      <c r="C620" s="40"/>
      <c r="D620" s="40"/>
      <c r="E620" s="40"/>
      <c r="F620" s="40"/>
      <c r="G620" s="40"/>
      <c r="H620" s="40"/>
      <c r="I620" s="40"/>
      <c r="J620" s="40"/>
    </row>
    <row r="621" spans="1:10">
      <c r="A621" s="40"/>
      <c r="B621" s="40"/>
      <c r="C621" s="40"/>
      <c r="D621" s="40"/>
      <c r="E621" s="40"/>
      <c r="F621" s="40"/>
      <c r="G621" s="40"/>
      <c r="H621" s="40"/>
      <c r="I621" s="40"/>
      <c r="J621" s="40"/>
    </row>
    <row r="622" spans="1:10">
      <c r="A622" s="40"/>
      <c r="B622" s="40"/>
      <c r="C622" s="40"/>
      <c r="D622" s="40"/>
      <c r="E622" s="40"/>
      <c r="F622" s="40"/>
      <c r="G622" s="40"/>
      <c r="H622" s="40"/>
      <c r="I622" s="40"/>
      <c r="J622" s="40"/>
    </row>
    <row r="623" spans="1:10">
      <c r="A623" s="40"/>
      <c r="B623" s="40"/>
      <c r="C623" s="40"/>
      <c r="D623" s="40"/>
      <c r="E623" s="40"/>
      <c r="F623" s="40"/>
      <c r="G623" s="40"/>
      <c r="H623" s="40"/>
      <c r="I623" s="40"/>
      <c r="J623" s="40"/>
    </row>
    <row r="624" spans="1:10">
      <c r="A624" s="40"/>
      <c r="B624" s="40"/>
      <c r="C624" s="40"/>
      <c r="D624" s="40"/>
      <c r="E624" s="40"/>
      <c r="F624" s="40"/>
      <c r="G624" s="40"/>
      <c r="H624" s="40"/>
      <c r="I624" s="40"/>
      <c r="J624" s="40"/>
    </row>
    <row r="625" spans="1:10">
      <c r="A625" s="40"/>
      <c r="B625" s="40"/>
      <c r="C625" s="40"/>
      <c r="D625" s="40"/>
      <c r="E625" s="40"/>
      <c r="F625" s="40"/>
      <c r="G625" s="40"/>
      <c r="H625" s="40"/>
      <c r="I625" s="40"/>
      <c r="J625" s="40"/>
    </row>
    <row r="626" spans="1:10">
      <c r="A626" s="40"/>
      <c r="B626" s="40"/>
      <c r="C626" s="40"/>
      <c r="D626" s="40"/>
      <c r="E626" s="40"/>
      <c r="F626" s="40"/>
      <c r="G626" s="40"/>
      <c r="H626" s="40"/>
      <c r="I626" s="40"/>
      <c r="J626" s="40"/>
    </row>
    <row r="627" spans="1:10">
      <c r="A627" s="40"/>
      <c r="B627" s="40"/>
      <c r="C627" s="40"/>
      <c r="D627" s="40"/>
      <c r="E627" s="40"/>
      <c r="F627" s="40"/>
      <c r="G627" s="40"/>
      <c r="H627" s="40"/>
      <c r="I627" s="40"/>
      <c r="J627" s="40"/>
    </row>
    <row r="628" spans="1:10">
      <c r="A628" s="40"/>
      <c r="B628" s="40"/>
      <c r="C628" s="40"/>
      <c r="D628" s="40"/>
      <c r="E628" s="40"/>
      <c r="F628" s="40"/>
      <c r="G628" s="40"/>
      <c r="H628" s="40"/>
      <c r="I628" s="40"/>
      <c r="J628" s="40"/>
    </row>
    <row r="629" spans="1:10">
      <c r="A629" s="40"/>
      <c r="B629" s="40"/>
      <c r="C629" s="40"/>
      <c r="D629" s="40"/>
      <c r="E629" s="40"/>
      <c r="F629" s="40"/>
      <c r="G629" s="40"/>
      <c r="H629" s="40"/>
      <c r="I629" s="40"/>
      <c r="J629" s="40"/>
    </row>
    <row r="630" spans="1:10">
      <c r="A630" s="40"/>
      <c r="B630" s="40"/>
      <c r="C630" s="40"/>
      <c r="D630" s="40"/>
      <c r="E630" s="40"/>
      <c r="F630" s="40"/>
      <c r="G630" s="40"/>
      <c r="H630" s="40"/>
      <c r="I630" s="40"/>
      <c r="J630" s="40"/>
    </row>
    <row r="631" spans="1:10">
      <c r="A631" s="40"/>
      <c r="B631" s="40"/>
      <c r="C631" s="40"/>
      <c r="D631" s="40"/>
      <c r="E631" s="40"/>
      <c r="F631" s="40"/>
      <c r="G631" s="40"/>
      <c r="H631" s="40"/>
      <c r="I631" s="40"/>
      <c r="J631" s="40"/>
    </row>
    <row r="632" spans="1:10">
      <c r="A632" s="40"/>
      <c r="B632" s="40"/>
      <c r="C632" s="40"/>
      <c r="D632" s="40"/>
      <c r="E632" s="40"/>
      <c r="F632" s="40"/>
      <c r="G632" s="40"/>
      <c r="H632" s="40"/>
      <c r="I632" s="40"/>
      <c r="J632" s="40"/>
    </row>
    <row r="633" spans="1:10">
      <c r="A633" s="40"/>
      <c r="B633" s="40"/>
      <c r="C633" s="40"/>
      <c r="D633" s="40"/>
      <c r="E633" s="40"/>
      <c r="F633" s="40"/>
      <c r="G633" s="40"/>
      <c r="H633" s="40"/>
      <c r="I633" s="40"/>
      <c r="J633" s="40"/>
    </row>
    <row r="634" spans="1:10">
      <c r="A634" s="40"/>
      <c r="B634" s="40"/>
      <c r="C634" s="40"/>
      <c r="D634" s="40"/>
      <c r="E634" s="40"/>
      <c r="F634" s="40"/>
      <c r="G634" s="40"/>
      <c r="H634" s="40"/>
      <c r="I634" s="40"/>
      <c r="J634" s="40"/>
    </row>
    <row r="635" spans="1:10">
      <c r="A635" s="40"/>
      <c r="B635" s="40"/>
      <c r="C635" s="40"/>
      <c r="D635" s="40"/>
      <c r="E635" s="40"/>
      <c r="F635" s="40"/>
      <c r="G635" s="40"/>
      <c r="H635" s="40"/>
      <c r="I635" s="40"/>
      <c r="J635" s="40"/>
    </row>
    <row r="636" spans="1:10">
      <c r="A636" s="40"/>
      <c r="B636" s="40"/>
      <c r="C636" s="40"/>
      <c r="D636" s="40"/>
      <c r="E636" s="40"/>
      <c r="F636" s="40"/>
      <c r="G636" s="40"/>
      <c r="H636" s="40"/>
      <c r="I636" s="40"/>
      <c r="J636" s="40"/>
    </row>
    <row r="637" spans="1:10">
      <c r="A637" s="40"/>
      <c r="B637" s="40"/>
      <c r="C637" s="40"/>
      <c r="D637" s="40"/>
      <c r="E637" s="40"/>
      <c r="F637" s="40"/>
      <c r="G637" s="40"/>
      <c r="H637" s="40"/>
      <c r="I637" s="40"/>
      <c r="J637" s="40"/>
    </row>
    <row r="638" spans="1:10">
      <c r="A638" s="40"/>
      <c r="B638" s="40"/>
      <c r="C638" s="40"/>
      <c r="D638" s="40"/>
      <c r="E638" s="40"/>
      <c r="F638" s="40"/>
      <c r="G638" s="40"/>
      <c r="H638" s="40"/>
      <c r="I638" s="40"/>
      <c r="J638" s="40"/>
    </row>
    <row r="639" spans="1:10">
      <c r="A639" s="40"/>
      <c r="B639" s="40"/>
      <c r="C639" s="40"/>
      <c r="D639" s="40"/>
      <c r="E639" s="40"/>
      <c r="F639" s="40"/>
      <c r="G639" s="40"/>
      <c r="H639" s="40"/>
      <c r="I639" s="40"/>
      <c r="J639" s="40"/>
    </row>
    <row r="640" spans="1:10">
      <c r="A640" s="40"/>
      <c r="B640" s="40"/>
      <c r="C640" s="40"/>
      <c r="D640" s="40"/>
      <c r="E640" s="40"/>
      <c r="F640" s="40"/>
      <c r="G640" s="40"/>
      <c r="H640" s="40"/>
      <c r="I640" s="40"/>
      <c r="J640" s="40"/>
    </row>
    <row r="641" spans="1:10">
      <c r="A641" s="40"/>
      <c r="B641" s="40"/>
      <c r="C641" s="40"/>
      <c r="D641" s="40"/>
      <c r="E641" s="40"/>
      <c r="F641" s="40"/>
      <c r="G641" s="40"/>
      <c r="H641" s="40"/>
      <c r="I641" s="40"/>
      <c r="J641" s="40"/>
    </row>
    <row r="642" spans="1:10">
      <c r="A642" s="40"/>
      <c r="B642" s="40"/>
      <c r="C642" s="40"/>
      <c r="D642" s="40"/>
      <c r="E642" s="40"/>
      <c r="F642" s="40"/>
      <c r="G642" s="40"/>
      <c r="H642" s="40"/>
      <c r="I642" s="40"/>
      <c r="J642" s="40"/>
    </row>
    <row r="643" spans="1:10">
      <c r="A643" s="40"/>
      <c r="B643" s="40"/>
      <c r="C643" s="40"/>
      <c r="D643" s="40"/>
      <c r="E643" s="40"/>
      <c r="F643" s="40"/>
      <c r="G643" s="40"/>
      <c r="H643" s="40"/>
      <c r="I643" s="40"/>
      <c r="J643" s="40"/>
    </row>
    <row r="644" spans="1:10">
      <c r="A644" s="40"/>
      <c r="B644" s="40"/>
      <c r="C644" s="40"/>
      <c r="D644" s="40"/>
      <c r="E644" s="40"/>
      <c r="F644" s="40"/>
      <c r="G644" s="40"/>
      <c r="H644" s="40"/>
      <c r="I644" s="40"/>
      <c r="J644" s="40"/>
    </row>
    <row r="645" spans="1:10">
      <c r="A645" s="40"/>
      <c r="B645" s="40"/>
      <c r="C645" s="40"/>
      <c r="D645" s="40"/>
      <c r="E645" s="40"/>
      <c r="F645" s="40"/>
      <c r="G645" s="40"/>
      <c r="H645" s="40"/>
      <c r="I645" s="40"/>
      <c r="J645" s="40"/>
    </row>
    <row r="646" spans="1:10">
      <c r="A646" s="40"/>
      <c r="B646" s="40"/>
      <c r="C646" s="40"/>
      <c r="D646" s="40"/>
      <c r="E646" s="40"/>
      <c r="F646" s="40"/>
      <c r="G646" s="40"/>
      <c r="H646" s="40"/>
      <c r="I646" s="40"/>
      <c r="J646" s="40"/>
    </row>
    <row r="647" spans="1:10">
      <c r="A647" s="40"/>
      <c r="B647" s="40"/>
      <c r="C647" s="40"/>
      <c r="D647" s="40"/>
      <c r="E647" s="40"/>
      <c r="F647" s="40"/>
      <c r="G647" s="40"/>
      <c r="H647" s="40"/>
      <c r="I647" s="40"/>
      <c r="J647" s="40"/>
    </row>
    <row r="648" spans="1:10">
      <c r="A648" s="40"/>
      <c r="B648" s="40"/>
      <c r="C648" s="40"/>
      <c r="D648" s="40"/>
      <c r="E648" s="40"/>
      <c r="F648" s="40"/>
      <c r="G648" s="40"/>
      <c r="H648" s="40"/>
      <c r="I648" s="40"/>
      <c r="J648" s="40"/>
    </row>
    <row r="649" spans="1:10">
      <c r="A649" s="40"/>
      <c r="B649" s="40"/>
      <c r="C649" s="40"/>
      <c r="D649" s="40"/>
      <c r="E649" s="40"/>
      <c r="F649" s="40"/>
      <c r="G649" s="40"/>
      <c r="H649" s="40"/>
      <c r="I649" s="40"/>
      <c r="J649" s="40"/>
    </row>
    <row r="650" spans="1:10">
      <c r="A650" s="40"/>
      <c r="B650" s="40"/>
      <c r="C650" s="40"/>
      <c r="D650" s="40"/>
      <c r="E650" s="40"/>
      <c r="F650" s="40"/>
      <c r="G650" s="40"/>
      <c r="H650" s="40"/>
      <c r="I650" s="40"/>
      <c r="J650" s="40"/>
    </row>
    <row r="651" spans="1:10">
      <c r="A651" s="40"/>
      <c r="B651" s="40"/>
      <c r="C651" s="40"/>
      <c r="D651" s="40"/>
      <c r="E651" s="40"/>
      <c r="F651" s="40"/>
      <c r="G651" s="40"/>
      <c r="H651" s="40"/>
      <c r="I651" s="40"/>
      <c r="J651" s="40"/>
    </row>
    <row r="652" spans="1:10">
      <c r="A652" s="40"/>
      <c r="B652" s="40"/>
      <c r="C652" s="40"/>
      <c r="D652" s="40"/>
      <c r="E652" s="40"/>
      <c r="F652" s="40"/>
      <c r="G652" s="40"/>
      <c r="H652" s="40"/>
      <c r="I652" s="40"/>
      <c r="J652" s="40"/>
    </row>
    <row r="653" spans="1:10">
      <c r="A653" s="40"/>
      <c r="B653" s="40"/>
      <c r="C653" s="40"/>
      <c r="D653" s="40"/>
      <c r="E653" s="40"/>
      <c r="F653" s="40"/>
      <c r="G653" s="40"/>
      <c r="H653" s="40"/>
      <c r="I653" s="40"/>
      <c r="J653" s="40"/>
    </row>
    <row r="654" spans="1:10">
      <c r="A654" s="40"/>
      <c r="B654" s="40"/>
      <c r="C654" s="40"/>
      <c r="D654" s="40"/>
      <c r="E654" s="40"/>
      <c r="F654" s="40"/>
      <c r="G654" s="40"/>
      <c r="H654" s="40"/>
      <c r="I654" s="40"/>
      <c r="J654" s="40"/>
    </row>
    <row r="655" spans="1:10">
      <c r="A655" s="40"/>
      <c r="B655" s="40"/>
      <c r="C655" s="40"/>
      <c r="D655" s="40"/>
      <c r="E655" s="40"/>
      <c r="F655" s="40"/>
      <c r="G655" s="40"/>
      <c r="H655" s="40"/>
      <c r="I655" s="40"/>
      <c r="J655" s="40"/>
    </row>
    <row r="656" spans="1:10">
      <c r="A656" s="40"/>
      <c r="B656" s="40"/>
      <c r="C656" s="40"/>
      <c r="D656" s="40"/>
      <c r="E656" s="40"/>
      <c r="F656" s="40"/>
      <c r="G656" s="40"/>
      <c r="H656" s="40"/>
      <c r="I656" s="40"/>
      <c r="J656" s="40"/>
    </row>
    <row r="657" spans="1:10">
      <c r="A657" s="40"/>
      <c r="B657" s="40"/>
      <c r="C657" s="40"/>
      <c r="D657" s="40"/>
      <c r="E657" s="40"/>
      <c r="F657" s="40"/>
      <c r="G657" s="40"/>
      <c r="H657" s="40"/>
      <c r="I657" s="40"/>
      <c r="J657" s="40"/>
    </row>
    <row r="658" spans="1:10">
      <c r="A658" s="40"/>
      <c r="B658" s="40"/>
      <c r="C658" s="40"/>
      <c r="D658" s="40"/>
      <c r="E658" s="40"/>
      <c r="F658" s="40"/>
      <c r="G658" s="40"/>
      <c r="H658" s="40"/>
      <c r="I658" s="40"/>
      <c r="J658" s="40"/>
    </row>
  </sheetData>
  <sortState ref="D13:D254">
    <sortCondition ref="D13:D254"/>
  </sortState>
  <mergeCells count="1">
    <mergeCell ref="A1:I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0"/>
  <sheetViews>
    <sheetView zoomScaleNormal="100" workbookViewId="0">
      <pane ySplit="6" topLeftCell="A126" activePane="bottomLeft" state="frozen"/>
      <selection activeCell="C1" sqref="C1"/>
      <selection pane="bottomLeft" activeCell="D142" sqref="D142"/>
    </sheetView>
    <sheetView workbookViewId="1">
      <pane ySplit="6" topLeftCell="A121" activePane="bottomLeft" state="frozen"/>
      <selection pane="bottomLeft" activeCell="D133" sqref="D133"/>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73" t="s">
        <v>904</v>
      </c>
      <c r="B1" s="1074"/>
      <c r="C1" s="1074"/>
      <c r="D1" s="1074"/>
      <c r="E1" s="1074"/>
      <c r="F1" s="1074"/>
      <c r="G1" s="1074"/>
      <c r="H1" s="1215"/>
      <c r="I1" s="323"/>
      <c r="J1" s="524"/>
      <c r="K1" s="525" t="s">
        <v>803</v>
      </c>
      <c r="L1" s="322">
        <f>SUM(G7:G200)</f>
        <v>582.8399999999998</v>
      </c>
      <c r="M1" s="323" t="s">
        <v>114</v>
      </c>
    </row>
    <row r="2" spans="1:26" ht="18">
      <c r="A2" s="1076"/>
      <c r="B2" s="1077"/>
      <c r="C2" s="1077"/>
      <c r="D2" s="1077"/>
      <c r="E2" s="1077"/>
      <c r="F2" s="1077"/>
      <c r="G2" s="1077"/>
      <c r="H2" s="1216"/>
      <c r="J2" s="382"/>
      <c r="K2" s="526" t="s">
        <v>694</v>
      </c>
      <c r="L2" s="322">
        <f>SUM(H7:H200)</f>
        <v>112.34586363636363</v>
      </c>
      <c r="M2" s="323" t="s">
        <v>644</v>
      </c>
    </row>
    <row r="3" spans="1:26" ht="16.5" thickBot="1">
      <c r="A3" s="1079"/>
      <c r="B3" s="1080"/>
      <c r="C3" s="1080"/>
      <c r="D3" s="1080"/>
      <c r="E3" s="1080"/>
      <c r="F3" s="1080"/>
      <c r="G3" s="1080"/>
      <c r="H3" s="1217"/>
      <c r="I3" s="109"/>
      <c r="L3" s="315"/>
      <c r="M3" s="315"/>
      <c r="N3" s="316"/>
      <c r="O3" s="315"/>
      <c r="P3" s="315"/>
      <c r="Q3" s="315"/>
      <c r="R3" s="315"/>
      <c r="S3" s="315"/>
      <c r="T3" s="315"/>
      <c r="U3" s="315"/>
      <c r="V3" s="315"/>
      <c r="W3" s="315"/>
      <c r="X3" s="315"/>
      <c r="Y3" s="315"/>
      <c r="Z3" s="315"/>
    </row>
    <row r="4" spans="1:26" ht="15.75" customHeight="1">
      <c r="A4" s="60"/>
      <c r="B4" s="62"/>
      <c r="C4" s="61" t="s">
        <v>234</v>
      </c>
      <c r="D4" s="62"/>
      <c r="E4" s="65"/>
      <c r="F4" s="61"/>
      <c r="G4" s="62"/>
      <c r="H4" s="266"/>
      <c r="I4" s="318" t="s">
        <v>641</v>
      </c>
      <c r="J4" s="318" t="s">
        <v>641</v>
      </c>
      <c r="K4" s="318" t="s">
        <v>641</v>
      </c>
      <c r="L4" s="110"/>
      <c r="N4" s="36"/>
      <c r="O4" s="108"/>
      <c r="U4" s="108"/>
      <c r="Y4" s="108"/>
    </row>
    <row r="5" spans="1:26" ht="15.75">
      <c r="A5" s="66" t="s">
        <v>210</v>
      </c>
      <c r="B5" s="67"/>
      <c r="C5" s="67" t="s">
        <v>166</v>
      </c>
      <c r="D5" s="67"/>
      <c r="E5" s="67"/>
      <c r="F5" s="67" t="s">
        <v>213</v>
      </c>
      <c r="G5" s="67" t="s">
        <v>214</v>
      </c>
      <c r="H5" s="267" t="s">
        <v>571</v>
      </c>
      <c r="I5" s="317" t="s">
        <v>642</v>
      </c>
      <c r="J5" s="317" t="s">
        <v>642</v>
      </c>
      <c r="K5" s="317" t="s">
        <v>642</v>
      </c>
      <c r="L5" s="110"/>
      <c r="M5" s="320"/>
      <c r="N5" s="36"/>
      <c r="O5" s="108"/>
      <c r="Q5" s="320"/>
      <c r="U5" s="108"/>
      <c r="Y5" s="108"/>
    </row>
    <row r="6" spans="1:26" ht="16.5" thickBot="1">
      <c r="A6" s="69" t="s">
        <v>211</v>
      </c>
      <c r="B6" s="70" t="s">
        <v>165</v>
      </c>
      <c r="C6" s="71" t="s">
        <v>167</v>
      </c>
      <c r="D6" s="70" t="s">
        <v>168</v>
      </c>
      <c r="E6" s="70" t="s">
        <v>169</v>
      </c>
      <c r="F6" s="71" t="s">
        <v>170</v>
      </c>
      <c r="G6" s="71" t="s">
        <v>171</v>
      </c>
      <c r="H6" s="268" t="s">
        <v>624</v>
      </c>
      <c r="I6" s="318" t="s">
        <v>639</v>
      </c>
      <c r="J6" s="319" t="s">
        <v>640</v>
      </c>
      <c r="K6" s="319" t="s">
        <v>691</v>
      </c>
      <c r="L6" s="110"/>
      <c r="N6" s="36"/>
      <c r="O6" s="108"/>
      <c r="P6" s="169"/>
      <c r="Q6" s="43"/>
      <c r="R6" s="169"/>
      <c r="X6" s="169"/>
      <c r="Y6" s="43"/>
      <c r="Z6" s="169"/>
    </row>
    <row r="7" spans="1:26" ht="15.75" thickTop="1">
      <c r="A7" s="600">
        <v>1</v>
      </c>
      <c r="B7" s="795">
        <v>18387</v>
      </c>
      <c r="C7" s="784">
        <v>0.85416666666666663</v>
      </c>
      <c r="D7" s="601" t="s">
        <v>132</v>
      </c>
      <c r="E7" s="785" t="s">
        <v>151</v>
      </c>
      <c r="F7" s="786">
        <v>50</v>
      </c>
      <c r="G7" s="786">
        <v>1.9</v>
      </c>
      <c r="H7" s="794">
        <f>+(F7/1760)*G7</f>
        <v>5.3977272727272721E-2</v>
      </c>
      <c r="I7" s="169">
        <f>LN(F7)</f>
        <v>3.912023005428146</v>
      </c>
      <c r="J7" s="169">
        <f>LN(G7)</f>
        <v>0.64185388617239469</v>
      </c>
      <c r="K7" s="169">
        <f>LN(H7)</f>
        <v>-2.9191921964316569</v>
      </c>
    </row>
    <row r="8" spans="1:26">
      <c r="A8" s="616">
        <f>+A7+1</f>
        <v>2</v>
      </c>
      <c r="B8" s="618">
        <v>18762</v>
      </c>
      <c r="C8" s="604">
        <v>0.75</v>
      </c>
      <c r="D8" s="617" t="s">
        <v>127</v>
      </c>
      <c r="E8" s="620" t="s">
        <v>151</v>
      </c>
      <c r="F8" s="621">
        <v>10</v>
      </c>
      <c r="G8" s="621">
        <v>0.1</v>
      </c>
      <c r="H8" s="794">
        <f>+(F8/1760)*G8</f>
        <v>5.6818181818181826E-4</v>
      </c>
      <c r="I8" s="169">
        <f t="shared" ref="I8:J71" si="0">LN(F8)</f>
        <v>2.3025850929940459</v>
      </c>
      <c r="J8" s="169">
        <f t="shared" si="0"/>
        <v>-2.3025850929940455</v>
      </c>
      <c r="K8" s="169">
        <f t="shared" ref="K8:K71" si="1">LN(H8)</f>
        <v>-7.4730690880321973</v>
      </c>
    </row>
    <row r="9" spans="1:26">
      <c r="A9" s="616">
        <f t="shared" ref="A9:A72" si="2">+A8+1</f>
        <v>3</v>
      </c>
      <c r="B9" s="618">
        <v>18762</v>
      </c>
      <c r="C9" s="604">
        <v>0.75</v>
      </c>
      <c r="D9" s="617" t="s">
        <v>127</v>
      </c>
      <c r="E9" s="620" t="s">
        <v>151</v>
      </c>
      <c r="F9" s="621">
        <v>10</v>
      </c>
      <c r="G9" s="621">
        <v>0.1</v>
      </c>
      <c r="H9" s="794">
        <f t="shared" ref="H9:H72" si="3">+(F9/1760)*G9</f>
        <v>5.6818181818181826E-4</v>
      </c>
      <c r="I9" s="169">
        <f t="shared" si="0"/>
        <v>2.3025850929940459</v>
      </c>
      <c r="J9" s="169">
        <f t="shared" si="0"/>
        <v>-2.3025850929940455</v>
      </c>
      <c r="K9" s="169">
        <f t="shared" si="1"/>
        <v>-7.4730690880321973</v>
      </c>
    </row>
    <row r="10" spans="1:26">
      <c r="A10" s="616">
        <f t="shared" si="2"/>
        <v>4</v>
      </c>
      <c r="B10" s="618">
        <v>18784</v>
      </c>
      <c r="C10" s="604">
        <v>0.75</v>
      </c>
      <c r="D10" s="617" t="s">
        <v>127</v>
      </c>
      <c r="E10" s="620" t="s">
        <v>151</v>
      </c>
      <c r="F10" s="621">
        <v>10</v>
      </c>
      <c r="G10" s="621">
        <v>0.1</v>
      </c>
      <c r="H10" s="794">
        <f t="shared" si="3"/>
        <v>5.6818181818181826E-4</v>
      </c>
      <c r="I10" s="169">
        <f t="shared" si="0"/>
        <v>2.3025850929940459</v>
      </c>
      <c r="J10" s="169">
        <f t="shared" si="0"/>
        <v>-2.3025850929940455</v>
      </c>
      <c r="K10" s="169">
        <f t="shared" si="1"/>
        <v>-7.4730690880321973</v>
      </c>
    </row>
    <row r="11" spans="1:26">
      <c r="A11" s="616">
        <f t="shared" si="2"/>
        <v>5</v>
      </c>
      <c r="B11" s="618">
        <v>20256</v>
      </c>
      <c r="C11" s="604">
        <v>0.77083333333333337</v>
      </c>
      <c r="D11" s="617" t="s">
        <v>147</v>
      </c>
      <c r="E11" s="620" t="s">
        <v>151</v>
      </c>
      <c r="F11" s="621">
        <v>20</v>
      </c>
      <c r="G11" s="621">
        <v>1</v>
      </c>
      <c r="H11" s="794">
        <f t="shared" si="3"/>
        <v>1.1363636363636364E-2</v>
      </c>
      <c r="I11" s="169">
        <f t="shared" si="0"/>
        <v>2.9957322735539909</v>
      </c>
      <c r="J11" s="169">
        <f t="shared" si="0"/>
        <v>0</v>
      </c>
      <c r="K11" s="169">
        <f t="shared" si="1"/>
        <v>-4.4773368144782069</v>
      </c>
    </row>
    <row r="12" spans="1:26">
      <c r="A12" s="616">
        <f t="shared" si="2"/>
        <v>6</v>
      </c>
      <c r="B12" s="618">
        <v>20912</v>
      </c>
      <c r="C12" s="604">
        <v>0.75347222222222221</v>
      </c>
      <c r="D12" s="617" t="s">
        <v>143</v>
      </c>
      <c r="E12" s="620" t="s">
        <v>151</v>
      </c>
      <c r="F12" s="621">
        <v>33</v>
      </c>
      <c r="G12" s="621">
        <v>0.3</v>
      </c>
      <c r="H12" s="794">
        <f t="shared" si="3"/>
        <v>5.6249999999999998E-3</v>
      </c>
      <c r="I12" s="169">
        <f t="shared" si="0"/>
        <v>3.4965075614664802</v>
      </c>
      <c r="J12" s="169">
        <f t="shared" si="0"/>
        <v>-1.2039728043259361</v>
      </c>
      <c r="K12" s="169">
        <f t="shared" si="1"/>
        <v>-5.1805343308916534</v>
      </c>
    </row>
    <row r="13" spans="1:26">
      <c r="A13" s="616">
        <f t="shared" si="2"/>
        <v>7</v>
      </c>
      <c r="B13" s="618">
        <v>20956</v>
      </c>
      <c r="C13" s="604">
        <v>0.70833333333333337</v>
      </c>
      <c r="D13" s="617" t="s">
        <v>137</v>
      </c>
      <c r="E13" s="620" t="s">
        <v>151</v>
      </c>
      <c r="F13" s="621">
        <v>10</v>
      </c>
      <c r="G13" s="621">
        <v>0.1</v>
      </c>
      <c r="H13" s="794">
        <f t="shared" si="3"/>
        <v>5.6818181818181826E-4</v>
      </c>
      <c r="I13" s="169">
        <f t="shared" si="0"/>
        <v>2.3025850929940459</v>
      </c>
      <c r="J13" s="169">
        <f t="shared" si="0"/>
        <v>-2.3025850929940455</v>
      </c>
      <c r="K13" s="169">
        <f t="shared" si="1"/>
        <v>-7.4730690880321973</v>
      </c>
    </row>
    <row r="14" spans="1:26">
      <c r="A14" s="616">
        <f t="shared" si="2"/>
        <v>8</v>
      </c>
      <c r="B14" s="618">
        <v>20981</v>
      </c>
      <c r="C14" s="604">
        <v>0.73958333333333337</v>
      </c>
      <c r="D14" s="617" t="s">
        <v>132</v>
      </c>
      <c r="E14" s="620" t="s">
        <v>151</v>
      </c>
      <c r="F14" s="621">
        <v>10</v>
      </c>
      <c r="G14" s="621">
        <v>0.1</v>
      </c>
      <c r="H14" s="794">
        <f t="shared" si="3"/>
        <v>5.6818181818181826E-4</v>
      </c>
      <c r="I14" s="169">
        <f t="shared" si="0"/>
        <v>2.3025850929940459</v>
      </c>
      <c r="J14" s="169">
        <f t="shared" si="0"/>
        <v>-2.3025850929940455</v>
      </c>
      <c r="K14" s="169">
        <f t="shared" si="1"/>
        <v>-7.4730690880321973</v>
      </c>
    </row>
    <row r="15" spans="1:26">
      <c r="A15" s="616">
        <f t="shared" si="2"/>
        <v>9</v>
      </c>
      <c r="B15" s="618">
        <v>22075</v>
      </c>
      <c r="C15" s="604">
        <v>0.68402777777777779</v>
      </c>
      <c r="D15" s="617" t="s">
        <v>147</v>
      </c>
      <c r="E15" s="620" t="s">
        <v>151</v>
      </c>
      <c r="F15" s="621">
        <v>10</v>
      </c>
      <c r="G15" s="621">
        <v>0.1</v>
      </c>
      <c r="H15" s="794">
        <f t="shared" si="3"/>
        <v>5.6818181818181826E-4</v>
      </c>
      <c r="I15" s="169">
        <f t="shared" si="0"/>
        <v>2.3025850929940459</v>
      </c>
      <c r="J15" s="169">
        <f t="shared" si="0"/>
        <v>-2.3025850929940455</v>
      </c>
      <c r="K15" s="169">
        <f t="shared" si="1"/>
        <v>-7.4730690880321973</v>
      </c>
    </row>
    <row r="16" spans="1:26">
      <c r="A16" s="616">
        <f t="shared" si="2"/>
        <v>10</v>
      </c>
      <c r="B16" s="618">
        <v>22417</v>
      </c>
      <c r="C16" s="604">
        <v>0.69791666666666663</v>
      </c>
      <c r="D16" s="617" t="s">
        <v>141</v>
      </c>
      <c r="E16" s="620" t="s">
        <v>151</v>
      </c>
      <c r="F16" s="621">
        <v>33</v>
      </c>
      <c r="G16" s="621">
        <v>0.5</v>
      </c>
      <c r="H16" s="794">
        <f t="shared" si="3"/>
        <v>9.3749999999999997E-3</v>
      </c>
      <c r="I16" s="169">
        <f t="shared" si="0"/>
        <v>3.4965075614664802</v>
      </c>
      <c r="J16" s="169">
        <f t="shared" si="0"/>
        <v>-0.69314718055994529</v>
      </c>
      <c r="K16" s="169">
        <f t="shared" si="1"/>
        <v>-4.6697087071256629</v>
      </c>
    </row>
    <row r="17" spans="1:11">
      <c r="A17" s="616">
        <f t="shared" si="2"/>
        <v>11</v>
      </c>
      <c r="B17" s="618">
        <v>22434</v>
      </c>
      <c r="C17" s="604">
        <v>0.60416666666666663</v>
      </c>
      <c r="D17" s="617" t="s">
        <v>142</v>
      </c>
      <c r="E17" s="620" t="s">
        <v>151</v>
      </c>
      <c r="F17" s="621">
        <v>23</v>
      </c>
      <c r="G17" s="621">
        <v>0.5</v>
      </c>
      <c r="H17" s="794">
        <f t="shared" si="3"/>
        <v>6.5340909090909087E-3</v>
      </c>
      <c r="I17" s="169">
        <f t="shared" si="0"/>
        <v>3.1354942159291497</v>
      </c>
      <c r="J17" s="169">
        <f t="shared" si="0"/>
        <v>-0.69314718055994529</v>
      </c>
      <c r="K17" s="169">
        <f t="shared" si="1"/>
        <v>-5.030722052662993</v>
      </c>
    </row>
    <row r="18" spans="1:11">
      <c r="A18" s="616">
        <f t="shared" si="2"/>
        <v>12</v>
      </c>
      <c r="B18" s="618">
        <v>22435</v>
      </c>
      <c r="C18" s="604">
        <v>0.73958333333333337</v>
      </c>
      <c r="D18" s="617" t="s">
        <v>127</v>
      </c>
      <c r="E18" s="620" t="s">
        <v>151</v>
      </c>
      <c r="F18" s="621">
        <v>10</v>
      </c>
      <c r="G18" s="621">
        <v>0.1</v>
      </c>
      <c r="H18" s="794">
        <f t="shared" si="3"/>
        <v>5.6818181818181826E-4</v>
      </c>
      <c r="I18" s="169">
        <f t="shared" si="0"/>
        <v>2.3025850929940459</v>
      </c>
      <c r="J18" s="169">
        <f t="shared" si="0"/>
        <v>-2.3025850929940455</v>
      </c>
      <c r="K18" s="169">
        <f t="shared" si="1"/>
        <v>-7.4730690880321973</v>
      </c>
    </row>
    <row r="19" spans="1:11">
      <c r="A19" s="616">
        <f t="shared" si="2"/>
        <v>13</v>
      </c>
      <c r="B19" s="618">
        <v>22435</v>
      </c>
      <c r="C19" s="604">
        <v>0.75</v>
      </c>
      <c r="D19" s="617" t="s">
        <v>128</v>
      </c>
      <c r="E19" s="620" t="s">
        <v>151</v>
      </c>
      <c r="F19" s="621">
        <v>33</v>
      </c>
      <c r="G19" s="621">
        <v>1.3</v>
      </c>
      <c r="H19" s="794">
        <f t="shared" si="3"/>
        <v>2.4375000000000001E-2</v>
      </c>
      <c r="I19" s="169">
        <f t="shared" si="0"/>
        <v>3.4965075614664802</v>
      </c>
      <c r="J19" s="169">
        <f t="shared" si="0"/>
        <v>0.26236426446749106</v>
      </c>
      <c r="K19" s="169">
        <f t="shared" si="1"/>
        <v>-3.7141972620982262</v>
      </c>
    </row>
    <row r="20" spans="1:11">
      <c r="A20" s="616">
        <f t="shared" si="2"/>
        <v>14</v>
      </c>
      <c r="B20" s="618">
        <v>22437</v>
      </c>
      <c r="C20" s="604">
        <v>0.71875</v>
      </c>
      <c r="D20" s="617" t="s">
        <v>126</v>
      </c>
      <c r="E20" s="620" t="s">
        <v>151</v>
      </c>
      <c r="F20" s="621">
        <v>150</v>
      </c>
      <c r="G20" s="621">
        <v>28.5</v>
      </c>
      <c r="H20" s="794">
        <f t="shared" si="3"/>
        <v>2.4289772727272725</v>
      </c>
      <c r="I20" s="169">
        <f t="shared" si="0"/>
        <v>5.0106352940962555</v>
      </c>
      <c r="J20" s="169">
        <f t="shared" si="0"/>
        <v>3.3499040872746049</v>
      </c>
      <c r="K20" s="169">
        <f t="shared" si="1"/>
        <v>0.88747029333866301</v>
      </c>
    </row>
    <row r="21" spans="1:11">
      <c r="A21" s="616">
        <f t="shared" si="2"/>
        <v>15</v>
      </c>
      <c r="B21" s="618">
        <v>22793</v>
      </c>
      <c r="C21" s="604">
        <v>0.6875</v>
      </c>
      <c r="D21" s="617" t="s">
        <v>133</v>
      </c>
      <c r="E21" s="620" t="s">
        <v>151</v>
      </c>
      <c r="F21" s="621">
        <v>10</v>
      </c>
      <c r="G21" s="621">
        <v>0.1</v>
      </c>
      <c r="H21" s="794">
        <f t="shared" si="3"/>
        <v>5.6818181818181826E-4</v>
      </c>
      <c r="I21" s="169">
        <f t="shared" si="0"/>
        <v>2.3025850929940459</v>
      </c>
      <c r="J21" s="169">
        <f t="shared" si="0"/>
        <v>-2.3025850929940455</v>
      </c>
      <c r="K21" s="169">
        <f t="shared" si="1"/>
        <v>-7.4730690880321973</v>
      </c>
    </row>
    <row r="22" spans="1:11">
      <c r="A22" s="616">
        <f t="shared" si="2"/>
        <v>16</v>
      </c>
      <c r="B22" s="618">
        <v>22793</v>
      </c>
      <c r="C22" s="604">
        <v>0.72916666666666663</v>
      </c>
      <c r="D22" s="617" t="s">
        <v>132</v>
      </c>
      <c r="E22" s="620" t="s">
        <v>151</v>
      </c>
      <c r="F22" s="621">
        <v>83</v>
      </c>
      <c r="G22" s="621">
        <v>1</v>
      </c>
      <c r="H22" s="794">
        <f t="shared" si="3"/>
        <v>4.7159090909090907E-2</v>
      </c>
      <c r="I22" s="169">
        <f t="shared" si="0"/>
        <v>4.4188406077965983</v>
      </c>
      <c r="J22" s="169">
        <f t="shared" si="0"/>
        <v>0</v>
      </c>
      <c r="K22" s="169">
        <f t="shared" si="1"/>
        <v>-3.0542284802355995</v>
      </c>
    </row>
    <row r="23" spans="1:11">
      <c r="A23" s="616">
        <f t="shared" si="2"/>
        <v>17</v>
      </c>
      <c r="B23" s="618">
        <v>22811</v>
      </c>
      <c r="C23" s="604">
        <v>0.625</v>
      </c>
      <c r="D23" s="617" t="s">
        <v>145</v>
      </c>
      <c r="E23" s="620" t="s">
        <v>151</v>
      </c>
      <c r="F23" s="621">
        <v>67</v>
      </c>
      <c r="G23" s="621">
        <v>1.4</v>
      </c>
      <c r="H23" s="794">
        <f t="shared" si="3"/>
        <v>5.3295454545454549E-2</v>
      </c>
      <c r="I23" s="169">
        <f t="shared" si="0"/>
        <v>4.2046926193909657</v>
      </c>
      <c r="J23" s="169">
        <f t="shared" si="0"/>
        <v>0.33647223662121289</v>
      </c>
      <c r="K23" s="169">
        <f t="shared" si="1"/>
        <v>-2.9319042320200186</v>
      </c>
    </row>
    <row r="24" spans="1:11">
      <c r="A24" s="616">
        <f t="shared" si="2"/>
        <v>18</v>
      </c>
      <c r="B24" s="618">
        <v>22821</v>
      </c>
      <c r="C24" s="604">
        <v>3.472222222222222E-3</v>
      </c>
      <c r="D24" s="617" t="s">
        <v>140</v>
      </c>
      <c r="E24" s="620" t="s">
        <v>151</v>
      </c>
      <c r="F24" s="621">
        <v>27</v>
      </c>
      <c r="G24" s="621">
        <v>1.5</v>
      </c>
      <c r="H24" s="794">
        <f t="shared" si="3"/>
        <v>2.3011363636363635E-2</v>
      </c>
      <c r="I24" s="169">
        <f t="shared" si="0"/>
        <v>3.2958368660043291</v>
      </c>
      <c r="J24" s="169">
        <f t="shared" si="0"/>
        <v>0.40546510810816438</v>
      </c>
      <c r="K24" s="169">
        <f t="shared" si="1"/>
        <v>-3.771767113919704</v>
      </c>
    </row>
    <row r="25" spans="1:11">
      <c r="A25" s="616">
        <f t="shared" si="2"/>
        <v>19</v>
      </c>
      <c r="B25" s="618">
        <v>23207</v>
      </c>
      <c r="C25" s="604">
        <v>0.84722222222222221</v>
      </c>
      <c r="D25" s="617" t="s">
        <v>128</v>
      </c>
      <c r="E25" s="620" t="s">
        <v>151</v>
      </c>
      <c r="F25" s="621">
        <v>10</v>
      </c>
      <c r="G25" s="621">
        <v>0.1</v>
      </c>
      <c r="H25" s="794">
        <f t="shared" si="3"/>
        <v>5.6818181818181826E-4</v>
      </c>
      <c r="I25" s="169">
        <f t="shared" si="0"/>
        <v>2.3025850929940459</v>
      </c>
      <c r="J25" s="169">
        <f t="shared" si="0"/>
        <v>-2.3025850929940455</v>
      </c>
      <c r="K25" s="169">
        <f t="shared" si="1"/>
        <v>-7.4730690880321973</v>
      </c>
    </row>
    <row r="26" spans="1:11">
      <c r="A26" s="616">
        <f t="shared" si="2"/>
        <v>20</v>
      </c>
      <c r="B26" s="618">
        <v>23608</v>
      </c>
      <c r="C26" s="604">
        <v>0.77083333333333337</v>
      </c>
      <c r="D26" s="617" t="s">
        <v>135</v>
      </c>
      <c r="E26" s="620" t="s">
        <v>151</v>
      </c>
      <c r="F26" s="621">
        <v>33</v>
      </c>
      <c r="G26" s="621">
        <v>0.5</v>
      </c>
      <c r="H26" s="794">
        <f t="shared" si="3"/>
        <v>9.3749999999999997E-3</v>
      </c>
      <c r="I26" s="169">
        <f t="shared" si="0"/>
        <v>3.4965075614664802</v>
      </c>
      <c r="J26" s="169">
        <f t="shared" si="0"/>
        <v>-0.69314718055994529</v>
      </c>
      <c r="K26" s="169">
        <f t="shared" si="1"/>
        <v>-4.6697087071256629</v>
      </c>
    </row>
    <row r="27" spans="1:11">
      <c r="A27" s="616">
        <f t="shared" si="2"/>
        <v>21</v>
      </c>
      <c r="B27" s="618">
        <v>23866</v>
      </c>
      <c r="C27" s="604">
        <v>0.77777777777777779</v>
      </c>
      <c r="D27" s="617" t="s">
        <v>140</v>
      </c>
      <c r="E27" s="620" t="s">
        <v>151</v>
      </c>
      <c r="F27" s="621">
        <v>20</v>
      </c>
      <c r="G27" s="621">
        <v>1</v>
      </c>
      <c r="H27" s="794">
        <f t="shared" si="3"/>
        <v>1.1363636363636364E-2</v>
      </c>
      <c r="I27" s="169">
        <f t="shared" si="0"/>
        <v>2.9957322735539909</v>
      </c>
      <c r="J27" s="169">
        <f t="shared" si="0"/>
        <v>0</v>
      </c>
      <c r="K27" s="169">
        <f t="shared" si="1"/>
        <v>-4.4773368144782069</v>
      </c>
    </row>
    <row r="28" spans="1:11">
      <c r="A28" s="616">
        <f t="shared" si="2"/>
        <v>22</v>
      </c>
      <c r="B28" s="618">
        <v>23866</v>
      </c>
      <c r="C28" s="604">
        <v>0.83611111111111114</v>
      </c>
      <c r="D28" s="617" t="s">
        <v>136</v>
      </c>
      <c r="E28" s="620" t="s">
        <v>151</v>
      </c>
      <c r="F28" s="621">
        <v>100</v>
      </c>
      <c r="G28" s="621">
        <v>0.5</v>
      </c>
      <c r="H28" s="794">
        <f t="shared" si="3"/>
        <v>2.8409090909090908E-2</v>
      </c>
      <c r="I28" s="169">
        <f t="shared" si="0"/>
        <v>4.6051701859880918</v>
      </c>
      <c r="J28" s="169">
        <f t="shared" si="0"/>
        <v>-0.69314718055994529</v>
      </c>
      <c r="K28" s="169">
        <f t="shared" si="1"/>
        <v>-3.5610460826040513</v>
      </c>
    </row>
    <row r="29" spans="1:11">
      <c r="A29" s="616">
        <f t="shared" si="2"/>
        <v>23</v>
      </c>
      <c r="B29" s="618">
        <v>23902</v>
      </c>
      <c r="C29" s="604">
        <v>0.83333333333333337</v>
      </c>
      <c r="D29" s="617" t="s">
        <v>135</v>
      </c>
      <c r="E29" s="620" t="s">
        <v>151</v>
      </c>
      <c r="F29" s="621">
        <v>17</v>
      </c>
      <c r="G29" s="621">
        <v>0.2</v>
      </c>
      <c r="H29" s="794">
        <f t="shared" si="3"/>
        <v>1.9318181818181819E-3</v>
      </c>
      <c r="I29" s="169">
        <f t="shared" si="0"/>
        <v>2.8332133440562162</v>
      </c>
      <c r="J29" s="169">
        <f t="shared" si="0"/>
        <v>-1.6094379124341003</v>
      </c>
      <c r="K29" s="169">
        <f t="shared" si="1"/>
        <v>-6.2492936564100816</v>
      </c>
    </row>
    <row r="30" spans="1:11">
      <c r="A30" s="616">
        <f t="shared" si="2"/>
        <v>24</v>
      </c>
      <c r="B30" s="618">
        <v>23907</v>
      </c>
      <c r="C30" s="604">
        <v>0.71875</v>
      </c>
      <c r="D30" s="617" t="s">
        <v>135</v>
      </c>
      <c r="E30" s="620" t="s">
        <v>151</v>
      </c>
      <c r="F30" s="621">
        <v>10</v>
      </c>
      <c r="G30" s="621">
        <v>0.1</v>
      </c>
      <c r="H30" s="794">
        <f t="shared" si="3"/>
        <v>5.6818181818181826E-4</v>
      </c>
      <c r="I30" s="169">
        <f t="shared" si="0"/>
        <v>2.3025850929940459</v>
      </c>
      <c r="J30" s="169">
        <f t="shared" si="0"/>
        <v>-2.3025850929940455</v>
      </c>
      <c r="K30" s="169">
        <f t="shared" si="1"/>
        <v>-7.4730690880321973</v>
      </c>
    </row>
    <row r="31" spans="1:11">
      <c r="A31" s="616">
        <f t="shared" si="2"/>
        <v>25</v>
      </c>
      <c r="B31" s="618">
        <v>24272</v>
      </c>
      <c r="C31" s="604">
        <v>0.90277777777777779</v>
      </c>
      <c r="D31" s="617" t="s">
        <v>142</v>
      </c>
      <c r="E31" s="620" t="s">
        <v>151</v>
      </c>
      <c r="F31" s="621">
        <v>27</v>
      </c>
      <c r="G31" s="621">
        <v>1</v>
      </c>
      <c r="H31" s="794">
        <f t="shared" si="3"/>
        <v>1.5340909090909091E-2</v>
      </c>
      <c r="I31" s="169">
        <f t="shared" si="0"/>
        <v>3.2958368660043291</v>
      </c>
      <c r="J31" s="169">
        <f t="shared" si="0"/>
        <v>0</v>
      </c>
      <c r="K31" s="169">
        <f t="shared" si="1"/>
        <v>-4.1772322220278681</v>
      </c>
    </row>
    <row r="32" spans="1:11">
      <c r="A32" s="616">
        <f t="shared" si="2"/>
        <v>26</v>
      </c>
      <c r="B32" s="618">
        <v>24597</v>
      </c>
      <c r="C32" s="604">
        <v>0.69097222222222221</v>
      </c>
      <c r="D32" s="617" t="s">
        <v>141</v>
      </c>
      <c r="E32" s="620" t="s">
        <v>151</v>
      </c>
      <c r="F32" s="621">
        <v>100</v>
      </c>
      <c r="G32" s="621">
        <v>16.2</v>
      </c>
      <c r="H32" s="794">
        <f t="shared" si="3"/>
        <v>0.92045454545454541</v>
      </c>
      <c r="I32" s="169">
        <f t="shared" si="0"/>
        <v>4.6051701859880918</v>
      </c>
      <c r="J32" s="169">
        <f t="shared" si="0"/>
        <v>2.7850112422383382</v>
      </c>
      <c r="K32" s="169">
        <f t="shared" si="1"/>
        <v>-8.2887659805767747E-2</v>
      </c>
    </row>
    <row r="33" spans="1:11">
      <c r="A33" s="616">
        <f t="shared" si="2"/>
        <v>27</v>
      </c>
      <c r="B33" s="618">
        <v>24597</v>
      </c>
      <c r="C33" s="604">
        <v>0.69791666666666663</v>
      </c>
      <c r="D33" s="617" t="s">
        <v>135</v>
      </c>
      <c r="E33" s="620" t="s">
        <v>151</v>
      </c>
      <c r="F33" s="621">
        <v>67</v>
      </c>
      <c r="G33" s="621">
        <v>2.2999999999999998</v>
      </c>
      <c r="H33" s="794">
        <f t="shared" si="3"/>
        <v>8.755681818181818E-2</v>
      </c>
      <c r="I33" s="169">
        <f t="shared" si="0"/>
        <v>4.2046926193909657</v>
      </c>
      <c r="J33" s="169">
        <f t="shared" si="0"/>
        <v>0.83290912293510388</v>
      </c>
      <c r="K33" s="169">
        <f t="shared" si="1"/>
        <v>-2.4354673457061273</v>
      </c>
    </row>
    <row r="34" spans="1:11">
      <c r="A34" s="616">
        <f t="shared" si="2"/>
        <v>28</v>
      </c>
      <c r="B34" s="618">
        <v>24624</v>
      </c>
      <c r="C34" s="604">
        <v>0.625</v>
      </c>
      <c r="D34" s="617" t="s">
        <v>144</v>
      </c>
      <c r="E34" s="620" t="s">
        <v>151</v>
      </c>
      <c r="F34" s="621">
        <v>33</v>
      </c>
      <c r="G34" s="621">
        <v>4.7</v>
      </c>
      <c r="H34" s="794">
        <f t="shared" si="3"/>
        <v>8.8124999999999995E-2</v>
      </c>
      <c r="I34" s="169">
        <f t="shared" si="0"/>
        <v>3.4965075614664802</v>
      </c>
      <c r="J34" s="169">
        <f t="shared" si="0"/>
        <v>1.547562508716013</v>
      </c>
      <c r="K34" s="169">
        <f t="shared" si="1"/>
        <v>-2.4289990178497045</v>
      </c>
    </row>
    <row r="35" spans="1:11">
      <c r="A35" s="616">
        <f t="shared" si="2"/>
        <v>29</v>
      </c>
      <c r="B35" s="618">
        <v>24638</v>
      </c>
      <c r="C35" s="604">
        <v>0.83333333333333337</v>
      </c>
      <c r="D35" s="617" t="s">
        <v>145</v>
      </c>
      <c r="E35" s="620" t="s">
        <v>151</v>
      </c>
      <c r="F35" s="621">
        <v>33</v>
      </c>
      <c r="G35" s="621">
        <v>0.1</v>
      </c>
      <c r="H35" s="794">
        <f t="shared" si="3"/>
        <v>1.8749999999999999E-3</v>
      </c>
      <c r="I35" s="169">
        <f t="shared" si="0"/>
        <v>3.4965075614664802</v>
      </c>
      <c r="J35" s="169">
        <f t="shared" si="0"/>
        <v>-2.3025850929940455</v>
      </c>
      <c r="K35" s="169">
        <f t="shared" si="1"/>
        <v>-6.2791466195597634</v>
      </c>
    </row>
    <row r="36" spans="1:11">
      <c r="A36" s="616">
        <f t="shared" si="2"/>
        <v>30</v>
      </c>
      <c r="B36" s="618">
        <v>24656</v>
      </c>
      <c r="C36" s="604">
        <v>0.75</v>
      </c>
      <c r="D36" s="617" t="s">
        <v>127</v>
      </c>
      <c r="E36" s="620" t="s">
        <v>151</v>
      </c>
      <c r="F36" s="621">
        <v>10</v>
      </c>
      <c r="G36" s="621">
        <v>0.1</v>
      </c>
      <c r="H36" s="794">
        <f t="shared" si="3"/>
        <v>5.6818181818181826E-4</v>
      </c>
      <c r="I36" s="169">
        <f t="shared" si="0"/>
        <v>2.3025850929940459</v>
      </c>
      <c r="J36" s="169">
        <f t="shared" si="0"/>
        <v>-2.3025850929940455</v>
      </c>
      <c r="K36" s="169">
        <f t="shared" si="1"/>
        <v>-7.4730690880321973</v>
      </c>
    </row>
    <row r="37" spans="1:11">
      <c r="A37" s="616">
        <f t="shared" si="2"/>
        <v>31</v>
      </c>
      <c r="B37" s="618">
        <v>24656</v>
      </c>
      <c r="C37" s="604">
        <v>0.8125</v>
      </c>
      <c r="D37" s="617" t="s">
        <v>132</v>
      </c>
      <c r="E37" s="620" t="s">
        <v>151</v>
      </c>
      <c r="F37" s="621">
        <v>50</v>
      </c>
      <c r="G37" s="621">
        <v>1</v>
      </c>
      <c r="H37" s="794">
        <f t="shared" si="3"/>
        <v>2.8409090909090908E-2</v>
      </c>
      <c r="I37" s="169">
        <f t="shared" si="0"/>
        <v>3.912023005428146</v>
      </c>
      <c r="J37" s="169">
        <f t="shared" si="0"/>
        <v>0</v>
      </c>
      <c r="K37" s="169">
        <f t="shared" si="1"/>
        <v>-3.5610460826040513</v>
      </c>
    </row>
    <row r="38" spans="1:11">
      <c r="A38" s="616">
        <f t="shared" si="2"/>
        <v>32</v>
      </c>
      <c r="B38" s="618">
        <v>24656</v>
      </c>
      <c r="C38" s="604">
        <v>0.91666666666666663</v>
      </c>
      <c r="D38" s="617" t="s">
        <v>138</v>
      </c>
      <c r="E38" s="620" t="s">
        <v>151</v>
      </c>
      <c r="F38" s="621">
        <v>17</v>
      </c>
      <c r="G38" s="621">
        <v>0.1</v>
      </c>
      <c r="H38" s="794">
        <f t="shared" si="3"/>
        <v>9.6590909090909095E-4</v>
      </c>
      <c r="I38" s="169">
        <f t="shared" si="0"/>
        <v>2.8332133440562162</v>
      </c>
      <c r="J38" s="169">
        <f t="shared" si="0"/>
        <v>-2.3025850929940455</v>
      </c>
      <c r="K38" s="169">
        <f t="shared" si="1"/>
        <v>-6.942440836970027</v>
      </c>
    </row>
    <row r="39" spans="1:11">
      <c r="A39" s="616">
        <f t="shared" si="2"/>
        <v>33</v>
      </c>
      <c r="B39" s="618">
        <v>24930</v>
      </c>
      <c r="C39" s="604">
        <v>0.72222222222222221</v>
      </c>
      <c r="D39" s="617" t="s">
        <v>141</v>
      </c>
      <c r="E39" s="620" t="s">
        <v>151</v>
      </c>
      <c r="F39" s="621">
        <v>33</v>
      </c>
      <c r="G39" s="621">
        <v>2</v>
      </c>
      <c r="H39" s="794">
        <f t="shared" si="3"/>
        <v>3.7499999999999999E-2</v>
      </c>
      <c r="I39" s="169">
        <f t="shared" si="0"/>
        <v>3.4965075614664802</v>
      </c>
      <c r="J39" s="169">
        <f t="shared" si="0"/>
        <v>0.69314718055994529</v>
      </c>
      <c r="K39" s="169">
        <f t="shared" si="1"/>
        <v>-3.2834143460057721</v>
      </c>
    </row>
    <row r="40" spans="1:11">
      <c r="A40" s="616">
        <f t="shared" si="2"/>
        <v>34</v>
      </c>
      <c r="B40" s="618">
        <v>24997</v>
      </c>
      <c r="C40" s="604">
        <v>0.72916666666666663</v>
      </c>
      <c r="D40" s="617" t="s">
        <v>128</v>
      </c>
      <c r="E40" s="620" t="s">
        <v>151</v>
      </c>
      <c r="F40" s="621">
        <v>33</v>
      </c>
      <c r="G40" s="621">
        <v>0.8</v>
      </c>
      <c r="H40" s="794">
        <f t="shared" si="3"/>
        <v>1.4999999999999999E-2</v>
      </c>
      <c r="I40" s="169">
        <f t="shared" si="0"/>
        <v>3.4965075614664802</v>
      </c>
      <c r="J40" s="169">
        <f t="shared" si="0"/>
        <v>-0.22314355131420971</v>
      </c>
      <c r="K40" s="169">
        <f t="shared" si="1"/>
        <v>-4.1997050778799272</v>
      </c>
    </row>
    <row r="41" spans="1:11">
      <c r="A41" s="616">
        <f t="shared" si="2"/>
        <v>35</v>
      </c>
      <c r="B41" s="618">
        <v>25325</v>
      </c>
      <c r="C41" s="604">
        <v>0.66666666666666663</v>
      </c>
      <c r="D41" s="617" t="s">
        <v>140</v>
      </c>
      <c r="E41" s="620" t="s">
        <v>151</v>
      </c>
      <c r="F41" s="621">
        <v>50</v>
      </c>
      <c r="G41" s="621">
        <v>0.1</v>
      </c>
      <c r="H41" s="794">
        <f t="shared" si="3"/>
        <v>2.840909090909091E-3</v>
      </c>
      <c r="I41" s="169">
        <f t="shared" si="0"/>
        <v>3.912023005428146</v>
      </c>
      <c r="J41" s="169">
        <f t="shared" si="0"/>
        <v>-2.3025850929940455</v>
      </c>
      <c r="K41" s="169">
        <f t="shared" si="1"/>
        <v>-5.8636311755980968</v>
      </c>
    </row>
    <row r="42" spans="1:11">
      <c r="A42" s="616">
        <f t="shared" si="2"/>
        <v>36</v>
      </c>
      <c r="B42" s="618">
        <v>25361</v>
      </c>
      <c r="C42" s="604">
        <v>0.92361111111111116</v>
      </c>
      <c r="D42" s="617" t="s">
        <v>127</v>
      </c>
      <c r="E42" s="620" t="s">
        <v>151</v>
      </c>
      <c r="F42" s="621">
        <v>10</v>
      </c>
      <c r="G42" s="621">
        <v>0.1</v>
      </c>
      <c r="H42" s="794">
        <f t="shared" si="3"/>
        <v>5.6818181818181826E-4</v>
      </c>
      <c r="I42" s="169">
        <f t="shared" si="0"/>
        <v>2.3025850929940459</v>
      </c>
      <c r="J42" s="169">
        <f t="shared" si="0"/>
        <v>-2.3025850929940455</v>
      </c>
      <c r="K42" s="169">
        <f t="shared" si="1"/>
        <v>-7.4730690880321973</v>
      </c>
    </row>
    <row r="43" spans="1:11">
      <c r="A43" s="616">
        <f t="shared" si="2"/>
        <v>37</v>
      </c>
      <c r="B43" s="618">
        <v>25817</v>
      </c>
      <c r="C43" s="604">
        <v>0.80902777777777779</v>
      </c>
      <c r="D43" s="617" t="s">
        <v>128</v>
      </c>
      <c r="E43" s="620" t="s">
        <v>151</v>
      </c>
      <c r="F43" s="621">
        <v>10</v>
      </c>
      <c r="G43" s="621">
        <v>0.1</v>
      </c>
      <c r="H43" s="794">
        <f t="shared" si="3"/>
        <v>5.6818181818181826E-4</v>
      </c>
      <c r="I43" s="169">
        <f t="shared" si="0"/>
        <v>2.3025850929940459</v>
      </c>
      <c r="J43" s="169">
        <f t="shared" si="0"/>
        <v>-2.3025850929940455</v>
      </c>
      <c r="K43" s="169">
        <f t="shared" si="1"/>
        <v>-7.4730690880321973</v>
      </c>
    </row>
    <row r="44" spans="1:11">
      <c r="A44" s="616">
        <f t="shared" si="2"/>
        <v>38</v>
      </c>
      <c r="B44" s="618">
        <v>26042</v>
      </c>
      <c r="C44" s="604">
        <v>1.0416666666666666E-2</v>
      </c>
      <c r="D44" s="617" t="s">
        <v>129</v>
      </c>
      <c r="E44" s="620" t="s">
        <v>151</v>
      </c>
      <c r="F44" s="621">
        <v>150</v>
      </c>
      <c r="G44" s="621">
        <v>7.2</v>
      </c>
      <c r="H44" s="794">
        <f t="shared" si="3"/>
        <v>0.61363636363636365</v>
      </c>
      <c r="I44" s="169">
        <f t="shared" si="0"/>
        <v>5.0106352940962555</v>
      </c>
      <c r="J44" s="169">
        <f t="shared" si="0"/>
        <v>1.9740810260220096</v>
      </c>
      <c r="K44" s="169">
        <f t="shared" si="1"/>
        <v>-0.48835276791393206</v>
      </c>
    </row>
    <row r="45" spans="1:11">
      <c r="A45" s="616">
        <f t="shared" si="2"/>
        <v>39</v>
      </c>
      <c r="B45" s="618">
        <v>26042</v>
      </c>
      <c r="C45" s="604">
        <v>1.0416666666666666E-2</v>
      </c>
      <c r="D45" s="617" t="s">
        <v>129</v>
      </c>
      <c r="E45" s="620" t="s">
        <v>151</v>
      </c>
      <c r="F45" s="621">
        <v>10</v>
      </c>
      <c r="G45" s="621">
        <v>0.1</v>
      </c>
      <c r="H45" s="794">
        <f t="shared" si="3"/>
        <v>5.6818181818181826E-4</v>
      </c>
      <c r="I45" s="169">
        <f t="shared" si="0"/>
        <v>2.3025850929940459</v>
      </c>
      <c r="J45" s="169">
        <f t="shared" si="0"/>
        <v>-2.3025850929940455</v>
      </c>
      <c r="K45" s="169">
        <f t="shared" si="1"/>
        <v>-7.4730690880321973</v>
      </c>
    </row>
    <row r="46" spans="1:11">
      <c r="A46" s="616">
        <f t="shared" si="2"/>
        <v>40</v>
      </c>
      <c r="B46" s="618">
        <v>26042</v>
      </c>
      <c r="C46" s="604">
        <v>6.25E-2</v>
      </c>
      <c r="D46" s="617" t="s">
        <v>126</v>
      </c>
      <c r="E46" s="620" t="s">
        <v>151</v>
      </c>
      <c r="F46" s="621">
        <v>10</v>
      </c>
      <c r="G46" s="621">
        <v>0.1</v>
      </c>
      <c r="H46" s="794">
        <f t="shared" si="3"/>
        <v>5.6818181818181826E-4</v>
      </c>
      <c r="I46" s="169">
        <f t="shared" si="0"/>
        <v>2.3025850929940459</v>
      </c>
      <c r="J46" s="169">
        <f t="shared" si="0"/>
        <v>-2.3025850929940455</v>
      </c>
      <c r="K46" s="169">
        <f t="shared" si="1"/>
        <v>-7.4730690880321973</v>
      </c>
    </row>
    <row r="47" spans="1:11">
      <c r="A47" s="616">
        <f t="shared" si="2"/>
        <v>41</v>
      </c>
      <c r="B47" s="618">
        <v>26089</v>
      </c>
      <c r="C47" s="604">
        <v>0.67361111111111116</v>
      </c>
      <c r="D47" s="617" t="s">
        <v>145</v>
      </c>
      <c r="E47" s="620" t="s">
        <v>151</v>
      </c>
      <c r="F47" s="621">
        <v>50</v>
      </c>
      <c r="G47" s="621">
        <v>0.3</v>
      </c>
      <c r="H47" s="794">
        <f t="shared" si="3"/>
        <v>8.5227272727272721E-3</v>
      </c>
      <c r="I47" s="169">
        <f t="shared" si="0"/>
        <v>3.912023005428146</v>
      </c>
      <c r="J47" s="169">
        <f t="shared" si="0"/>
        <v>-1.2039728043259361</v>
      </c>
      <c r="K47" s="169">
        <f t="shared" si="1"/>
        <v>-4.7650188869299877</v>
      </c>
    </row>
    <row r="48" spans="1:11">
      <c r="A48" s="616">
        <f t="shared" si="2"/>
        <v>42</v>
      </c>
      <c r="B48" s="618">
        <v>26089</v>
      </c>
      <c r="C48" s="604">
        <v>0.75347222222222221</v>
      </c>
      <c r="D48" s="617" t="s">
        <v>136</v>
      </c>
      <c r="E48" s="620" t="s">
        <v>151</v>
      </c>
      <c r="F48" s="621">
        <v>10</v>
      </c>
      <c r="G48" s="621">
        <v>0.1</v>
      </c>
      <c r="H48" s="794">
        <f t="shared" si="3"/>
        <v>5.6818181818181826E-4</v>
      </c>
      <c r="I48" s="169">
        <f t="shared" si="0"/>
        <v>2.3025850929940459</v>
      </c>
      <c r="J48" s="169">
        <f t="shared" si="0"/>
        <v>-2.3025850929940455</v>
      </c>
      <c r="K48" s="169">
        <f t="shared" si="1"/>
        <v>-7.4730690880321973</v>
      </c>
    </row>
    <row r="49" spans="1:11">
      <c r="A49" s="616">
        <f t="shared" si="2"/>
        <v>43</v>
      </c>
      <c r="B49" s="618">
        <v>26089</v>
      </c>
      <c r="C49" s="604">
        <v>0.75694444444444453</v>
      </c>
      <c r="D49" s="617" t="s">
        <v>136</v>
      </c>
      <c r="E49" s="620" t="s">
        <v>151</v>
      </c>
      <c r="F49" s="621">
        <v>10</v>
      </c>
      <c r="G49" s="621">
        <v>0.1</v>
      </c>
      <c r="H49" s="794">
        <f t="shared" si="3"/>
        <v>5.6818181818181826E-4</v>
      </c>
      <c r="I49" s="169">
        <f t="shared" si="0"/>
        <v>2.3025850929940459</v>
      </c>
      <c r="J49" s="169">
        <f t="shared" si="0"/>
        <v>-2.3025850929940455</v>
      </c>
      <c r="K49" s="169">
        <f t="shared" si="1"/>
        <v>-7.4730690880321973</v>
      </c>
    </row>
    <row r="50" spans="1:11">
      <c r="A50" s="616">
        <f t="shared" si="2"/>
        <v>44</v>
      </c>
      <c r="B50" s="618">
        <v>26089</v>
      </c>
      <c r="C50" s="604">
        <v>0.76041666666666663</v>
      </c>
      <c r="D50" s="617" t="s">
        <v>136</v>
      </c>
      <c r="E50" s="620" t="s">
        <v>151</v>
      </c>
      <c r="F50" s="621">
        <v>10</v>
      </c>
      <c r="G50" s="621">
        <v>0.1</v>
      </c>
      <c r="H50" s="794">
        <f t="shared" si="3"/>
        <v>5.6818181818181826E-4</v>
      </c>
      <c r="I50" s="169">
        <f t="shared" si="0"/>
        <v>2.3025850929940459</v>
      </c>
      <c r="J50" s="169">
        <f t="shared" si="0"/>
        <v>-2.3025850929940455</v>
      </c>
      <c r="K50" s="169">
        <f t="shared" si="1"/>
        <v>-7.4730690880321973</v>
      </c>
    </row>
    <row r="51" spans="1:11">
      <c r="A51" s="616">
        <f t="shared" si="2"/>
        <v>45</v>
      </c>
      <c r="B51" s="618">
        <v>26089</v>
      </c>
      <c r="C51" s="604">
        <v>0.76388888888888884</v>
      </c>
      <c r="D51" s="617" t="s">
        <v>136</v>
      </c>
      <c r="E51" s="620" t="s">
        <v>151</v>
      </c>
      <c r="F51" s="621">
        <v>10</v>
      </c>
      <c r="G51" s="621">
        <v>0.1</v>
      </c>
      <c r="H51" s="794">
        <f t="shared" si="3"/>
        <v>5.6818181818181826E-4</v>
      </c>
      <c r="I51" s="169">
        <f t="shared" si="0"/>
        <v>2.3025850929940459</v>
      </c>
      <c r="J51" s="169">
        <f t="shared" si="0"/>
        <v>-2.3025850929940455</v>
      </c>
      <c r="K51" s="169">
        <f t="shared" si="1"/>
        <v>-7.4730690880321973</v>
      </c>
    </row>
    <row r="52" spans="1:11">
      <c r="A52" s="616">
        <f t="shared" si="2"/>
        <v>46</v>
      </c>
      <c r="B52" s="618">
        <v>26089</v>
      </c>
      <c r="C52" s="604">
        <v>0.76736111111111116</v>
      </c>
      <c r="D52" s="617" t="s">
        <v>136</v>
      </c>
      <c r="E52" s="620" t="s">
        <v>151</v>
      </c>
      <c r="F52" s="621">
        <v>10</v>
      </c>
      <c r="G52" s="621">
        <v>0.1</v>
      </c>
      <c r="H52" s="794">
        <f t="shared" si="3"/>
        <v>5.6818181818181826E-4</v>
      </c>
      <c r="I52" s="169">
        <f t="shared" si="0"/>
        <v>2.3025850929940459</v>
      </c>
      <c r="J52" s="169">
        <f t="shared" si="0"/>
        <v>-2.3025850929940455</v>
      </c>
      <c r="K52" s="169">
        <f t="shared" si="1"/>
        <v>-7.4730690880321973</v>
      </c>
    </row>
    <row r="53" spans="1:11">
      <c r="A53" s="616">
        <f t="shared" si="2"/>
        <v>47</v>
      </c>
      <c r="B53" s="618">
        <v>26089</v>
      </c>
      <c r="C53" s="604">
        <v>0.77083333333333337</v>
      </c>
      <c r="D53" s="617" t="s">
        <v>136</v>
      </c>
      <c r="E53" s="620" t="s">
        <v>151</v>
      </c>
      <c r="F53" s="621">
        <v>10</v>
      </c>
      <c r="G53" s="621">
        <v>0.1</v>
      </c>
      <c r="H53" s="794">
        <f t="shared" si="3"/>
        <v>5.6818181818181826E-4</v>
      </c>
      <c r="I53" s="169">
        <f t="shared" si="0"/>
        <v>2.3025850929940459</v>
      </c>
      <c r="J53" s="169">
        <f t="shared" si="0"/>
        <v>-2.3025850929940455</v>
      </c>
      <c r="K53" s="169">
        <f t="shared" si="1"/>
        <v>-7.4730690880321973</v>
      </c>
    </row>
    <row r="54" spans="1:11">
      <c r="A54" s="616">
        <f t="shared" si="2"/>
        <v>48</v>
      </c>
      <c r="B54" s="618">
        <v>26092</v>
      </c>
      <c r="C54" s="604">
        <v>0.70138888888888884</v>
      </c>
      <c r="D54" s="617" t="s">
        <v>134</v>
      </c>
      <c r="E54" s="620" t="s">
        <v>151</v>
      </c>
      <c r="F54" s="621">
        <v>100</v>
      </c>
      <c r="G54" s="621">
        <v>2</v>
      </c>
      <c r="H54" s="794">
        <f t="shared" si="3"/>
        <v>0.11363636363636363</v>
      </c>
      <c r="I54" s="169">
        <f t="shared" si="0"/>
        <v>4.6051701859880918</v>
      </c>
      <c r="J54" s="169">
        <f t="shared" si="0"/>
        <v>0.69314718055994529</v>
      </c>
      <c r="K54" s="169">
        <f t="shared" si="1"/>
        <v>-2.174751721484161</v>
      </c>
    </row>
    <row r="55" spans="1:11">
      <c r="A55" s="616">
        <f t="shared" si="2"/>
        <v>49</v>
      </c>
      <c r="B55" s="618">
        <v>26092</v>
      </c>
      <c r="C55" s="604">
        <v>0.77430555555555547</v>
      </c>
      <c r="D55" s="617" t="s">
        <v>134</v>
      </c>
      <c r="E55" s="620" t="s">
        <v>151</v>
      </c>
      <c r="F55" s="621">
        <v>100</v>
      </c>
      <c r="G55" s="621">
        <v>2</v>
      </c>
      <c r="H55" s="794">
        <f t="shared" si="3"/>
        <v>0.11363636363636363</v>
      </c>
      <c r="I55" s="169">
        <f t="shared" si="0"/>
        <v>4.6051701859880918</v>
      </c>
      <c r="J55" s="169">
        <f t="shared" si="0"/>
        <v>0.69314718055994529</v>
      </c>
      <c r="K55" s="169">
        <f t="shared" si="1"/>
        <v>-2.174751721484161</v>
      </c>
    </row>
    <row r="56" spans="1:11">
      <c r="A56" s="616">
        <f t="shared" si="2"/>
        <v>50</v>
      </c>
      <c r="B56" s="618">
        <v>26093</v>
      </c>
      <c r="C56" s="604">
        <v>0.70833333333333337</v>
      </c>
      <c r="D56" s="617" t="s">
        <v>130</v>
      </c>
      <c r="E56" s="620" t="s">
        <v>151</v>
      </c>
      <c r="F56" s="621">
        <v>10</v>
      </c>
      <c r="G56" s="621">
        <v>0.1</v>
      </c>
      <c r="H56" s="794">
        <f t="shared" si="3"/>
        <v>5.6818181818181826E-4</v>
      </c>
      <c r="I56" s="169">
        <f t="shared" si="0"/>
        <v>2.3025850929940459</v>
      </c>
      <c r="J56" s="169">
        <f t="shared" si="0"/>
        <v>-2.3025850929940455</v>
      </c>
      <c r="K56" s="169">
        <f t="shared" si="1"/>
        <v>-7.4730690880321973</v>
      </c>
    </row>
    <row r="57" spans="1:11">
      <c r="A57" s="616">
        <f t="shared" si="2"/>
        <v>51</v>
      </c>
      <c r="B57" s="618">
        <v>26093</v>
      </c>
      <c r="C57" s="604">
        <v>0.70833333333333337</v>
      </c>
      <c r="D57" s="617" t="s">
        <v>130</v>
      </c>
      <c r="E57" s="620" t="s">
        <v>151</v>
      </c>
      <c r="F57" s="621">
        <v>10</v>
      </c>
      <c r="G57" s="621">
        <v>0.1</v>
      </c>
      <c r="H57" s="794">
        <f t="shared" si="3"/>
        <v>5.6818181818181826E-4</v>
      </c>
      <c r="I57" s="169">
        <f t="shared" si="0"/>
        <v>2.3025850929940459</v>
      </c>
      <c r="J57" s="169">
        <f t="shared" si="0"/>
        <v>-2.3025850929940455</v>
      </c>
      <c r="K57" s="169">
        <f t="shared" si="1"/>
        <v>-7.4730690880321973</v>
      </c>
    </row>
    <row r="58" spans="1:11">
      <c r="A58" s="616">
        <f t="shared" si="2"/>
        <v>52</v>
      </c>
      <c r="B58" s="618">
        <v>26093</v>
      </c>
      <c r="C58" s="604">
        <v>0.70833333333333337</v>
      </c>
      <c r="D58" s="617" t="s">
        <v>130</v>
      </c>
      <c r="E58" s="620" t="s">
        <v>151</v>
      </c>
      <c r="F58" s="621">
        <v>10</v>
      </c>
      <c r="G58" s="621">
        <v>0.1</v>
      </c>
      <c r="H58" s="794">
        <f t="shared" si="3"/>
        <v>5.6818181818181826E-4</v>
      </c>
      <c r="I58" s="169">
        <f t="shared" si="0"/>
        <v>2.3025850929940459</v>
      </c>
      <c r="J58" s="169">
        <f t="shared" si="0"/>
        <v>-2.3025850929940455</v>
      </c>
      <c r="K58" s="169">
        <f t="shared" si="1"/>
        <v>-7.4730690880321973</v>
      </c>
    </row>
    <row r="59" spans="1:11">
      <c r="A59" s="616">
        <f t="shared" si="2"/>
        <v>53</v>
      </c>
      <c r="B59" s="618">
        <v>26093</v>
      </c>
      <c r="C59" s="604">
        <v>0.79166666666666663</v>
      </c>
      <c r="D59" s="617" t="s">
        <v>136</v>
      </c>
      <c r="E59" s="620" t="s">
        <v>151</v>
      </c>
      <c r="F59" s="621">
        <v>440</v>
      </c>
      <c r="G59" s="621">
        <v>3</v>
      </c>
      <c r="H59" s="794">
        <f t="shared" si="3"/>
        <v>0.75</v>
      </c>
      <c r="I59" s="169">
        <f t="shared" si="0"/>
        <v>6.0867747269123065</v>
      </c>
      <c r="J59" s="169">
        <f t="shared" si="0"/>
        <v>1.0986122886681098</v>
      </c>
      <c r="K59" s="169">
        <f t="shared" si="1"/>
        <v>-0.2876820724517809</v>
      </c>
    </row>
    <row r="60" spans="1:11">
      <c r="A60" s="616">
        <f t="shared" si="2"/>
        <v>54</v>
      </c>
      <c r="B60" s="618">
        <v>26093</v>
      </c>
      <c r="C60" s="604">
        <v>0.86805555555555547</v>
      </c>
      <c r="D60" s="617" t="s">
        <v>131</v>
      </c>
      <c r="E60" s="620" t="s">
        <v>151</v>
      </c>
      <c r="F60" s="621">
        <v>10</v>
      </c>
      <c r="G60" s="621">
        <v>0.1</v>
      </c>
      <c r="H60" s="794">
        <f t="shared" si="3"/>
        <v>5.6818181818181826E-4</v>
      </c>
      <c r="I60" s="169">
        <f t="shared" si="0"/>
        <v>2.3025850929940459</v>
      </c>
      <c r="J60" s="169">
        <f t="shared" si="0"/>
        <v>-2.3025850929940455</v>
      </c>
      <c r="K60" s="169">
        <f t="shared" si="1"/>
        <v>-7.4730690880321973</v>
      </c>
    </row>
    <row r="61" spans="1:11">
      <c r="A61" s="616">
        <f t="shared" si="2"/>
        <v>55</v>
      </c>
      <c r="B61" s="618">
        <v>26429</v>
      </c>
      <c r="C61" s="604">
        <v>0.82291666666666663</v>
      </c>
      <c r="D61" s="617" t="s">
        <v>129</v>
      </c>
      <c r="E61" s="620" t="s">
        <v>151</v>
      </c>
      <c r="F61" s="621">
        <v>100</v>
      </c>
      <c r="G61" s="621">
        <v>1</v>
      </c>
      <c r="H61" s="794">
        <f t="shared" si="3"/>
        <v>5.6818181818181816E-2</v>
      </c>
      <c r="I61" s="169">
        <f t="shared" si="0"/>
        <v>4.6051701859880918</v>
      </c>
      <c r="J61" s="169">
        <f t="shared" si="0"/>
        <v>0</v>
      </c>
      <c r="K61" s="169">
        <f t="shared" si="1"/>
        <v>-2.8678989020441059</v>
      </c>
    </row>
    <row r="62" spans="1:11">
      <c r="A62" s="616">
        <f t="shared" si="2"/>
        <v>56</v>
      </c>
      <c r="B62" s="618">
        <v>26429</v>
      </c>
      <c r="C62" s="604">
        <v>0.82291666666666663</v>
      </c>
      <c r="D62" s="617" t="s">
        <v>129</v>
      </c>
      <c r="E62" s="620" t="s">
        <v>151</v>
      </c>
      <c r="F62" s="621">
        <v>100</v>
      </c>
      <c r="G62" s="621">
        <v>1</v>
      </c>
      <c r="H62" s="794">
        <f t="shared" si="3"/>
        <v>5.6818181818181816E-2</v>
      </c>
      <c r="I62" s="169">
        <f t="shared" si="0"/>
        <v>4.6051701859880918</v>
      </c>
      <c r="J62" s="169">
        <f t="shared" si="0"/>
        <v>0</v>
      </c>
      <c r="K62" s="169">
        <f t="shared" si="1"/>
        <v>-2.8678989020441059</v>
      </c>
    </row>
    <row r="63" spans="1:11">
      <c r="A63" s="616">
        <f t="shared" si="2"/>
        <v>57</v>
      </c>
      <c r="B63" s="618">
        <v>26471</v>
      </c>
      <c r="C63" s="604">
        <v>0.88541666666666663</v>
      </c>
      <c r="D63" s="617" t="s">
        <v>140</v>
      </c>
      <c r="E63" s="620" t="s">
        <v>151</v>
      </c>
      <c r="F63" s="621">
        <v>100</v>
      </c>
      <c r="G63" s="621">
        <v>4.0999999999999996</v>
      </c>
      <c r="H63" s="794">
        <f t="shared" si="3"/>
        <v>0.23295454545454541</v>
      </c>
      <c r="I63" s="169">
        <f t="shared" si="0"/>
        <v>4.6051701859880918</v>
      </c>
      <c r="J63" s="169">
        <f t="shared" si="0"/>
        <v>1.410986973710262</v>
      </c>
      <c r="K63" s="169">
        <f t="shared" si="1"/>
        <v>-1.4569119283338441</v>
      </c>
    </row>
    <row r="64" spans="1:11">
      <c r="A64" s="616">
        <f t="shared" si="2"/>
        <v>58</v>
      </c>
      <c r="B64" s="618">
        <v>26746</v>
      </c>
      <c r="C64" s="604">
        <v>0.66666666666666663</v>
      </c>
      <c r="D64" s="617" t="s">
        <v>140</v>
      </c>
      <c r="E64" s="620" t="s">
        <v>151</v>
      </c>
      <c r="F64" s="621">
        <v>50</v>
      </c>
      <c r="G64" s="621">
        <v>2</v>
      </c>
      <c r="H64" s="794">
        <f t="shared" si="3"/>
        <v>5.6818181818181816E-2</v>
      </c>
      <c r="I64" s="169">
        <f t="shared" si="0"/>
        <v>3.912023005428146</v>
      </c>
      <c r="J64" s="169">
        <f t="shared" si="0"/>
        <v>0.69314718055994529</v>
      </c>
      <c r="K64" s="169">
        <f t="shared" si="1"/>
        <v>-2.8678989020441059</v>
      </c>
    </row>
    <row r="65" spans="1:11">
      <c r="A65" s="616">
        <f t="shared" si="2"/>
        <v>59</v>
      </c>
      <c r="B65" s="618">
        <v>26767</v>
      </c>
      <c r="C65" s="604">
        <v>0.76041666666666663</v>
      </c>
      <c r="D65" s="617" t="s">
        <v>142</v>
      </c>
      <c r="E65" s="620" t="s">
        <v>151</v>
      </c>
      <c r="F65" s="621">
        <v>150</v>
      </c>
      <c r="G65" s="621">
        <v>56</v>
      </c>
      <c r="H65" s="794">
        <f t="shared" si="3"/>
        <v>4.7727272727272725</v>
      </c>
      <c r="I65" s="169">
        <f t="shared" si="0"/>
        <v>5.0106352940962555</v>
      </c>
      <c r="J65" s="169">
        <f t="shared" si="0"/>
        <v>4.0253516907351496</v>
      </c>
      <c r="K65" s="169">
        <f t="shared" si="1"/>
        <v>1.5629178967992075</v>
      </c>
    </row>
    <row r="66" spans="1:11">
      <c r="A66" s="616">
        <f t="shared" si="2"/>
        <v>60</v>
      </c>
      <c r="B66" s="618">
        <v>26768</v>
      </c>
      <c r="C66" s="604">
        <v>0.75</v>
      </c>
      <c r="D66" s="617" t="s">
        <v>146</v>
      </c>
      <c r="E66" s="620" t="s">
        <v>151</v>
      </c>
      <c r="F66" s="621">
        <v>150</v>
      </c>
      <c r="G66" s="621">
        <v>19</v>
      </c>
      <c r="H66" s="794">
        <f t="shared" si="3"/>
        <v>1.6193181818181817</v>
      </c>
      <c r="I66" s="169">
        <f t="shared" si="0"/>
        <v>5.0106352940962555</v>
      </c>
      <c r="J66" s="169">
        <f t="shared" si="0"/>
        <v>2.9444389791664403</v>
      </c>
      <c r="K66" s="169">
        <f t="shared" si="1"/>
        <v>0.48200518523049862</v>
      </c>
    </row>
    <row r="67" spans="1:11">
      <c r="A67" s="616">
        <f t="shared" si="2"/>
        <v>61</v>
      </c>
      <c r="B67" s="618">
        <v>26777</v>
      </c>
      <c r="C67" s="604">
        <v>0.90625</v>
      </c>
      <c r="D67" s="617" t="s">
        <v>143</v>
      </c>
      <c r="E67" s="620" t="s">
        <v>151</v>
      </c>
      <c r="F67" s="621">
        <v>100</v>
      </c>
      <c r="G67" s="621">
        <v>0.3</v>
      </c>
      <c r="H67" s="794">
        <f t="shared" si="3"/>
        <v>1.7045454545454544E-2</v>
      </c>
      <c r="I67" s="169">
        <f t="shared" si="0"/>
        <v>4.6051701859880918</v>
      </c>
      <c r="J67" s="169">
        <f t="shared" si="0"/>
        <v>-1.2039728043259361</v>
      </c>
      <c r="K67" s="169">
        <f t="shared" si="1"/>
        <v>-4.0718717063700423</v>
      </c>
    </row>
    <row r="68" spans="1:11">
      <c r="A68" s="616">
        <f t="shared" si="2"/>
        <v>62</v>
      </c>
      <c r="B68" s="618">
        <v>26784</v>
      </c>
      <c r="C68" s="604">
        <v>0.73611111111111116</v>
      </c>
      <c r="D68" s="617" t="s">
        <v>141</v>
      </c>
      <c r="E68" s="620" t="s">
        <v>151</v>
      </c>
      <c r="F68" s="621">
        <v>100</v>
      </c>
      <c r="G68" s="621">
        <v>0.5</v>
      </c>
      <c r="H68" s="794">
        <f t="shared" si="3"/>
        <v>2.8409090909090908E-2</v>
      </c>
      <c r="I68" s="169">
        <f t="shared" si="0"/>
        <v>4.6051701859880918</v>
      </c>
      <c r="J68" s="169">
        <f t="shared" si="0"/>
        <v>-0.69314718055994529</v>
      </c>
      <c r="K68" s="169">
        <f t="shared" si="1"/>
        <v>-3.5610460826040513</v>
      </c>
    </row>
    <row r="69" spans="1:11">
      <c r="A69" s="616">
        <f t="shared" si="2"/>
        <v>63</v>
      </c>
      <c r="B69" s="618">
        <v>27138</v>
      </c>
      <c r="C69" s="604">
        <v>0.80555555555555547</v>
      </c>
      <c r="D69" s="617" t="s">
        <v>137</v>
      </c>
      <c r="E69" s="620" t="s">
        <v>151</v>
      </c>
      <c r="F69" s="621">
        <v>30</v>
      </c>
      <c r="G69" s="621">
        <v>5.9</v>
      </c>
      <c r="H69" s="794">
        <f t="shared" si="3"/>
        <v>0.10056818181818182</v>
      </c>
      <c r="I69" s="169">
        <f t="shared" si="0"/>
        <v>3.4011973816621555</v>
      </c>
      <c r="J69" s="169">
        <f t="shared" si="0"/>
        <v>1.7749523509116738</v>
      </c>
      <c r="K69" s="169">
        <f t="shared" si="1"/>
        <v>-2.2969193554583685</v>
      </c>
    </row>
    <row r="70" spans="1:11">
      <c r="A70" s="616">
        <f t="shared" si="2"/>
        <v>64</v>
      </c>
      <c r="B70" s="618">
        <v>27717</v>
      </c>
      <c r="C70" s="604">
        <v>0.125</v>
      </c>
      <c r="D70" s="617" t="s">
        <v>127</v>
      </c>
      <c r="E70" s="620" t="s">
        <v>151</v>
      </c>
      <c r="F70" s="621">
        <v>270</v>
      </c>
      <c r="G70" s="621">
        <v>0.3</v>
      </c>
      <c r="H70" s="794">
        <f t="shared" si="3"/>
        <v>4.6022727272727271E-2</v>
      </c>
      <c r="I70" s="169">
        <f t="shared" si="0"/>
        <v>5.598421958998375</v>
      </c>
      <c r="J70" s="169">
        <f t="shared" si="0"/>
        <v>-1.2039728043259361</v>
      </c>
      <c r="K70" s="169">
        <f t="shared" si="1"/>
        <v>-3.0786199333597586</v>
      </c>
    </row>
    <row r="71" spans="1:11">
      <c r="A71" s="616">
        <f t="shared" si="2"/>
        <v>65</v>
      </c>
      <c r="B71" s="618">
        <v>28246</v>
      </c>
      <c r="C71" s="604">
        <v>0.65972222222222221</v>
      </c>
      <c r="D71" s="617" t="s">
        <v>128</v>
      </c>
      <c r="E71" s="620" t="s">
        <v>151</v>
      </c>
      <c r="F71" s="621">
        <v>100</v>
      </c>
      <c r="G71" s="621">
        <v>2.7</v>
      </c>
      <c r="H71" s="794">
        <f t="shared" si="3"/>
        <v>0.15340909090909091</v>
      </c>
      <c r="I71" s="169">
        <f t="shared" si="0"/>
        <v>4.6051701859880918</v>
      </c>
      <c r="J71" s="169">
        <f t="shared" si="0"/>
        <v>0.99325177301028345</v>
      </c>
      <c r="K71" s="169">
        <f t="shared" si="1"/>
        <v>-1.8746471290338227</v>
      </c>
    </row>
    <row r="72" spans="1:11">
      <c r="A72" s="616">
        <f t="shared" si="2"/>
        <v>66</v>
      </c>
      <c r="B72" s="618">
        <v>28263</v>
      </c>
      <c r="C72" s="604">
        <v>0.5625</v>
      </c>
      <c r="D72" s="617" t="s">
        <v>126</v>
      </c>
      <c r="E72" s="620" t="s">
        <v>151</v>
      </c>
      <c r="F72" s="621">
        <v>50</v>
      </c>
      <c r="G72" s="621">
        <v>16.100000000000001</v>
      </c>
      <c r="H72" s="794">
        <f t="shared" si="3"/>
        <v>0.45738636363636365</v>
      </c>
      <c r="I72" s="169">
        <f t="shared" ref="I72:J135" si="4">LN(F72)</f>
        <v>3.912023005428146</v>
      </c>
      <c r="J72" s="169">
        <f t="shared" si="4"/>
        <v>2.7788192719904172</v>
      </c>
      <c r="K72" s="169">
        <f t="shared" ref="K72:K135" si="5">LN(H72)</f>
        <v>-0.78222681061363408</v>
      </c>
    </row>
    <row r="73" spans="1:11">
      <c r="A73" s="616">
        <f t="shared" ref="A73:A136" si="6">+A72+1</f>
        <v>67</v>
      </c>
      <c r="B73" s="618">
        <v>28610</v>
      </c>
      <c r="C73" s="604">
        <v>0.64166666666666672</v>
      </c>
      <c r="D73" s="617" t="s">
        <v>132</v>
      </c>
      <c r="E73" s="620" t="s">
        <v>151</v>
      </c>
      <c r="F73" s="621">
        <v>100</v>
      </c>
      <c r="G73" s="621">
        <v>8.6</v>
      </c>
      <c r="H73" s="794">
        <f t="shared" ref="H73:H136" si="7">+(F73/1760)*G73</f>
        <v>0.48863636363636359</v>
      </c>
      <c r="I73" s="169">
        <f t="shared" si="4"/>
        <v>4.6051701859880918</v>
      </c>
      <c r="J73" s="169">
        <f t="shared" si="4"/>
        <v>2.1517622032594619</v>
      </c>
      <c r="K73" s="169">
        <f t="shared" si="5"/>
        <v>-0.71613669878464414</v>
      </c>
    </row>
    <row r="74" spans="1:11">
      <c r="A74" s="616">
        <f t="shared" si="6"/>
        <v>68</v>
      </c>
      <c r="B74" s="618">
        <v>29369</v>
      </c>
      <c r="C74" s="604">
        <v>0.85416666666666663</v>
      </c>
      <c r="D74" s="617" t="s">
        <v>143</v>
      </c>
      <c r="E74" s="620" t="s">
        <v>151</v>
      </c>
      <c r="F74" s="621">
        <v>50</v>
      </c>
      <c r="G74" s="621">
        <v>8</v>
      </c>
      <c r="H74" s="794">
        <f t="shared" si="7"/>
        <v>0.22727272727272727</v>
      </c>
      <c r="I74" s="169">
        <f t="shared" si="4"/>
        <v>3.912023005428146</v>
      </c>
      <c r="J74" s="169">
        <f t="shared" si="4"/>
        <v>2.0794415416798357</v>
      </c>
      <c r="K74" s="169">
        <f t="shared" si="5"/>
        <v>-1.4816045409242156</v>
      </c>
    </row>
    <row r="75" spans="1:11">
      <c r="A75" s="616">
        <f t="shared" si="6"/>
        <v>69</v>
      </c>
      <c r="B75" s="618">
        <v>29369</v>
      </c>
      <c r="C75" s="604">
        <v>0.99652777777777779</v>
      </c>
      <c r="D75" s="617" t="s">
        <v>148</v>
      </c>
      <c r="E75" s="620" t="s">
        <v>151</v>
      </c>
      <c r="F75" s="621">
        <v>10</v>
      </c>
      <c r="G75" s="621">
        <v>0.1</v>
      </c>
      <c r="H75" s="794">
        <f t="shared" si="7"/>
        <v>5.6818181818181826E-4</v>
      </c>
      <c r="I75" s="169">
        <f t="shared" si="4"/>
        <v>2.3025850929940459</v>
      </c>
      <c r="J75" s="169">
        <f t="shared" si="4"/>
        <v>-2.3025850929940455</v>
      </c>
      <c r="K75" s="169">
        <f t="shared" si="5"/>
        <v>-7.4730690880321973</v>
      </c>
    </row>
    <row r="76" spans="1:11">
      <c r="A76" s="616">
        <f t="shared" si="6"/>
        <v>70</v>
      </c>
      <c r="B76" s="618">
        <v>29370</v>
      </c>
      <c r="C76" s="604">
        <v>0.69236111111111109</v>
      </c>
      <c r="D76" s="617" t="s">
        <v>148</v>
      </c>
      <c r="E76" s="620" t="s">
        <v>151</v>
      </c>
      <c r="F76" s="621">
        <v>160</v>
      </c>
      <c r="G76" s="621">
        <v>16.2</v>
      </c>
      <c r="H76" s="794">
        <f t="shared" si="7"/>
        <v>1.4727272727272727</v>
      </c>
      <c r="I76" s="169">
        <f t="shared" si="4"/>
        <v>5.0751738152338266</v>
      </c>
      <c r="J76" s="169">
        <f t="shared" si="4"/>
        <v>2.7850112422383382</v>
      </c>
      <c r="K76" s="169">
        <f t="shared" si="5"/>
        <v>0.38711596943996779</v>
      </c>
    </row>
    <row r="77" spans="1:11">
      <c r="A77" s="616">
        <f t="shared" si="6"/>
        <v>71</v>
      </c>
      <c r="B77" s="618">
        <v>29738</v>
      </c>
      <c r="C77" s="604">
        <v>0.72916666666666663</v>
      </c>
      <c r="D77" s="617" t="s">
        <v>148</v>
      </c>
      <c r="E77" s="620" t="s">
        <v>151</v>
      </c>
      <c r="F77" s="621">
        <v>50</v>
      </c>
      <c r="G77" s="621">
        <v>5.7</v>
      </c>
      <c r="H77" s="794">
        <f t="shared" si="7"/>
        <v>0.16193181818181818</v>
      </c>
      <c r="I77" s="169">
        <f t="shared" si="4"/>
        <v>3.912023005428146</v>
      </c>
      <c r="J77" s="169">
        <f t="shared" si="4"/>
        <v>1.7404661748405046</v>
      </c>
      <c r="K77" s="169">
        <f t="shared" si="5"/>
        <v>-1.8205799077635469</v>
      </c>
    </row>
    <row r="78" spans="1:11">
      <c r="A78" s="616">
        <f t="shared" si="6"/>
        <v>72</v>
      </c>
      <c r="B78" s="618">
        <v>30090</v>
      </c>
      <c r="C78" s="604">
        <v>0.7583333333333333</v>
      </c>
      <c r="D78" s="617" t="s">
        <v>142</v>
      </c>
      <c r="E78" s="620" t="s">
        <v>151</v>
      </c>
      <c r="F78" s="621">
        <v>1760</v>
      </c>
      <c r="G78" s="621">
        <v>6</v>
      </c>
      <c r="H78" s="794">
        <f t="shared" si="7"/>
        <v>6</v>
      </c>
      <c r="I78" s="169">
        <f t="shared" si="4"/>
        <v>7.4730690880321973</v>
      </c>
      <c r="J78" s="169">
        <f t="shared" si="4"/>
        <v>1.791759469228055</v>
      </c>
      <c r="K78" s="169">
        <f t="shared" si="5"/>
        <v>1.791759469228055</v>
      </c>
    </row>
    <row r="79" spans="1:11">
      <c r="A79" s="616">
        <f t="shared" si="6"/>
        <v>73</v>
      </c>
      <c r="B79" s="618">
        <v>30090</v>
      </c>
      <c r="C79" s="604">
        <v>0.78472222222222221</v>
      </c>
      <c r="D79" s="617" t="s">
        <v>142</v>
      </c>
      <c r="E79" s="620" t="s">
        <v>151</v>
      </c>
      <c r="F79" s="621">
        <v>200</v>
      </c>
      <c r="G79" s="621">
        <v>2</v>
      </c>
      <c r="H79" s="794">
        <f t="shared" si="7"/>
        <v>0.22727272727272727</v>
      </c>
      <c r="I79" s="169">
        <f t="shared" si="4"/>
        <v>5.2983173665480363</v>
      </c>
      <c r="J79" s="169">
        <f t="shared" si="4"/>
        <v>0.69314718055994529</v>
      </c>
      <c r="K79" s="169">
        <f t="shared" si="5"/>
        <v>-1.4816045409242156</v>
      </c>
    </row>
    <row r="80" spans="1:11">
      <c r="A80" s="616">
        <f t="shared" si="6"/>
        <v>74</v>
      </c>
      <c r="B80" s="618">
        <v>30107</v>
      </c>
      <c r="C80" s="604">
        <v>0.77222222222222225</v>
      </c>
      <c r="D80" s="617" t="s">
        <v>136</v>
      </c>
      <c r="E80" s="620" t="s">
        <v>151</v>
      </c>
      <c r="F80" s="621">
        <v>67</v>
      </c>
      <c r="G80" s="621">
        <v>3</v>
      </c>
      <c r="H80" s="794">
        <f t="shared" si="7"/>
        <v>0.11420454545454546</v>
      </c>
      <c r="I80" s="169">
        <f t="shared" si="4"/>
        <v>4.2046926193909657</v>
      </c>
      <c r="J80" s="169">
        <f t="shared" si="4"/>
        <v>1.0986122886681098</v>
      </c>
      <c r="K80" s="169">
        <f t="shared" si="5"/>
        <v>-2.1697641799731215</v>
      </c>
    </row>
    <row r="81" spans="1:11">
      <c r="A81" s="616">
        <f t="shared" si="6"/>
        <v>75</v>
      </c>
      <c r="B81" s="618">
        <v>30116</v>
      </c>
      <c r="C81" s="604">
        <v>0.79791666666666661</v>
      </c>
      <c r="D81" s="617" t="s">
        <v>131</v>
      </c>
      <c r="E81" s="620" t="s">
        <v>151</v>
      </c>
      <c r="F81" s="621">
        <v>100</v>
      </c>
      <c r="G81" s="621">
        <v>12.2</v>
      </c>
      <c r="H81" s="794">
        <f t="shared" si="7"/>
        <v>0.69318181818181812</v>
      </c>
      <c r="I81" s="169">
        <f t="shared" si="4"/>
        <v>4.6051701859880918</v>
      </c>
      <c r="J81" s="169">
        <f t="shared" si="4"/>
        <v>2.5014359517392109</v>
      </c>
      <c r="K81" s="169">
        <f t="shared" si="5"/>
        <v>-0.36646295030489529</v>
      </c>
    </row>
    <row r="82" spans="1:11">
      <c r="A82" s="616">
        <f t="shared" si="6"/>
        <v>76</v>
      </c>
      <c r="B82" s="618">
        <v>30116</v>
      </c>
      <c r="C82" s="604">
        <v>0.80902777777777779</v>
      </c>
      <c r="D82" s="617" t="s">
        <v>132</v>
      </c>
      <c r="E82" s="620" t="s">
        <v>151</v>
      </c>
      <c r="F82" s="621">
        <v>100</v>
      </c>
      <c r="G82" s="621">
        <v>5</v>
      </c>
      <c r="H82" s="794">
        <f t="shared" si="7"/>
        <v>0.28409090909090906</v>
      </c>
      <c r="I82" s="169">
        <f t="shared" si="4"/>
        <v>4.6051701859880918</v>
      </c>
      <c r="J82" s="169">
        <f t="shared" si="4"/>
        <v>1.6094379124341003</v>
      </c>
      <c r="K82" s="169">
        <f t="shared" si="5"/>
        <v>-1.2584609896100059</v>
      </c>
    </row>
    <row r="83" spans="1:11">
      <c r="A83" s="616">
        <f t="shared" si="6"/>
        <v>77</v>
      </c>
      <c r="B83" s="618">
        <v>30378</v>
      </c>
      <c r="C83" s="604">
        <v>0.70138888888888884</v>
      </c>
      <c r="D83" s="617" t="s">
        <v>147</v>
      </c>
      <c r="E83" s="620" t="s">
        <v>151</v>
      </c>
      <c r="F83" s="621">
        <v>880</v>
      </c>
      <c r="G83" s="621">
        <v>5</v>
      </c>
      <c r="H83" s="794">
        <f t="shared" si="7"/>
        <v>2.5</v>
      </c>
      <c r="I83" s="169">
        <f t="shared" si="4"/>
        <v>6.7799219074722519</v>
      </c>
      <c r="J83" s="169">
        <f t="shared" si="4"/>
        <v>1.6094379124341003</v>
      </c>
      <c r="K83" s="169">
        <f t="shared" si="5"/>
        <v>0.91629073187415511</v>
      </c>
    </row>
    <row r="84" spans="1:11">
      <c r="A84" s="616">
        <f t="shared" si="6"/>
        <v>78</v>
      </c>
      <c r="B84" s="618">
        <v>30378</v>
      </c>
      <c r="C84" s="604">
        <v>0.74930555555555556</v>
      </c>
      <c r="D84" s="617" t="s">
        <v>147</v>
      </c>
      <c r="E84" s="620" t="s">
        <v>151</v>
      </c>
      <c r="F84" s="621">
        <v>880</v>
      </c>
      <c r="G84" s="621">
        <v>5</v>
      </c>
      <c r="H84" s="794">
        <f t="shared" si="7"/>
        <v>2.5</v>
      </c>
      <c r="I84" s="169">
        <f t="shared" si="4"/>
        <v>6.7799219074722519</v>
      </c>
      <c r="J84" s="169">
        <f t="shared" si="4"/>
        <v>1.6094379124341003</v>
      </c>
      <c r="K84" s="169">
        <f t="shared" si="5"/>
        <v>0.91629073187415511</v>
      </c>
    </row>
    <row r="85" spans="1:11">
      <c r="A85" s="616">
        <f t="shared" si="6"/>
        <v>79</v>
      </c>
      <c r="B85" s="618">
        <v>31539</v>
      </c>
      <c r="C85" s="604">
        <v>0.6791666666666667</v>
      </c>
      <c r="D85" s="617" t="s">
        <v>138</v>
      </c>
      <c r="E85" s="620" t="s">
        <v>151</v>
      </c>
      <c r="F85" s="621">
        <v>100</v>
      </c>
      <c r="G85" s="621">
        <v>8</v>
      </c>
      <c r="H85" s="794">
        <f t="shared" si="7"/>
        <v>0.45454545454545453</v>
      </c>
      <c r="I85" s="169">
        <f t="shared" si="4"/>
        <v>4.6051701859880918</v>
      </c>
      <c r="J85" s="169">
        <f t="shared" si="4"/>
        <v>2.0794415416798357</v>
      </c>
      <c r="K85" s="169">
        <f t="shared" si="5"/>
        <v>-0.78845736036427017</v>
      </c>
    </row>
    <row r="86" spans="1:11">
      <c r="A86" s="616">
        <f t="shared" si="6"/>
        <v>80</v>
      </c>
      <c r="B86" s="618">
        <v>31858</v>
      </c>
      <c r="C86" s="604">
        <v>0.81388888888888899</v>
      </c>
      <c r="D86" s="617" t="s">
        <v>128</v>
      </c>
      <c r="E86" s="620" t="s">
        <v>151</v>
      </c>
      <c r="F86" s="621">
        <v>83</v>
      </c>
      <c r="G86" s="621">
        <v>10</v>
      </c>
      <c r="H86" s="794">
        <f t="shared" si="7"/>
        <v>0.47159090909090906</v>
      </c>
      <c r="I86" s="169">
        <f t="shared" si="4"/>
        <v>4.4188406077965983</v>
      </c>
      <c r="J86" s="169">
        <f t="shared" si="4"/>
        <v>2.3025850929940459</v>
      </c>
      <c r="K86" s="169">
        <f t="shared" si="5"/>
        <v>-0.75164338724155388</v>
      </c>
    </row>
    <row r="87" spans="1:11">
      <c r="A87" s="616">
        <f t="shared" si="6"/>
        <v>81</v>
      </c>
      <c r="B87" s="618">
        <v>31922</v>
      </c>
      <c r="C87" s="604">
        <v>0.77083333333333337</v>
      </c>
      <c r="D87" s="617" t="s">
        <v>145</v>
      </c>
      <c r="E87" s="620" t="s">
        <v>151</v>
      </c>
      <c r="F87" s="621">
        <v>150</v>
      </c>
      <c r="G87" s="621">
        <v>6</v>
      </c>
      <c r="H87" s="794">
        <f t="shared" si="7"/>
        <v>0.51136363636363635</v>
      </c>
      <c r="I87" s="169">
        <f t="shared" si="4"/>
        <v>5.0106352940962555</v>
      </c>
      <c r="J87" s="169">
        <f t="shared" si="4"/>
        <v>1.791759469228055</v>
      </c>
      <c r="K87" s="169">
        <f t="shared" si="5"/>
        <v>-0.67067432470788668</v>
      </c>
    </row>
    <row r="88" spans="1:11">
      <c r="A88" s="616">
        <f t="shared" si="6"/>
        <v>82</v>
      </c>
      <c r="B88" s="618">
        <v>31922</v>
      </c>
      <c r="C88" s="604">
        <v>0.77430555555555547</v>
      </c>
      <c r="D88" s="617" t="s">
        <v>146</v>
      </c>
      <c r="E88" s="620" t="s">
        <v>151</v>
      </c>
      <c r="F88" s="621">
        <v>150</v>
      </c>
      <c r="G88" s="621">
        <v>4</v>
      </c>
      <c r="H88" s="794">
        <f t="shared" si="7"/>
        <v>0.34090909090909088</v>
      </c>
      <c r="I88" s="169">
        <f t="shared" si="4"/>
        <v>5.0106352940962555</v>
      </c>
      <c r="J88" s="169">
        <f t="shared" si="4"/>
        <v>1.3862943611198906</v>
      </c>
      <c r="K88" s="169">
        <f t="shared" si="5"/>
        <v>-1.0761394328160512</v>
      </c>
    </row>
    <row r="89" spans="1:11">
      <c r="A89" s="616">
        <f t="shared" si="6"/>
        <v>83</v>
      </c>
      <c r="B89" s="618">
        <v>31922</v>
      </c>
      <c r="C89" s="604">
        <v>0.875</v>
      </c>
      <c r="D89" s="617" t="s">
        <v>145</v>
      </c>
      <c r="E89" s="620" t="s">
        <v>151</v>
      </c>
      <c r="F89" s="621">
        <v>150</v>
      </c>
      <c r="G89" s="621">
        <v>2</v>
      </c>
      <c r="H89" s="794">
        <f t="shared" si="7"/>
        <v>0.17045454545454544</v>
      </c>
      <c r="I89" s="169">
        <f t="shared" si="4"/>
        <v>5.0106352940962555</v>
      </c>
      <c r="J89" s="169">
        <f t="shared" si="4"/>
        <v>0.69314718055994529</v>
      </c>
      <c r="K89" s="169">
        <f t="shared" si="5"/>
        <v>-1.7692866133759966</v>
      </c>
    </row>
    <row r="90" spans="1:11">
      <c r="A90" s="616">
        <f t="shared" si="6"/>
        <v>84</v>
      </c>
      <c r="B90" s="618">
        <v>31930</v>
      </c>
      <c r="C90" s="604">
        <v>0.59722222222222221</v>
      </c>
      <c r="D90" s="617" t="s">
        <v>133</v>
      </c>
      <c r="E90" s="620" t="s">
        <v>151</v>
      </c>
      <c r="F90" s="621">
        <v>1600</v>
      </c>
      <c r="G90" s="621">
        <v>6</v>
      </c>
      <c r="H90" s="794">
        <f t="shared" si="7"/>
        <v>5.4545454545454541</v>
      </c>
      <c r="I90" s="169">
        <f t="shared" si="4"/>
        <v>7.3777589082278725</v>
      </c>
      <c r="J90" s="169">
        <f t="shared" si="4"/>
        <v>1.791759469228055</v>
      </c>
      <c r="K90" s="169">
        <f t="shared" si="5"/>
        <v>1.69644928942373</v>
      </c>
    </row>
    <row r="91" spans="1:11">
      <c r="A91" s="616">
        <f t="shared" si="6"/>
        <v>85</v>
      </c>
      <c r="B91" s="618">
        <v>31930</v>
      </c>
      <c r="C91" s="604">
        <v>0.63541666666666663</v>
      </c>
      <c r="D91" s="617" t="s">
        <v>133</v>
      </c>
      <c r="E91" s="620" t="s">
        <v>151</v>
      </c>
      <c r="F91" s="621">
        <v>1600</v>
      </c>
      <c r="G91" s="621">
        <v>7.5</v>
      </c>
      <c r="H91" s="794">
        <f t="shared" si="7"/>
        <v>6.8181818181818183</v>
      </c>
      <c r="I91" s="169">
        <f t="shared" si="4"/>
        <v>7.3777589082278725</v>
      </c>
      <c r="J91" s="169">
        <f t="shared" si="4"/>
        <v>2.0149030205422647</v>
      </c>
      <c r="K91" s="169">
        <f t="shared" si="5"/>
        <v>1.9195928407379399</v>
      </c>
    </row>
    <row r="92" spans="1:11">
      <c r="A92" s="616">
        <f t="shared" si="6"/>
        <v>86</v>
      </c>
      <c r="B92" s="618">
        <v>31959</v>
      </c>
      <c r="C92" s="604">
        <v>0.8125</v>
      </c>
      <c r="D92" s="617" t="s">
        <v>141</v>
      </c>
      <c r="E92" s="620" t="s">
        <v>151</v>
      </c>
      <c r="F92" s="621">
        <v>200</v>
      </c>
      <c r="G92" s="621">
        <v>4.5</v>
      </c>
      <c r="H92" s="794">
        <f t="shared" si="7"/>
        <v>0.51136363636363635</v>
      </c>
      <c r="I92" s="169">
        <f t="shared" si="4"/>
        <v>5.2983173665480363</v>
      </c>
      <c r="J92" s="169">
        <f t="shared" si="4"/>
        <v>1.5040773967762742</v>
      </c>
      <c r="K92" s="169">
        <f t="shared" si="5"/>
        <v>-0.67067432470788668</v>
      </c>
    </row>
    <row r="93" spans="1:11">
      <c r="A93" s="616">
        <f t="shared" si="6"/>
        <v>87</v>
      </c>
      <c r="B93" s="618">
        <v>31959</v>
      </c>
      <c r="C93" s="604">
        <v>0.87291666666666667</v>
      </c>
      <c r="D93" s="617" t="s">
        <v>141</v>
      </c>
      <c r="E93" s="620" t="s">
        <v>151</v>
      </c>
      <c r="F93" s="621">
        <v>150</v>
      </c>
      <c r="G93" s="621">
        <v>3</v>
      </c>
      <c r="H93" s="794">
        <f t="shared" si="7"/>
        <v>0.25568181818181818</v>
      </c>
      <c r="I93" s="169">
        <f t="shared" si="4"/>
        <v>5.0106352940962555</v>
      </c>
      <c r="J93" s="169">
        <f t="shared" si="4"/>
        <v>1.0986122886681098</v>
      </c>
      <c r="K93" s="169">
        <f t="shared" si="5"/>
        <v>-1.363821505267832</v>
      </c>
    </row>
    <row r="94" spans="1:11">
      <c r="A94" s="616">
        <f t="shared" si="6"/>
        <v>88</v>
      </c>
      <c r="B94" s="618">
        <v>31959</v>
      </c>
      <c r="C94" s="604">
        <v>0.88194444444444453</v>
      </c>
      <c r="D94" s="617" t="s">
        <v>146</v>
      </c>
      <c r="E94" s="620" t="s">
        <v>151</v>
      </c>
      <c r="F94" s="621">
        <v>150</v>
      </c>
      <c r="G94" s="621">
        <v>6</v>
      </c>
      <c r="H94" s="794">
        <f t="shared" si="7"/>
        <v>0.51136363636363635</v>
      </c>
      <c r="I94" s="169">
        <f t="shared" si="4"/>
        <v>5.0106352940962555</v>
      </c>
      <c r="J94" s="169">
        <f t="shared" si="4"/>
        <v>1.791759469228055</v>
      </c>
      <c r="K94" s="169">
        <f t="shared" si="5"/>
        <v>-0.67067432470788668</v>
      </c>
    </row>
    <row r="95" spans="1:11">
      <c r="A95" s="616">
        <f t="shared" si="6"/>
        <v>89</v>
      </c>
      <c r="B95" s="618">
        <v>31972</v>
      </c>
      <c r="C95" s="604">
        <v>0.75</v>
      </c>
      <c r="D95" s="617" t="s">
        <v>142</v>
      </c>
      <c r="E95" s="620" t="s">
        <v>151</v>
      </c>
      <c r="F95" s="621">
        <v>150</v>
      </c>
      <c r="G95" s="621">
        <v>4.5</v>
      </c>
      <c r="H95" s="794">
        <f t="shared" si="7"/>
        <v>0.38352272727272724</v>
      </c>
      <c r="I95" s="169">
        <f t="shared" si="4"/>
        <v>5.0106352940962555</v>
      </c>
      <c r="J95" s="169">
        <f t="shared" si="4"/>
        <v>1.5040773967762742</v>
      </c>
      <c r="K95" s="169">
        <f t="shared" si="5"/>
        <v>-0.95835639715966769</v>
      </c>
    </row>
    <row r="96" spans="1:11">
      <c r="A96" s="616">
        <f t="shared" si="6"/>
        <v>90</v>
      </c>
      <c r="B96" s="618">
        <v>32400</v>
      </c>
      <c r="C96" s="604">
        <v>0.875</v>
      </c>
      <c r="D96" s="617" t="s">
        <v>145</v>
      </c>
      <c r="E96" s="620" t="s">
        <v>151</v>
      </c>
      <c r="F96" s="621">
        <v>173</v>
      </c>
      <c r="G96" s="621">
        <v>0.7</v>
      </c>
      <c r="H96" s="794">
        <f t="shared" si="7"/>
        <v>6.8806818181818177E-2</v>
      </c>
      <c r="I96" s="169">
        <f t="shared" si="4"/>
        <v>5.1532915944977793</v>
      </c>
      <c r="J96" s="169">
        <f t="shared" si="4"/>
        <v>-0.35667494393873245</v>
      </c>
      <c r="K96" s="169">
        <f t="shared" si="5"/>
        <v>-2.6764524374731509</v>
      </c>
    </row>
    <row r="97" spans="1:11">
      <c r="A97" s="616">
        <f t="shared" si="6"/>
        <v>91</v>
      </c>
      <c r="B97" s="618">
        <v>32640</v>
      </c>
      <c r="C97" s="604">
        <v>0.72638888888888886</v>
      </c>
      <c r="D97" s="617" t="s">
        <v>134</v>
      </c>
      <c r="E97" s="620" t="s">
        <v>151</v>
      </c>
      <c r="F97" s="621">
        <v>200</v>
      </c>
      <c r="G97" s="621">
        <v>7</v>
      </c>
      <c r="H97" s="794">
        <f t="shared" si="7"/>
        <v>0.79545454545454541</v>
      </c>
      <c r="I97" s="169">
        <f t="shared" si="4"/>
        <v>5.2983173665480363</v>
      </c>
      <c r="J97" s="169">
        <f t="shared" si="4"/>
        <v>1.9459101490553132</v>
      </c>
      <c r="K97" s="169">
        <f t="shared" si="5"/>
        <v>-0.22884157242884753</v>
      </c>
    </row>
    <row r="98" spans="1:11">
      <c r="A98" s="616">
        <f t="shared" si="6"/>
        <v>92</v>
      </c>
      <c r="B98" s="618">
        <v>32644</v>
      </c>
      <c r="C98" s="604">
        <v>0.69097222222222221</v>
      </c>
      <c r="D98" s="617" t="s">
        <v>145</v>
      </c>
      <c r="E98" s="620" t="s">
        <v>151</v>
      </c>
      <c r="F98" s="621">
        <v>300</v>
      </c>
      <c r="G98" s="621">
        <v>10</v>
      </c>
      <c r="H98" s="794">
        <f t="shared" si="7"/>
        <v>1.7045454545454544</v>
      </c>
      <c r="I98" s="169">
        <f t="shared" si="4"/>
        <v>5.7037824746562009</v>
      </c>
      <c r="J98" s="169">
        <f t="shared" si="4"/>
        <v>2.3025850929940459</v>
      </c>
      <c r="K98" s="169">
        <f t="shared" si="5"/>
        <v>0.53329847961804921</v>
      </c>
    </row>
    <row r="99" spans="1:11">
      <c r="A99" s="616">
        <f t="shared" si="6"/>
        <v>93</v>
      </c>
      <c r="B99" s="618">
        <v>33024</v>
      </c>
      <c r="C99" s="604">
        <v>0.80208333333333337</v>
      </c>
      <c r="D99" s="617" t="s">
        <v>131</v>
      </c>
      <c r="E99" s="620" t="s">
        <v>151</v>
      </c>
      <c r="F99" s="621">
        <v>600</v>
      </c>
      <c r="G99" s="621">
        <v>5.5</v>
      </c>
      <c r="H99" s="794">
        <f t="shared" si="7"/>
        <v>1.8749999999999998</v>
      </c>
      <c r="I99" s="169">
        <f t="shared" si="4"/>
        <v>6.3969296552161463</v>
      </c>
      <c r="J99" s="169">
        <f t="shared" si="4"/>
        <v>1.7047480922384253</v>
      </c>
      <c r="K99" s="169">
        <f t="shared" si="5"/>
        <v>0.62860865942237398</v>
      </c>
    </row>
    <row r="100" spans="1:11">
      <c r="A100" s="616">
        <f t="shared" si="6"/>
        <v>94</v>
      </c>
      <c r="B100" s="618">
        <v>33024</v>
      </c>
      <c r="C100" s="604">
        <v>0.90625</v>
      </c>
      <c r="D100" s="617" t="s">
        <v>132</v>
      </c>
      <c r="E100" s="620" t="s">
        <v>151</v>
      </c>
      <c r="F100" s="621">
        <v>450</v>
      </c>
      <c r="G100" s="621">
        <v>3</v>
      </c>
      <c r="H100" s="794">
        <f t="shared" si="7"/>
        <v>0.76704545454545459</v>
      </c>
      <c r="I100" s="169">
        <f t="shared" si="4"/>
        <v>6.1092475827643655</v>
      </c>
      <c r="J100" s="169">
        <f t="shared" si="4"/>
        <v>1.0986122886681098</v>
      </c>
      <c r="K100" s="169">
        <f t="shared" si="5"/>
        <v>-0.2652092165997223</v>
      </c>
    </row>
    <row r="101" spans="1:11">
      <c r="A101" s="616">
        <f t="shared" si="6"/>
        <v>95</v>
      </c>
      <c r="B101" s="618">
        <v>33032</v>
      </c>
      <c r="C101" s="604">
        <v>0.7944444444444444</v>
      </c>
      <c r="D101" s="617" t="s">
        <v>141</v>
      </c>
      <c r="E101" s="620" t="s">
        <v>151</v>
      </c>
      <c r="F101" s="621">
        <v>300</v>
      </c>
      <c r="G101" s="621">
        <v>2.6</v>
      </c>
      <c r="H101" s="794">
        <f t="shared" si="7"/>
        <v>0.44318181818181818</v>
      </c>
      <c r="I101" s="169">
        <f t="shared" si="4"/>
        <v>5.7037824746562009</v>
      </c>
      <c r="J101" s="169">
        <f t="shared" si="4"/>
        <v>0.95551144502743635</v>
      </c>
      <c r="K101" s="169">
        <f t="shared" si="5"/>
        <v>-0.81377516834856001</v>
      </c>
    </row>
    <row r="102" spans="1:11">
      <c r="A102" s="616">
        <f t="shared" si="6"/>
        <v>96</v>
      </c>
      <c r="B102" s="618">
        <v>33032</v>
      </c>
      <c r="C102" s="604">
        <v>0.86805555555555547</v>
      </c>
      <c r="D102" s="617" t="s">
        <v>143</v>
      </c>
      <c r="E102" s="620" t="s">
        <v>151</v>
      </c>
      <c r="F102" s="621">
        <v>200</v>
      </c>
      <c r="G102" s="621">
        <v>1.6</v>
      </c>
      <c r="H102" s="794">
        <f t="shared" si="7"/>
        <v>0.18181818181818182</v>
      </c>
      <c r="I102" s="169">
        <f t="shared" si="4"/>
        <v>5.2983173665480363</v>
      </c>
      <c r="J102" s="169">
        <f t="shared" si="4"/>
        <v>0.47000362924573563</v>
      </c>
      <c r="K102" s="169">
        <f t="shared" si="5"/>
        <v>-1.7047480922384253</v>
      </c>
    </row>
    <row r="103" spans="1:11">
      <c r="A103" s="616">
        <f t="shared" si="6"/>
        <v>97</v>
      </c>
      <c r="B103" s="618">
        <v>33782</v>
      </c>
      <c r="C103" s="604">
        <v>0.79583333333333339</v>
      </c>
      <c r="D103" s="617" t="s">
        <v>136</v>
      </c>
      <c r="E103" s="620" t="s">
        <v>151</v>
      </c>
      <c r="F103" s="621">
        <v>150</v>
      </c>
      <c r="G103" s="621">
        <v>4</v>
      </c>
      <c r="H103" s="794">
        <f t="shared" si="7"/>
        <v>0.34090909090909088</v>
      </c>
      <c r="I103" s="169">
        <f t="shared" si="4"/>
        <v>5.0106352940962555</v>
      </c>
      <c r="J103" s="169">
        <f t="shared" si="4"/>
        <v>1.3862943611198906</v>
      </c>
      <c r="K103" s="169">
        <f t="shared" si="5"/>
        <v>-1.0761394328160512</v>
      </c>
    </row>
    <row r="104" spans="1:11">
      <c r="A104" s="616">
        <f t="shared" si="6"/>
        <v>98</v>
      </c>
      <c r="B104" s="618">
        <v>34826</v>
      </c>
      <c r="C104" s="604">
        <v>2.7777777777777776E-2</v>
      </c>
      <c r="D104" s="617" t="s">
        <v>145</v>
      </c>
      <c r="E104" s="620" t="s">
        <v>151</v>
      </c>
      <c r="F104" s="621">
        <v>200</v>
      </c>
      <c r="G104" s="621">
        <v>12</v>
      </c>
      <c r="H104" s="794">
        <f t="shared" si="7"/>
        <v>1.3636363636363635</v>
      </c>
      <c r="I104" s="169">
        <f t="shared" si="4"/>
        <v>5.2983173665480363</v>
      </c>
      <c r="J104" s="169">
        <f t="shared" si="4"/>
        <v>2.4849066497880004</v>
      </c>
      <c r="K104" s="169">
        <f t="shared" si="5"/>
        <v>0.31015492830383945</v>
      </c>
    </row>
    <row r="105" spans="1:11">
      <c r="A105" s="616">
        <f t="shared" si="6"/>
        <v>99</v>
      </c>
      <c r="B105" s="618">
        <v>34858</v>
      </c>
      <c r="C105" s="604">
        <v>0.65972222222222221</v>
      </c>
      <c r="D105" s="617" t="s">
        <v>142</v>
      </c>
      <c r="E105" s="620" t="s">
        <v>151</v>
      </c>
      <c r="F105" s="621">
        <v>400</v>
      </c>
      <c r="G105" s="621">
        <v>6</v>
      </c>
      <c r="H105" s="794">
        <f t="shared" si="7"/>
        <v>1.3636363636363635</v>
      </c>
      <c r="I105" s="169">
        <f t="shared" si="4"/>
        <v>5.9914645471079817</v>
      </c>
      <c r="J105" s="169">
        <f t="shared" si="4"/>
        <v>1.791759469228055</v>
      </c>
      <c r="K105" s="169">
        <f t="shared" si="5"/>
        <v>0.31015492830383945</v>
      </c>
    </row>
    <row r="106" spans="1:11">
      <c r="A106" s="616">
        <f t="shared" si="6"/>
        <v>100</v>
      </c>
      <c r="B106" s="618">
        <v>34858</v>
      </c>
      <c r="C106" s="604">
        <v>0.70486111111111116</v>
      </c>
      <c r="D106" s="635" t="s">
        <v>147</v>
      </c>
      <c r="E106" s="636" t="s">
        <v>151</v>
      </c>
      <c r="F106" s="637">
        <v>500</v>
      </c>
      <c r="G106" s="637">
        <v>10</v>
      </c>
      <c r="H106" s="794">
        <f t="shared" si="7"/>
        <v>2.8409090909090913</v>
      </c>
      <c r="I106" s="169">
        <f t="shared" si="4"/>
        <v>6.2146080984221914</v>
      </c>
      <c r="J106" s="169">
        <f t="shared" si="4"/>
        <v>2.3025850929940459</v>
      </c>
      <c r="K106" s="169">
        <f t="shared" si="5"/>
        <v>1.04412410338404</v>
      </c>
    </row>
    <row r="107" spans="1:11">
      <c r="A107" s="616">
        <f t="shared" si="6"/>
        <v>101</v>
      </c>
      <c r="B107" s="618">
        <v>34858</v>
      </c>
      <c r="C107" s="604">
        <v>0.70763888888888893</v>
      </c>
      <c r="D107" s="635" t="s">
        <v>142</v>
      </c>
      <c r="E107" s="636" t="s">
        <v>151</v>
      </c>
      <c r="F107" s="637">
        <v>300</v>
      </c>
      <c r="G107" s="637">
        <v>4</v>
      </c>
      <c r="H107" s="794">
        <f t="shared" si="7"/>
        <v>0.68181818181818177</v>
      </c>
      <c r="I107" s="169">
        <f t="shared" si="4"/>
        <v>5.7037824746562009</v>
      </c>
      <c r="J107" s="169">
        <f t="shared" si="4"/>
        <v>1.3862943611198906</v>
      </c>
      <c r="K107" s="169">
        <f t="shared" si="5"/>
        <v>-0.38299225225610584</v>
      </c>
    </row>
    <row r="108" spans="1:11">
      <c r="A108" s="616">
        <f t="shared" si="6"/>
        <v>102</v>
      </c>
      <c r="B108" s="618">
        <v>34858</v>
      </c>
      <c r="C108" s="604">
        <v>0.71527777777777779</v>
      </c>
      <c r="D108" s="635" t="s">
        <v>147</v>
      </c>
      <c r="E108" s="636" t="s">
        <v>151</v>
      </c>
      <c r="F108" s="637">
        <v>400</v>
      </c>
      <c r="G108" s="637">
        <v>4</v>
      </c>
      <c r="H108" s="794">
        <f t="shared" si="7"/>
        <v>0.90909090909090906</v>
      </c>
      <c r="I108" s="169">
        <f t="shared" si="4"/>
        <v>5.9914645471079817</v>
      </c>
      <c r="J108" s="169">
        <f t="shared" si="4"/>
        <v>1.3862943611198906</v>
      </c>
      <c r="K108" s="169">
        <f t="shared" si="5"/>
        <v>-9.5310179804324893E-2</v>
      </c>
    </row>
    <row r="109" spans="1:11">
      <c r="A109" s="616">
        <f t="shared" si="6"/>
        <v>103</v>
      </c>
      <c r="B109" s="618">
        <v>34858</v>
      </c>
      <c r="C109" s="604">
        <v>0.72083333333333333</v>
      </c>
      <c r="D109" s="617" t="s">
        <v>142</v>
      </c>
      <c r="E109" s="620" t="s">
        <v>151</v>
      </c>
      <c r="F109" s="621">
        <v>300</v>
      </c>
      <c r="G109" s="621">
        <v>5</v>
      </c>
      <c r="H109" s="794">
        <f t="shared" si="7"/>
        <v>0.85227272727272718</v>
      </c>
      <c r="I109" s="169">
        <f t="shared" si="4"/>
        <v>5.7037824746562009</v>
      </c>
      <c r="J109" s="169">
        <f t="shared" si="4"/>
        <v>1.6094379124341003</v>
      </c>
      <c r="K109" s="169">
        <f t="shared" si="5"/>
        <v>-0.15984870094189613</v>
      </c>
    </row>
    <row r="110" spans="1:11">
      <c r="A110" s="616">
        <f t="shared" si="6"/>
        <v>104</v>
      </c>
      <c r="B110" s="618">
        <v>35210</v>
      </c>
      <c r="C110" s="604">
        <v>0.70416666666666661</v>
      </c>
      <c r="D110" s="617" t="s">
        <v>144</v>
      </c>
      <c r="E110" s="620" t="s">
        <v>151</v>
      </c>
      <c r="F110" s="621">
        <v>200</v>
      </c>
      <c r="G110" s="621">
        <v>3</v>
      </c>
      <c r="H110" s="794">
        <f t="shared" si="7"/>
        <v>0.34090909090909088</v>
      </c>
      <c r="I110" s="169">
        <f t="shared" si="4"/>
        <v>5.2983173665480363</v>
      </c>
      <c r="J110" s="169">
        <f t="shared" si="4"/>
        <v>1.0986122886681098</v>
      </c>
      <c r="K110" s="169">
        <f t="shared" si="5"/>
        <v>-1.0761394328160512</v>
      </c>
    </row>
    <row r="111" spans="1:11">
      <c r="A111" s="616">
        <f t="shared" si="6"/>
        <v>105</v>
      </c>
      <c r="B111" s="618">
        <v>36991</v>
      </c>
      <c r="C111" s="604">
        <v>0.92083333333333339</v>
      </c>
      <c r="D111" s="617" t="s">
        <v>131</v>
      </c>
      <c r="E111" s="620" t="s">
        <v>151</v>
      </c>
      <c r="F111" s="621">
        <v>200</v>
      </c>
      <c r="G111" s="621">
        <v>4</v>
      </c>
      <c r="H111" s="794">
        <f t="shared" si="7"/>
        <v>0.45454545454545453</v>
      </c>
      <c r="I111" s="169">
        <f t="shared" si="4"/>
        <v>5.2983173665480363</v>
      </c>
      <c r="J111" s="169">
        <f t="shared" si="4"/>
        <v>1.3862943611198906</v>
      </c>
      <c r="K111" s="169">
        <f t="shared" si="5"/>
        <v>-0.78845736036427017</v>
      </c>
    </row>
    <row r="112" spans="1:11">
      <c r="A112" s="616">
        <f t="shared" si="6"/>
        <v>106</v>
      </c>
      <c r="B112" s="618">
        <v>36991</v>
      </c>
      <c r="C112" s="604">
        <v>0.94444444444444453</v>
      </c>
      <c r="D112" s="617" t="s">
        <v>128</v>
      </c>
      <c r="E112" s="620" t="s">
        <v>151</v>
      </c>
      <c r="F112" s="621">
        <v>200</v>
      </c>
      <c r="G112" s="621">
        <v>12</v>
      </c>
      <c r="H112" s="794">
        <f t="shared" si="7"/>
        <v>1.3636363636363635</v>
      </c>
      <c r="I112" s="169">
        <f t="shared" si="4"/>
        <v>5.2983173665480363</v>
      </c>
      <c r="J112" s="169">
        <f t="shared" si="4"/>
        <v>2.4849066497880004</v>
      </c>
      <c r="K112" s="169">
        <f t="shared" si="5"/>
        <v>0.31015492830383945</v>
      </c>
    </row>
    <row r="113" spans="1:11">
      <c r="A113" s="616">
        <f t="shared" si="6"/>
        <v>107</v>
      </c>
      <c r="B113" s="618">
        <v>36991</v>
      </c>
      <c r="C113" s="604">
        <v>0.97013888888888899</v>
      </c>
      <c r="D113" s="617" t="s">
        <v>143</v>
      </c>
      <c r="E113" s="620" t="s">
        <v>151</v>
      </c>
      <c r="F113" s="621">
        <v>200</v>
      </c>
      <c r="G113" s="621">
        <v>6</v>
      </c>
      <c r="H113" s="794">
        <f t="shared" si="7"/>
        <v>0.68181818181818177</v>
      </c>
      <c r="I113" s="169">
        <f t="shared" si="4"/>
        <v>5.2983173665480363</v>
      </c>
      <c r="J113" s="169">
        <f t="shared" si="4"/>
        <v>1.791759469228055</v>
      </c>
      <c r="K113" s="169">
        <f t="shared" si="5"/>
        <v>-0.38299225225610584</v>
      </c>
    </row>
    <row r="114" spans="1:11">
      <c r="A114" s="616">
        <f t="shared" si="6"/>
        <v>108</v>
      </c>
      <c r="B114" s="618">
        <v>37381</v>
      </c>
      <c r="C114" s="604">
        <v>0.74652777777777779</v>
      </c>
      <c r="D114" s="617" t="s">
        <v>145</v>
      </c>
      <c r="E114" s="620" t="s">
        <v>151</v>
      </c>
      <c r="F114" s="621">
        <v>150</v>
      </c>
      <c r="G114" s="621">
        <v>2</v>
      </c>
      <c r="H114" s="794">
        <f t="shared" si="7"/>
        <v>0.17045454545454544</v>
      </c>
      <c r="I114" s="169">
        <f t="shared" si="4"/>
        <v>5.0106352940962555</v>
      </c>
      <c r="J114" s="169">
        <f t="shared" si="4"/>
        <v>0.69314718055994529</v>
      </c>
      <c r="K114" s="169">
        <f t="shared" si="5"/>
        <v>-1.7692866133759966</v>
      </c>
    </row>
    <row r="115" spans="1:11">
      <c r="A115" s="616">
        <f t="shared" si="6"/>
        <v>109</v>
      </c>
      <c r="B115" s="618">
        <v>37756</v>
      </c>
      <c r="C115" s="604">
        <v>0.90555555555555556</v>
      </c>
      <c r="D115" s="617" t="s">
        <v>143</v>
      </c>
      <c r="E115" s="620" t="s">
        <v>151</v>
      </c>
      <c r="F115" s="621">
        <v>1760</v>
      </c>
      <c r="G115" s="621">
        <v>9.1999999999999993</v>
      </c>
      <c r="H115" s="794">
        <f t="shared" si="7"/>
        <v>9.1999999999999993</v>
      </c>
      <c r="I115" s="169">
        <f t="shared" si="4"/>
        <v>7.4730690880321973</v>
      </c>
      <c r="J115" s="169">
        <f t="shared" si="4"/>
        <v>2.2192034840549946</v>
      </c>
      <c r="K115" s="169">
        <f t="shared" si="5"/>
        <v>2.2192034840549946</v>
      </c>
    </row>
    <row r="116" spans="1:11">
      <c r="A116" s="616">
        <f t="shared" si="6"/>
        <v>110</v>
      </c>
      <c r="B116" s="618">
        <v>39169</v>
      </c>
      <c r="C116" s="604">
        <v>0.76111111111111107</v>
      </c>
      <c r="D116" s="617" t="s">
        <v>133</v>
      </c>
      <c r="E116" s="620" t="s">
        <v>189</v>
      </c>
      <c r="F116" s="621">
        <v>150</v>
      </c>
      <c r="G116" s="621">
        <v>6</v>
      </c>
      <c r="H116" s="794">
        <f t="shared" si="7"/>
        <v>0.51136363636363635</v>
      </c>
      <c r="I116" s="169">
        <f t="shared" si="4"/>
        <v>5.0106352940962555</v>
      </c>
      <c r="J116" s="169">
        <f t="shared" si="4"/>
        <v>1.791759469228055</v>
      </c>
      <c r="K116" s="169">
        <f t="shared" si="5"/>
        <v>-0.67067432470788668</v>
      </c>
    </row>
    <row r="117" spans="1:11">
      <c r="A117" s="616">
        <f t="shared" si="6"/>
        <v>111</v>
      </c>
      <c r="B117" s="618">
        <v>39169</v>
      </c>
      <c r="C117" s="604">
        <v>0.76944444444444438</v>
      </c>
      <c r="D117" s="617" t="s">
        <v>128</v>
      </c>
      <c r="E117" s="620" t="s">
        <v>189</v>
      </c>
      <c r="F117" s="621">
        <v>150</v>
      </c>
      <c r="G117" s="621">
        <v>16</v>
      </c>
      <c r="H117" s="794">
        <f t="shared" si="7"/>
        <v>1.3636363636363635</v>
      </c>
      <c r="I117" s="169">
        <f t="shared" si="4"/>
        <v>5.0106352940962555</v>
      </c>
      <c r="J117" s="169">
        <f t="shared" si="4"/>
        <v>2.7725887222397811</v>
      </c>
      <c r="K117" s="169">
        <f t="shared" si="5"/>
        <v>0.31015492830383945</v>
      </c>
    </row>
    <row r="118" spans="1:11">
      <c r="A118" s="616">
        <f t="shared" si="6"/>
        <v>112</v>
      </c>
      <c r="B118" s="618">
        <v>39169</v>
      </c>
      <c r="C118" s="604">
        <v>0.78194444444444444</v>
      </c>
      <c r="D118" s="617" t="s">
        <v>147</v>
      </c>
      <c r="E118" s="620" t="s">
        <v>189</v>
      </c>
      <c r="F118" s="621">
        <v>528</v>
      </c>
      <c r="G118" s="621">
        <v>4.1500000000000004</v>
      </c>
      <c r="H118" s="794">
        <f t="shared" si="7"/>
        <v>1.2450000000000001</v>
      </c>
      <c r="I118" s="169">
        <f t="shared" si="4"/>
        <v>6.2690962837062614</v>
      </c>
      <c r="J118" s="169">
        <f t="shared" si="4"/>
        <v>1.423108334242607</v>
      </c>
      <c r="K118" s="169">
        <f t="shared" si="5"/>
        <v>0.21913552991667101</v>
      </c>
    </row>
    <row r="119" spans="1:11">
      <c r="A119" s="616">
        <f t="shared" si="6"/>
        <v>113</v>
      </c>
      <c r="B119" s="618">
        <v>39169</v>
      </c>
      <c r="C119" s="604">
        <v>0.7944444444444444</v>
      </c>
      <c r="D119" s="617" t="s">
        <v>128</v>
      </c>
      <c r="E119" s="620" t="s">
        <v>189</v>
      </c>
      <c r="F119" s="621">
        <v>100</v>
      </c>
      <c r="G119" s="621">
        <v>6</v>
      </c>
      <c r="H119" s="794">
        <f t="shared" si="7"/>
        <v>0.34090909090909088</v>
      </c>
      <c r="I119" s="169">
        <f t="shared" si="4"/>
        <v>4.6051701859880918</v>
      </c>
      <c r="J119" s="169">
        <f t="shared" si="4"/>
        <v>1.791759469228055</v>
      </c>
      <c r="K119" s="169">
        <f t="shared" si="5"/>
        <v>-1.0761394328160512</v>
      </c>
    </row>
    <row r="120" spans="1:11">
      <c r="A120" s="616">
        <f t="shared" si="6"/>
        <v>114</v>
      </c>
      <c r="B120" s="618">
        <v>39169</v>
      </c>
      <c r="C120" s="604">
        <v>0.80069444444444438</v>
      </c>
      <c r="D120" s="617" t="s">
        <v>147</v>
      </c>
      <c r="E120" s="620" t="s">
        <v>189</v>
      </c>
      <c r="F120" s="621">
        <v>200</v>
      </c>
      <c r="G120" s="621">
        <v>4.53</v>
      </c>
      <c r="H120" s="794">
        <f t="shared" si="7"/>
        <v>0.51477272727272727</v>
      </c>
      <c r="I120" s="169">
        <f t="shared" si="4"/>
        <v>5.2983173665480363</v>
      </c>
      <c r="J120" s="169">
        <f t="shared" si="4"/>
        <v>1.5107219394949427</v>
      </c>
      <c r="K120" s="169">
        <f t="shared" si="5"/>
        <v>-0.66402978198921814</v>
      </c>
    </row>
    <row r="121" spans="1:11">
      <c r="A121" s="616">
        <f t="shared" si="6"/>
        <v>115</v>
      </c>
      <c r="B121" s="618">
        <v>39169</v>
      </c>
      <c r="C121" s="604">
        <v>0.80763888888888891</v>
      </c>
      <c r="D121" s="617" t="s">
        <v>142</v>
      </c>
      <c r="E121" s="620" t="s">
        <v>189</v>
      </c>
      <c r="F121" s="621">
        <v>200</v>
      </c>
      <c r="G121" s="621">
        <v>3.61</v>
      </c>
      <c r="H121" s="794">
        <f t="shared" si="7"/>
        <v>0.41022727272727272</v>
      </c>
      <c r="I121" s="169">
        <f t="shared" si="4"/>
        <v>5.2983173665480363</v>
      </c>
      <c r="J121" s="169">
        <f t="shared" si="4"/>
        <v>1.2837077723447896</v>
      </c>
      <c r="K121" s="169">
        <f t="shared" si="5"/>
        <v>-0.89104394913937124</v>
      </c>
    </row>
    <row r="122" spans="1:11">
      <c r="A122" s="616">
        <f t="shared" si="6"/>
        <v>116</v>
      </c>
      <c r="B122" s="618">
        <v>39193</v>
      </c>
      <c r="C122" s="604">
        <v>0.76111111111111107</v>
      </c>
      <c r="D122" s="617" t="s">
        <v>135</v>
      </c>
      <c r="E122" s="620" t="s">
        <v>189</v>
      </c>
      <c r="F122" s="621">
        <v>1320</v>
      </c>
      <c r="G122" s="621">
        <v>19.670000000000002</v>
      </c>
      <c r="H122" s="794">
        <f t="shared" si="7"/>
        <v>14.752500000000001</v>
      </c>
      <c r="I122" s="169">
        <f t="shared" si="4"/>
        <v>7.1853870155804165</v>
      </c>
      <c r="J122" s="169">
        <f t="shared" si="4"/>
        <v>2.9790946324009679</v>
      </c>
      <c r="K122" s="169">
        <f t="shared" si="5"/>
        <v>2.6914125599491867</v>
      </c>
    </row>
    <row r="123" spans="1:11">
      <c r="A123" s="616">
        <f t="shared" si="6"/>
        <v>117</v>
      </c>
      <c r="B123" s="618">
        <v>39193</v>
      </c>
      <c r="C123" s="604">
        <v>0.77777777777777779</v>
      </c>
      <c r="D123" s="617" t="s">
        <v>130</v>
      </c>
      <c r="E123" s="620" t="s">
        <v>189</v>
      </c>
      <c r="F123" s="621">
        <v>1320</v>
      </c>
      <c r="G123" s="621">
        <v>7.05</v>
      </c>
      <c r="H123" s="794">
        <f t="shared" si="7"/>
        <v>5.2874999999999996</v>
      </c>
      <c r="I123" s="169">
        <f t="shared" si="4"/>
        <v>7.1853870155804165</v>
      </c>
      <c r="J123" s="169">
        <f t="shared" si="4"/>
        <v>1.9530276168241774</v>
      </c>
      <c r="K123" s="169">
        <f t="shared" si="5"/>
        <v>1.6653455443723963</v>
      </c>
    </row>
    <row r="124" spans="1:11">
      <c r="A124" s="616">
        <f t="shared" si="6"/>
        <v>118</v>
      </c>
      <c r="B124" s="618">
        <v>39193</v>
      </c>
      <c r="C124" s="604">
        <v>0.78472222222222221</v>
      </c>
      <c r="D124" s="617" t="s">
        <v>135</v>
      </c>
      <c r="E124" s="620" t="s">
        <v>189</v>
      </c>
      <c r="F124" s="621">
        <v>704</v>
      </c>
      <c r="G124" s="621">
        <v>11.93</v>
      </c>
      <c r="H124" s="794">
        <f t="shared" si="7"/>
        <v>4.7720000000000002</v>
      </c>
      <c r="I124" s="169">
        <f t="shared" si="4"/>
        <v>6.5567783561580422</v>
      </c>
      <c r="J124" s="169">
        <f t="shared" si="4"/>
        <v>2.4790562361098245</v>
      </c>
      <c r="K124" s="169">
        <f t="shared" si="5"/>
        <v>1.5627655042356696</v>
      </c>
    </row>
    <row r="125" spans="1:11">
      <c r="A125" s="616">
        <f t="shared" si="6"/>
        <v>119</v>
      </c>
      <c r="B125" s="618">
        <v>39193</v>
      </c>
      <c r="C125" s="604">
        <v>0.85763888888888884</v>
      </c>
      <c r="D125" s="617" t="s">
        <v>146</v>
      </c>
      <c r="E125" s="620" t="s">
        <v>189</v>
      </c>
      <c r="F125" s="621">
        <v>440</v>
      </c>
      <c r="G125" s="621">
        <v>0.5</v>
      </c>
      <c r="H125" s="794">
        <f t="shared" si="7"/>
        <v>0.125</v>
      </c>
      <c r="I125" s="169">
        <f t="shared" si="4"/>
        <v>6.0867747269123065</v>
      </c>
      <c r="J125" s="169">
        <f t="shared" si="4"/>
        <v>-0.69314718055994529</v>
      </c>
      <c r="K125" s="169">
        <f t="shared" si="5"/>
        <v>-2.0794415416798357</v>
      </c>
    </row>
    <row r="126" spans="1:11">
      <c r="A126" s="616">
        <f t="shared" si="6"/>
        <v>120</v>
      </c>
      <c r="B126" s="618">
        <v>39193</v>
      </c>
      <c r="C126" s="604">
        <v>0.85902777777777783</v>
      </c>
      <c r="D126" s="617" t="s">
        <v>141</v>
      </c>
      <c r="E126" s="620" t="s">
        <v>189</v>
      </c>
      <c r="F126" s="621">
        <v>440</v>
      </c>
      <c r="G126" s="621">
        <v>12.38</v>
      </c>
      <c r="H126" s="794">
        <f t="shared" si="7"/>
        <v>3.0950000000000002</v>
      </c>
      <c r="I126" s="169">
        <f t="shared" si="4"/>
        <v>6.0867747269123065</v>
      </c>
      <c r="J126" s="169">
        <f t="shared" si="4"/>
        <v>2.5160822672564502</v>
      </c>
      <c r="K126" s="169">
        <f t="shared" si="5"/>
        <v>1.1297879061365594</v>
      </c>
    </row>
    <row r="127" spans="1:11">
      <c r="A127" s="616">
        <f t="shared" si="6"/>
        <v>121</v>
      </c>
      <c r="B127" s="618">
        <v>39225</v>
      </c>
      <c r="C127" s="604">
        <v>0.90277777777777779</v>
      </c>
      <c r="D127" s="617" t="s">
        <v>133</v>
      </c>
      <c r="E127" s="620" t="s">
        <v>189</v>
      </c>
      <c r="F127" s="621">
        <v>440</v>
      </c>
      <c r="G127" s="621">
        <v>7</v>
      </c>
      <c r="H127" s="794">
        <f t="shared" si="7"/>
        <v>1.75</v>
      </c>
      <c r="I127" s="169">
        <f t="shared" si="4"/>
        <v>6.0867747269123065</v>
      </c>
      <c r="J127" s="169">
        <f t="shared" si="4"/>
        <v>1.9459101490553132</v>
      </c>
      <c r="K127" s="169">
        <f t="shared" si="5"/>
        <v>0.55961578793542266</v>
      </c>
    </row>
    <row r="128" spans="1:11">
      <c r="A128" s="616">
        <f t="shared" si="6"/>
        <v>122</v>
      </c>
      <c r="B128" s="618">
        <v>39225</v>
      </c>
      <c r="C128" s="604">
        <v>0.9243055555555556</v>
      </c>
      <c r="D128" s="617" t="s">
        <v>133</v>
      </c>
      <c r="E128" s="620" t="s">
        <v>189</v>
      </c>
      <c r="F128" s="621">
        <v>528</v>
      </c>
      <c r="G128" s="621">
        <v>8</v>
      </c>
      <c r="H128" s="794">
        <f t="shared" si="7"/>
        <v>2.4</v>
      </c>
      <c r="I128" s="169">
        <f t="shared" si="4"/>
        <v>6.2690962837062614</v>
      </c>
      <c r="J128" s="169">
        <f t="shared" si="4"/>
        <v>2.0794415416798357</v>
      </c>
      <c r="K128" s="169">
        <f t="shared" si="5"/>
        <v>0.87546873735389985</v>
      </c>
    </row>
    <row r="129" spans="1:11">
      <c r="A129" s="616">
        <f t="shared" si="6"/>
        <v>123</v>
      </c>
      <c r="B129" s="618">
        <v>39617</v>
      </c>
      <c r="C129" s="604">
        <v>0.83333333333333337</v>
      </c>
      <c r="D129" s="617" t="s">
        <v>128</v>
      </c>
      <c r="E129" s="620" t="s">
        <v>189</v>
      </c>
      <c r="F129" s="621">
        <v>200</v>
      </c>
      <c r="G129" s="621">
        <v>12.02</v>
      </c>
      <c r="H129" s="794">
        <f t="shared" si="7"/>
        <v>1.3659090909090907</v>
      </c>
      <c r="I129" s="169">
        <f t="shared" si="4"/>
        <v>5.2983173665480363</v>
      </c>
      <c r="J129" s="169">
        <f t="shared" si="4"/>
        <v>2.4865719291070616</v>
      </c>
      <c r="K129" s="169">
        <f t="shared" si="5"/>
        <v>0.31182020762290064</v>
      </c>
    </row>
    <row r="130" spans="1:11">
      <c r="A130" s="616">
        <f t="shared" si="6"/>
        <v>124</v>
      </c>
      <c r="B130" s="618">
        <v>39948</v>
      </c>
      <c r="C130" s="604">
        <v>0.67291666666666661</v>
      </c>
      <c r="D130" s="617" t="s">
        <v>142</v>
      </c>
      <c r="E130" s="620" t="s">
        <v>189</v>
      </c>
      <c r="F130" s="621">
        <v>880</v>
      </c>
      <c r="G130" s="621">
        <v>3</v>
      </c>
      <c r="H130" s="794">
        <f t="shared" si="7"/>
        <v>1.5</v>
      </c>
      <c r="I130" s="169">
        <f t="shared" si="4"/>
        <v>6.7799219074722519</v>
      </c>
      <c r="J130" s="169">
        <f t="shared" si="4"/>
        <v>1.0986122886681098</v>
      </c>
      <c r="K130" s="169">
        <f t="shared" si="5"/>
        <v>0.40546510810816438</v>
      </c>
    </row>
    <row r="131" spans="1:11">
      <c r="A131" s="616">
        <f t="shared" si="6"/>
        <v>125</v>
      </c>
      <c r="B131" s="618">
        <v>40316</v>
      </c>
      <c r="C131" s="646">
        <v>0.78055555555555556</v>
      </c>
      <c r="D131" s="724" t="s">
        <v>136</v>
      </c>
      <c r="E131" s="620" t="s">
        <v>189</v>
      </c>
      <c r="F131" s="724">
        <v>300</v>
      </c>
      <c r="G131" s="724">
        <v>4.99</v>
      </c>
      <c r="H131" s="794">
        <f t="shared" si="7"/>
        <v>0.85056818181818183</v>
      </c>
      <c r="I131" s="169">
        <f t="shared" si="4"/>
        <v>5.7037824746562009</v>
      </c>
      <c r="J131" s="169">
        <f t="shared" si="4"/>
        <v>1.6074359097634274</v>
      </c>
      <c r="K131" s="169">
        <f t="shared" si="5"/>
        <v>-0.16185070361256909</v>
      </c>
    </row>
    <row r="132" spans="1:11">
      <c r="A132" s="616">
        <f t="shared" si="6"/>
        <v>126</v>
      </c>
      <c r="B132" s="618">
        <v>42151</v>
      </c>
      <c r="C132" s="646">
        <v>0.66527777777777775</v>
      </c>
      <c r="D132" s="724" t="s">
        <v>138</v>
      </c>
      <c r="E132" s="620" t="s">
        <v>189</v>
      </c>
      <c r="F132" s="948">
        <v>1200</v>
      </c>
      <c r="G132" s="948">
        <v>1.39</v>
      </c>
      <c r="H132" s="794">
        <f t="shared" si="7"/>
        <v>0.94772727272727264</v>
      </c>
      <c r="I132" s="169">
        <f t="shared" si="4"/>
        <v>7.0900768357760917</v>
      </c>
      <c r="J132" s="169">
        <f t="shared" si="4"/>
        <v>0.3293037471426003</v>
      </c>
      <c r="K132" s="169">
        <f t="shared" si="5"/>
        <v>-5.3688505113505487E-2</v>
      </c>
    </row>
    <row r="133" spans="1:11">
      <c r="A133" s="616">
        <f t="shared" si="6"/>
        <v>127</v>
      </c>
      <c r="B133" s="618">
        <v>42324</v>
      </c>
      <c r="C133" s="646">
        <v>0.77916666666666667</v>
      </c>
      <c r="D133" s="724" t="s">
        <v>141</v>
      </c>
      <c r="E133" s="620" t="s">
        <v>189</v>
      </c>
      <c r="F133" s="1015">
        <v>175</v>
      </c>
      <c r="G133" s="1015">
        <v>9.0500000000000007</v>
      </c>
      <c r="H133" s="794">
        <f t="shared" si="7"/>
        <v>0.89985795454545459</v>
      </c>
      <c r="I133" s="169">
        <f t="shared" si="4"/>
        <v>5.1647859739235145</v>
      </c>
      <c r="J133" s="169">
        <f t="shared" si="4"/>
        <v>2.2027647577118348</v>
      </c>
      <c r="K133" s="169">
        <f t="shared" si="5"/>
        <v>-0.10551835639684862</v>
      </c>
    </row>
    <row r="134" spans="1:11">
      <c r="A134" s="616">
        <f t="shared" si="6"/>
        <v>128</v>
      </c>
      <c r="B134" s="618">
        <v>42324</v>
      </c>
      <c r="C134" s="646">
        <v>0.78680555555555554</v>
      </c>
      <c r="D134" s="724" t="s">
        <v>142</v>
      </c>
      <c r="E134" s="620" t="s">
        <v>189</v>
      </c>
      <c r="F134" s="1015">
        <v>175</v>
      </c>
      <c r="G134" s="1015">
        <v>1.37</v>
      </c>
      <c r="H134" s="794">
        <f t="shared" si="7"/>
        <v>0.13622159090909092</v>
      </c>
      <c r="I134" s="169">
        <f t="shared" si="4"/>
        <v>5.1647859739235145</v>
      </c>
      <c r="J134" s="169">
        <f t="shared" si="4"/>
        <v>0.3148107398400336</v>
      </c>
      <c r="K134" s="169">
        <f t="shared" si="5"/>
        <v>-1.9934723742686498</v>
      </c>
    </row>
    <row r="135" spans="1:11">
      <c r="A135" s="97">
        <f t="shared" si="6"/>
        <v>129</v>
      </c>
      <c r="B135" s="98"/>
      <c r="C135" s="102"/>
      <c r="D135" s="102"/>
      <c r="E135" s="858" t="s">
        <v>189</v>
      </c>
      <c r="F135" s="102"/>
      <c r="G135" s="102"/>
      <c r="H135" s="265">
        <f t="shared" si="7"/>
        <v>0</v>
      </c>
      <c r="I135" s="169" t="e">
        <f t="shared" si="4"/>
        <v>#NUM!</v>
      </c>
      <c r="J135" s="169" t="e">
        <f t="shared" si="4"/>
        <v>#NUM!</v>
      </c>
      <c r="K135" s="169" t="e">
        <f t="shared" si="5"/>
        <v>#NUM!</v>
      </c>
    </row>
    <row r="136" spans="1:11">
      <c r="A136" s="97">
        <f t="shared" si="6"/>
        <v>130</v>
      </c>
      <c r="B136" s="98"/>
      <c r="C136" s="102"/>
      <c r="D136" s="102"/>
      <c r="E136" s="858" t="s">
        <v>189</v>
      </c>
      <c r="F136" s="102"/>
      <c r="G136" s="102"/>
      <c r="H136" s="265">
        <f t="shared" si="7"/>
        <v>0</v>
      </c>
      <c r="I136" s="169" t="e">
        <f t="shared" ref="I136:J143" si="8">LN(F136)</f>
        <v>#NUM!</v>
      </c>
      <c r="J136" s="169" t="e">
        <f t="shared" si="8"/>
        <v>#NUM!</v>
      </c>
      <c r="K136" s="169" t="e">
        <f t="shared" ref="K136:K143" si="9">LN(H136)</f>
        <v>#NUM!</v>
      </c>
    </row>
    <row r="137" spans="1:11">
      <c r="A137" s="97">
        <f t="shared" ref="A137:A200" si="10">+A136+1</f>
        <v>131</v>
      </c>
      <c r="B137" s="98"/>
      <c r="C137" s="102"/>
      <c r="D137" s="102"/>
      <c r="E137" s="858" t="s">
        <v>189</v>
      </c>
      <c r="F137" s="102"/>
      <c r="G137" s="102"/>
      <c r="H137" s="265">
        <f t="shared" ref="H137:H143" si="11">+(F137/1760)*G137</f>
        <v>0</v>
      </c>
      <c r="I137" s="169" t="e">
        <f t="shared" si="8"/>
        <v>#NUM!</v>
      </c>
      <c r="J137" s="169" t="e">
        <f t="shared" si="8"/>
        <v>#NUM!</v>
      </c>
      <c r="K137" s="169" t="e">
        <f t="shared" si="9"/>
        <v>#NUM!</v>
      </c>
    </row>
    <row r="138" spans="1:11">
      <c r="A138" s="97">
        <f t="shared" si="10"/>
        <v>132</v>
      </c>
      <c r="B138" s="98"/>
      <c r="C138" s="102"/>
      <c r="D138" s="102"/>
      <c r="E138" s="858" t="s">
        <v>189</v>
      </c>
      <c r="F138" s="102"/>
      <c r="G138" s="102"/>
      <c r="H138" s="265">
        <f t="shared" si="11"/>
        <v>0</v>
      </c>
      <c r="I138" s="169" t="e">
        <f t="shared" si="8"/>
        <v>#NUM!</v>
      </c>
      <c r="J138" s="169" t="e">
        <f t="shared" si="8"/>
        <v>#NUM!</v>
      </c>
      <c r="K138" s="169" t="e">
        <f t="shared" si="9"/>
        <v>#NUM!</v>
      </c>
    </row>
    <row r="139" spans="1:11">
      <c r="A139" s="97">
        <f t="shared" si="10"/>
        <v>133</v>
      </c>
      <c r="B139" s="98"/>
      <c r="C139" s="102"/>
      <c r="D139" s="102"/>
      <c r="E139" s="858" t="s">
        <v>189</v>
      </c>
      <c r="F139" s="102"/>
      <c r="G139" s="102"/>
      <c r="H139" s="265">
        <f t="shared" si="11"/>
        <v>0</v>
      </c>
      <c r="I139" s="169" t="e">
        <f t="shared" si="8"/>
        <v>#NUM!</v>
      </c>
      <c r="J139" s="169" t="e">
        <f t="shared" si="8"/>
        <v>#NUM!</v>
      </c>
      <c r="K139" s="169" t="e">
        <f t="shared" si="9"/>
        <v>#NUM!</v>
      </c>
    </row>
    <row r="140" spans="1:11">
      <c r="A140" s="97">
        <f t="shared" si="10"/>
        <v>134</v>
      </c>
      <c r="B140" s="98"/>
      <c r="C140" s="102"/>
      <c r="D140" s="102"/>
      <c r="E140" s="858" t="s">
        <v>189</v>
      </c>
      <c r="F140" s="102"/>
      <c r="G140" s="102"/>
      <c r="H140" s="265">
        <f t="shared" si="11"/>
        <v>0</v>
      </c>
      <c r="I140" s="169" t="e">
        <f t="shared" si="8"/>
        <v>#NUM!</v>
      </c>
      <c r="J140" s="169" t="e">
        <f t="shared" si="8"/>
        <v>#NUM!</v>
      </c>
      <c r="K140" s="169" t="e">
        <f t="shared" si="9"/>
        <v>#NUM!</v>
      </c>
    </row>
    <row r="141" spans="1:11">
      <c r="A141" s="97">
        <f t="shared" si="10"/>
        <v>135</v>
      </c>
      <c r="B141" s="98"/>
      <c r="C141" s="102"/>
      <c r="D141" s="102"/>
      <c r="E141" s="858" t="s">
        <v>189</v>
      </c>
      <c r="F141" s="102"/>
      <c r="G141" s="102"/>
      <c r="H141" s="265">
        <f t="shared" si="11"/>
        <v>0</v>
      </c>
      <c r="I141" s="169" t="e">
        <f t="shared" si="8"/>
        <v>#NUM!</v>
      </c>
      <c r="J141" s="169" t="e">
        <f t="shared" si="8"/>
        <v>#NUM!</v>
      </c>
      <c r="K141" s="169" t="e">
        <f t="shared" si="9"/>
        <v>#NUM!</v>
      </c>
    </row>
    <row r="142" spans="1:11">
      <c r="A142" s="97">
        <f t="shared" si="10"/>
        <v>136</v>
      </c>
      <c r="B142" s="98"/>
      <c r="C142" s="102"/>
      <c r="D142" s="102"/>
      <c r="E142" s="858" t="s">
        <v>189</v>
      </c>
      <c r="F142" s="102"/>
      <c r="G142" s="102"/>
      <c r="H142" s="265">
        <f t="shared" si="11"/>
        <v>0</v>
      </c>
      <c r="I142" s="169" t="e">
        <f t="shared" si="8"/>
        <v>#NUM!</v>
      </c>
      <c r="J142" s="169" t="e">
        <f t="shared" si="8"/>
        <v>#NUM!</v>
      </c>
      <c r="K142" s="169" t="e">
        <f t="shared" si="9"/>
        <v>#NUM!</v>
      </c>
    </row>
    <row r="143" spans="1:11">
      <c r="A143" s="97">
        <f t="shared" si="10"/>
        <v>137</v>
      </c>
      <c r="B143" s="98"/>
      <c r="C143" s="102"/>
      <c r="D143" s="102"/>
      <c r="E143" s="858" t="s">
        <v>189</v>
      </c>
      <c r="F143" s="102"/>
      <c r="G143" s="102"/>
      <c r="H143" s="265">
        <f t="shared" si="11"/>
        <v>0</v>
      </c>
      <c r="I143" s="169" t="e">
        <f t="shared" si="8"/>
        <v>#NUM!</v>
      </c>
      <c r="J143" s="169" t="e">
        <f t="shared" si="8"/>
        <v>#NUM!</v>
      </c>
      <c r="K143" s="169" t="e">
        <f t="shared" si="9"/>
        <v>#NUM!</v>
      </c>
    </row>
    <row r="144" spans="1:11">
      <c r="A144" s="97">
        <f t="shared" si="10"/>
        <v>138</v>
      </c>
      <c r="B144" s="98"/>
      <c r="C144" s="102"/>
      <c r="D144" s="102"/>
      <c r="E144" s="858" t="s">
        <v>189</v>
      </c>
      <c r="F144" s="102"/>
      <c r="G144" s="102"/>
      <c r="H144" s="265">
        <f t="shared" ref="H144:H150" si="12">+(F144/1760)*G144</f>
        <v>0</v>
      </c>
      <c r="I144" s="169" t="e">
        <f t="shared" ref="I144:I150" si="13">LN(F144)</f>
        <v>#NUM!</v>
      </c>
      <c r="J144" s="169" t="e">
        <f t="shared" ref="J144:J150" si="14">LN(G144)</f>
        <v>#NUM!</v>
      </c>
      <c r="K144" s="169" t="e">
        <f t="shared" ref="K144:K150" si="15">LN(H144)</f>
        <v>#NUM!</v>
      </c>
    </row>
    <row r="145" spans="1:12">
      <c r="A145" s="97">
        <f t="shared" si="10"/>
        <v>139</v>
      </c>
      <c r="B145" s="98"/>
      <c r="C145" s="102"/>
      <c r="D145" s="102"/>
      <c r="E145" s="858" t="s">
        <v>189</v>
      </c>
      <c r="F145" s="102"/>
      <c r="G145" s="102"/>
      <c r="H145" s="265">
        <f t="shared" si="12"/>
        <v>0</v>
      </c>
      <c r="I145" s="169" t="e">
        <f t="shared" si="13"/>
        <v>#NUM!</v>
      </c>
      <c r="J145" s="169" t="e">
        <f t="shared" si="14"/>
        <v>#NUM!</v>
      </c>
      <c r="K145" s="169" t="e">
        <f t="shared" si="15"/>
        <v>#NUM!</v>
      </c>
      <c r="L145" s="32"/>
    </row>
    <row r="146" spans="1:12">
      <c r="A146" s="97">
        <f t="shared" si="10"/>
        <v>140</v>
      </c>
      <c r="B146" s="98"/>
      <c r="C146" s="102"/>
      <c r="D146" s="102"/>
      <c r="E146" s="858" t="s">
        <v>189</v>
      </c>
      <c r="F146" s="102"/>
      <c r="G146" s="102"/>
      <c r="H146" s="265">
        <f t="shared" si="12"/>
        <v>0</v>
      </c>
      <c r="I146" s="169" t="e">
        <f t="shared" si="13"/>
        <v>#NUM!</v>
      </c>
      <c r="J146" s="169" t="e">
        <f t="shared" si="14"/>
        <v>#NUM!</v>
      </c>
      <c r="K146" s="169" t="e">
        <f t="shared" si="15"/>
        <v>#NUM!</v>
      </c>
      <c r="L146" s="32"/>
    </row>
    <row r="147" spans="1:12">
      <c r="A147" s="97">
        <f t="shared" si="10"/>
        <v>141</v>
      </c>
      <c r="B147" s="98"/>
      <c r="C147" s="102"/>
      <c r="D147" s="102"/>
      <c r="E147" s="858" t="s">
        <v>189</v>
      </c>
      <c r="F147" s="102"/>
      <c r="G147" s="102"/>
      <c r="H147" s="265">
        <f t="shared" si="12"/>
        <v>0</v>
      </c>
      <c r="I147" s="169" t="e">
        <f t="shared" si="13"/>
        <v>#NUM!</v>
      </c>
      <c r="J147" s="169" t="e">
        <f t="shared" si="14"/>
        <v>#NUM!</v>
      </c>
      <c r="K147" s="169" t="e">
        <f t="shared" si="15"/>
        <v>#NUM!</v>
      </c>
      <c r="L147" s="389"/>
    </row>
    <row r="148" spans="1:12">
      <c r="A148" s="97">
        <f t="shared" si="10"/>
        <v>142</v>
      </c>
      <c r="B148" s="98"/>
      <c r="C148" s="102"/>
      <c r="D148" s="102"/>
      <c r="E148" s="858" t="s">
        <v>189</v>
      </c>
      <c r="F148" s="102"/>
      <c r="G148" s="102"/>
      <c r="H148" s="265">
        <f t="shared" si="12"/>
        <v>0</v>
      </c>
      <c r="I148" s="169" t="e">
        <f t="shared" si="13"/>
        <v>#NUM!</v>
      </c>
      <c r="J148" s="169" t="e">
        <f t="shared" si="14"/>
        <v>#NUM!</v>
      </c>
      <c r="K148" s="169" t="e">
        <f t="shared" si="15"/>
        <v>#NUM!</v>
      </c>
      <c r="L148" s="32"/>
    </row>
    <row r="149" spans="1:12">
      <c r="A149" s="97">
        <f t="shared" si="10"/>
        <v>143</v>
      </c>
      <c r="B149" s="98"/>
      <c r="C149" s="102"/>
      <c r="D149" s="102"/>
      <c r="E149" s="858" t="s">
        <v>189</v>
      </c>
      <c r="F149" s="102"/>
      <c r="G149" s="102"/>
      <c r="H149" s="265">
        <f t="shared" si="12"/>
        <v>0</v>
      </c>
      <c r="I149" s="169" t="e">
        <f t="shared" si="13"/>
        <v>#NUM!</v>
      </c>
      <c r="J149" s="169" t="e">
        <f t="shared" si="14"/>
        <v>#NUM!</v>
      </c>
      <c r="K149" s="169" t="e">
        <f t="shared" si="15"/>
        <v>#NUM!</v>
      </c>
      <c r="L149" s="32"/>
    </row>
    <row r="150" spans="1:12">
      <c r="A150" s="97">
        <f t="shared" si="10"/>
        <v>144</v>
      </c>
      <c r="B150" s="98"/>
      <c r="C150" s="102"/>
      <c r="D150" s="102"/>
      <c r="E150" s="858" t="s">
        <v>189</v>
      </c>
      <c r="F150" s="102"/>
      <c r="G150" s="102"/>
      <c r="H150" s="265">
        <f t="shared" si="12"/>
        <v>0</v>
      </c>
      <c r="I150" s="169" t="e">
        <f t="shared" si="13"/>
        <v>#NUM!</v>
      </c>
      <c r="J150" s="169" t="e">
        <f t="shared" si="14"/>
        <v>#NUM!</v>
      </c>
      <c r="K150" s="169" t="e">
        <f t="shared" si="15"/>
        <v>#NUM!</v>
      </c>
    </row>
    <row r="151" spans="1:12">
      <c r="A151" s="97">
        <f t="shared" si="10"/>
        <v>145</v>
      </c>
      <c r="B151" s="98"/>
      <c r="C151" s="102"/>
      <c r="D151" s="102"/>
      <c r="E151" s="858" t="s">
        <v>189</v>
      </c>
      <c r="F151" s="102"/>
      <c r="G151" s="102"/>
      <c r="H151" s="265">
        <f t="shared" ref="H151:H200" si="16">+(F151/1760)*G151</f>
        <v>0</v>
      </c>
      <c r="I151" s="169" t="e">
        <f t="shared" ref="I151:I200" si="17">LN(F151)</f>
        <v>#NUM!</v>
      </c>
      <c r="J151" s="169" t="e">
        <f t="shared" ref="J151:J200" si="18">LN(G151)</f>
        <v>#NUM!</v>
      </c>
      <c r="K151" s="169" t="e">
        <f t="shared" ref="K151:K200" si="19">LN(H151)</f>
        <v>#NUM!</v>
      </c>
    </row>
    <row r="152" spans="1:12">
      <c r="A152" s="97">
        <f t="shared" si="10"/>
        <v>146</v>
      </c>
      <c r="B152" s="98"/>
      <c r="C152" s="102"/>
      <c r="D152" s="102"/>
      <c r="E152" s="858" t="s">
        <v>189</v>
      </c>
      <c r="F152" s="102"/>
      <c r="G152" s="102"/>
      <c r="H152" s="265">
        <f t="shared" si="16"/>
        <v>0</v>
      </c>
      <c r="I152" s="169" t="e">
        <f t="shared" si="17"/>
        <v>#NUM!</v>
      </c>
      <c r="J152" s="169" t="e">
        <f t="shared" si="18"/>
        <v>#NUM!</v>
      </c>
      <c r="K152" s="169" t="e">
        <f t="shared" si="19"/>
        <v>#NUM!</v>
      </c>
    </row>
    <row r="153" spans="1:12">
      <c r="A153" s="97">
        <f t="shared" si="10"/>
        <v>147</v>
      </c>
      <c r="B153" s="98"/>
      <c r="C153" s="102"/>
      <c r="D153" s="102"/>
      <c r="E153" s="858" t="s">
        <v>189</v>
      </c>
      <c r="F153" s="102"/>
      <c r="G153" s="102"/>
      <c r="H153" s="265">
        <f t="shared" si="16"/>
        <v>0</v>
      </c>
      <c r="I153" s="169" t="e">
        <f t="shared" si="17"/>
        <v>#NUM!</v>
      </c>
      <c r="J153" s="169" t="e">
        <f t="shared" si="18"/>
        <v>#NUM!</v>
      </c>
      <c r="K153" s="169" t="e">
        <f t="shared" si="19"/>
        <v>#NUM!</v>
      </c>
    </row>
    <row r="154" spans="1:12">
      <c r="A154" s="97">
        <f t="shared" si="10"/>
        <v>148</v>
      </c>
      <c r="B154" s="98"/>
      <c r="C154" s="102"/>
      <c r="D154" s="102"/>
      <c r="E154" s="858" t="s">
        <v>189</v>
      </c>
      <c r="F154" s="102"/>
      <c r="G154" s="102"/>
      <c r="H154" s="265">
        <f t="shared" si="16"/>
        <v>0</v>
      </c>
      <c r="I154" s="169" t="e">
        <f t="shared" si="17"/>
        <v>#NUM!</v>
      </c>
      <c r="J154" s="169" t="e">
        <f t="shared" si="18"/>
        <v>#NUM!</v>
      </c>
      <c r="K154" s="169" t="e">
        <f t="shared" si="19"/>
        <v>#NUM!</v>
      </c>
    </row>
    <row r="155" spans="1:12">
      <c r="A155" s="97">
        <f t="shared" si="10"/>
        <v>149</v>
      </c>
      <c r="B155" s="98"/>
      <c r="C155" s="102"/>
      <c r="D155" s="102"/>
      <c r="E155" s="858" t="s">
        <v>189</v>
      </c>
      <c r="F155" s="102"/>
      <c r="G155" s="102"/>
      <c r="H155" s="265">
        <f t="shared" si="16"/>
        <v>0</v>
      </c>
      <c r="I155" s="169" t="e">
        <f t="shared" si="17"/>
        <v>#NUM!</v>
      </c>
      <c r="J155" s="169" t="e">
        <f t="shared" si="18"/>
        <v>#NUM!</v>
      </c>
      <c r="K155" s="169" t="e">
        <f t="shared" si="19"/>
        <v>#NUM!</v>
      </c>
    </row>
    <row r="156" spans="1:12">
      <c r="A156" s="97">
        <f t="shared" si="10"/>
        <v>150</v>
      </c>
      <c r="B156" s="98"/>
      <c r="C156" s="102"/>
      <c r="D156" s="102"/>
      <c r="E156" s="858" t="s">
        <v>189</v>
      </c>
      <c r="F156" s="102"/>
      <c r="G156" s="102"/>
      <c r="H156" s="265">
        <f t="shared" si="16"/>
        <v>0</v>
      </c>
      <c r="I156" s="169" t="e">
        <f t="shared" si="17"/>
        <v>#NUM!</v>
      </c>
      <c r="J156" s="169" t="e">
        <f t="shared" si="18"/>
        <v>#NUM!</v>
      </c>
      <c r="K156" s="169" t="e">
        <f t="shared" si="19"/>
        <v>#NUM!</v>
      </c>
    </row>
    <row r="157" spans="1:12">
      <c r="A157" s="97">
        <f t="shared" si="10"/>
        <v>151</v>
      </c>
      <c r="B157" s="98"/>
      <c r="C157" s="102"/>
      <c r="D157" s="102"/>
      <c r="E157" s="858" t="s">
        <v>189</v>
      </c>
      <c r="F157" s="102"/>
      <c r="G157" s="102"/>
      <c r="H157" s="265">
        <f t="shared" si="16"/>
        <v>0</v>
      </c>
      <c r="I157" s="169" t="e">
        <f t="shared" si="17"/>
        <v>#NUM!</v>
      </c>
      <c r="J157" s="169" t="e">
        <f t="shared" si="18"/>
        <v>#NUM!</v>
      </c>
      <c r="K157" s="169" t="e">
        <f t="shared" si="19"/>
        <v>#NUM!</v>
      </c>
    </row>
    <row r="158" spans="1:12">
      <c r="A158" s="97">
        <f t="shared" si="10"/>
        <v>152</v>
      </c>
      <c r="B158" s="98"/>
      <c r="C158" s="102"/>
      <c r="D158" s="102"/>
      <c r="E158" s="858" t="s">
        <v>189</v>
      </c>
      <c r="F158" s="102"/>
      <c r="G158" s="102"/>
      <c r="H158" s="265">
        <f t="shared" si="16"/>
        <v>0</v>
      </c>
      <c r="I158" s="169" t="e">
        <f t="shared" si="17"/>
        <v>#NUM!</v>
      </c>
      <c r="J158" s="169" t="e">
        <f t="shared" si="18"/>
        <v>#NUM!</v>
      </c>
      <c r="K158" s="169" t="e">
        <f t="shared" si="19"/>
        <v>#NUM!</v>
      </c>
    </row>
    <row r="159" spans="1:12">
      <c r="A159" s="97">
        <f t="shared" si="10"/>
        <v>153</v>
      </c>
      <c r="B159" s="98"/>
      <c r="C159" s="102"/>
      <c r="D159" s="102"/>
      <c r="E159" s="858" t="s">
        <v>189</v>
      </c>
      <c r="F159" s="102"/>
      <c r="G159" s="102"/>
      <c r="H159" s="265">
        <f t="shared" si="16"/>
        <v>0</v>
      </c>
      <c r="I159" s="169" t="e">
        <f t="shared" si="17"/>
        <v>#NUM!</v>
      </c>
      <c r="J159" s="169" t="e">
        <f t="shared" si="18"/>
        <v>#NUM!</v>
      </c>
      <c r="K159" s="169" t="e">
        <f t="shared" si="19"/>
        <v>#NUM!</v>
      </c>
    </row>
    <row r="160" spans="1:12">
      <c r="A160" s="97">
        <f t="shared" si="10"/>
        <v>154</v>
      </c>
      <c r="B160" s="98"/>
      <c r="C160" s="102"/>
      <c r="D160" s="102"/>
      <c r="E160" s="858" t="s">
        <v>189</v>
      </c>
      <c r="F160" s="102"/>
      <c r="G160" s="102"/>
      <c r="H160" s="265">
        <f t="shared" si="16"/>
        <v>0</v>
      </c>
      <c r="I160" s="169" t="e">
        <f t="shared" si="17"/>
        <v>#NUM!</v>
      </c>
      <c r="J160" s="169" t="e">
        <f t="shared" si="18"/>
        <v>#NUM!</v>
      </c>
      <c r="K160" s="169" t="e">
        <f t="shared" si="19"/>
        <v>#NUM!</v>
      </c>
    </row>
    <row r="161" spans="1:11">
      <c r="A161" s="97">
        <f t="shared" si="10"/>
        <v>155</v>
      </c>
      <c r="B161" s="98"/>
      <c r="C161" s="102"/>
      <c r="D161" s="102"/>
      <c r="E161" s="858" t="s">
        <v>189</v>
      </c>
      <c r="F161" s="102"/>
      <c r="G161" s="102"/>
      <c r="H161" s="265">
        <f t="shared" si="16"/>
        <v>0</v>
      </c>
      <c r="I161" s="169" t="e">
        <f t="shared" si="17"/>
        <v>#NUM!</v>
      </c>
      <c r="J161" s="169" t="e">
        <f t="shared" si="18"/>
        <v>#NUM!</v>
      </c>
      <c r="K161" s="169" t="e">
        <f t="shared" si="19"/>
        <v>#NUM!</v>
      </c>
    </row>
    <row r="162" spans="1:11">
      <c r="A162" s="97">
        <f t="shared" si="10"/>
        <v>156</v>
      </c>
      <c r="B162" s="98"/>
      <c r="C162" s="102"/>
      <c r="D162" s="102"/>
      <c r="E162" s="858" t="s">
        <v>189</v>
      </c>
      <c r="F162" s="102"/>
      <c r="G162" s="102"/>
      <c r="H162" s="265">
        <f t="shared" si="16"/>
        <v>0</v>
      </c>
      <c r="I162" s="169" t="e">
        <f t="shared" si="17"/>
        <v>#NUM!</v>
      </c>
      <c r="J162" s="169" t="e">
        <f t="shared" si="18"/>
        <v>#NUM!</v>
      </c>
      <c r="K162" s="169" t="e">
        <f t="shared" si="19"/>
        <v>#NUM!</v>
      </c>
    </row>
    <row r="163" spans="1:11">
      <c r="A163" s="97">
        <f t="shared" si="10"/>
        <v>157</v>
      </c>
      <c r="B163" s="98"/>
      <c r="C163" s="102"/>
      <c r="D163" s="102"/>
      <c r="E163" s="858" t="s">
        <v>189</v>
      </c>
      <c r="F163" s="102"/>
      <c r="G163" s="102"/>
      <c r="H163" s="265">
        <f t="shared" si="16"/>
        <v>0</v>
      </c>
      <c r="I163" s="169" t="e">
        <f t="shared" si="17"/>
        <v>#NUM!</v>
      </c>
      <c r="J163" s="169" t="e">
        <f t="shared" si="18"/>
        <v>#NUM!</v>
      </c>
      <c r="K163" s="169" t="e">
        <f t="shared" si="19"/>
        <v>#NUM!</v>
      </c>
    </row>
    <row r="164" spans="1:11">
      <c r="A164" s="97">
        <f t="shared" si="10"/>
        <v>158</v>
      </c>
      <c r="B164" s="98"/>
      <c r="C164" s="102"/>
      <c r="D164" s="102"/>
      <c r="E164" s="858" t="s">
        <v>189</v>
      </c>
      <c r="F164" s="102"/>
      <c r="G164" s="102"/>
      <c r="H164" s="265">
        <f t="shared" si="16"/>
        <v>0</v>
      </c>
      <c r="I164" s="169" t="e">
        <f t="shared" si="17"/>
        <v>#NUM!</v>
      </c>
      <c r="J164" s="169" t="e">
        <f t="shared" si="18"/>
        <v>#NUM!</v>
      </c>
      <c r="K164" s="169" t="e">
        <f t="shared" si="19"/>
        <v>#NUM!</v>
      </c>
    </row>
    <row r="165" spans="1:11">
      <c r="A165" s="97">
        <f t="shared" si="10"/>
        <v>159</v>
      </c>
      <c r="B165" s="98"/>
      <c r="C165" s="102"/>
      <c r="D165" s="102"/>
      <c r="E165" s="858" t="s">
        <v>189</v>
      </c>
      <c r="F165" s="102"/>
      <c r="G165" s="102"/>
      <c r="H165" s="265">
        <f t="shared" si="16"/>
        <v>0</v>
      </c>
      <c r="I165" s="169" t="e">
        <f t="shared" si="17"/>
        <v>#NUM!</v>
      </c>
      <c r="J165" s="169" t="e">
        <f t="shared" si="18"/>
        <v>#NUM!</v>
      </c>
      <c r="K165" s="169" t="e">
        <f t="shared" si="19"/>
        <v>#NUM!</v>
      </c>
    </row>
    <row r="166" spans="1:11">
      <c r="A166" s="97">
        <f t="shared" si="10"/>
        <v>160</v>
      </c>
      <c r="B166" s="98"/>
      <c r="C166" s="102"/>
      <c r="D166" s="102"/>
      <c r="E166" s="858" t="s">
        <v>189</v>
      </c>
      <c r="F166" s="102"/>
      <c r="G166" s="102"/>
      <c r="H166" s="265">
        <f t="shared" si="16"/>
        <v>0</v>
      </c>
      <c r="I166" s="169" t="e">
        <f t="shared" si="17"/>
        <v>#NUM!</v>
      </c>
      <c r="J166" s="169" t="e">
        <f t="shared" si="18"/>
        <v>#NUM!</v>
      </c>
      <c r="K166" s="169" t="e">
        <f t="shared" si="19"/>
        <v>#NUM!</v>
      </c>
    </row>
    <row r="167" spans="1:11">
      <c r="A167" s="97">
        <f t="shared" si="10"/>
        <v>161</v>
      </c>
      <c r="B167" s="98"/>
      <c r="C167" s="102"/>
      <c r="D167" s="102"/>
      <c r="E167" s="858" t="s">
        <v>189</v>
      </c>
      <c r="F167" s="102"/>
      <c r="G167" s="102"/>
      <c r="H167" s="265">
        <f t="shared" si="16"/>
        <v>0</v>
      </c>
      <c r="I167" s="169" t="e">
        <f t="shared" si="17"/>
        <v>#NUM!</v>
      </c>
      <c r="J167" s="169" t="e">
        <f t="shared" si="18"/>
        <v>#NUM!</v>
      </c>
      <c r="K167" s="169" t="e">
        <f t="shared" si="19"/>
        <v>#NUM!</v>
      </c>
    </row>
    <row r="168" spans="1:11">
      <c r="A168" s="97">
        <f t="shared" si="10"/>
        <v>162</v>
      </c>
      <c r="B168" s="98"/>
      <c r="C168" s="102"/>
      <c r="D168" s="102"/>
      <c r="E168" s="858" t="s">
        <v>189</v>
      </c>
      <c r="F168" s="102"/>
      <c r="G168" s="102"/>
      <c r="H168" s="265">
        <f t="shared" si="16"/>
        <v>0</v>
      </c>
      <c r="I168" s="169" t="e">
        <f t="shared" si="17"/>
        <v>#NUM!</v>
      </c>
      <c r="J168" s="169" t="e">
        <f t="shared" si="18"/>
        <v>#NUM!</v>
      </c>
      <c r="K168" s="169" t="e">
        <f t="shared" si="19"/>
        <v>#NUM!</v>
      </c>
    </row>
    <row r="169" spans="1:11">
      <c r="A169" s="97">
        <f t="shared" si="10"/>
        <v>163</v>
      </c>
      <c r="B169" s="98"/>
      <c r="C169" s="102"/>
      <c r="D169" s="102"/>
      <c r="E169" s="858" t="s">
        <v>189</v>
      </c>
      <c r="F169" s="102"/>
      <c r="G169" s="102"/>
      <c r="H169" s="265">
        <f t="shared" si="16"/>
        <v>0</v>
      </c>
      <c r="I169" s="169" t="e">
        <f t="shared" si="17"/>
        <v>#NUM!</v>
      </c>
      <c r="J169" s="169" t="e">
        <f t="shared" si="18"/>
        <v>#NUM!</v>
      </c>
      <c r="K169" s="169" t="e">
        <f t="shared" si="19"/>
        <v>#NUM!</v>
      </c>
    </row>
    <row r="170" spans="1:11">
      <c r="A170" s="97">
        <f t="shared" si="10"/>
        <v>164</v>
      </c>
      <c r="B170" s="98"/>
      <c r="C170" s="102"/>
      <c r="D170" s="102"/>
      <c r="E170" s="858" t="s">
        <v>189</v>
      </c>
      <c r="F170" s="102"/>
      <c r="G170" s="102"/>
      <c r="H170" s="265">
        <f t="shared" si="16"/>
        <v>0</v>
      </c>
      <c r="I170" s="169" t="e">
        <f t="shared" si="17"/>
        <v>#NUM!</v>
      </c>
      <c r="J170" s="169" t="e">
        <f t="shared" si="18"/>
        <v>#NUM!</v>
      </c>
      <c r="K170" s="169" t="e">
        <f t="shared" si="19"/>
        <v>#NUM!</v>
      </c>
    </row>
    <row r="171" spans="1:11">
      <c r="A171" s="97">
        <f t="shared" si="10"/>
        <v>165</v>
      </c>
      <c r="B171" s="98"/>
      <c r="C171" s="102"/>
      <c r="D171" s="102"/>
      <c r="E171" s="858" t="s">
        <v>189</v>
      </c>
      <c r="F171" s="102"/>
      <c r="G171" s="102"/>
      <c r="H171" s="265">
        <f t="shared" si="16"/>
        <v>0</v>
      </c>
      <c r="I171" s="169" t="e">
        <f t="shared" si="17"/>
        <v>#NUM!</v>
      </c>
      <c r="J171" s="169" t="e">
        <f t="shared" si="18"/>
        <v>#NUM!</v>
      </c>
      <c r="K171" s="169" t="e">
        <f t="shared" si="19"/>
        <v>#NUM!</v>
      </c>
    </row>
    <row r="172" spans="1:11">
      <c r="A172" s="97">
        <f t="shared" si="10"/>
        <v>166</v>
      </c>
      <c r="B172" s="98"/>
      <c r="C172" s="102"/>
      <c r="D172" s="102"/>
      <c r="E172" s="858" t="s">
        <v>189</v>
      </c>
      <c r="F172" s="102"/>
      <c r="G172" s="102"/>
      <c r="H172" s="265">
        <f t="shared" si="16"/>
        <v>0</v>
      </c>
      <c r="I172" s="169" t="e">
        <f t="shared" si="17"/>
        <v>#NUM!</v>
      </c>
      <c r="J172" s="169" t="e">
        <f t="shared" si="18"/>
        <v>#NUM!</v>
      </c>
      <c r="K172" s="169" t="e">
        <f t="shared" si="19"/>
        <v>#NUM!</v>
      </c>
    </row>
    <row r="173" spans="1:11">
      <c r="A173" s="97">
        <f t="shared" si="10"/>
        <v>167</v>
      </c>
      <c r="B173" s="98"/>
      <c r="C173" s="102"/>
      <c r="D173" s="102"/>
      <c r="E173" s="858" t="s">
        <v>189</v>
      </c>
      <c r="F173" s="102"/>
      <c r="G173" s="102"/>
      <c r="H173" s="265">
        <f t="shared" si="16"/>
        <v>0</v>
      </c>
      <c r="I173" s="169" t="e">
        <f t="shared" si="17"/>
        <v>#NUM!</v>
      </c>
      <c r="J173" s="169" t="e">
        <f t="shared" si="18"/>
        <v>#NUM!</v>
      </c>
      <c r="K173" s="169" t="e">
        <f t="shared" si="19"/>
        <v>#NUM!</v>
      </c>
    </row>
    <row r="174" spans="1:11">
      <c r="A174" s="97">
        <f t="shared" si="10"/>
        <v>168</v>
      </c>
      <c r="B174" s="98"/>
      <c r="C174" s="102"/>
      <c r="D174" s="102"/>
      <c r="E174" s="858" t="s">
        <v>189</v>
      </c>
      <c r="F174" s="102"/>
      <c r="G174" s="102"/>
      <c r="H174" s="265">
        <f t="shared" si="16"/>
        <v>0</v>
      </c>
      <c r="I174" s="169" t="e">
        <f t="shared" si="17"/>
        <v>#NUM!</v>
      </c>
      <c r="J174" s="169" t="e">
        <f t="shared" si="18"/>
        <v>#NUM!</v>
      </c>
      <c r="K174" s="169" t="e">
        <f t="shared" si="19"/>
        <v>#NUM!</v>
      </c>
    </row>
    <row r="175" spans="1:11">
      <c r="A175" s="97">
        <f t="shared" si="10"/>
        <v>169</v>
      </c>
      <c r="B175" s="98"/>
      <c r="C175" s="102"/>
      <c r="D175" s="102"/>
      <c r="E175" s="858" t="s">
        <v>189</v>
      </c>
      <c r="F175" s="102"/>
      <c r="G175" s="102"/>
      <c r="H175" s="265">
        <f t="shared" si="16"/>
        <v>0</v>
      </c>
      <c r="I175" s="169" t="e">
        <f t="shared" si="17"/>
        <v>#NUM!</v>
      </c>
      <c r="J175" s="169" t="e">
        <f t="shared" si="18"/>
        <v>#NUM!</v>
      </c>
      <c r="K175" s="169" t="e">
        <f t="shared" si="19"/>
        <v>#NUM!</v>
      </c>
    </row>
    <row r="176" spans="1:11">
      <c r="A176" s="97">
        <f t="shared" si="10"/>
        <v>170</v>
      </c>
      <c r="B176" s="98"/>
      <c r="C176" s="102"/>
      <c r="D176" s="102"/>
      <c r="E176" s="858" t="s">
        <v>189</v>
      </c>
      <c r="F176" s="102"/>
      <c r="G176" s="102"/>
      <c r="H176" s="265">
        <f t="shared" si="16"/>
        <v>0</v>
      </c>
      <c r="I176" s="169" t="e">
        <f t="shared" si="17"/>
        <v>#NUM!</v>
      </c>
      <c r="J176" s="169" t="e">
        <f t="shared" si="18"/>
        <v>#NUM!</v>
      </c>
      <c r="K176" s="169" t="e">
        <f t="shared" si="19"/>
        <v>#NUM!</v>
      </c>
    </row>
    <row r="177" spans="1:11">
      <c r="A177" s="97">
        <f t="shared" si="10"/>
        <v>171</v>
      </c>
      <c r="B177" s="98"/>
      <c r="C177" s="102"/>
      <c r="D177" s="102"/>
      <c r="E177" s="858" t="s">
        <v>189</v>
      </c>
      <c r="F177" s="102"/>
      <c r="G177" s="102"/>
      <c r="H177" s="265">
        <f t="shared" si="16"/>
        <v>0</v>
      </c>
      <c r="I177" s="169" t="e">
        <f t="shared" si="17"/>
        <v>#NUM!</v>
      </c>
      <c r="J177" s="169" t="e">
        <f t="shared" si="18"/>
        <v>#NUM!</v>
      </c>
      <c r="K177" s="169" t="e">
        <f t="shared" si="19"/>
        <v>#NUM!</v>
      </c>
    </row>
    <row r="178" spans="1:11">
      <c r="A178" s="97">
        <f t="shared" si="10"/>
        <v>172</v>
      </c>
      <c r="B178" s="98"/>
      <c r="C178" s="102"/>
      <c r="D178" s="102"/>
      <c r="E178" s="858" t="s">
        <v>189</v>
      </c>
      <c r="F178" s="102"/>
      <c r="G178" s="102"/>
      <c r="H178" s="265">
        <f t="shared" si="16"/>
        <v>0</v>
      </c>
      <c r="I178" s="169" t="e">
        <f t="shared" si="17"/>
        <v>#NUM!</v>
      </c>
      <c r="J178" s="169" t="e">
        <f t="shared" si="18"/>
        <v>#NUM!</v>
      </c>
      <c r="K178" s="169" t="e">
        <f t="shared" si="19"/>
        <v>#NUM!</v>
      </c>
    </row>
    <row r="179" spans="1:11">
      <c r="A179" s="97">
        <f t="shared" si="10"/>
        <v>173</v>
      </c>
      <c r="B179" s="98"/>
      <c r="C179" s="102"/>
      <c r="D179" s="102"/>
      <c r="E179" s="858" t="s">
        <v>189</v>
      </c>
      <c r="F179" s="102"/>
      <c r="G179" s="102"/>
      <c r="H179" s="265">
        <f t="shared" si="16"/>
        <v>0</v>
      </c>
      <c r="I179" s="169" t="e">
        <f t="shared" si="17"/>
        <v>#NUM!</v>
      </c>
      <c r="J179" s="169" t="e">
        <f t="shared" si="18"/>
        <v>#NUM!</v>
      </c>
      <c r="K179" s="169" t="e">
        <f t="shared" si="19"/>
        <v>#NUM!</v>
      </c>
    </row>
    <row r="180" spans="1:11">
      <c r="A180" s="97">
        <f t="shared" si="10"/>
        <v>174</v>
      </c>
      <c r="B180" s="98"/>
      <c r="C180" s="102"/>
      <c r="D180" s="102"/>
      <c r="E180" s="858" t="s">
        <v>189</v>
      </c>
      <c r="F180" s="102"/>
      <c r="G180" s="102"/>
      <c r="H180" s="265">
        <f t="shared" si="16"/>
        <v>0</v>
      </c>
      <c r="I180" s="169" t="e">
        <f t="shared" si="17"/>
        <v>#NUM!</v>
      </c>
      <c r="J180" s="169" t="e">
        <f t="shared" si="18"/>
        <v>#NUM!</v>
      </c>
      <c r="K180" s="169" t="e">
        <f t="shared" si="19"/>
        <v>#NUM!</v>
      </c>
    </row>
    <row r="181" spans="1:11">
      <c r="A181" s="97">
        <f t="shared" si="10"/>
        <v>175</v>
      </c>
      <c r="B181" s="98"/>
      <c r="C181" s="102"/>
      <c r="D181" s="102"/>
      <c r="E181" s="858" t="s">
        <v>189</v>
      </c>
      <c r="F181" s="102"/>
      <c r="G181" s="102"/>
      <c r="H181" s="265">
        <f t="shared" si="16"/>
        <v>0</v>
      </c>
      <c r="I181" s="169" t="e">
        <f t="shared" si="17"/>
        <v>#NUM!</v>
      </c>
      <c r="J181" s="169" t="e">
        <f t="shared" si="18"/>
        <v>#NUM!</v>
      </c>
      <c r="K181" s="169" t="e">
        <f t="shared" si="19"/>
        <v>#NUM!</v>
      </c>
    </row>
    <row r="182" spans="1:11">
      <c r="A182" s="97">
        <f t="shared" si="10"/>
        <v>176</v>
      </c>
      <c r="B182" s="98"/>
      <c r="C182" s="102"/>
      <c r="D182" s="102"/>
      <c r="E182" s="858" t="s">
        <v>189</v>
      </c>
      <c r="F182" s="102"/>
      <c r="G182" s="102"/>
      <c r="H182" s="265">
        <f t="shared" si="16"/>
        <v>0</v>
      </c>
      <c r="I182" s="169" t="e">
        <f t="shared" si="17"/>
        <v>#NUM!</v>
      </c>
      <c r="J182" s="169" t="e">
        <f t="shared" si="18"/>
        <v>#NUM!</v>
      </c>
      <c r="K182" s="169" t="e">
        <f t="shared" si="19"/>
        <v>#NUM!</v>
      </c>
    </row>
    <row r="183" spans="1:11">
      <c r="A183" s="97">
        <f t="shared" si="10"/>
        <v>177</v>
      </c>
      <c r="B183" s="98"/>
      <c r="C183" s="102"/>
      <c r="D183" s="102"/>
      <c r="E183" s="858" t="s">
        <v>189</v>
      </c>
      <c r="F183" s="102"/>
      <c r="G183" s="102"/>
      <c r="H183" s="265">
        <f t="shared" si="16"/>
        <v>0</v>
      </c>
      <c r="I183" s="169" t="e">
        <f t="shared" si="17"/>
        <v>#NUM!</v>
      </c>
      <c r="J183" s="169" t="e">
        <f t="shared" si="18"/>
        <v>#NUM!</v>
      </c>
      <c r="K183" s="169" t="e">
        <f t="shared" si="19"/>
        <v>#NUM!</v>
      </c>
    </row>
    <row r="184" spans="1:11">
      <c r="A184" s="97">
        <f t="shared" si="10"/>
        <v>178</v>
      </c>
      <c r="B184" s="98"/>
      <c r="C184" s="102"/>
      <c r="D184" s="102"/>
      <c r="E184" s="858" t="s">
        <v>189</v>
      </c>
      <c r="F184" s="102"/>
      <c r="G184" s="102"/>
      <c r="H184" s="265">
        <f t="shared" si="16"/>
        <v>0</v>
      </c>
      <c r="I184" s="169" t="e">
        <f t="shared" si="17"/>
        <v>#NUM!</v>
      </c>
      <c r="J184" s="169" t="e">
        <f t="shared" si="18"/>
        <v>#NUM!</v>
      </c>
      <c r="K184" s="169" t="e">
        <f t="shared" si="19"/>
        <v>#NUM!</v>
      </c>
    </row>
    <row r="185" spans="1:11">
      <c r="A185" s="97">
        <f t="shared" si="10"/>
        <v>179</v>
      </c>
      <c r="B185" s="98"/>
      <c r="C185" s="102"/>
      <c r="D185" s="102"/>
      <c r="E185" s="858" t="s">
        <v>189</v>
      </c>
      <c r="F185" s="102"/>
      <c r="G185" s="102"/>
      <c r="H185" s="265">
        <f t="shared" si="16"/>
        <v>0</v>
      </c>
      <c r="I185" s="169" t="e">
        <f t="shared" si="17"/>
        <v>#NUM!</v>
      </c>
      <c r="J185" s="169" t="e">
        <f t="shared" si="18"/>
        <v>#NUM!</v>
      </c>
      <c r="K185" s="169" t="e">
        <f t="shared" si="19"/>
        <v>#NUM!</v>
      </c>
    </row>
    <row r="186" spans="1:11">
      <c r="A186" s="97">
        <f t="shared" si="10"/>
        <v>180</v>
      </c>
      <c r="B186" s="98"/>
      <c r="C186" s="102"/>
      <c r="D186" s="102"/>
      <c r="E186" s="858" t="s">
        <v>189</v>
      </c>
      <c r="F186" s="102"/>
      <c r="G186" s="102"/>
      <c r="H186" s="265">
        <f t="shared" si="16"/>
        <v>0</v>
      </c>
      <c r="I186" s="169" t="e">
        <f t="shared" si="17"/>
        <v>#NUM!</v>
      </c>
      <c r="J186" s="169" t="e">
        <f t="shared" si="18"/>
        <v>#NUM!</v>
      </c>
      <c r="K186" s="169" t="e">
        <f t="shared" si="19"/>
        <v>#NUM!</v>
      </c>
    </row>
    <row r="187" spans="1:11">
      <c r="A187" s="97">
        <f t="shared" si="10"/>
        <v>181</v>
      </c>
      <c r="B187" s="98"/>
      <c r="C187" s="102"/>
      <c r="D187" s="102"/>
      <c r="E187" s="858" t="s">
        <v>189</v>
      </c>
      <c r="F187" s="102"/>
      <c r="G187" s="102"/>
      <c r="H187" s="265">
        <f t="shared" si="16"/>
        <v>0</v>
      </c>
      <c r="I187" s="169" t="e">
        <f t="shared" si="17"/>
        <v>#NUM!</v>
      </c>
      <c r="J187" s="169" t="e">
        <f t="shared" si="18"/>
        <v>#NUM!</v>
      </c>
      <c r="K187" s="169" t="e">
        <f t="shared" si="19"/>
        <v>#NUM!</v>
      </c>
    </row>
    <row r="188" spans="1:11">
      <c r="A188" s="97">
        <f t="shared" si="10"/>
        <v>182</v>
      </c>
      <c r="B188" s="98"/>
      <c r="C188" s="102"/>
      <c r="D188" s="102"/>
      <c r="E188" s="858" t="s">
        <v>189</v>
      </c>
      <c r="F188" s="102"/>
      <c r="G188" s="102"/>
      <c r="H188" s="265">
        <f t="shared" si="16"/>
        <v>0</v>
      </c>
      <c r="I188" s="169" t="e">
        <f t="shared" si="17"/>
        <v>#NUM!</v>
      </c>
      <c r="J188" s="169" t="e">
        <f t="shared" si="18"/>
        <v>#NUM!</v>
      </c>
      <c r="K188" s="169" t="e">
        <f t="shared" si="19"/>
        <v>#NUM!</v>
      </c>
    </row>
    <row r="189" spans="1:11">
      <c r="A189" s="97">
        <f t="shared" si="10"/>
        <v>183</v>
      </c>
      <c r="B189" s="98"/>
      <c r="C189" s="102"/>
      <c r="D189" s="102"/>
      <c r="E189" s="858" t="s">
        <v>189</v>
      </c>
      <c r="F189" s="102"/>
      <c r="G189" s="102"/>
      <c r="H189" s="265">
        <f t="shared" si="16"/>
        <v>0</v>
      </c>
      <c r="I189" s="169" t="e">
        <f t="shared" si="17"/>
        <v>#NUM!</v>
      </c>
      <c r="J189" s="169" t="e">
        <f t="shared" si="18"/>
        <v>#NUM!</v>
      </c>
      <c r="K189" s="169" t="e">
        <f t="shared" si="19"/>
        <v>#NUM!</v>
      </c>
    </row>
    <row r="190" spans="1:11">
      <c r="A190" s="97">
        <f t="shared" si="10"/>
        <v>184</v>
      </c>
      <c r="B190" s="98"/>
      <c r="C190" s="102"/>
      <c r="D190" s="102"/>
      <c r="E190" s="858" t="s">
        <v>189</v>
      </c>
      <c r="F190" s="102"/>
      <c r="G190" s="102"/>
      <c r="H190" s="265">
        <f t="shared" si="16"/>
        <v>0</v>
      </c>
      <c r="I190" s="169" t="e">
        <f t="shared" si="17"/>
        <v>#NUM!</v>
      </c>
      <c r="J190" s="169" t="e">
        <f t="shared" si="18"/>
        <v>#NUM!</v>
      </c>
      <c r="K190" s="169" t="e">
        <f t="shared" si="19"/>
        <v>#NUM!</v>
      </c>
    </row>
    <row r="191" spans="1:11">
      <c r="A191" s="97">
        <f t="shared" si="10"/>
        <v>185</v>
      </c>
      <c r="B191" s="98"/>
      <c r="C191" s="102"/>
      <c r="D191" s="102"/>
      <c r="E191" s="858" t="s">
        <v>189</v>
      </c>
      <c r="F191" s="102"/>
      <c r="G191" s="102"/>
      <c r="H191" s="265">
        <f t="shared" si="16"/>
        <v>0</v>
      </c>
      <c r="I191" s="169" t="e">
        <f t="shared" si="17"/>
        <v>#NUM!</v>
      </c>
      <c r="J191" s="169" t="e">
        <f t="shared" si="18"/>
        <v>#NUM!</v>
      </c>
      <c r="K191" s="169" t="e">
        <f t="shared" si="19"/>
        <v>#NUM!</v>
      </c>
    </row>
    <row r="192" spans="1:11">
      <c r="A192" s="97">
        <f t="shared" si="10"/>
        <v>186</v>
      </c>
      <c r="B192" s="98"/>
      <c r="C192" s="102"/>
      <c r="D192" s="102"/>
      <c r="E192" s="858" t="s">
        <v>189</v>
      </c>
      <c r="F192" s="102"/>
      <c r="G192" s="102"/>
      <c r="H192" s="265">
        <f t="shared" si="16"/>
        <v>0</v>
      </c>
      <c r="I192" s="169" t="e">
        <f t="shared" si="17"/>
        <v>#NUM!</v>
      </c>
      <c r="J192" s="169" t="e">
        <f t="shared" si="18"/>
        <v>#NUM!</v>
      </c>
      <c r="K192" s="169" t="e">
        <f t="shared" si="19"/>
        <v>#NUM!</v>
      </c>
    </row>
    <row r="193" spans="1:11">
      <c r="A193" s="97">
        <f t="shared" si="10"/>
        <v>187</v>
      </c>
      <c r="B193" s="98"/>
      <c r="C193" s="102"/>
      <c r="D193" s="102"/>
      <c r="E193" s="858" t="s">
        <v>189</v>
      </c>
      <c r="F193" s="102"/>
      <c r="G193" s="102"/>
      <c r="H193" s="265">
        <f t="shared" si="16"/>
        <v>0</v>
      </c>
      <c r="I193" s="169" t="e">
        <f t="shared" si="17"/>
        <v>#NUM!</v>
      </c>
      <c r="J193" s="169" t="e">
        <f t="shared" si="18"/>
        <v>#NUM!</v>
      </c>
      <c r="K193" s="169" t="e">
        <f t="shared" si="19"/>
        <v>#NUM!</v>
      </c>
    </row>
    <row r="194" spans="1:11">
      <c r="A194" s="97">
        <f t="shared" si="10"/>
        <v>188</v>
      </c>
      <c r="B194" s="98"/>
      <c r="C194" s="102"/>
      <c r="D194" s="102"/>
      <c r="E194" s="858" t="s">
        <v>189</v>
      </c>
      <c r="F194" s="102"/>
      <c r="G194" s="102"/>
      <c r="H194" s="265">
        <f t="shared" si="16"/>
        <v>0</v>
      </c>
      <c r="I194" s="169" t="e">
        <f t="shared" si="17"/>
        <v>#NUM!</v>
      </c>
      <c r="J194" s="169" t="e">
        <f t="shared" si="18"/>
        <v>#NUM!</v>
      </c>
      <c r="K194" s="169" t="e">
        <f t="shared" si="19"/>
        <v>#NUM!</v>
      </c>
    </row>
    <row r="195" spans="1:11">
      <c r="A195" s="97">
        <f t="shared" si="10"/>
        <v>189</v>
      </c>
      <c r="B195" s="98"/>
      <c r="C195" s="102"/>
      <c r="D195" s="102"/>
      <c r="E195" s="858" t="s">
        <v>189</v>
      </c>
      <c r="F195" s="102"/>
      <c r="G195" s="102"/>
      <c r="H195" s="265">
        <f t="shared" si="16"/>
        <v>0</v>
      </c>
      <c r="I195" s="169" t="e">
        <f t="shared" si="17"/>
        <v>#NUM!</v>
      </c>
      <c r="J195" s="169" t="e">
        <f t="shared" si="18"/>
        <v>#NUM!</v>
      </c>
      <c r="K195" s="169" t="e">
        <f t="shared" si="19"/>
        <v>#NUM!</v>
      </c>
    </row>
    <row r="196" spans="1:11">
      <c r="A196" s="97">
        <f t="shared" si="10"/>
        <v>190</v>
      </c>
      <c r="B196" s="98"/>
      <c r="C196" s="102"/>
      <c r="D196" s="102"/>
      <c r="E196" s="858" t="s">
        <v>189</v>
      </c>
      <c r="F196" s="102"/>
      <c r="G196" s="102"/>
      <c r="H196" s="265">
        <f t="shared" si="16"/>
        <v>0</v>
      </c>
      <c r="I196" s="169" t="e">
        <f t="shared" si="17"/>
        <v>#NUM!</v>
      </c>
      <c r="J196" s="169" t="e">
        <f t="shared" si="18"/>
        <v>#NUM!</v>
      </c>
      <c r="K196" s="169" t="e">
        <f t="shared" si="19"/>
        <v>#NUM!</v>
      </c>
    </row>
    <row r="197" spans="1:11">
      <c r="A197" s="97">
        <f t="shared" si="10"/>
        <v>191</v>
      </c>
      <c r="B197" s="98"/>
      <c r="C197" s="102"/>
      <c r="D197" s="102"/>
      <c r="E197" s="858" t="s">
        <v>189</v>
      </c>
      <c r="F197" s="102"/>
      <c r="G197" s="102"/>
      <c r="H197" s="265">
        <f t="shared" si="16"/>
        <v>0</v>
      </c>
      <c r="I197" s="169" t="e">
        <f t="shared" si="17"/>
        <v>#NUM!</v>
      </c>
      <c r="J197" s="169" t="e">
        <f t="shared" si="18"/>
        <v>#NUM!</v>
      </c>
      <c r="K197" s="169" t="e">
        <f t="shared" si="19"/>
        <v>#NUM!</v>
      </c>
    </row>
    <row r="198" spans="1:11">
      <c r="A198" s="97">
        <f t="shared" si="10"/>
        <v>192</v>
      </c>
      <c r="B198" s="98"/>
      <c r="C198" s="102"/>
      <c r="D198" s="102"/>
      <c r="E198" s="858" t="s">
        <v>189</v>
      </c>
      <c r="F198" s="102"/>
      <c r="G198" s="102"/>
      <c r="H198" s="265">
        <f t="shared" si="16"/>
        <v>0</v>
      </c>
      <c r="I198" s="169" t="e">
        <f t="shared" si="17"/>
        <v>#NUM!</v>
      </c>
      <c r="J198" s="169" t="e">
        <f t="shared" si="18"/>
        <v>#NUM!</v>
      </c>
      <c r="K198" s="169" t="e">
        <f t="shared" si="19"/>
        <v>#NUM!</v>
      </c>
    </row>
    <row r="199" spans="1:11">
      <c r="A199" s="97">
        <f t="shared" si="10"/>
        <v>193</v>
      </c>
      <c r="B199" s="98"/>
      <c r="C199" s="102"/>
      <c r="D199" s="102"/>
      <c r="E199" s="858" t="s">
        <v>189</v>
      </c>
      <c r="F199" s="102"/>
      <c r="G199" s="102"/>
      <c r="H199" s="265">
        <f t="shared" si="16"/>
        <v>0</v>
      </c>
      <c r="I199" s="169" t="e">
        <f t="shared" si="17"/>
        <v>#NUM!</v>
      </c>
      <c r="J199" s="169" t="e">
        <f t="shared" si="18"/>
        <v>#NUM!</v>
      </c>
      <c r="K199" s="169" t="e">
        <f t="shared" si="19"/>
        <v>#NUM!</v>
      </c>
    </row>
    <row r="200" spans="1:11">
      <c r="A200" s="97">
        <f t="shared" si="10"/>
        <v>194</v>
      </c>
      <c r="B200" s="98"/>
      <c r="C200" s="102"/>
      <c r="D200" s="102"/>
      <c r="E200" s="858" t="s">
        <v>189</v>
      </c>
      <c r="F200" s="102"/>
      <c r="G200" s="102"/>
      <c r="H200" s="265">
        <f t="shared" si="16"/>
        <v>0</v>
      </c>
      <c r="I200" s="169" t="e">
        <f t="shared" si="17"/>
        <v>#NUM!</v>
      </c>
      <c r="J200" s="169" t="e">
        <f t="shared" si="18"/>
        <v>#NUM!</v>
      </c>
      <c r="K200" s="169" t="e">
        <f t="shared" si="19"/>
        <v>#NUM!</v>
      </c>
    </row>
  </sheetData>
  <customSheetViews>
    <customSheetView guid="{CFA9FB8A-52FF-44B9-AE70-27339693E196}" scale="90" topLeftCell="H1">
      <pane ySplit="6" topLeftCell="A128" activePane="bottomLeft" state="frozen"/>
      <selection pane="bottomLeft" activeCell="K2" sqref="K2"/>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132:D200">
      <formula1>counties</formula1>
    </dataValidation>
  </dataValidations>
  <printOptions horizontalCentered="1"/>
  <pageMargins left="0.75" right="0.75" top="1.25" bottom="0.5" header="0.5" footer="0"/>
  <pageSetup scale="74" firstPageNumber="161" fitToHeight="10" orientation="landscape" useFirstPageNumber="1" r:id="rId1"/>
  <headerFooter scaleWithDoc="0">
    <oddFooter>&amp;CPage &amp;P of 172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131" activePane="bottomLeft" state="frozen"/>
      <selection pane="bottomLeft" activeCell="D6" sqref="D6"/>
    </sheetView>
    <sheetView workbookViewId="1">
      <pane ySplit="11" topLeftCell="A12" activePane="bottomLeft" state="frozen"/>
      <selection pane="bottomLeft" activeCell="K8" sqref="K8"/>
    </sheetView>
  </sheetViews>
  <sheetFormatPr defaultRowHeight="15"/>
  <cols>
    <col min="5" max="5" width="8.109375" customWidth="1"/>
    <col min="11" max="11" width="7.88671875" bestFit="1" customWidth="1"/>
  </cols>
  <sheetData>
    <row r="1" spans="1:16" s="918" customFormat="1" ht="30" customHeight="1" thickTop="1" thickBot="1">
      <c r="A1" s="1212" t="s">
        <v>1277</v>
      </c>
      <c r="B1" s="1213"/>
      <c r="C1" s="1213"/>
      <c r="D1" s="1213"/>
      <c r="E1" s="1213"/>
      <c r="F1" s="1213"/>
      <c r="G1" s="1213"/>
      <c r="H1" s="1213"/>
      <c r="I1" s="1214"/>
    </row>
    <row r="2" spans="1:16" s="918" customFormat="1" ht="16.5" thickTop="1">
      <c r="A2" s="987"/>
      <c r="B2" s="842"/>
      <c r="C2" s="842" t="s">
        <v>213</v>
      </c>
      <c r="D2" s="842" t="s">
        <v>214</v>
      </c>
      <c r="E2" s="842" t="s">
        <v>571</v>
      </c>
      <c r="F2" s="36"/>
      <c r="G2" s="36"/>
      <c r="H2" s="36"/>
      <c r="I2" s="988"/>
    </row>
    <row r="3" spans="1:16" s="918" customFormat="1">
      <c r="A3" s="987"/>
      <c r="B3" s="40" t="s">
        <v>1030</v>
      </c>
      <c r="C3" s="40">
        <f>COUNT(G12:G210)</f>
        <v>128</v>
      </c>
      <c r="D3" s="40">
        <f>COUNT(H12:H210)</f>
        <v>128</v>
      </c>
      <c r="E3" s="40">
        <f>COUNT(I12:I210)</f>
        <v>128</v>
      </c>
      <c r="F3" s="36"/>
      <c r="G3" s="36"/>
      <c r="H3" s="36"/>
      <c r="I3" s="988"/>
    </row>
    <row r="4" spans="1:16" s="918" customFormat="1">
      <c r="A4" s="987"/>
      <c r="B4" s="40">
        <v>0.05</v>
      </c>
      <c r="C4" s="872">
        <f>EXP(INDEX(G12:G139,C3*$B$4)+(INDEX(G12:G139,C3*$B$4+1)-INDEX(G12:G139,C3*$B$4))*(C3*$B$4-INT(C3*$B$4)))</f>
        <v>10.000000000000002</v>
      </c>
      <c r="D4" s="872">
        <f>EXP(INDEX(H12:H139,D3*$B$4)+(INDEX(H12:H139,D3*$B$4+1)-INDEX(H12:H139,D3*$B$4))*(D3*$B$4-INT(D3*$B$4)))</f>
        <v>0.10000000000000002</v>
      </c>
      <c r="E4" s="872">
        <f>EXP(INDEX(I12:I139,E3*$B$4)+(INDEX(I12:I139,E3*$B$4+1)-INDEX(I12:I139,E3*$B$4))*(E3*$B$4-INT(E3*$B$4)))</f>
        <v>5.6818181818181826E-4</v>
      </c>
      <c r="F4" s="36"/>
      <c r="G4" s="36"/>
      <c r="H4" s="36"/>
      <c r="I4" s="988"/>
    </row>
    <row r="5" spans="1:16" s="918" customFormat="1">
      <c r="A5" s="987"/>
      <c r="B5" s="40" t="s">
        <v>1031</v>
      </c>
      <c r="C5" s="872">
        <f>EXP(MODE(G12:G139))</f>
        <v>10.000000000000002</v>
      </c>
      <c r="D5" s="872">
        <f>EXP(MODE(H12:H139))</f>
        <v>0.10000000000000002</v>
      </c>
      <c r="E5" s="872">
        <f>EXP(MODE(I12:I139))</f>
        <v>5.6818181818181826E-4</v>
      </c>
      <c r="F5" s="36"/>
      <c r="G5" s="36"/>
      <c r="H5" s="36"/>
      <c r="I5" s="988"/>
    </row>
    <row r="6" spans="1:16" s="918" customFormat="1">
      <c r="A6" s="987"/>
      <c r="B6" s="40" t="s">
        <v>1032</v>
      </c>
      <c r="C6" s="872">
        <f>EXP(MEDIAN(G12:G139))</f>
        <v>100.00000000000004</v>
      </c>
      <c r="D6" s="872">
        <f>EXP(MEDIAN(H12:H139))</f>
        <v>2.4454038521274968</v>
      </c>
      <c r="E6" s="872">
        <f>EXP(MEDIAN(I12:I139))</f>
        <v>0.16613853996833458</v>
      </c>
      <c r="F6" s="36"/>
      <c r="G6" s="36"/>
      <c r="H6" s="36"/>
      <c r="I6" s="988"/>
    </row>
    <row r="7" spans="1:16" s="918" customFormat="1">
      <c r="A7" s="987"/>
      <c r="B7" s="40" t="s">
        <v>1033</v>
      </c>
      <c r="C7" s="872">
        <f>EXP(AVERAGE(G12:G139))</f>
        <v>84.89633378295764</v>
      </c>
      <c r="D7" s="872">
        <f>EXP(AVERAGE(H12:H139))</f>
        <v>1.5092756352066616</v>
      </c>
      <c r="E7" s="872">
        <f>EXP(AVERAGE(I12:I139))</f>
        <v>7.2802254600563179E-2</v>
      </c>
      <c r="F7" s="36"/>
      <c r="G7" s="36"/>
      <c r="H7" s="36"/>
      <c r="I7" s="988"/>
    </row>
    <row r="8" spans="1:16" s="918" customFormat="1">
      <c r="A8" s="987"/>
      <c r="B8" s="40" t="s">
        <v>158</v>
      </c>
      <c r="C8" s="872">
        <f>AVERAGE(B12:B139)</f>
        <v>226.5234375</v>
      </c>
      <c r="D8" s="872">
        <f>AVERAGE(C12:C139)</f>
        <v>4.5534374999999994</v>
      </c>
      <c r="E8" s="872">
        <f>AVERAGE(D12:D139)</f>
        <v>0.87770205965909076</v>
      </c>
      <c r="F8" s="36"/>
      <c r="G8" s="36"/>
      <c r="H8" s="36"/>
      <c r="I8" s="988"/>
    </row>
    <row r="9" spans="1:16" s="918" customFormat="1">
      <c r="A9" s="987"/>
      <c r="B9" s="40">
        <v>0.95</v>
      </c>
      <c r="C9" s="872">
        <f>EXP(INDEX(G12:G139,C3*$B$9)+(INDEX(G12:G139,C3*$B$9+1)-INDEX(G12:G139,C3*$B$9))*(C3*$B$9-INT(C3*$B$9)))</f>
        <v>1059.9901180354104</v>
      </c>
      <c r="D9" s="872">
        <f>EXP(INDEX(H12:H139,D3*$B$9)+(INDEX(H12:H139,D3*$B$9+1)-INDEX(H12:H139,D3*$B$9))*(D3*$B$9-INT(D3*$B$9)))</f>
        <v>16.059925217933152</v>
      </c>
      <c r="E9" s="872">
        <f>EXP(INDEX(I12:I139,E3*$B$9)+(INDEX(I12:I139,E3*$B$9+1)-INDEX(I12:I139,E3*$B$9))*(E3*$B$9-INT(E3*$B$9)))</f>
        <v>4.772436350336581</v>
      </c>
      <c r="F9" s="36"/>
      <c r="G9" s="36"/>
      <c r="H9" s="36"/>
      <c r="I9" s="988"/>
    </row>
    <row r="10" spans="1:16" s="918" customFormat="1" ht="15.75" thickBot="1">
      <c r="A10" s="987"/>
      <c r="B10" s="36"/>
      <c r="C10" s="36"/>
      <c r="D10" s="36"/>
      <c r="E10" s="36"/>
      <c r="F10" s="36"/>
      <c r="G10" s="36"/>
      <c r="H10" s="36"/>
      <c r="I10" s="988"/>
    </row>
    <row r="11" spans="1:16" s="315" customFormat="1" ht="17.25" thickTop="1" thickBot="1">
      <c r="A11" s="989" t="s">
        <v>1024</v>
      </c>
      <c r="B11" s="989" t="s">
        <v>213</v>
      </c>
      <c r="C11" s="989" t="s">
        <v>214</v>
      </c>
      <c r="D11" s="989" t="s">
        <v>571</v>
      </c>
      <c r="E11" s="990" t="s">
        <v>1025</v>
      </c>
      <c r="F11" s="989" t="s">
        <v>1026</v>
      </c>
      <c r="G11" s="989" t="s">
        <v>1027</v>
      </c>
      <c r="H11" s="989" t="s">
        <v>1028</v>
      </c>
      <c r="I11" s="989" t="s">
        <v>1029</v>
      </c>
      <c r="J11" s="842"/>
      <c r="O11" s="842"/>
      <c r="P11" s="842"/>
    </row>
    <row r="12" spans="1:16" ht="15.75" thickTop="1">
      <c r="A12" s="40">
        <v>1</v>
      </c>
      <c r="B12" s="40">
        <v>10</v>
      </c>
      <c r="C12" s="40">
        <v>0.1</v>
      </c>
      <c r="D12" s="40">
        <v>5.6818181818181826E-4</v>
      </c>
      <c r="E12" s="40">
        <f>(A12-0.5)/128</f>
        <v>3.90625E-3</v>
      </c>
      <c r="F12" s="40">
        <f>NORMSINV(E12)</f>
        <v>-2.6600674686174592</v>
      </c>
      <c r="G12" s="40">
        <f>LN(B12)</f>
        <v>2.3025850929940459</v>
      </c>
      <c r="H12" s="40">
        <f>LN(C12)</f>
        <v>-2.3025850929940455</v>
      </c>
      <c r="I12" s="40">
        <f>LN(D12)</f>
        <v>-7.4730690880321973</v>
      </c>
      <c r="J12" s="40"/>
      <c r="O12" s="40"/>
      <c r="P12" s="40"/>
    </row>
    <row r="13" spans="1:16">
      <c r="A13" s="40">
        <v>2</v>
      </c>
      <c r="B13" s="40">
        <v>10</v>
      </c>
      <c r="C13" s="40">
        <v>0.1</v>
      </c>
      <c r="D13" s="40">
        <v>5.6818181818181826E-4</v>
      </c>
      <c r="E13" s="40">
        <f t="shared" ref="E13:E76" si="0">(A13-0.5)/128</f>
        <v>1.171875E-2</v>
      </c>
      <c r="F13" s="40">
        <f t="shared" ref="F13:F76" si="1">NORMSINV(E13)</f>
        <v>-2.2662268092096522</v>
      </c>
      <c r="G13" s="40">
        <f t="shared" ref="G13:I76" si="2">LN(B13)</f>
        <v>2.3025850929940459</v>
      </c>
      <c r="H13" s="40">
        <f t="shared" si="2"/>
        <v>-2.3025850929940455</v>
      </c>
      <c r="I13" s="40">
        <f t="shared" si="2"/>
        <v>-7.4730690880321973</v>
      </c>
      <c r="J13" s="40"/>
      <c r="O13" s="40"/>
      <c r="P13" s="40"/>
    </row>
    <row r="14" spans="1:16">
      <c r="A14" s="40">
        <v>3</v>
      </c>
      <c r="B14" s="40">
        <v>10</v>
      </c>
      <c r="C14" s="40">
        <v>0.1</v>
      </c>
      <c r="D14" s="40">
        <v>5.6818181818181826E-4</v>
      </c>
      <c r="E14" s="40">
        <f t="shared" si="0"/>
        <v>1.953125E-2</v>
      </c>
      <c r="F14" s="40">
        <f t="shared" si="1"/>
        <v>-2.0635278983162442</v>
      </c>
      <c r="G14" s="40">
        <f t="shared" si="2"/>
        <v>2.3025850929940459</v>
      </c>
      <c r="H14" s="40">
        <f t="shared" si="2"/>
        <v>-2.3025850929940455</v>
      </c>
      <c r="I14" s="40">
        <f t="shared" si="2"/>
        <v>-7.4730690880321973</v>
      </c>
      <c r="J14" s="40"/>
      <c r="O14" s="40"/>
      <c r="P14" s="40"/>
    </row>
    <row r="15" spans="1:16">
      <c r="A15" s="40">
        <v>4</v>
      </c>
      <c r="B15" s="40">
        <v>10</v>
      </c>
      <c r="C15" s="40">
        <v>0.1</v>
      </c>
      <c r="D15" s="40">
        <v>5.6818181818181826E-4</v>
      </c>
      <c r="E15" s="40">
        <f t="shared" si="0"/>
        <v>2.734375E-2</v>
      </c>
      <c r="F15" s="40">
        <f t="shared" si="1"/>
        <v>-1.921350774293703</v>
      </c>
      <c r="G15" s="40">
        <f t="shared" si="2"/>
        <v>2.3025850929940459</v>
      </c>
      <c r="H15" s="40">
        <f t="shared" si="2"/>
        <v>-2.3025850929940455</v>
      </c>
      <c r="I15" s="40">
        <f t="shared" si="2"/>
        <v>-7.4730690880321973</v>
      </c>
      <c r="J15" s="40"/>
      <c r="O15" s="40"/>
      <c r="P15" s="40"/>
    </row>
    <row r="16" spans="1:16">
      <c r="A16" s="40">
        <v>5</v>
      </c>
      <c r="B16" s="40">
        <v>10</v>
      </c>
      <c r="C16" s="40">
        <v>0.1</v>
      </c>
      <c r="D16" s="40">
        <v>5.6818181818181826E-4</v>
      </c>
      <c r="E16" s="40">
        <f t="shared" si="0"/>
        <v>3.515625E-2</v>
      </c>
      <c r="F16" s="40">
        <f t="shared" si="1"/>
        <v>-1.8098922384806082</v>
      </c>
      <c r="G16" s="40">
        <f t="shared" si="2"/>
        <v>2.3025850929940459</v>
      </c>
      <c r="H16" s="40">
        <f t="shared" si="2"/>
        <v>-2.3025850929940455</v>
      </c>
      <c r="I16" s="40">
        <f t="shared" si="2"/>
        <v>-7.4730690880321973</v>
      </c>
      <c r="J16" s="40"/>
      <c r="O16" s="40"/>
      <c r="P16" s="40"/>
    </row>
    <row r="17" spans="1:16">
      <c r="A17" s="40">
        <v>6</v>
      </c>
      <c r="B17" s="40">
        <v>10</v>
      </c>
      <c r="C17" s="40">
        <v>0.1</v>
      </c>
      <c r="D17" s="40">
        <v>5.6818181818181826E-4</v>
      </c>
      <c r="E17" s="40">
        <f t="shared" si="0"/>
        <v>4.296875E-2</v>
      </c>
      <c r="F17" s="40">
        <f t="shared" si="1"/>
        <v>-1.7172281175057413</v>
      </c>
      <c r="G17" s="40">
        <f t="shared" si="2"/>
        <v>2.3025850929940459</v>
      </c>
      <c r="H17" s="40">
        <f t="shared" si="2"/>
        <v>-2.3025850929940455</v>
      </c>
      <c r="I17" s="40">
        <f t="shared" si="2"/>
        <v>-7.4730690880321973</v>
      </c>
      <c r="J17" s="40"/>
      <c r="O17" s="40"/>
      <c r="P17" s="40"/>
    </row>
    <row r="18" spans="1:16">
      <c r="A18" s="40">
        <v>7</v>
      </c>
      <c r="B18" s="40">
        <v>10</v>
      </c>
      <c r="C18" s="40">
        <v>0.1</v>
      </c>
      <c r="D18" s="40">
        <v>5.6818181818181826E-4</v>
      </c>
      <c r="E18" s="40">
        <f t="shared" si="0"/>
        <v>5.078125E-2</v>
      </c>
      <c r="F18" s="40">
        <f t="shared" si="1"/>
        <v>-1.6373253827680638</v>
      </c>
      <c r="G18" s="40">
        <f t="shared" si="2"/>
        <v>2.3025850929940459</v>
      </c>
      <c r="H18" s="40">
        <f t="shared" si="2"/>
        <v>-2.3025850929940455</v>
      </c>
      <c r="I18" s="40">
        <f t="shared" si="2"/>
        <v>-7.4730690880321973</v>
      </c>
      <c r="J18" s="40"/>
      <c r="O18" s="40"/>
      <c r="P18" s="40"/>
    </row>
    <row r="19" spans="1:16">
      <c r="A19" s="40">
        <v>8</v>
      </c>
      <c r="B19" s="40">
        <v>10</v>
      </c>
      <c r="C19" s="40">
        <v>0.1</v>
      </c>
      <c r="D19" s="40">
        <v>5.6818181818181826E-4</v>
      </c>
      <c r="E19" s="40">
        <f t="shared" si="0"/>
        <v>5.859375E-2</v>
      </c>
      <c r="F19" s="40">
        <f t="shared" si="1"/>
        <v>-1.566688586068413</v>
      </c>
      <c r="G19" s="40">
        <f t="shared" si="2"/>
        <v>2.3025850929940459</v>
      </c>
      <c r="H19" s="40">
        <f t="shared" si="2"/>
        <v>-2.3025850929940455</v>
      </c>
      <c r="I19" s="40">
        <f t="shared" si="2"/>
        <v>-7.4730690880321973</v>
      </c>
      <c r="J19" s="40"/>
      <c r="M19" s="40"/>
      <c r="N19" s="40"/>
      <c r="O19" s="40"/>
      <c r="P19" s="40"/>
    </row>
    <row r="20" spans="1:16">
      <c r="A20" s="40">
        <v>9</v>
      </c>
      <c r="B20" s="40">
        <v>10</v>
      </c>
      <c r="C20" s="40">
        <v>0.1</v>
      </c>
      <c r="D20" s="40">
        <v>5.6818181818181826E-4</v>
      </c>
      <c r="E20" s="40">
        <f t="shared" si="0"/>
        <v>6.640625E-2</v>
      </c>
      <c r="F20" s="40">
        <f t="shared" si="1"/>
        <v>-1.5031029431292737</v>
      </c>
      <c r="G20" s="40">
        <f t="shared" si="2"/>
        <v>2.3025850929940459</v>
      </c>
      <c r="H20" s="40">
        <f t="shared" si="2"/>
        <v>-2.3025850929940455</v>
      </c>
      <c r="I20" s="40">
        <f t="shared" si="2"/>
        <v>-7.4730690880321973</v>
      </c>
      <c r="J20" s="40"/>
      <c r="O20" s="40"/>
      <c r="P20" s="40"/>
    </row>
    <row r="21" spans="1:16">
      <c r="A21" s="40">
        <v>10</v>
      </c>
      <c r="B21" s="40">
        <v>10</v>
      </c>
      <c r="C21" s="40">
        <v>0.1</v>
      </c>
      <c r="D21" s="40">
        <v>5.6818181818181826E-4</v>
      </c>
      <c r="E21" s="40">
        <f t="shared" si="0"/>
        <v>7.421875E-2</v>
      </c>
      <c r="F21" s="40">
        <f t="shared" si="1"/>
        <v>-1.4450725798180741</v>
      </c>
      <c r="G21" s="40">
        <f t="shared" si="2"/>
        <v>2.3025850929940459</v>
      </c>
      <c r="H21" s="40">
        <f t="shared" si="2"/>
        <v>-2.3025850929940455</v>
      </c>
      <c r="I21" s="40">
        <f t="shared" si="2"/>
        <v>-7.4730690880321973</v>
      </c>
      <c r="J21" s="40"/>
      <c r="M21" s="40"/>
      <c r="N21" s="40"/>
      <c r="O21" s="40"/>
      <c r="P21" s="40"/>
    </row>
    <row r="22" spans="1:16">
      <c r="A22" s="40">
        <v>11</v>
      </c>
      <c r="B22" s="40">
        <v>10</v>
      </c>
      <c r="C22" s="40">
        <v>0.1</v>
      </c>
      <c r="D22" s="40">
        <v>5.6818181818181826E-4</v>
      </c>
      <c r="E22" s="40">
        <f t="shared" si="0"/>
        <v>8.203125E-2</v>
      </c>
      <c r="F22" s="40">
        <f t="shared" si="1"/>
        <v>-1.3915374879959002</v>
      </c>
      <c r="G22" s="40">
        <f t="shared" si="2"/>
        <v>2.3025850929940459</v>
      </c>
      <c r="H22" s="40">
        <f t="shared" si="2"/>
        <v>-2.3025850929940455</v>
      </c>
      <c r="I22" s="40">
        <f t="shared" si="2"/>
        <v>-7.4730690880321973</v>
      </c>
      <c r="J22" s="40"/>
      <c r="M22" s="40"/>
      <c r="N22" s="40"/>
      <c r="O22" s="40"/>
      <c r="P22" s="40"/>
    </row>
    <row r="23" spans="1:16">
      <c r="A23" s="40">
        <v>12</v>
      </c>
      <c r="B23" s="40">
        <v>10</v>
      </c>
      <c r="C23" s="40">
        <v>0.1</v>
      </c>
      <c r="D23" s="40">
        <v>5.6818181818181826E-4</v>
      </c>
      <c r="E23" s="40">
        <f t="shared" si="0"/>
        <v>8.984375E-2</v>
      </c>
      <c r="F23" s="40">
        <f t="shared" si="1"/>
        <v>-1.3417178410802544</v>
      </c>
      <c r="G23" s="40">
        <f t="shared" si="2"/>
        <v>2.3025850929940459</v>
      </c>
      <c r="H23" s="40">
        <f t="shared" si="2"/>
        <v>-2.3025850929940455</v>
      </c>
      <c r="I23" s="40">
        <f t="shared" si="2"/>
        <v>-7.4730690880321973</v>
      </c>
      <c r="J23" s="40"/>
      <c r="M23" s="40"/>
      <c r="N23" s="40"/>
      <c r="O23" s="40"/>
      <c r="P23" s="40"/>
    </row>
    <row r="24" spans="1:16">
      <c r="A24" s="40">
        <v>13</v>
      </c>
      <c r="B24" s="40">
        <v>10</v>
      </c>
      <c r="C24" s="40">
        <v>0.1</v>
      </c>
      <c r="D24" s="40">
        <v>5.6818181818181826E-4</v>
      </c>
      <c r="E24" s="40">
        <f t="shared" si="0"/>
        <v>9.765625E-2</v>
      </c>
      <c r="F24" s="40">
        <f t="shared" si="1"/>
        <v>-1.2950224067058156</v>
      </c>
      <c r="G24" s="40">
        <f t="shared" si="2"/>
        <v>2.3025850929940459</v>
      </c>
      <c r="H24" s="40">
        <f t="shared" si="2"/>
        <v>-2.3025850929940455</v>
      </c>
      <c r="I24" s="40">
        <f t="shared" si="2"/>
        <v>-7.4730690880321973</v>
      </c>
      <c r="J24" s="40"/>
      <c r="M24" s="40"/>
      <c r="N24" s="40"/>
      <c r="O24" s="40"/>
      <c r="P24" s="40"/>
    </row>
    <row r="25" spans="1:16">
      <c r="A25" s="40">
        <v>14</v>
      </c>
      <c r="B25" s="40">
        <v>10</v>
      </c>
      <c r="C25" s="40">
        <v>0.1</v>
      </c>
      <c r="D25" s="40">
        <v>5.6818181818181826E-4</v>
      </c>
      <c r="E25" s="40">
        <f t="shared" si="0"/>
        <v>0.10546875</v>
      </c>
      <c r="F25" s="40">
        <f t="shared" si="1"/>
        <v>-1.2509917154625458</v>
      </c>
      <c r="G25" s="40">
        <f t="shared" si="2"/>
        <v>2.3025850929940459</v>
      </c>
      <c r="H25" s="40">
        <f t="shared" si="2"/>
        <v>-2.3025850929940455</v>
      </c>
      <c r="I25" s="40">
        <f t="shared" si="2"/>
        <v>-7.4730690880321973</v>
      </c>
      <c r="J25" s="40"/>
      <c r="M25" s="40"/>
      <c r="N25" s="40"/>
      <c r="O25" s="40"/>
      <c r="P25" s="40"/>
    </row>
    <row r="26" spans="1:16">
      <c r="A26" s="40">
        <v>15</v>
      </c>
      <c r="B26" s="40">
        <v>10</v>
      </c>
      <c r="C26" s="40">
        <v>0.1</v>
      </c>
      <c r="D26" s="40">
        <v>5.6818181818181826E-4</v>
      </c>
      <c r="E26" s="40">
        <f t="shared" si="0"/>
        <v>0.11328125</v>
      </c>
      <c r="F26" s="40">
        <f t="shared" si="1"/>
        <v>-1.2092612317091556</v>
      </c>
      <c r="G26" s="40">
        <f t="shared" si="2"/>
        <v>2.3025850929940459</v>
      </c>
      <c r="H26" s="40">
        <f t="shared" si="2"/>
        <v>-2.3025850929940455</v>
      </c>
      <c r="I26" s="40">
        <f t="shared" si="2"/>
        <v>-7.4730690880321973</v>
      </c>
      <c r="J26" s="40"/>
      <c r="M26" s="40"/>
      <c r="N26" s="40"/>
      <c r="O26" s="40"/>
      <c r="P26" s="40"/>
    </row>
    <row r="27" spans="1:16">
      <c r="A27" s="40">
        <v>16</v>
      </c>
      <c r="B27" s="40">
        <v>10</v>
      </c>
      <c r="C27" s="40">
        <v>0.1</v>
      </c>
      <c r="D27" s="40">
        <v>5.6818181818181826E-4</v>
      </c>
      <c r="E27" s="40">
        <f t="shared" si="0"/>
        <v>0.12109375</v>
      </c>
      <c r="F27" s="40">
        <f t="shared" si="1"/>
        <v>-1.1695366102071427</v>
      </c>
      <c r="G27" s="40">
        <f t="shared" si="2"/>
        <v>2.3025850929940459</v>
      </c>
      <c r="H27" s="40">
        <f t="shared" si="2"/>
        <v>-2.3025850929940455</v>
      </c>
      <c r="I27" s="40">
        <f t="shared" si="2"/>
        <v>-7.4730690880321973</v>
      </c>
      <c r="J27" s="40"/>
      <c r="M27" s="40"/>
      <c r="N27" s="40"/>
      <c r="O27" s="40"/>
      <c r="P27" s="40"/>
    </row>
    <row r="28" spans="1:16">
      <c r="A28" s="40">
        <v>17</v>
      </c>
      <c r="B28" s="40">
        <v>10</v>
      </c>
      <c r="C28" s="40">
        <v>0.1</v>
      </c>
      <c r="D28" s="40">
        <v>5.6818181818181826E-4</v>
      </c>
      <c r="E28" s="40">
        <f t="shared" si="0"/>
        <v>0.12890625</v>
      </c>
      <c r="F28" s="40">
        <f t="shared" si="1"/>
        <v>-1.1315765583861888</v>
      </c>
      <c r="G28" s="40">
        <f t="shared" si="2"/>
        <v>2.3025850929940459</v>
      </c>
      <c r="H28" s="40">
        <f t="shared" si="2"/>
        <v>-2.3025850929940455</v>
      </c>
      <c r="I28" s="40">
        <f t="shared" si="2"/>
        <v>-7.4730690880321973</v>
      </c>
      <c r="J28" s="40"/>
      <c r="M28" s="40"/>
      <c r="N28" s="40"/>
      <c r="O28" s="40"/>
      <c r="P28" s="40"/>
    </row>
    <row r="29" spans="1:16">
      <c r="A29" s="40">
        <v>18</v>
      </c>
      <c r="B29" s="40">
        <v>10</v>
      </c>
      <c r="C29" s="40">
        <v>0.1</v>
      </c>
      <c r="D29" s="40">
        <v>5.6818181818181826E-4</v>
      </c>
      <c r="E29" s="40">
        <f t="shared" si="0"/>
        <v>0.13671875</v>
      </c>
      <c r="F29" s="40">
        <f t="shared" si="1"/>
        <v>-1.0951806527613885</v>
      </c>
      <c r="G29" s="40">
        <f t="shared" si="2"/>
        <v>2.3025850929940459</v>
      </c>
      <c r="H29" s="40">
        <f t="shared" si="2"/>
        <v>-2.3025850929940455</v>
      </c>
      <c r="I29" s="40">
        <f t="shared" si="2"/>
        <v>-7.4730690880321973</v>
      </c>
      <c r="J29" s="40"/>
      <c r="M29" s="40"/>
      <c r="N29" s="40"/>
      <c r="O29" s="40"/>
      <c r="P29" s="40"/>
    </row>
    <row r="30" spans="1:16">
      <c r="A30" s="40">
        <v>19</v>
      </c>
      <c r="B30" s="40">
        <v>10</v>
      </c>
      <c r="C30" s="40">
        <v>0.1</v>
      </c>
      <c r="D30" s="40">
        <v>5.6818181818181826E-4</v>
      </c>
      <c r="E30" s="40">
        <f t="shared" si="0"/>
        <v>0.14453125</v>
      </c>
      <c r="F30" s="40">
        <f t="shared" si="1"/>
        <v>-1.0601804794353551</v>
      </c>
      <c r="G30" s="40">
        <f t="shared" si="2"/>
        <v>2.3025850929940459</v>
      </c>
      <c r="H30" s="40">
        <f t="shared" si="2"/>
        <v>-2.3025850929940455</v>
      </c>
      <c r="I30" s="40">
        <f t="shared" si="2"/>
        <v>-7.4730690880321973</v>
      </c>
      <c r="J30" s="40"/>
      <c r="M30" s="40"/>
      <c r="N30" s="40"/>
      <c r="O30" s="40"/>
      <c r="P30" s="40"/>
    </row>
    <row r="31" spans="1:16">
      <c r="A31" s="40">
        <v>20</v>
      </c>
      <c r="B31" s="40">
        <v>10</v>
      </c>
      <c r="C31" s="40">
        <v>0.1</v>
      </c>
      <c r="D31" s="40">
        <v>5.6818181818181826E-4</v>
      </c>
      <c r="E31" s="40">
        <f t="shared" si="0"/>
        <v>0.15234375</v>
      </c>
      <c r="F31" s="40">
        <f t="shared" si="1"/>
        <v>-1.0264330631379093</v>
      </c>
      <c r="G31" s="40">
        <f t="shared" si="2"/>
        <v>2.3025850929940459</v>
      </c>
      <c r="H31" s="40">
        <f t="shared" si="2"/>
        <v>-2.3025850929940455</v>
      </c>
      <c r="I31" s="40">
        <f t="shared" si="2"/>
        <v>-7.4730690880321973</v>
      </c>
      <c r="J31" s="40"/>
    </row>
    <row r="32" spans="1:16">
      <c r="A32" s="40">
        <v>21</v>
      </c>
      <c r="B32" s="40">
        <v>10</v>
      </c>
      <c r="C32" s="40">
        <v>0.1</v>
      </c>
      <c r="D32" s="40">
        <v>5.6818181818181826E-4</v>
      </c>
      <c r="E32" s="40">
        <f t="shared" si="0"/>
        <v>0.16015625</v>
      </c>
      <c r="F32" s="40">
        <f t="shared" si="1"/>
        <v>-0.99381590786088292</v>
      </c>
      <c r="G32" s="40">
        <f t="shared" si="2"/>
        <v>2.3025850929940459</v>
      </c>
      <c r="H32" s="40">
        <f t="shared" si="2"/>
        <v>-2.3025850929940455</v>
      </c>
      <c r="I32" s="40">
        <f t="shared" si="2"/>
        <v>-7.4730690880321973</v>
      </c>
      <c r="J32" s="40"/>
      <c r="M32" s="835"/>
    </row>
    <row r="33" spans="1:16">
      <c r="A33" s="40">
        <v>22</v>
      </c>
      <c r="B33" s="40">
        <v>10</v>
      </c>
      <c r="C33" s="40">
        <v>0.1</v>
      </c>
      <c r="D33" s="40">
        <v>5.6818181818181826E-4</v>
      </c>
      <c r="E33" s="40">
        <f t="shared" si="0"/>
        <v>0.16796875</v>
      </c>
      <c r="F33" s="40">
        <f t="shared" si="1"/>
        <v>-0.96222319529541966</v>
      </c>
      <c r="G33" s="40">
        <f t="shared" si="2"/>
        <v>2.3025850929940459</v>
      </c>
      <c r="H33" s="40">
        <f t="shared" si="2"/>
        <v>-2.3025850929940455</v>
      </c>
      <c r="I33" s="40">
        <f t="shared" si="2"/>
        <v>-7.4730690880321973</v>
      </c>
      <c r="J33" s="40"/>
    </row>
    <row r="34" spans="1:16">
      <c r="A34" s="40">
        <v>23</v>
      </c>
      <c r="B34" s="40">
        <v>10</v>
      </c>
      <c r="C34" s="40">
        <v>0.1</v>
      </c>
      <c r="D34" s="40">
        <v>5.6818181818181826E-4</v>
      </c>
      <c r="E34" s="40">
        <f t="shared" si="0"/>
        <v>0.17578125</v>
      </c>
      <c r="F34" s="40">
        <f t="shared" si="1"/>
        <v>-0.93156283000711515</v>
      </c>
      <c r="G34" s="40">
        <f t="shared" si="2"/>
        <v>2.3025850929940459</v>
      </c>
      <c r="H34" s="40">
        <f t="shared" si="2"/>
        <v>-2.3025850929940455</v>
      </c>
      <c r="I34" s="40">
        <f t="shared" si="2"/>
        <v>-7.4730690880321973</v>
      </c>
      <c r="J34" s="40"/>
      <c r="K34" s="40"/>
      <c r="N34" s="40"/>
      <c r="O34" s="40"/>
      <c r="P34" s="40"/>
    </row>
    <row r="35" spans="1:16">
      <c r="A35" s="40">
        <v>24</v>
      </c>
      <c r="B35" s="40">
        <v>10</v>
      </c>
      <c r="C35" s="40">
        <v>0.1</v>
      </c>
      <c r="D35" s="40">
        <v>5.6818181818181826E-4</v>
      </c>
      <c r="E35" s="40">
        <f t="shared" si="0"/>
        <v>0.18359375</v>
      </c>
      <c r="F35" s="40">
        <f t="shared" si="1"/>
        <v>-0.90175411383009907</v>
      </c>
      <c r="G35" s="40">
        <f t="shared" si="2"/>
        <v>2.3025850929940459</v>
      </c>
      <c r="H35" s="40">
        <f t="shared" si="2"/>
        <v>-2.3025850929940455</v>
      </c>
      <c r="I35" s="40">
        <f t="shared" si="2"/>
        <v>-7.4730690880321973</v>
      </c>
      <c r="J35" s="40"/>
      <c r="K35" s="40"/>
      <c r="N35" s="40"/>
      <c r="O35" s="40"/>
      <c r="P35" s="40"/>
    </row>
    <row r="36" spans="1:16">
      <c r="A36" s="40">
        <v>25</v>
      </c>
      <c r="B36" s="40">
        <v>10</v>
      </c>
      <c r="C36" s="40">
        <v>0.1</v>
      </c>
      <c r="D36" s="40">
        <v>5.6818181818181826E-4</v>
      </c>
      <c r="E36" s="40">
        <f t="shared" si="0"/>
        <v>0.19140625</v>
      </c>
      <c r="F36" s="40">
        <f t="shared" si="1"/>
        <v>-0.87272589462704031</v>
      </c>
      <c r="G36" s="40">
        <f t="shared" si="2"/>
        <v>2.3025850929940459</v>
      </c>
      <c r="H36" s="40">
        <f t="shared" si="2"/>
        <v>-2.3025850929940455</v>
      </c>
      <c r="I36" s="40">
        <f t="shared" si="2"/>
        <v>-7.4730690880321973</v>
      </c>
      <c r="J36" s="40"/>
      <c r="K36" s="40"/>
      <c r="N36" s="40"/>
      <c r="O36" s="40"/>
      <c r="P36" s="40"/>
    </row>
    <row r="37" spans="1:16">
      <c r="A37" s="40">
        <v>26</v>
      </c>
      <c r="B37" s="40">
        <v>10</v>
      </c>
      <c r="C37" s="40">
        <v>0.1</v>
      </c>
      <c r="D37" s="40">
        <v>5.6818181818181826E-4</v>
      </c>
      <c r="E37" s="40">
        <f t="shared" si="0"/>
        <v>0.19921875</v>
      </c>
      <c r="F37" s="40">
        <f t="shared" si="1"/>
        <v>-0.84441507737525745</v>
      </c>
      <c r="G37" s="40">
        <f t="shared" si="2"/>
        <v>2.3025850929940459</v>
      </c>
      <c r="H37" s="40">
        <f t="shared" si="2"/>
        <v>-2.3025850929940455</v>
      </c>
      <c r="I37" s="40">
        <f t="shared" si="2"/>
        <v>-7.4730690880321973</v>
      </c>
      <c r="J37" s="40"/>
      <c r="K37" s="40"/>
      <c r="N37" s="40"/>
      <c r="O37" s="40"/>
      <c r="P37" s="40"/>
    </row>
    <row r="38" spans="1:16">
      <c r="A38" s="40">
        <v>27</v>
      </c>
      <c r="B38" s="40">
        <v>17</v>
      </c>
      <c r="C38" s="40">
        <v>0.1</v>
      </c>
      <c r="D38" s="40">
        <v>9.6590909090909095E-4</v>
      </c>
      <c r="E38" s="40">
        <f t="shared" si="0"/>
        <v>0.20703125</v>
      </c>
      <c r="F38" s="40">
        <f t="shared" si="1"/>
        <v>-0.8167654153150905</v>
      </c>
      <c r="G38" s="40">
        <f t="shared" si="2"/>
        <v>2.8332133440562162</v>
      </c>
      <c r="H38" s="40">
        <f t="shared" si="2"/>
        <v>-2.3025850929940455</v>
      </c>
      <c r="I38" s="40">
        <f t="shared" si="2"/>
        <v>-6.942440836970027</v>
      </c>
      <c r="J38" s="40"/>
      <c r="K38" s="40"/>
      <c r="N38" s="40"/>
      <c r="O38" s="40"/>
      <c r="P38" s="40"/>
    </row>
    <row r="39" spans="1:16">
      <c r="A39" s="40">
        <v>28</v>
      </c>
      <c r="B39" s="40">
        <v>17</v>
      </c>
      <c r="C39" s="40">
        <v>0.1</v>
      </c>
      <c r="D39" s="40">
        <v>1.8749999999999999E-3</v>
      </c>
      <c r="E39" s="40">
        <f t="shared" si="0"/>
        <v>0.21484375</v>
      </c>
      <c r="F39" s="40">
        <f t="shared" si="1"/>
        <v>-0.78972651994326604</v>
      </c>
      <c r="G39" s="40">
        <f t="shared" si="2"/>
        <v>2.8332133440562162</v>
      </c>
      <c r="H39" s="40">
        <f t="shared" si="2"/>
        <v>-2.3025850929940455</v>
      </c>
      <c r="I39" s="40">
        <f t="shared" si="2"/>
        <v>-6.2791466195597634</v>
      </c>
      <c r="J39" s="40"/>
      <c r="K39" s="40"/>
      <c r="N39" s="40"/>
      <c r="O39" s="40"/>
      <c r="P39" s="40"/>
    </row>
    <row r="40" spans="1:16">
      <c r="A40" s="40">
        <v>29</v>
      </c>
      <c r="B40" s="40">
        <v>20</v>
      </c>
      <c r="C40" s="40">
        <v>0.1</v>
      </c>
      <c r="D40" s="40">
        <v>1.9318181818181819E-3</v>
      </c>
      <c r="E40" s="40">
        <f t="shared" si="0"/>
        <v>0.22265625</v>
      </c>
      <c r="F40" s="40">
        <f t="shared" si="1"/>
        <v>-0.76325304373257086</v>
      </c>
      <c r="G40" s="40">
        <f t="shared" si="2"/>
        <v>2.9957322735539909</v>
      </c>
      <c r="H40" s="40">
        <f t="shared" si="2"/>
        <v>-2.3025850929940455</v>
      </c>
      <c r="I40" s="40">
        <f t="shared" si="2"/>
        <v>-6.2492936564100816</v>
      </c>
      <c r="J40" s="40"/>
      <c r="K40" s="40"/>
      <c r="N40" s="40"/>
      <c r="O40" s="40"/>
      <c r="P40" s="40"/>
    </row>
    <row r="41" spans="1:16">
      <c r="A41" s="40">
        <v>30</v>
      </c>
      <c r="B41" s="40">
        <v>20</v>
      </c>
      <c r="C41" s="40">
        <v>0.2</v>
      </c>
      <c r="D41" s="40">
        <v>2.840909090909091E-3</v>
      </c>
      <c r="E41" s="40">
        <f t="shared" si="0"/>
        <v>0.23046875</v>
      </c>
      <c r="F41" s="40">
        <f t="shared" si="1"/>
        <v>-0.73730400043865463</v>
      </c>
      <c r="G41" s="40">
        <f t="shared" si="2"/>
        <v>2.9957322735539909</v>
      </c>
      <c r="H41" s="40">
        <f t="shared" si="2"/>
        <v>-1.6094379124341003</v>
      </c>
      <c r="I41" s="40">
        <f t="shared" si="2"/>
        <v>-5.8636311755980968</v>
      </c>
      <c r="J41" s="40"/>
      <c r="K41" s="40"/>
      <c r="N41" s="40"/>
      <c r="O41" s="40"/>
      <c r="P41" s="40"/>
    </row>
    <row r="42" spans="1:16">
      <c r="A42" s="40">
        <v>31</v>
      </c>
      <c r="B42" s="40">
        <v>23</v>
      </c>
      <c r="C42" s="40">
        <v>0.3</v>
      </c>
      <c r="D42" s="40">
        <v>5.6249999999999998E-3</v>
      </c>
      <c r="E42" s="40">
        <f t="shared" si="0"/>
        <v>0.23828125</v>
      </c>
      <c r="F42" s="40">
        <f t="shared" si="1"/>
        <v>-0.71184219593941889</v>
      </c>
      <c r="G42" s="40">
        <f t="shared" si="2"/>
        <v>3.1354942159291497</v>
      </c>
      <c r="H42" s="40">
        <f t="shared" si="2"/>
        <v>-1.2039728043259361</v>
      </c>
      <c r="I42" s="40">
        <f t="shared" si="2"/>
        <v>-5.1805343308916534</v>
      </c>
      <c r="J42" s="40"/>
      <c r="K42" s="40"/>
      <c r="N42" s="40"/>
      <c r="O42" s="40"/>
      <c r="P42" s="40"/>
    </row>
    <row r="43" spans="1:16">
      <c r="A43" s="40">
        <v>32</v>
      </c>
      <c r="B43" s="40">
        <v>27</v>
      </c>
      <c r="C43" s="40">
        <v>0.3</v>
      </c>
      <c r="D43" s="40">
        <v>6.5340909090909087E-3</v>
      </c>
      <c r="E43" s="40">
        <f t="shared" si="0"/>
        <v>0.24609375</v>
      </c>
      <c r="F43" s="40">
        <f t="shared" si="1"/>
        <v>-0.68683374857473101</v>
      </c>
      <c r="G43" s="40">
        <f t="shared" si="2"/>
        <v>3.2958368660043291</v>
      </c>
      <c r="H43" s="40">
        <f t="shared" si="2"/>
        <v>-1.2039728043259361</v>
      </c>
      <c r="I43" s="40">
        <f t="shared" si="2"/>
        <v>-5.030722052662993</v>
      </c>
      <c r="J43" s="40"/>
      <c r="K43" s="40"/>
      <c r="N43" s="40"/>
      <c r="O43" s="40"/>
      <c r="P43" s="40"/>
    </row>
    <row r="44" spans="1:16">
      <c r="A44" s="40">
        <v>33</v>
      </c>
      <c r="B44" s="40">
        <v>27</v>
      </c>
      <c r="C44" s="40">
        <v>0.3</v>
      </c>
      <c r="D44" s="40">
        <v>8.5227272727272721E-3</v>
      </c>
      <c r="E44" s="40">
        <f t="shared" si="0"/>
        <v>0.25390625</v>
      </c>
      <c r="F44" s="40">
        <f t="shared" si="1"/>
        <v>-0.66224768248841404</v>
      </c>
      <c r="G44" s="40">
        <f t="shared" si="2"/>
        <v>3.2958368660043291</v>
      </c>
      <c r="H44" s="40">
        <f t="shared" si="2"/>
        <v>-1.2039728043259361</v>
      </c>
      <c r="I44" s="40">
        <f t="shared" si="2"/>
        <v>-4.7650188869299877</v>
      </c>
      <c r="J44" s="40"/>
      <c r="K44" s="40"/>
      <c r="N44" s="40"/>
      <c r="O44" s="40"/>
      <c r="P44" s="40"/>
    </row>
    <row r="45" spans="1:16">
      <c r="A45" s="40">
        <v>34</v>
      </c>
      <c r="B45" s="40">
        <v>30</v>
      </c>
      <c r="C45" s="40">
        <v>0.3</v>
      </c>
      <c r="D45" s="40">
        <v>9.3749999999999997E-3</v>
      </c>
      <c r="E45" s="40">
        <f t="shared" si="0"/>
        <v>0.26171875</v>
      </c>
      <c r="F45" s="40">
        <f t="shared" si="1"/>
        <v>-0.63805558092251702</v>
      </c>
      <c r="G45" s="40">
        <f t="shared" si="2"/>
        <v>3.4011973816621555</v>
      </c>
      <c r="H45" s="40">
        <f t="shared" si="2"/>
        <v>-1.2039728043259361</v>
      </c>
      <c r="I45" s="40">
        <f t="shared" si="2"/>
        <v>-4.6697087071256629</v>
      </c>
      <c r="J45" s="40"/>
      <c r="K45" s="40"/>
      <c r="N45" s="40"/>
      <c r="O45" s="40"/>
      <c r="P45" s="40"/>
    </row>
    <row r="46" spans="1:16">
      <c r="A46" s="40">
        <v>35</v>
      </c>
      <c r="B46" s="40">
        <v>33</v>
      </c>
      <c r="C46" s="40">
        <v>0.5</v>
      </c>
      <c r="D46" s="40">
        <v>9.3749999999999997E-3</v>
      </c>
      <c r="E46" s="40">
        <f t="shared" si="0"/>
        <v>0.26953125</v>
      </c>
      <c r="F46" s="40">
        <f t="shared" si="1"/>
        <v>-0.61423128906024538</v>
      </c>
      <c r="G46" s="40">
        <f t="shared" si="2"/>
        <v>3.4965075614664802</v>
      </c>
      <c r="H46" s="40">
        <f t="shared" si="2"/>
        <v>-0.69314718055994529</v>
      </c>
      <c r="I46" s="40">
        <f t="shared" si="2"/>
        <v>-4.6697087071256629</v>
      </c>
      <c r="J46" s="40"/>
      <c r="K46" s="40"/>
      <c r="N46" s="40"/>
      <c r="O46" s="40"/>
      <c r="P46" s="40"/>
    </row>
    <row r="47" spans="1:16">
      <c r="A47" s="40">
        <v>36</v>
      </c>
      <c r="B47" s="40">
        <v>33</v>
      </c>
      <c r="C47" s="40">
        <v>0.5</v>
      </c>
      <c r="D47" s="40">
        <v>1.1363636363636364E-2</v>
      </c>
      <c r="E47" s="40">
        <f t="shared" si="0"/>
        <v>0.27734375</v>
      </c>
      <c r="F47" s="40">
        <f t="shared" si="1"/>
        <v>-0.59075065806281868</v>
      </c>
      <c r="G47" s="40">
        <f t="shared" si="2"/>
        <v>3.4965075614664802</v>
      </c>
      <c r="H47" s="40">
        <f t="shared" si="2"/>
        <v>-0.69314718055994529</v>
      </c>
      <c r="I47" s="40">
        <f t="shared" si="2"/>
        <v>-4.4773368144782069</v>
      </c>
      <c r="J47" s="40"/>
      <c r="K47" s="40"/>
      <c r="N47" s="40"/>
      <c r="O47" s="40"/>
      <c r="P47" s="40"/>
    </row>
    <row r="48" spans="1:16">
      <c r="A48" s="40">
        <v>37</v>
      </c>
      <c r="B48" s="40">
        <v>33</v>
      </c>
      <c r="C48" s="40">
        <v>0.5</v>
      </c>
      <c r="D48" s="40">
        <v>1.1363636363636364E-2</v>
      </c>
      <c r="E48" s="40">
        <f t="shared" si="0"/>
        <v>0.28515625</v>
      </c>
      <c r="F48" s="40">
        <f t="shared" si="1"/>
        <v>-0.5675913235445692</v>
      </c>
      <c r="G48" s="40">
        <f t="shared" si="2"/>
        <v>3.4965075614664802</v>
      </c>
      <c r="H48" s="40">
        <f t="shared" si="2"/>
        <v>-0.69314718055994529</v>
      </c>
      <c r="I48" s="40">
        <f t="shared" si="2"/>
        <v>-4.4773368144782069</v>
      </c>
      <c r="J48" s="40"/>
      <c r="K48" s="40"/>
      <c r="N48" s="40"/>
      <c r="O48" s="40"/>
      <c r="P48" s="40"/>
    </row>
    <row r="49" spans="1:16">
      <c r="A49" s="40">
        <v>38</v>
      </c>
      <c r="B49" s="40">
        <v>33</v>
      </c>
      <c r="C49" s="40">
        <v>0.5</v>
      </c>
      <c r="D49" s="40">
        <v>1.4999999999999999E-2</v>
      </c>
      <c r="E49" s="40">
        <f t="shared" si="0"/>
        <v>0.29296875</v>
      </c>
      <c r="F49" s="40">
        <f t="shared" si="1"/>
        <v>-0.54473251298817593</v>
      </c>
      <c r="G49" s="40">
        <f t="shared" si="2"/>
        <v>3.4965075614664802</v>
      </c>
      <c r="H49" s="40">
        <f t="shared" si="2"/>
        <v>-0.69314718055994529</v>
      </c>
      <c r="I49" s="40">
        <f t="shared" si="2"/>
        <v>-4.1997050778799272</v>
      </c>
      <c r="J49" s="40"/>
      <c r="K49" s="40"/>
      <c r="N49" s="40"/>
      <c r="O49" s="40"/>
      <c r="P49" s="40"/>
    </row>
    <row r="50" spans="1:16">
      <c r="A50" s="40">
        <v>39</v>
      </c>
      <c r="B50" s="40">
        <v>33</v>
      </c>
      <c r="C50" s="40">
        <v>0.5</v>
      </c>
      <c r="D50" s="40">
        <v>1.5340909090909091E-2</v>
      </c>
      <c r="E50" s="40">
        <f t="shared" si="0"/>
        <v>0.30078125</v>
      </c>
      <c r="F50" s="40">
        <f t="shared" si="1"/>
        <v>-0.52215487759800161</v>
      </c>
      <c r="G50" s="40">
        <f t="shared" si="2"/>
        <v>3.4965075614664802</v>
      </c>
      <c r="H50" s="40">
        <f t="shared" si="2"/>
        <v>-0.69314718055994529</v>
      </c>
      <c r="I50" s="40">
        <f t="shared" si="2"/>
        <v>-4.1772322220278681</v>
      </c>
      <c r="J50" s="40"/>
      <c r="K50" s="40"/>
      <c r="N50" s="40"/>
      <c r="O50" s="40"/>
      <c r="P50" s="40"/>
    </row>
    <row r="51" spans="1:16">
      <c r="A51" s="40">
        <v>40</v>
      </c>
      <c r="B51" s="40">
        <v>33</v>
      </c>
      <c r="C51" s="40">
        <v>0.5</v>
      </c>
      <c r="D51" s="40">
        <v>1.7045454545454544E-2</v>
      </c>
      <c r="E51" s="40">
        <f t="shared" si="0"/>
        <v>0.30859375</v>
      </c>
      <c r="F51" s="40">
        <f t="shared" si="1"/>
        <v>-0.49984034488373513</v>
      </c>
      <c r="G51" s="40">
        <f t="shared" si="2"/>
        <v>3.4965075614664802</v>
      </c>
      <c r="H51" s="40">
        <f t="shared" si="2"/>
        <v>-0.69314718055994529</v>
      </c>
      <c r="I51" s="40">
        <f t="shared" si="2"/>
        <v>-4.0718717063700423</v>
      </c>
      <c r="J51" s="40"/>
      <c r="K51" s="40"/>
      <c r="N51" s="40"/>
      <c r="O51" s="40"/>
      <c r="P51" s="40"/>
    </row>
    <row r="52" spans="1:16">
      <c r="A52" s="40">
        <v>41</v>
      </c>
      <c r="B52" s="40">
        <v>33</v>
      </c>
      <c r="C52" s="40">
        <v>0.7</v>
      </c>
      <c r="D52" s="40">
        <v>2.3011363636363635E-2</v>
      </c>
      <c r="E52" s="40">
        <f t="shared" si="0"/>
        <v>0.31640625</v>
      </c>
      <c r="F52" s="40">
        <f t="shared" si="1"/>
        <v>-0.47777198890388606</v>
      </c>
      <c r="G52" s="40">
        <f t="shared" si="2"/>
        <v>3.4965075614664802</v>
      </c>
      <c r="H52" s="40">
        <f t="shared" si="2"/>
        <v>-0.35667494393873245</v>
      </c>
      <c r="I52" s="40">
        <f t="shared" si="2"/>
        <v>-3.771767113919704</v>
      </c>
      <c r="J52" s="40"/>
      <c r="K52" s="40"/>
      <c r="N52" s="40"/>
      <c r="O52" s="40"/>
      <c r="P52" s="40"/>
    </row>
    <row r="53" spans="1:16">
      <c r="A53" s="40">
        <v>42</v>
      </c>
      <c r="B53" s="40">
        <v>33</v>
      </c>
      <c r="C53" s="40">
        <v>0.8</v>
      </c>
      <c r="D53" s="40">
        <v>2.4375000000000001E-2</v>
      </c>
      <c r="E53" s="40">
        <f t="shared" si="0"/>
        <v>0.32421875</v>
      </c>
      <c r="F53" s="40">
        <f t="shared" si="1"/>
        <v>-0.45593391561313878</v>
      </c>
      <c r="G53" s="40">
        <f t="shared" si="2"/>
        <v>3.4965075614664802</v>
      </c>
      <c r="H53" s="40">
        <f t="shared" si="2"/>
        <v>-0.22314355131420971</v>
      </c>
      <c r="I53" s="40">
        <f t="shared" si="2"/>
        <v>-3.7141972620982262</v>
      </c>
      <c r="J53" s="40"/>
    </row>
    <row r="54" spans="1:16">
      <c r="A54" s="40">
        <v>43</v>
      </c>
      <c r="B54" s="40">
        <v>50</v>
      </c>
      <c r="C54" s="40">
        <v>1</v>
      </c>
      <c r="D54" s="40">
        <v>2.8409090909090908E-2</v>
      </c>
      <c r="E54" s="40">
        <f t="shared" si="0"/>
        <v>0.33203125</v>
      </c>
      <c r="F54" s="40">
        <f t="shared" si="1"/>
        <v>-0.43431116117520968</v>
      </c>
      <c r="G54" s="40">
        <f t="shared" si="2"/>
        <v>3.912023005428146</v>
      </c>
      <c r="H54" s="40">
        <f t="shared" si="2"/>
        <v>0</v>
      </c>
      <c r="I54" s="40">
        <f t="shared" si="2"/>
        <v>-3.5610460826040513</v>
      </c>
      <c r="J54" s="40"/>
    </row>
    <row r="55" spans="1:16">
      <c r="A55" s="40">
        <v>44</v>
      </c>
      <c r="B55" s="40">
        <v>50</v>
      </c>
      <c r="C55" s="40">
        <v>1</v>
      </c>
      <c r="D55" s="40">
        <v>2.8409090909090908E-2</v>
      </c>
      <c r="E55" s="40">
        <f t="shared" si="0"/>
        <v>0.33984375</v>
      </c>
      <c r="F55" s="40">
        <f t="shared" si="1"/>
        <v>-0.41288960144365422</v>
      </c>
      <c r="G55" s="40">
        <f t="shared" si="2"/>
        <v>3.912023005428146</v>
      </c>
      <c r="H55" s="40">
        <f t="shared" si="2"/>
        <v>0</v>
      </c>
      <c r="I55" s="40">
        <f t="shared" si="2"/>
        <v>-3.5610460826040513</v>
      </c>
      <c r="J55" s="40"/>
    </row>
    <row r="56" spans="1:16">
      <c r="A56" s="40">
        <v>45</v>
      </c>
      <c r="B56" s="40">
        <v>50</v>
      </c>
      <c r="C56" s="40">
        <v>1</v>
      </c>
      <c r="D56" s="40">
        <v>2.8409090909090908E-2</v>
      </c>
      <c r="E56" s="40">
        <f t="shared" si="0"/>
        <v>0.34765625</v>
      </c>
      <c r="F56" s="40">
        <f t="shared" si="1"/>
        <v>-0.39165587109259159</v>
      </c>
      <c r="G56" s="40">
        <f t="shared" si="2"/>
        <v>3.912023005428146</v>
      </c>
      <c r="H56" s="40">
        <f t="shared" si="2"/>
        <v>0</v>
      </c>
      <c r="I56" s="40">
        <f t="shared" si="2"/>
        <v>-3.5610460826040513</v>
      </c>
      <c r="J56" s="40"/>
    </row>
    <row r="57" spans="1:16">
      <c r="A57" s="40">
        <v>46</v>
      </c>
      <c r="B57" s="40">
        <v>50</v>
      </c>
      <c r="C57" s="40">
        <v>1</v>
      </c>
      <c r="D57" s="40">
        <v>3.7499999999999999E-2</v>
      </c>
      <c r="E57" s="40">
        <f t="shared" si="0"/>
        <v>0.35546875</v>
      </c>
      <c r="F57" s="40">
        <f t="shared" si="1"/>
        <v>-0.3705972911096293</v>
      </c>
      <c r="G57" s="40">
        <f t="shared" si="2"/>
        <v>3.912023005428146</v>
      </c>
      <c r="H57" s="40">
        <f t="shared" si="2"/>
        <v>0</v>
      </c>
      <c r="I57" s="40">
        <f t="shared" si="2"/>
        <v>-3.2834143460057721</v>
      </c>
      <c r="J57" s="40"/>
    </row>
    <row r="58" spans="1:16">
      <c r="A58" s="40">
        <v>47</v>
      </c>
      <c r="B58" s="40">
        <v>50</v>
      </c>
      <c r="C58" s="40">
        <v>1</v>
      </c>
      <c r="D58" s="40">
        <v>4.6022727272727271E-2</v>
      </c>
      <c r="E58" s="40">
        <f t="shared" si="0"/>
        <v>0.36328125</v>
      </c>
      <c r="F58" s="40">
        <f t="shared" si="1"/>
        <v>-0.3497018035538953</v>
      </c>
      <c r="G58" s="40">
        <f t="shared" si="2"/>
        <v>3.912023005428146</v>
      </c>
      <c r="H58" s="40">
        <f t="shared" si="2"/>
        <v>0</v>
      </c>
      <c r="I58" s="40">
        <f t="shared" si="2"/>
        <v>-3.0786199333597586</v>
      </c>
      <c r="J58" s="40"/>
    </row>
    <row r="59" spans="1:16">
      <c r="A59" s="40">
        <v>48</v>
      </c>
      <c r="B59" s="40">
        <v>50</v>
      </c>
      <c r="C59" s="40">
        <v>1</v>
      </c>
      <c r="D59" s="40">
        <v>4.7159090909090907E-2</v>
      </c>
      <c r="E59" s="40">
        <f t="shared" si="0"/>
        <v>0.37109375</v>
      </c>
      <c r="F59" s="40">
        <f t="shared" si="1"/>
        <v>-0.32895791264049112</v>
      </c>
      <c r="G59" s="40">
        <f t="shared" si="2"/>
        <v>3.912023005428146</v>
      </c>
      <c r="H59" s="40">
        <f t="shared" si="2"/>
        <v>0</v>
      </c>
      <c r="I59" s="40">
        <f t="shared" si="2"/>
        <v>-3.0542284802355995</v>
      </c>
      <c r="J59" s="40"/>
    </row>
    <row r="60" spans="1:16">
      <c r="A60" s="40">
        <v>49</v>
      </c>
      <c r="B60" s="40">
        <v>50</v>
      </c>
      <c r="C60" s="40">
        <v>1</v>
      </c>
      <c r="D60" s="40">
        <v>5.3295454545454549E-2</v>
      </c>
      <c r="E60" s="40">
        <f t="shared" si="0"/>
        <v>0.37890625</v>
      </c>
      <c r="F60" s="40">
        <f t="shared" si="1"/>
        <v>-0.30835463134483726</v>
      </c>
      <c r="G60" s="40">
        <f t="shared" si="2"/>
        <v>3.912023005428146</v>
      </c>
      <c r="H60" s="40">
        <f t="shared" si="2"/>
        <v>0</v>
      </c>
      <c r="I60" s="40">
        <f t="shared" si="2"/>
        <v>-2.9319042320200186</v>
      </c>
      <c r="J60" s="40"/>
    </row>
    <row r="61" spans="1:16">
      <c r="A61" s="40">
        <v>50</v>
      </c>
      <c r="B61" s="40">
        <v>50</v>
      </c>
      <c r="C61" s="40">
        <v>1.3</v>
      </c>
      <c r="D61" s="40">
        <v>5.3977272727272721E-2</v>
      </c>
      <c r="E61" s="40">
        <f t="shared" si="0"/>
        <v>0.38671875</v>
      </c>
      <c r="F61" s="40">
        <f t="shared" si="1"/>
        <v>-0.28788143283101186</v>
      </c>
      <c r="G61" s="40">
        <f t="shared" si="2"/>
        <v>3.912023005428146</v>
      </c>
      <c r="H61" s="40">
        <f t="shared" si="2"/>
        <v>0.26236426446749106</v>
      </c>
      <c r="I61" s="40">
        <f t="shared" si="2"/>
        <v>-2.9191921964316569</v>
      </c>
      <c r="J61" s="40"/>
    </row>
    <row r="62" spans="1:16">
      <c r="A62" s="40">
        <v>51</v>
      </c>
      <c r="B62" s="40">
        <v>67</v>
      </c>
      <c r="C62" s="729">
        <v>1.37</v>
      </c>
      <c r="D62" s="40">
        <v>5.6818181818181816E-2</v>
      </c>
      <c r="E62" s="40">
        <f t="shared" si="0"/>
        <v>0.39453125</v>
      </c>
      <c r="F62" s="40">
        <f t="shared" si="1"/>
        <v>-0.26752820610109723</v>
      </c>
      <c r="G62" s="40">
        <f t="shared" si="2"/>
        <v>4.2046926193909657</v>
      </c>
      <c r="H62" s="40">
        <f t="shared" si="2"/>
        <v>0.3148107398400336</v>
      </c>
      <c r="I62" s="40">
        <f t="shared" si="2"/>
        <v>-2.8678989020441059</v>
      </c>
      <c r="J62" s="40"/>
    </row>
    <row r="63" spans="1:16">
      <c r="A63" s="40">
        <v>52</v>
      </c>
      <c r="B63" s="40">
        <v>67</v>
      </c>
      <c r="C63" s="729">
        <v>1.39</v>
      </c>
      <c r="D63" s="40">
        <v>5.6818181818181816E-2</v>
      </c>
      <c r="E63" s="40">
        <f t="shared" si="0"/>
        <v>0.40234375</v>
      </c>
      <c r="F63" s="40">
        <f t="shared" si="1"/>
        <v>-0.24728521534080491</v>
      </c>
      <c r="G63" s="40">
        <f t="shared" si="2"/>
        <v>4.2046926193909657</v>
      </c>
      <c r="H63" s="40">
        <f t="shared" si="2"/>
        <v>0.3293037471426003</v>
      </c>
      <c r="I63" s="40">
        <f t="shared" si="2"/>
        <v>-2.8678989020441059</v>
      </c>
      <c r="J63" s="40"/>
    </row>
    <row r="64" spans="1:16">
      <c r="A64" s="40">
        <v>53</v>
      </c>
      <c r="B64" s="40">
        <v>67</v>
      </c>
      <c r="C64" s="40">
        <v>1.4</v>
      </c>
      <c r="D64" s="40">
        <v>5.6818181818181816E-2</v>
      </c>
      <c r="E64" s="40">
        <f t="shared" si="0"/>
        <v>0.41015625</v>
      </c>
      <c r="F64" s="40">
        <f t="shared" si="1"/>
        <v>-0.22714306250271532</v>
      </c>
      <c r="G64" s="40">
        <f t="shared" si="2"/>
        <v>4.2046926193909657</v>
      </c>
      <c r="H64" s="40">
        <f t="shared" si="2"/>
        <v>0.33647223662121289</v>
      </c>
      <c r="I64" s="40">
        <f t="shared" si="2"/>
        <v>-2.8678989020441059</v>
      </c>
      <c r="J64" s="40"/>
    </row>
    <row r="65" spans="1:10">
      <c r="A65" s="40">
        <v>54</v>
      </c>
      <c r="B65" s="40">
        <v>83</v>
      </c>
      <c r="C65" s="40">
        <v>1.5</v>
      </c>
      <c r="D65" s="40">
        <v>6.8806818181818177E-2</v>
      </c>
      <c r="E65" s="40">
        <f t="shared" si="0"/>
        <v>0.41796875</v>
      </c>
      <c r="F65" s="40">
        <f t="shared" si="1"/>
        <v>-0.20709265272436031</v>
      </c>
      <c r="G65" s="40">
        <f t="shared" si="2"/>
        <v>4.4188406077965983</v>
      </c>
      <c r="H65" s="40">
        <f t="shared" si="2"/>
        <v>0.40546510810816438</v>
      </c>
      <c r="I65" s="40">
        <f t="shared" si="2"/>
        <v>-2.6764524374731509</v>
      </c>
      <c r="J65" s="40"/>
    </row>
    <row r="66" spans="1:10">
      <c r="A66" s="40">
        <v>55</v>
      </c>
      <c r="B66" s="40">
        <v>83</v>
      </c>
      <c r="C66" s="40">
        <v>1.6</v>
      </c>
      <c r="D66" s="40">
        <v>8.755681818181818E-2</v>
      </c>
      <c r="E66" s="40">
        <f t="shared" si="0"/>
        <v>0.42578125</v>
      </c>
      <c r="F66" s="40">
        <f t="shared" si="1"/>
        <v>-0.18712516222572084</v>
      </c>
      <c r="G66" s="40">
        <f t="shared" si="2"/>
        <v>4.4188406077965983</v>
      </c>
      <c r="H66" s="40">
        <f t="shared" si="2"/>
        <v>0.47000362924573563</v>
      </c>
      <c r="I66" s="40">
        <f t="shared" si="2"/>
        <v>-2.4354673457061273</v>
      </c>
      <c r="J66" s="40"/>
    </row>
    <row r="67" spans="1:10">
      <c r="A67" s="40">
        <v>56</v>
      </c>
      <c r="B67" s="40">
        <v>100</v>
      </c>
      <c r="C67" s="40">
        <v>1.9</v>
      </c>
      <c r="D67" s="40">
        <v>8.8124999999999995E-2</v>
      </c>
      <c r="E67" s="40">
        <f t="shared" si="0"/>
        <v>0.43359375</v>
      </c>
      <c r="F67" s="40">
        <f t="shared" si="1"/>
        <v>-0.16723200837085012</v>
      </c>
      <c r="G67" s="40">
        <f t="shared" si="2"/>
        <v>4.6051701859880918</v>
      </c>
      <c r="H67" s="40">
        <f t="shared" si="2"/>
        <v>0.64185388617239469</v>
      </c>
      <c r="I67" s="40">
        <f t="shared" si="2"/>
        <v>-2.4289990178497045</v>
      </c>
      <c r="J67" s="40"/>
    </row>
    <row r="68" spans="1:10">
      <c r="A68" s="40">
        <v>57</v>
      </c>
      <c r="B68" s="40">
        <v>100</v>
      </c>
      <c r="C68" s="40">
        <v>2</v>
      </c>
      <c r="D68" s="40">
        <v>0.10056818181818182</v>
      </c>
      <c r="E68" s="40">
        <f t="shared" si="0"/>
        <v>0.44140625</v>
      </c>
      <c r="F68" s="40">
        <f t="shared" si="1"/>
        <v>-0.14740482161235485</v>
      </c>
      <c r="G68" s="40">
        <f t="shared" si="2"/>
        <v>4.6051701859880918</v>
      </c>
      <c r="H68" s="40">
        <f t="shared" si="2"/>
        <v>0.69314718055994529</v>
      </c>
      <c r="I68" s="40">
        <f t="shared" si="2"/>
        <v>-2.2969193554583685</v>
      </c>
      <c r="J68" s="40"/>
    </row>
    <row r="69" spans="1:10">
      <c r="A69" s="40">
        <v>58</v>
      </c>
      <c r="B69" s="40">
        <v>100</v>
      </c>
      <c r="C69" s="40">
        <v>2</v>
      </c>
      <c r="D69" s="40">
        <v>0.11363636363636363</v>
      </c>
      <c r="E69" s="40">
        <f t="shared" si="0"/>
        <v>0.44921875</v>
      </c>
      <c r="F69" s="40">
        <f t="shared" si="1"/>
        <v>-0.12763541906627035</v>
      </c>
      <c r="G69" s="40">
        <f t="shared" si="2"/>
        <v>4.6051701859880918</v>
      </c>
      <c r="H69" s="40">
        <f t="shared" si="2"/>
        <v>0.69314718055994529</v>
      </c>
      <c r="I69" s="40">
        <f t="shared" si="2"/>
        <v>-2.174751721484161</v>
      </c>
      <c r="J69" s="40"/>
    </row>
    <row r="70" spans="1:10">
      <c r="A70" s="40">
        <v>59</v>
      </c>
      <c r="B70" s="40">
        <v>100</v>
      </c>
      <c r="C70" s="40">
        <v>2</v>
      </c>
      <c r="D70" s="40">
        <v>0.11363636363636363</v>
      </c>
      <c r="E70" s="40">
        <f t="shared" si="0"/>
        <v>0.45703125</v>
      </c>
      <c r="F70" s="40">
        <f t="shared" si="1"/>
        <v>-0.10791577948918657</v>
      </c>
      <c r="G70" s="40">
        <f t="shared" si="2"/>
        <v>4.6051701859880918</v>
      </c>
      <c r="H70" s="40">
        <f t="shared" si="2"/>
        <v>0.69314718055994529</v>
      </c>
      <c r="I70" s="40">
        <f t="shared" si="2"/>
        <v>-2.174751721484161</v>
      </c>
      <c r="J70" s="40"/>
    </row>
    <row r="71" spans="1:10">
      <c r="A71" s="40">
        <v>60</v>
      </c>
      <c r="B71" s="40">
        <v>100</v>
      </c>
      <c r="C71" s="40">
        <v>2</v>
      </c>
      <c r="D71" s="40">
        <v>0.11420454545454546</v>
      </c>
      <c r="E71" s="40">
        <f t="shared" si="0"/>
        <v>0.46484375</v>
      </c>
      <c r="F71" s="40">
        <f t="shared" si="1"/>
        <v>-8.823801944992446E-2</v>
      </c>
      <c r="G71" s="40">
        <f t="shared" si="2"/>
        <v>4.6051701859880918</v>
      </c>
      <c r="H71" s="40">
        <f t="shared" si="2"/>
        <v>0.69314718055994529</v>
      </c>
      <c r="I71" s="40">
        <f t="shared" si="2"/>
        <v>-2.1697641799731215</v>
      </c>
      <c r="J71" s="40"/>
    </row>
    <row r="72" spans="1:10">
      <c r="A72" s="40">
        <v>61</v>
      </c>
      <c r="B72" s="40">
        <v>100</v>
      </c>
      <c r="C72" s="40">
        <v>2</v>
      </c>
      <c r="D72" s="40">
        <v>0.125</v>
      </c>
      <c r="E72" s="40">
        <f t="shared" si="0"/>
        <v>0.47265625</v>
      </c>
      <c r="F72" s="40">
        <f t="shared" si="1"/>
        <v>-6.8594370505118116E-2</v>
      </c>
      <c r="G72" s="40">
        <f t="shared" si="2"/>
        <v>4.6051701859880918</v>
      </c>
      <c r="H72" s="40">
        <f t="shared" si="2"/>
        <v>0.69314718055994529</v>
      </c>
      <c r="I72" s="40">
        <f t="shared" si="2"/>
        <v>-2.0794415416798357</v>
      </c>
      <c r="J72" s="40"/>
    </row>
    <row r="73" spans="1:10">
      <c r="A73" s="40">
        <v>62</v>
      </c>
      <c r="B73" s="40">
        <v>100</v>
      </c>
      <c r="C73" s="40">
        <v>2</v>
      </c>
      <c r="D73" s="729">
        <v>0.13622159090909092</v>
      </c>
      <c r="E73" s="40">
        <f t="shared" si="0"/>
        <v>0.48046875</v>
      </c>
      <c r="F73" s="40">
        <f t="shared" si="1"/>
        <v>-4.8977157202131943E-2</v>
      </c>
      <c r="G73" s="40">
        <f t="shared" si="2"/>
        <v>4.6051701859880918</v>
      </c>
      <c r="H73" s="40">
        <f t="shared" si="2"/>
        <v>0.69314718055994529</v>
      </c>
      <c r="I73" s="40">
        <f t="shared" si="2"/>
        <v>-1.9934723742686498</v>
      </c>
      <c r="J73" s="40"/>
    </row>
    <row r="74" spans="1:10">
      <c r="A74" s="40">
        <v>63</v>
      </c>
      <c r="B74" s="40">
        <v>100</v>
      </c>
      <c r="C74" s="40">
        <v>2</v>
      </c>
      <c r="D74" s="40">
        <v>0.15340909090909091</v>
      </c>
      <c r="E74" s="40">
        <f t="shared" si="0"/>
        <v>0.48828125</v>
      </c>
      <c r="F74" s="40">
        <f t="shared" si="1"/>
        <v>-2.9378775744157051E-2</v>
      </c>
      <c r="G74" s="40">
        <f t="shared" si="2"/>
        <v>4.6051701859880918</v>
      </c>
      <c r="H74" s="40">
        <f t="shared" si="2"/>
        <v>0.69314718055994529</v>
      </c>
      <c r="I74" s="40">
        <f t="shared" si="2"/>
        <v>-1.8746471290338227</v>
      </c>
      <c r="J74" s="40"/>
    </row>
    <row r="75" spans="1:10">
      <c r="A75" s="40">
        <v>64</v>
      </c>
      <c r="B75" s="40">
        <v>100</v>
      </c>
      <c r="C75" s="40">
        <v>2.2999999999999998</v>
      </c>
      <c r="D75" s="40">
        <v>0.16193181818181818</v>
      </c>
      <c r="E75" s="40">
        <f t="shared" si="0"/>
        <v>0.49609375</v>
      </c>
      <c r="F75" s="40">
        <f t="shared" si="1"/>
        <v>-9.7916731613453475E-3</v>
      </c>
      <c r="G75" s="40">
        <f t="shared" si="2"/>
        <v>4.6051701859880918</v>
      </c>
      <c r="H75" s="40">
        <f t="shared" si="2"/>
        <v>0.83290912293510388</v>
      </c>
      <c r="I75" s="40">
        <f t="shared" si="2"/>
        <v>-1.8205799077635469</v>
      </c>
      <c r="J75" s="40"/>
    </row>
    <row r="76" spans="1:10">
      <c r="A76" s="40">
        <v>65</v>
      </c>
      <c r="B76" s="40">
        <v>100</v>
      </c>
      <c r="C76" s="40">
        <v>2.6</v>
      </c>
      <c r="D76" s="40">
        <v>0.17045454545454544</v>
      </c>
      <c r="E76" s="40">
        <f t="shared" si="0"/>
        <v>0.50390625</v>
      </c>
      <c r="F76" s="40">
        <f t="shared" si="1"/>
        <v>9.7916731613453475E-3</v>
      </c>
      <c r="G76" s="40">
        <f t="shared" si="2"/>
        <v>4.6051701859880918</v>
      </c>
      <c r="H76" s="40">
        <f t="shared" si="2"/>
        <v>0.95551144502743635</v>
      </c>
      <c r="I76" s="40">
        <f t="shared" si="2"/>
        <v>-1.7692866133759966</v>
      </c>
      <c r="J76" s="40"/>
    </row>
    <row r="77" spans="1:10">
      <c r="A77" s="40">
        <v>66</v>
      </c>
      <c r="B77" s="40">
        <v>100</v>
      </c>
      <c r="C77" s="40">
        <v>2.7</v>
      </c>
      <c r="D77" s="40">
        <v>0.17045454545454544</v>
      </c>
      <c r="E77" s="40">
        <f t="shared" ref="E77:E139" si="3">(A77-0.5)/128</f>
        <v>0.51171875</v>
      </c>
      <c r="F77" s="40">
        <f t="shared" ref="F77:F139" si="4">NORMSINV(E77)</f>
        <v>2.9378775744157051E-2</v>
      </c>
      <c r="G77" s="40">
        <f t="shared" ref="G77:I136" si="5">LN(B77)</f>
        <v>4.6051701859880918</v>
      </c>
      <c r="H77" s="40">
        <f t="shared" si="5"/>
        <v>0.99325177301028345</v>
      </c>
      <c r="I77" s="40">
        <f t="shared" si="5"/>
        <v>-1.7692866133759966</v>
      </c>
      <c r="J77" s="40"/>
    </row>
    <row r="78" spans="1:10">
      <c r="A78" s="40">
        <v>67</v>
      </c>
      <c r="B78" s="40">
        <v>100</v>
      </c>
      <c r="C78" s="40">
        <v>3</v>
      </c>
      <c r="D78" s="40">
        <v>0.18181818181818182</v>
      </c>
      <c r="E78" s="40">
        <f t="shared" si="3"/>
        <v>0.51953125</v>
      </c>
      <c r="F78" s="40">
        <f t="shared" si="4"/>
        <v>4.8977157202131943E-2</v>
      </c>
      <c r="G78" s="40">
        <f t="shared" si="5"/>
        <v>4.6051701859880918</v>
      </c>
      <c r="H78" s="40">
        <f t="shared" si="5"/>
        <v>1.0986122886681098</v>
      </c>
      <c r="I78" s="40">
        <f t="shared" si="5"/>
        <v>-1.7047480922384253</v>
      </c>
      <c r="J78" s="40"/>
    </row>
    <row r="79" spans="1:10">
      <c r="A79" s="40">
        <v>68</v>
      </c>
      <c r="B79" s="40">
        <v>100</v>
      </c>
      <c r="C79" s="40">
        <v>3</v>
      </c>
      <c r="D79" s="40">
        <v>0.22727272727272727</v>
      </c>
      <c r="E79" s="40">
        <f t="shared" si="3"/>
        <v>0.52734375</v>
      </c>
      <c r="F79" s="40">
        <f t="shared" si="4"/>
        <v>6.8594370505118116E-2</v>
      </c>
      <c r="G79" s="40">
        <f t="shared" si="5"/>
        <v>4.6051701859880918</v>
      </c>
      <c r="H79" s="40">
        <f t="shared" si="5"/>
        <v>1.0986122886681098</v>
      </c>
      <c r="I79" s="40">
        <f t="shared" si="5"/>
        <v>-1.4816045409242156</v>
      </c>
      <c r="J79" s="40"/>
    </row>
    <row r="80" spans="1:10">
      <c r="A80" s="40">
        <v>69</v>
      </c>
      <c r="B80" s="40">
        <v>100</v>
      </c>
      <c r="C80" s="40">
        <v>3</v>
      </c>
      <c r="D80" s="40">
        <v>0.22727272727272727</v>
      </c>
      <c r="E80" s="40">
        <f t="shared" si="3"/>
        <v>0.53515625</v>
      </c>
      <c r="F80" s="40">
        <f t="shared" si="4"/>
        <v>8.823801944992446E-2</v>
      </c>
      <c r="G80" s="40">
        <f t="shared" si="5"/>
        <v>4.6051701859880918</v>
      </c>
      <c r="H80" s="40">
        <f t="shared" si="5"/>
        <v>1.0986122886681098</v>
      </c>
      <c r="I80" s="40">
        <f t="shared" si="5"/>
        <v>-1.4816045409242156</v>
      </c>
      <c r="J80" s="40"/>
    </row>
    <row r="81" spans="1:10">
      <c r="A81" s="40">
        <v>70</v>
      </c>
      <c r="B81" s="40">
        <v>100</v>
      </c>
      <c r="C81" s="40">
        <v>3</v>
      </c>
      <c r="D81" s="40">
        <v>0.23295454545454541</v>
      </c>
      <c r="E81" s="40">
        <f t="shared" si="3"/>
        <v>0.54296875</v>
      </c>
      <c r="F81" s="40">
        <f t="shared" si="4"/>
        <v>0.10791577948918657</v>
      </c>
      <c r="G81" s="40">
        <f t="shared" si="5"/>
        <v>4.6051701859880918</v>
      </c>
      <c r="H81" s="40">
        <f t="shared" si="5"/>
        <v>1.0986122886681098</v>
      </c>
      <c r="I81" s="40">
        <f t="shared" si="5"/>
        <v>-1.4569119283338441</v>
      </c>
      <c r="J81" s="40"/>
    </row>
    <row r="82" spans="1:10">
      <c r="A82" s="40">
        <v>71</v>
      </c>
      <c r="B82" s="40">
        <v>150</v>
      </c>
      <c r="C82" s="40">
        <v>3</v>
      </c>
      <c r="D82" s="40">
        <v>0.25568181818181818</v>
      </c>
      <c r="E82" s="40">
        <f t="shared" si="3"/>
        <v>0.55078125</v>
      </c>
      <c r="F82" s="40">
        <f t="shared" si="4"/>
        <v>0.12763541906627035</v>
      </c>
      <c r="G82" s="40">
        <f t="shared" si="5"/>
        <v>5.0106352940962555</v>
      </c>
      <c r="H82" s="40">
        <f t="shared" si="5"/>
        <v>1.0986122886681098</v>
      </c>
      <c r="I82" s="40">
        <f t="shared" si="5"/>
        <v>-1.363821505267832</v>
      </c>
      <c r="J82" s="40"/>
    </row>
    <row r="83" spans="1:10">
      <c r="A83" s="40">
        <v>72</v>
      </c>
      <c r="B83" s="40">
        <v>150</v>
      </c>
      <c r="C83" s="40">
        <v>3</v>
      </c>
      <c r="D83" s="40">
        <v>0.28409090909090906</v>
      </c>
      <c r="E83" s="40">
        <f t="shared" si="3"/>
        <v>0.55859375</v>
      </c>
      <c r="F83" s="40">
        <f t="shared" si="4"/>
        <v>0.14740482161235485</v>
      </c>
      <c r="G83" s="40">
        <f t="shared" si="5"/>
        <v>5.0106352940962555</v>
      </c>
      <c r="H83" s="40">
        <f t="shared" si="5"/>
        <v>1.0986122886681098</v>
      </c>
      <c r="I83" s="40">
        <f t="shared" si="5"/>
        <v>-1.2584609896100059</v>
      </c>
      <c r="J83" s="40"/>
    </row>
    <row r="84" spans="1:10">
      <c r="A84" s="40">
        <v>73</v>
      </c>
      <c r="B84" s="40">
        <v>150</v>
      </c>
      <c r="C84" s="40">
        <v>3.61</v>
      </c>
      <c r="D84" s="40">
        <v>0.34090909090909088</v>
      </c>
      <c r="E84" s="40">
        <f t="shared" si="3"/>
        <v>0.56640625</v>
      </c>
      <c r="F84" s="40">
        <f t="shared" si="4"/>
        <v>0.16723200837085012</v>
      </c>
      <c r="G84" s="40">
        <f t="shared" si="5"/>
        <v>5.0106352940962555</v>
      </c>
      <c r="H84" s="40">
        <f t="shared" si="5"/>
        <v>1.2837077723447896</v>
      </c>
      <c r="I84" s="40">
        <f t="shared" si="5"/>
        <v>-1.0761394328160512</v>
      </c>
      <c r="J84" s="40"/>
    </row>
    <row r="85" spans="1:10">
      <c r="A85" s="40">
        <v>74</v>
      </c>
      <c r="B85" s="40">
        <v>150</v>
      </c>
      <c r="C85" s="40">
        <v>4</v>
      </c>
      <c r="D85" s="40">
        <v>0.34090909090909088</v>
      </c>
      <c r="E85" s="40">
        <f t="shared" si="3"/>
        <v>0.57421875</v>
      </c>
      <c r="F85" s="40">
        <f t="shared" si="4"/>
        <v>0.18712516222572084</v>
      </c>
      <c r="G85" s="40">
        <f t="shared" si="5"/>
        <v>5.0106352940962555</v>
      </c>
      <c r="H85" s="40">
        <f t="shared" si="5"/>
        <v>1.3862943611198906</v>
      </c>
      <c r="I85" s="40">
        <f t="shared" si="5"/>
        <v>-1.0761394328160512</v>
      </c>
      <c r="J85" s="40"/>
    </row>
    <row r="86" spans="1:10">
      <c r="A86" s="40">
        <v>75</v>
      </c>
      <c r="B86" s="40">
        <v>150</v>
      </c>
      <c r="C86" s="40">
        <v>4</v>
      </c>
      <c r="D86" s="40">
        <v>0.34090909090909088</v>
      </c>
      <c r="E86" s="40">
        <f t="shared" si="3"/>
        <v>0.58203125</v>
      </c>
      <c r="F86" s="40">
        <f t="shared" si="4"/>
        <v>0.20709265272436031</v>
      </c>
      <c r="G86" s="40">
        <f t="shared" si="5"/>
        <v>5.0106352940962555</v>
      </c>
      <c r="H86" s="40">
        <f t="shared" si="5"/>
        <v>1.3862943611198906</v>
      </c>
      <c r="I86" s="40">
        <f t="shared" si="5"/>
        <v>-1.0761394328160512</v>
      </c>
      <c r="J86" s="40"/>
    </row>
    <row r="87" spans="1:10">
      <c r="A87" s="40">
        <v>76</v>
      </c>
      <c r="B87" s="40">
        <v>150</v>
      </c>
      <c r="C87" s="40">
        <v>4</v>
      </c>
      <c r="D87" s="40">
        <v>0.34090909090909088</v>
      </c>
      <c r="E87" s="40">
        <f t="shared" si="3"/>
        <v>0.58984375</v>
      </c>
      <c r="F87" s="40">
        <f t="shared" si="4"/>
        <v>0.22714306250271532</v>
      </c>
      <c r="G87" s="40">
        <f t="shared" si="5"/>
        <v>5.0106352940962555</v>
      </c>
      <c r="H87" s="40">
        <f t="shared" si="5"/>
        <v>1.3862943611198906</v>
      </c>
      <c r="I87" s="40">
        <f t="shared" si="5"/>
        <v>-1.0761394328160512</v>
      </c>
      <c r="J87" s="40"/>
    </row>
    <row r="88" spans="1:10">
      <c r="A88" s="40">
        <v>77</v>
      </c>
      <c r="B88" s="40">
        <v>150</v>
      </c>
      <c r="C88" s="40">
        <v>4</v>
      </c>
      <c r="D88" s="40">
        <v>0.38352272727272724</v>
      </c>
      <c r="E88" s="40">
        <f t="shared" si="3"/>
        <v>0.59765625</v>
      </c>
      <c r="F88" s="40">
        <f t="shared" si="4"/>
        <v>0.24728521534080491</v>
      </c>
      <c r="G88" s="40">
        <f t="shared" si="5"/>
        <v>5.0106352940962555</v>
      </c>
      <c r="H88" s="40">
        <f t="shared" si="5"/>
        <v>1.3862943611198906</v>
      </c>
      <c r="I88" s="40">
        <f t="shared" si="5"/>
        <v>-0.95835639715966769</v>
      </c>
      <c r="J88" s="40"/>
    </row>
    <row r="89" spans="1:10">
      <c r="A89" s="40">
        <v>78</v>
      </c>
      <c r="B89" s="40">
        <v>150</v>
      </c>
      <c r="C89" s="40">
        <v>4</v>
      </c>
      <c r="D89" s="40">
        <v>0.41022727272727272</v>
      </c>
      <c r="E89" s="40">
        <f t="shared" si="3"/>
        <v>0.60546875</v>
      </c>
      <c r="F89" s="40">
        <f t="shared" si="4"/>
        <v>0.26752820610109723</v>
      </c>
      <c r="G89" s="40">
        <f t="shared" si="5"/>
        <v>5.0106352940962555</v>
      </c>
      <c r="H89" s="40">
        <f t="shared" si="5"/>
        <v>1.3862943611198906</v>
      </c>
      <c r="I89" s="40">
        <f t="shared" si="5"/>
        <v>-0.89104394913937124</v>
      </c>
      <c r="J89" s="40"/>
    </row>
    <row r="90" spans="1:10">
      <c r="A90" s="40">
        <v>79</v>
      </c>
      <c r="B90" s="40">
        <v>150</v>
      </c>
      <c r="C90" s="40">
        <v>4.0999999999999996</v>
      </c>
      <c r="D90" s="40">
        <v>0.44318181818181818</v>
      </c>
      <c r="E90" s="40">
        <f t="shared" si="3"/>
        <v>0.61328125</v>
      </c>
      <c r="F90" s="40">
        <f t="shared" si="4"/>
        <v>0.28788143283101186</v>
      </c>
      <c r="G90" s="40">
        <f t="shared" si="5"/>
        <v>5.0106352940962555</v>
      </c>
      <c r="H90" s="40">
        <f t="shared" si="5"/>
        <v>1.410986973710262</v>
      </c>
      <c r="I90" s="40">
        <f t="shared" si="5"/>
        <v>-0.81377516834856001</v>
      </c>
      <c r="J90" s="40"/>
    </row>
    <row r="91" spans="1:10">
      <c r="A91" s="40">
        <v>80</v>
      </c>
      <c r="B91" s="40">
        <v>150</v>
      </c>
      <c r="C91" s="40">
        <v>4.1500000000000004</v>
      </c>
      <c r="D91" s="40">
        <v>0.45454545454545453</v>
      </c>
      <c r="E91" s="40">
        <f t="shared" si="3"/>
        <v>0.62109375</v>
      </c>
      <c r="F91" s="40">
        <f t="shared" si="4"/>
        <v>0.30835463134483726</v>
      </c>
      <c r="G91" s="40">
        <f t="shared" si="5"/>
        <v>5.0106352940962555</v>
      </c>
      <c r="H91" s="40">
        <f t="shared" si="5"/>
        <v>1.423108334242607</v>
      </c>
      <c r="I91" s="40">
        <f t="shared" si="5"/>
        <v>-0.78845736036427017</v>
      </c>
      <c r="J91" s="40"/>
    </row>
    <row r="92" spans="1:10">
      <c r="A92" s="40">
        <v>81</v>
      </c>
      <c r="B92" s="40">
        <v>150</v>
      </c>
      <c r="C92" s="40">
        <v>4.5</v>
      </c>
      <c r="D92" s="40">
        <v>0.45454545454545453</v>
      </c>
      <c r="E92" s="40">
        <f t="shared" si="3"/>
        <v>0.62890625</v>
      </c>
      <c r="F92" s="40">
        <f t="shared" si="4"/>
        <v>0.32895791264049112</v>
      </c>
      <c r="G92" s="40">
        <f t="shared" si="5"/>
        <v>5.0106352940962555</v>
      </c>
      <c r="H92" s="40">
        <f t="shared" si="5"/>
        <v>1.5040773967762742</v>
      </c>
      <c r="I92" s="40">
        <f t="shared" si="5"/>
        <v>-0.78845736036427017</v>
      </c>
      <c r="J92" s="40"/>
    </row>
    <row r="93" spans="1:10">
      <c r="A93" s="40">
        <v>82</v>
      </c>
      <c r="B93" s="40">
        <v>150</v>
      </c>
      <c r="C93" s="40">
        <v>4.5</v>
      </c>
      <c r="D93" s="40">
        <v>0.45738636363636365</v>
      </c>
      <c r="E93" s="40">
        <f t="shared" si="3"/>
        <v>0.63671875</v>
      </c>
      <c r="F93" s="40">
        <f t="shared" si="4"/>
        <v>0.3497018035538953</v>
      </c>
      <c r="G93" s="40">
        <f t="shared" si="5"/>
        <v>5.0106352940962555</v>
      </c>
      <c r="H93" s="40">
        <f t="shared" si="5"/>
        <v>1.5040773967762742</v>
      </c>
      <c r="I93" s="40">
        <f t="shared" si="5"/>
        <v>-0.78222681061363408</v>
      </c>
      <c r="J93" s="40"/>
    </row>
    <row r="94" spans="1:10">
      <c r="A94" s="40">
        <v>83</v>
      </c>
      <c r="B94" s="40">
        <v>150</v>
      </c>
      <c r="C94" s="40">
        <v>4.53</v>
      </c>
      <c r="D94" s="40">
        <v>0.47159090909090906</v>
      </c>
      <c r="E94" s="40">
        <f t="shared" si="3"/>
        <v>0.64453125</v>
      </c>
      <c r="F94" s="40">
        <f t="shared" si="4"/>
        <v>0.3705972911096293</v>
      </c>
      <c r="G94" s="40">
        <f t="shared" si="5"/>
        <v>5.0106352940962555</v>
      </c>
      <c r="H94" s="40">
        <f t="shared" si="5"/>
        <v>1.5107219394949427</v>
      </c>
      <c r="I94" s="40">
        <f t="shared" si="5"/>
        <v>-0.75164338724155388</v>
      </c>
      <c r="J94" s="40"/>
    </row>
    <row r="95" spans="1:10">
      <c r="A95" s="40">
        <v>84</v>
      </c>
      <c r="B95" s="40">
        <v>150</v>
      </c>
      <c r="C95" s="40">
        <v>4.7</v>
      </c>
      <c r="D95" s="40">
        <v>0.48863636363636359</v>
      </c>
      <c r="E95" s="40">
        <f t="shared" si="3"/>
        <v>0.65234375</v>
      </c>
      <c r="F95" s="40">
        <f t="shared" si="4"/>
        <v>0.39165587109259159</v>
      </c>
      <c r="G95" s="40">
        <f t="shared" si="5"/>
        <v>5.0106352940962555</v>
      </c>
      <c r="H95" s="40">
        <f t="shared" si="5"/>
        <v>1.547562508716013</v>
      </c>
      <c r="I95" s="40">
        <f t="shared" si="5"/>
        <v>-0.71613669878464414</v>
      </c>
      <c r="J95" s="40"/>
    </row>
    <row r="96" spans="1:10">
      <c r="A96" s="40">
        <v>85</v>
      </c>
      <c r="B96" s="40">
        <v>160</v>
      </c>
      <c r="C96" s="40">
        <v>4.99</v>
      </c>
      <c r="D96" s="40">
        <v>0.51136363636363635</v>
      </c>
      <c r="E96" s="40">
        <f t="shared" si="3"/>
        <v>0.66015625</v>
      </c>
      <c r="F96" s="40">
        <f t="shared" si="4"/>
        <v>0.41288960144365422</v>
      </c>
      <c r="G96" s="40">
        <f t="shared" si="5"/>
        <v>5.0751738152338266</v>
      </c>
      <c r="H96" s="40">
        <f t="shared" si="5"/>
        <v>1.6074359097634274</v>
      </c>
      <c r="I96" s="40">
        <f t="shared" si="5"/>
        <v>-0.67067432470788668</v>
      </c>
      <c r="J96" s="40"/>
    </row>
    <row r="97" spans="1:10">
      <c r="A97" s="40">
        <v>86</v>
      </c>
      <c r="B97" s="40">
        <v>173</v>
      </c>
      <c r="C97" s="40">
        <v>5</v>
      </c>
      <c r="D97" s="40">
        <v>0.51136363636363635</v>
      </c>
      <c r="E97" s="40">
        <f t="shared" si="3"/>
        <v>0.66796875</v>
      </c>
      <c r="F97" s="40">
        <f t="shared" si="4"/>
        <v>0.43431116117520968</v>
      </c>
      <c r="G97" s="40">
        <f t="shared" si="5"/>
        <v>5.1532915944977793</v>
      </c>
      <c r="H97" s="40">
        <f t="shared" si="5"/>
        <v>1.6094379124341003</v>
      </c>
      <c r="I97" s="40">
        <f t="shared" si="5"/>
        <v>-0.67067432470788668</v>
      </c>
      <c r="J97" s="40"/>
    </row>
    <row r="98" spans="1:10">
      <c r="A98" s="40">
        <v>87</v>
      </c>
      <c r="B98" s="729">
        <v>175</v>
      </c>
      <c r="C98" s="40">
        <v>5</v>
      </c>
      <c r="D98" s="40">
        <v>0.51136363636363635</v>
      </c>
      <c r="E98" s="40">
        <f t="shared" si="3"/>
        <v>0.67578125</v>
      </c>
      <c r="F98" s="40">
        <f t="shared" si="4"/>
        <v>0.45593391561313878</v>
      </c>
      <c r="G98" s="40">
        <f t="shared" si="5"/>
        <v>5.1647859739235145</v>
      </c>
      <c r="H98" s="40">
        <f t="shared" si="5"/>
        <v>1.6094379124341003</v>
      </c>
      <c r="I98" s="40">
        <f t="shared" si="5"/>
        <v>-0.67067432470788668</v>
      </c>
      <c r="J98" s="40"/>
    </row>
    <row r="99" spans="1:10">
      <c r="A99" s="40">
        <v>88</v>
      </c>
      <c r="B99" s="729">
        <v>175</v>
      </c>
      <c r="C99" s="40">
        <v>5</v>
      </c>
      <c r="D99" s="40">
        <v>0.51136363636363635</v>
      </c>
      <c r="E99" s="40">
        <f t="shared" si="3"/>
        <v>0.68359375</v>
      </c>
      <c r="F99" s="40">
        <f t="shared" si="4"/>
        <v>0.47777198890388606</v>
      </c>
      <c r="G99" s="40">
        <f t="shared" si="5"/>
        <v>5.1647859739235145</v>
      </c>
      <c r="H99" s="40">
        <f t="shared" si="5"/>
        <v>1.6094379124341003</v>
      </c>
      <c r="I99" s="40">
        <f t="shared" si="5"/>
        <v>-0.67067432470788668</v>
      </c>
      <c r="J99" s="40"/>
    </row>
    <row r="100" spans="1:10">
      <c r="A100" s="40">
        <v>89</v>
      </c>
      <c r="B100" s="40">
        <v>200</v>
      </c>
      <c r="C100" s="40">
        <v>5</v>
      </c>
      <c r="D100" s="40">
        <v>0.51477272727272727</v>
      </c>
      <c r="E100" s="40">
        <f t="shared" si="3"/>
        <v>0.69140625</v>
      </c>
      <c r="F100" s="40">
        <f t="shared" si="4"/>
        <v>0.49984034488373513</v>
      </c>
      <c r="G100" s="40">
        <f t="shared" si="5"/>
        <v>5.2983173665480363</v>
      </c>
      <c r="H100" s="40">
        <f t="shared" si="5"/>
        <v>1.6094379124341003</v>
      </c>
      <c r="I100" s="40">
        <f t="shared" si="5"/>
        <v>-0.66402978198921814</v>
      </c>
      <c r="J100" s="40"/>
    </row>
    <row r="101" spans="1:10">
      <c r="A101" s="40">
        <v>90</v>
      </c>
      <c r="B101" s="40">
        <v>200</v>
      </c>
      <c r="C101" s="40">
        <v>5.5</v>
      </c>
      <c r="D101" s="40">
        <v>0.61363636363636365</v>
      </c>
      <c r="E101" s="40">
        <f t="shared" si="3"/>
        <v>0.69921875</v>
      </c>
      <c r="F101" s="40">
        <f t="shared" si="4"/>
        <v>0.52215487759800161</v>
      </c>
      <c r="G101" s="40">
        <f t="shared" si="5"/>
        <v>5.2983173665480363</v>
      </c>
      <c r="H101" s="40">
        <f t="shared" si="5"/>
        <v>1.7047480922384253</v>
      </c>
      <c r="I101" s="40">
        <f t="shared" si="5"/>
        <v>-0.48835276791393206</v>
      </c>
      <c r="J101" s="40"/>
    </row>
    <row r="102" spans="1:10">
      <c r="A102" s="40">
        <v>91</v>
      </c>
      <c r="B102" s="40">
        <v>200</v>
      </c>
      <c r="C102" s="40">
        <v>5.7</v>
      </c>
      <c r="D102" s="40">
        <v>0.68181818181818177</v>
      </c>
      <c r="E102" s="40">
        <f t="shared" si="3"/>
        <v>0.70703125</v>
      </c>
      <c r="F102" s="40">
        <f t="shared" si="4"/>
        <v>0.54473251298817593</v>
      </c>
      <c r="G102" s="40">
        <f t="shared" si="5"/>
        <v>5.2983173665480363</v>
      </c>
      <c r="H102" s="40">
        <f t="shared" si="5"/>
        <v>1.7404661748405046</v>
      </c>
      <c r="I102" s="40">
        <f t="shared" si="5"/>
        <v>-0.38299225225610584</v>
      </c>
      <c r="J102" s="40"/>
    </row>
    <row r="103" spans="1:10">
      <c r="A103" s="40">
        <v>92</v>
      </c>
      <c r="B103" s="40">
        <v>200</v>
      </c>
      <c r="C103" s="40">
        <v>5.9</v>
      </c>
      <c r="D103" s="40">
        <v>0.68181818181818177</v>
      </c>
      <c r="E103" s="40">
        <f t="shared" si="3"/>
        <v>0.71484375</v>
      </c>
      <c r="F103" s="40">
        <f t="shared" si="4"/>
        <v>0.5675913235445692</v>
      </c>
      <c r="G103" s="40">
        <f t="shared" si="5"/>
        <v>5.2983173665480363</v>
      </c>
      <c r="H103" s="40">
        <f t="shared" si="5"/>
        <v>1.7749523509116738</v>
      </c>
      <c r="I103" s="40">
        <f t="shared" si="5"/>
        <v>-0.38299225225610584</v>
      </c>
      <c r="J103" s="40"/>
    </row>
    <row r="104" spans="1:10">
      <c r="A104" s="40">
        <v>93</v>
      </c>
      <c r="B104" s="40">
        <v>200</v>
      </c>
      <c r="C104" s="40">
        <v>6</v>
      </c>
      <c r="D104" s="40">
        <v>0.69318181818181812</v>
      </c>
      <c r="E104" s="40">
        <f t="shared" si="3"/>
        <v>0.72265625</v>
      </c>
      <c r="F104" s="40">
        <f t="shared" si="4"/>
        <v>0.59075065806281868</v>
      </c>
      <c r="G104" s="40">
        <f t="shared" si="5"/>
        <v>5.2983173665480363</v>
      </c>
      <c r="H104" s="40">
        <f t="shared" si="5"/>
        <v>1.791759469228055</v>
      </c>
      <c r="I104" s="40">
        <f t="shared" si="5"/>
        <v>-0.36646295030489529</v>
      </c>
      <c r="J104" s="40"/>
    </row>
    <row r="105" spans="1:10">
      <c r="A105" s="40">
        <v>94</v>
      </c>
      <c r="B105" s="40">
        <v>200</v>
      </c>
      <c r="C105" s="40">
        <v>6</v>
      </c>
      <c r="D105" s="40">
        <v>0.75</v>
      </c>
      <c r="E105" s="40">
        <f t="shared" si="3"/>
        <v>0.73046875</v>
      </c>
      <c r="F105" s="40">
        <f t="shared" si="4"/>
        <v>0.61423128906024538</v>
      </c>
      <c r="G105" s="40">
        <f t="shared" si="5"/>
        <v>5.2983173665480363</v>
      </c>
      <c r="H105" s="40">
        <f t="shared" si="5"/>
        <v>1.791759469228055</v>
      </c>
      <c r="I105" s="40">
        <f t="shared" si="5"/>
        <v>-0.2876820724517809</v>
      </c>
      <c r="J105" s="40"/>
    </row>
    <row r="106" spans="1:10">
      <c r="A106" s="40">
        <v>95</v>
      </c>
      <c r="B106" s="40">
        <v>200</v>
      </c>
      <c r="C106" s="40">
        <v>6</v>
      </c>
      <c r="D106" s="40">
        <v>0.76704545454545459</v>
      </c>
      <c r="E106" s="40">
        <f t="shared" si="3"/>
        <v>0.73828125</v>
      </c>
      <c r="F106" s="40">
        <f t="shared" si="4"/>
        <v>0.63805558092251702</v>
      </c>
      <c r="G106" s="40">
        <f t="shared" si="5"/>
        <v>5.2983173665480363</v>
      </c>
      <c r="H106" s="40">
        <f t="shared" si="5"/>
        <v>1.791759469228055</v>
      </c>
      <c r="I106" s="40">
        <f t="shared" si="5"/>
        <v>-0.2652092165997223</v>
      </c>
      <c r="J106" s="40"/>
    </row>
    <row r="107" spans="1:10">
      <c r="A107" s="40">
        <v>96</v>
      </c>
      <c r="B107" s="40">
        <v>200</v>
      </c>
      <c r="C107" s="40">
        <v>6</v>
      </c>
      <c r="D107" s="40">
        <v>0.79545454545454541</v>
      </c>
      <c r="E107" s="40">
        <f t="shared" si="3"/>
        <v>0.74609375</v>
      </c>
      <c r="F107" s="40">
        <f t="shared" si="4"/>
        <v>0.66224768248841404</v>
      </c>
      <c r="G107" s="40">
        <f t="shared" si="5"/>
        <v>5.2983173665480363</v>
      </c>
      <c r="H107" s="40">
        <f t="shared" si="5"/>
        <v>1.791759469228055</v>
      </c>
      <c r="I107" s="40">
        <f t="shared" si="5"/>
        <v>-0.22884157242884753</v>
      </c>
      <c r="J107" s="40"/>
    </row>
    <row r="108" spans="1:10">
      <c r="A108" s="40">
        <v>97</v>
      </c>
      <c r="B108" s="40">
        <v>200</v>
      </c>
      <c r="C108" s="40">
        <v>6</v>
      </c>
      <c r="D108" s="40">
        <v>0.85056818181818183</v>
      </c>
      <c r="E108" s="40">
        <f t="shared" si="3"/>
        <v>0.75390625</v>
      </c>
      <c r="F108" s="40">
        <f t="shared" si="4"/>
        <v>0.68683374857473101</v>
      </c>
      <c r="G108" s="40">
        <f t="shared" si="5"/>
        <v>5.2983173665480363</v>
      </c>
      <c r="H108" s="40">
        <f t="shared" si="5"/>
        <v>1.791759469228055</v>
      </c>
      <c r="I108" s="40">
        <f t="shared" si="5"/>
        <v>-0.16185070361256909</v>
      </c>
      <c r="J108" s="40"/>
    </row>
    <row r="109" spans="1:10">
      <c r="A109" s="40">
        <v>98</v>
      </c>
      <c r="B109" s="40">
        <v>200</v>
      </c>
      <c r="C109" s="40">
        <v>6</v>
      </c>
      <c r="D109" s="40">
        <v>0.85227272727272718</v>
      </c>
      <c r="E109" s="40">
        <f t="shared" si="3"/>
        <v>0.76171875</v>
      </c>
      <c r="F109" s="40">
        <f t="shared" si="4"/>
        <v>0.71184219593941889</v>
      </c>
      <c r="G109" s="40">
        <f t="shared" si="5"/>
        <v>5.2983173665480363</v>
      </c>
      <c r="H109" s="40">
        <f t="shared" si="5"/>
        <v>1.791759469228055</v>
      </c>
      <c r="I109" s="40">
        <f t="shared" si="5"/>
        <v>-0.15984870094189613</v>
      </c>
      <c r="J109" s="40"/>
    </row>
    <row r="110" spans="1:10">
      <c r="A110" s="40">
        <v>99</v>
      </c>
      <c r="B110" s="40">
        <v>200</v>
      </c>
      <c r="C110" s="40">
        <v>6</v>
      </c>
      <c r="D110" s="729">
        <v>0.89985795454545459</v>
      </c>
      <c r="E110" s="40">
        <f t="shared" si="3"/>
        <v>0.76953125</v>
      </c>
      <c r="F110" s="40">
        <f t="shared" si="4"/>
        <v>0.73730400043865463</v>
      </c>
      <c r="G110" s="40">
        <f t="shared" si="5"/>
        <v>5.2983173665480363</v>
      </c>
      <c r="H110" s="40">
        <f t="shared" si="5"/>
        <v>1.791759469228055</v>
      </c>
      <c r="I110" s="40">
        <f t="shared" si="5"/>
        <v>-0.10551835639684862</v>
      </c>
      <c r="J110" s="40"/>
    </row>
    <row r="111" spans="1:10">
      <c r="A111" s="40">
        <v>100</v>
      </c>
      <c r="B111" s="40">
        <v>200</v>
      </c>
      <c r="C111" s="40">
        <v>6</v>
      </c>
      <c r="D111" s="40">
        <v>0.90909090909090906</v>
      </c>
      <c r="E111" s="40">
        <f t="shared" si="3"/>
        <v>0.77734375</v>
      </c>
      <c r="F111" s="40">
        <f t="shared" si="4"/>
        <v>0.76325304373257086</v>
      </c>
      <c r="G111" s="40">
        <f t="shared" si="5"/>
        <v>5.2983173665480363</v>
      </c>
      <c r="H111" s="40">
        <f t="shared" si="5"/>
        <v>1.791759469228055</v>
      </c>
      <c r="I111" s="40">
        <f t="shared" si="5"/>
        <v>-9.5310179804324893E-2</v>
      </c>
      <c r="J111" s="40"/>
    </row>
    <row r="112" spans="1:10">
      <c r="A112" s="40">
        <v>101</v>
      </c>
      <c r="B112" s="40">
        <v>270</v>
      </c>
      <c r="C112" s="40">
        <v>7</v>
      </c>
      <c r="D112" s="40">
        <v>0.92045454545454541</v>
      </c>
      <c r="E112" s="40">
        <f t="shared" si="3"/>
        <v>0.78515625</v>
      </c>
      <c r="F112" s="40">
        <f t="shared" si="4"/>
        <v>0.78972651994326604</v>
      </c>
      <c r="G112" s="40">
        <f t="shared" si="5"/>
        <v>5.598421958998375</v>
      </c>
      <c r="H112" s="40">
        <f t="shared" si="5"/>
        <v>1.9459101490553132</v>
      </c>
      <c r="I112" s="40">
        <f t="shared" si="5"/>
        <v>-8.2887659805767747E-2</v>
      </c>
      <c r="J112" s="40"/>
    </row>
    <row r="113" spans="1:10">
      <c r="A113" s="40">
        <v>102</v>
      </c>
      <c r="B113" s="40">
        <v>300</v>
      </c>
      <c r="C113" s="40">
        <v>7</v>
      </c>
      <c r="D113" s="729">
        <v>0.94772727272727264</v>
      </c>
      <c r="E113" s="40">
        <f t="shared" si="3"/>
        <v>0.79296875</v>
      </c>
      <c r="F113" s="40">
        <f t="shared" si="4"/>
        <v>0.8167654153150905</v>
      </c>
      <c r="G113" s="40">
        <f t="shared" si="5"/>
        <v>5.7037824746562009</v>
      </c>
      <c r="H113" s="40">
        <f t="shared" si="5"/>
        <v>1.9459101490553132</v>
      </c>
      <c r="I113" s="40">
        <f t="shared" si="5"/>
        <v>-5.3688505113505487E-2</v>
      </c>
      <c r="J113" s="40"/>
    </row>
    <row r="114" spans="1:10">
      <c r="A114" s="40">
        <v>103</v>
      </c>
      <c r="B114" s="40">
        <v>300</v>
      </c>
      <c r="C114" s="40">
        <v>7.05</v>
      </c>
      <c r="D114" s="40">
        <v>1.2450000000000001</v>
      </c>
      <c r="E114" s="40">
        <f t="shared" si="3"/>
        <v>0.80078125</v>
      </c>
      <c r="F114" s="40">
        <f t="shared" si="4"/>
        <v>0.84441507737525745</v>
      </c>
      <c r="G114" s="40">
        <f t="shared" si="5"/>
        <v>5.7037824746562009</v>
      </c>
      <c r="H114" s="40">
        <f t="shared" si="5"/>
        <v>1.9530276168241774</v>
      </c>
      <c r="I114" s="40">
        <f t="shared" si="5"/>
        <v>0.21913552991667101</v>
      </c>
      <c r="J114" s="40"/>
    </row>
    <row r="115" spans="1:10">
      <c r="A115" s="40">
        <v>104</v>
      </c>
      <c r="B115" s="40">
        <v>300</v>
      </c>
      <c r="C115" s="40">
        <v>7.2</v>
      </c>
      <c r="D115" s="40">
        <v>1.3636363636363635</v>
      </c>
      <c r="E115" s="40">
        <f t="shared" si="3"/>
        <v>0.80859375</v>
      </c>
      <c r="F115" s="40">
        <f t="shared" si="4"/>
        <v>0.87272589462704031</v>
      </c>
      <c r="G115" s="40">
        <f t="shared" si="5"/>
        <v>5.7037824746562009</v>
      </c>
      <c r="H115" s="40">
        <f t="shared" si="5"/>
        <v>1.9740810260220096</v>
      </c>
      <c r="I115" s="40">
        <f t="shared" si="5"/>
        <v>0.31015492830383945</v>
      </c>
      <c r="J115" s="40"/>
    </row>
    <row r="116" spans="1:10">
      <c r="A116" s="40">
        <v>105</v>
      </c>
      <c r="B116" s="40">
        <v>300</v>
      </c>
      <c r="C116" s="40">
        <v>7.5</v>
      </c>
      <c r="D116" s="40">
        <v>1.3636363636363635</v>
      </c>
      <c r="E116" s="40">
        <f t="shared" si="3"/>
        <v>0.81640625</v>
      </c>
      <c r="F116" s="40">
        <f t="shared" si="4"/>
        <v>0.90175411383009907</v>
      </c>
      <c r="G116" s="40">
        <f t="shared" si="5"/>
        <v>5.7037824746562009</v>
      </c>
      <c r="H116" s="40">
        <f t="shared" si="5"/>
        <v>2.0149030205422647</v>
      </c>
      <c r="I116" s="40">
        <f t="shared" si="5"/>
        <v>0.31015492830383945</v>
      </c>
      <c r="J116" s="40"/>
    </row>
    <row r="117" spans="1:10">
      <c r="A117" s="40">
        <v>106</v>
      </c>
      <c r="B117" s="40">
        <v>300</v>
      </c>
      <c r="C117" s="40">
        <v>8</v>
      </c>
      <c r="D117" s="40">
        <v>1.3636363636363635</v>
      </c>
      <c r="E117" s="40">
        <f t="shared" si="3"/>
        <v>0.82421875</v>
      </c>
      <c r="F117" s="40">
        <f t="shared" si="4"/>
        <v>0.93156283000711515</v>
      </c>
      <c r="G117" s="40">
        <f t="shared" si="5"/>
        <v>5.7037824746562009</v>
      </c>
      <c r="H117" s="40">
        <f t="shared" si="5"/>
        <v>2.0794415416798357</v>
      </c>
      <c r="I117" s="40">
        <f t="shared" si="5"/>
        <v>0.31015492830383945</v>
      </c>
      <c r="J117" s="40"/>
    </row>
    <row r="118" spans="1:10">
      <c r="A118" s="40">
        <v>107</v>
      </c>
      <c r="B118" s="40">
        <v>400</v>
      </c>
      <c r="C118" s="40">
        <v>8</v>
      </c>
      <c r="D118" s="40">
        <v>1.3636363636363635</v>
      </c>
      <c r="E118" s="40">
        <f t="shared" si="3"/>
        <v>0.83203125</v>
      </c>
      <c r="F118" s="40">
        <f t="shared" si="4"/>
        <v>0.96222319529541966</v>
      </c>
      <c r="G118" s="40">
        <f t="shared" si="5"/>
        <v>5.9914645471079817</v>
      </c>
      <c r="H118" s="40">
        <f t="shared" si="5"/>
        <v>2.0794415416798357</v>
      </c>
      <c r="I118" s="40">
        <f t="shared" si="5"/>
        <v>0.31015492830383945</v>
      </c>
      <c r="J118" s="40"/>
    </row>
    <row r="119" spans="1:10">
      <c r="A119" s="40">
        <v>108</v>
      </c>
      <c r="B119" s="40">
        <v>400</v>
      </c>
      <c r="C119" s="40">
        <v>8</v>
      </c>
      <c r="D119" s="40">
        <v>1.3659090909090907</v>
      </c>
      <c r="E119" s="40">
        <f t="shared" si="3"/>
        <v>0.83984375</v>
      </c>
      <c r="F119" s="40">
        <f t="shared" si="4"/>
        <v>0.99381590786088292</v>
      </c>
      <c r="G119" s="40">
        <f t="shared" si="5"/>
        <v>5.9914645471079817</v>
      </c>
      <c r="H119" s="40">
        <f t="shared" si="5"/>
        <v>2.0794415416798357</v>
      </c>
      <c r="I119" s="40">
        <f t="shared" si="5"/>
        <v>0.31182020762290064</v>
      </c>
      <c r="J119" s="40"/>
    </row>
    <row r="120" spans="1:10">
      <c r="A120" s="40">
        <v>109</v>
      </c>
      <c r="B120" s="40">
        <v>440</v>
      </c>
      <c r="C120" s="40">
        <v>8.6</v>
      </c>
      <c r="D120" s="40">
        <v>1.4727272727272727</v>
      </c>
      <c r="E120" s="40">
        <f t="shared" si="3"/>
        <v>0.84765625</v>
      </c>
      <c r="F120" s="40">
        <f t="shared" si="4"/>
        <v>1.0264330631379093</v>
      </c>
      <c r="G120" s="40">
        <f t="shared" si="5"/>
        <v>6.0867747269123065</v>
      </c>
      <c r="H120" s="40">
        <f t="shared" si="5"/>
        <v>2.1517622032594619</v>
      </c>
      <c r="I120" s="40">
        <f t="shared" si="5"/>
        <v>0.38711596943996779</v>
      </c>
      <c r="J120" s="40"/>
    </row>
    <row r="121" spans="1:10">
      <c r="A121" s="40">
        <v>110</v>
      </c>
      <c r="B121" s="40">
        <v>440</v>
      </c>
      <c r="C121" s="729">
        <v>9.0500000000000007</v>
      </c>
      <c r="D121" s="40">
        <v>1.5</v>
      </c>
      <c r="E121" s="40">
        <f t="shared" si="3"/>
        <v>0.85546875</v>
      </c>
      <c r="F121" s="40">
        <f t="shared" si="4"/>
        <v>1.0601804794353551</v>
      </c>
      <c r="G121" s="40">
        <f t="shared" si="5"/>
        <v>6.0867747269123065</v>
      </c>
      <c r="H121" s="40">
        <f t="shared" si="5"/>
        <v>2.2027647577118348</v>
      </c>
      <c r="I121" s="40">
        <f t="shared" si="5"/>
        <v>0.40546510810816438</v>
      </c>
      <c r="J121" s="40"/>
    </row>
    <row r="122" spans="1:10">
      <c r="A122" s="40">
        <v>111</v>
      </c>
      <c r="B122" s="40">
        <v>440</v>
      </c>
      <c r="C122" s="40">
        <v>9.1999999999999993</v>
      </c>
      <c r="D122" s="40">
        <v>1.6193181818181817</v>
      </c>
      <c r="E122" s="40">
        <f t="shared" si="3"/>
        <v>0.86328125</v>
      </c>
      <c r="F122" s="40">
        <f t="shared" si="4"/>
        <v>1.0951806527613885</v>
      </c>
      <c r="G122" s="40">
        <f t="shared" si="5"/>
        <v>6.0867747269123065</v>
      </c>
      <c r="H122" s="40">
        <f t="shared" si="5"/>
        <v>2.2192034840549946</v>
      </c>
      <c r="I122" s="40">
        <f t="shared" si="5"/>
        <v>0.48200518523049862</v>
      </c>
      <c r="J122" s="40"/>
    </row>
    <row r="123" spans="1:10">
      <c r="A123" s="40">
        <v>112</v>
      </c>
      <c r="B123" s="40">
        <v>440</v>
      </c>
      <c r="C123" s="40">
        <v>10</v>
      </c>
      <c r="D123" s="40">
        <v>1.7045454545454544</v>
      </c>
      <c r="E123" s="40">
        <f t="shared" si="3"/>
        <v>0.87109375</v>
      </c>
      <c r="F123" s="40">
        <f t="shared" si="4"/>
        <v>1.1315765583861888</v>
      </c>
      <c r="G123" s="40">
        <f t="shared" si="5"/>
        <v>6.0867747269123065</v>
      </c>
      <c r="H123" s="40">
        <f t="shared" si="5"/>
        <v>2.3025850929940459</v>
      </c>
      <c r="I123" s="40">
        <f t="shared" si="5"/>
        <v>0.53329847961804921</v>
      </c>
      <c r="J123" s="40"/>
    </row>
    <row r="124" spans="1:10">
      <c r="A124" s="40">
        <v>113</v>
      </c>
      <c r="B124" s="40">
        <v>450</v>
      </c>
      <c r="C124" s="40">
        <v>10</v>
      </c>
      <c r="D124" s="40">
        <v>1.75</v>
      </c>
      <c r="E124" s="40">
        <f t="shared" si="3"/>
        <v>0.87890625</v>
      </c>
      <c r="F124" s="40">
        <f t="shared" si="4"/>
        <v>1.1695366102071427</v>
      </c>
      <c r="G124" s="40">
        <f t="shared" si="5"/>
        <v>6.1092475827643655</v>
      </c>
      <c r="H124" s="40">
        <f t="shared" si="5"/>
        <v>2.3025850929940459</v>
      </c>
      <c r="I124" s="40">
        <f t="shared" si="5"/>
        <v>0.55961578793542266</v>
      </c>
      <c r="J124" s="40"/>
    </row>
    <row r="125" spans="1:10">
      <c r="A125" s="40">
        <v>114</v>
      </c>
      <c r="B125" s="40">
        <v>500</v>
      </c>
      <c r="C125" s="40">
        <v>10</v>
      </c>
      <c r="D125" s="40">
        <v>1.875</v>
      </c>
      <c r="E125" s="40">
        <f t="shared" si="3"/>
        <v>0.88671875</v>
      </c>
      <c r="F125" s="40">
        <f t="shared" si="4"/>
        <v>1.2092612317091556</v>
      </c>
      <c r="G125" s="40">
        <f t="shared" si="5"/>
        <v>6.2146080984221914</v>
      </c>
      <c r="H125" s="40">
        <f t="shared" si="5"/>
        <v>2.3025850929940459</v>
      </c>
      <c r="I125" s="40">
        <f t="shared" si="5"/>
        <v>0.62860865942237409</v>
      </c>
      <c r="J125" s="40"/>
    </row>
    <row r="126" spans="1:10">
      <c r="A126" s="40">
        <v>115</v>
      </c>
      <c r="B126" s="40">
        <v>528</v>
      </c>
      <c r="C126" s="40">
        <v>11.93</v>
      </c>
      <c r="D126" s="40">
        <v>2.4</v>
      </c>
      <c r="E126" s="40">
        <f t="shared" si="3"/>
        <v>0.89453125</v>
      </c>
      <c r="F126" s="40">
        <f t="shared" si="4"/>
        <v>1.2509917154625458</v>
      </c>
      <c r="G126" s="40">
        <f t="shared" si="5"/>
        <v>6.2690962837062614</v>
      </c>
      <c r="H126" s="40">
        <f t="shared" si="5"/>
        <v>2.4790562361098245</v>
      </c>
      <c r="I126" s="40">
        <f t="shared" si="5"/>
        <v>0.87546873735389985</v>
      </c>
      <c r="J126" s="40"/>
    </row>
    <row r="127" spans="1:10">
      <c r="A127" s="40">
        <v>116</v>
      </c>
      <c r="B127" s="40">
        <v>528</v>
      </c>
      <c r="C127" s="40">
        <v>12</v>
      </c>
      <c r="D127" s="40">
        <v>2.4289772727272725</v>
      </c>
      <c r="E127" s="40">
        <f t="shared" si="3"/>
        <v>0.90234375</v>
      </c>
      <c r="F127" s="40">
        <f t="shared" si="4"/>
        <v>1.2950224067058156</v>
      </c>
      <c r="G127" s="40">
        <f t="shared" si="5"/>
        <v>6.2690962837062614</v>
      </c>
      <c r="H127" s="40">
        <f t="shared" si="5"/>
        <v>2.4849066497880004</v>
      </c>
      <c r="I127" s="40">
        <f t="shared" si="5"/>
        <v>0.88747029333866301</v>
      </c>
      <c r="J127" s="40"/>
    </row>
    <row r="128" spans="1:10">
      <c r="A128" s="40">
        <v>117</v>
      </c>
      <c r="B128" s="40">
        <v>600</v>
      </c>
      <c r="C128" s="40">
        <v>12</v>
      </c>
      <c r="D128" s="40">
        <v>2.5</v>
      </c>
      <c r="E128" s="40">
        <f t="shared" si="3"/>
        <v>0.91015625</v>
      </c>
      <c r="F128" s="40">
        <f t="shared" si="4"/>
        <v>1.3417178410802544</v>
      </c>
      <c r="G128" s="40">
        <f t="shared" si="5"/>
        <v>6.3969296552161463</v>
      </c>
      <c r="H128" s="40">
        <f t="shared" si="5"/>
        <v>2.4849066497880004</v>
      </c>
      <c r="I128" s="40">
        <f t="shared" si="5"/>
        <v>0.91629073187415511</v>
      </c>
      <c r="J128" s="40"/>
    </row>
    <row r="129" spans="1:10">
      <c r="A129" s="40">
        <v>118</v>
      </c>
      <c r="B129" s="40">
        <v>704</v>
      </c>
      <c r="C129" s="40">
        <v>12.02</v>
      </c>
      <c r="D129" s="40">
        <v>2.5</v>
      </c>
      <c r="E129" s="40">
        <f t="shared" si="3"/>
        <v>0.91796875</v>
      </c>
      <c r="F129" s="40">
        <f t="shared" si="4"/>
        <v>1.3915374879959002</v>
      </c>
      <c r="G129" s="40">
        <f t="shared" si="5"/>
        <v>6.5567783561580422</v>
      </c>
      <c r="H129" s="40">
        <f t="shared" si="5"/>
        <v>2.4865719291070616</v>
      </c>
      <c r="I129" s="40">
        <f t="shared" si="5"/>
        <v>0.91629073187415511</v>
      </c>
      <c r="J129" s="40"/>
    </row>
    <row r="130" spans="1:10">
      <c r="A130" s="40">
        <v>119</v>
      </c>
      <c r="B130" s="40">
        <v>880</v>
      </c>
      <c r="C130" s="40">
        <v>12.2</v>
      </c>
      <c r="D130" s="40">
        <v>2.8409090909090913</v>
      </c>
      <c r="E130" s="40">
        <f t="shared" si="3"/>
        <v>0.92578125</v>
      </c>
      <c r="F130" s="40">
        <f t="shared" si="4"/>
        <v>1.4450725798180746</v>
      </c>
      <c r="G130" s="40">
        <f t="shared" si="5"/>
        <v>6.7799219074722519</v>
      </c>
      <c r="H130" s="40">
        <f t="shared" si="5"/>
        <v>2.5014359517392109</v>
      </c>
      <c r="I130" s="40">
        <f t="shared" si="5"/>
        <v>1.04412410338404</v>
      </c>
      <c r="J130" s="40"/>
    </row>
    <row r="131" spans="1:10">
      <c r="A131" s="40">
        <v>120</v>
      </c>
      <c r="B131" s="40">
        <v>880</v>
      </c>
      <c r="C131" s="40">
        <v>12.38</v>
      </c>
      <c r="D131" s="40">
        <v>3.0950000000000002</v>
      </c>
      <c r="E131" s="40">
        <f t="shared" si="3"/>
        <v>0.93359375</v>
      </c>
      <c r="F131" s="40">
        <f t="shared" si="4"/>
        <v>1.5031029431292742</v>
      </c>
      <c r="G131" s="40">
        <f t="shared" si="5"/>
        <v>6.7799219074722519</v>
      </c>
      <c r="H131" s="40">
        <f t="shared" si="5"/>
        <v>2.5160822672564502</v>
      </c>
      <c r="I131" s="40">
        <f t="shared" si="5"/>
        <v>1.1297879061365594</v>
      </c>
      <c r="J131" s="40"/>
    </row>
    <row r="132" spans="1:10">
      <c r="A132" s="40">
        <v>121</v>
      </c>
      <c r="B132" s="40">
        <v>880</v>
      </c>
      <c r="C132" s="40">
        <v>16</v>
      </c>
      <c r="D132" s="40">
        <v>4.7720000000000002</v>
      </c>
      <c r="E132" s="40">
        <f t="shared" si="3"/>
        <v>0.94140625</v>
      </c>
      <c r="F132" s="40">
        <f t="shared" si="4"/>
        <v>1.566688586068413</v>
      </c>
      <c r="G132" s="40">
        <f t="shared" si="5"/>
        <v>6.7799219074722519</v>
      </c>
      <c r="H132" s="40">
        <f t="shared" si="5"/>
        <v>2.7725887222397811</v>
      </c>
      <c r="I132" s="40">
        <f t="shared" si="5"/>
        <v>1.5627655042356696</v>
      </c>
      <c r="J132" s="40"/>
    </row>
    <row r="133" spans="1:10">
      <c r="A133" s="40">
        <v>122</v>
      </c>
      <c r="B133" s="729">
        <v>1200</v>
      </c>
      <c r="C133" s="40">
        <v>16.100000000000001</v>
      </c>
      <c r="D133" s="40">
        <v>4.7727272727272725</v>
      </c>
      <c r="E133" s="40">
        <f t="shared" si="3"/>
        <v>0.94921875</v>
      </c>
      <c r="F133" s="40">
        <f t="shared" si="4"/>
        <v>1.6373253827680638</v>
      </c>
      <c r="G133" s="40">
        <f t="shared" si="5"/>
        <v>7.0900768357760917</v>
      </c>
      <c r="H133" s="40">
        <f t="shared" si="5"/>
        <v>2.7788192719904172</v>
      </c>
      <c r="I133" s="40">
        <f t="shared" si="5"/>
        <v>1.5629178967992075</v>
      </c>
      <c r="J133" s="40"/>
    </row>
    <row r="134" spans="1:10">
      <c r="A134" s="40">
        <v>123</v>
      </c>
      <c r="B134" s="40">
        <v>1320</v>
      </c>
      <c r="C134" s="40">
        <v>16.2</v>
      </c>
      <c r="D134" s="40">
        <v>5.2874999999999996</v>
      </c>
      <c r="E134" s="40">
        <f t="shared" si="3"/>
        <v>0.95703125</v>
      </c>
      <c r="F134" s="40">
        <f t="shared" si="4"/>
        <v>1.7172281175057413</v>
      </c>
      <c r="G134" s="40">
        <f t="shared" si="5"/>
        <v>7.1853870155804165</v>
      </c>
      <c r="H134" s="40">
        <f t="shared" si="5"/>
        <v>2.7850112422383382</v>
      </c>
      <c r="I134" s="40">
        <f t="shared" si="5"/>
        <v>1.6653455443723963</v>
      </c>
      <c r="J134" s="40"/>
    </row>
    <row r="135" spans="1:10">
      <c r="A135" s="40">
        <v>124</v>
      </c>
      <c r="B135" s="40">
        <v>1320</v>
      </c>
      <c r="C135" s="40">
        <v>16.2</v>
      </c>
      <c r="D135" s="40">
        <v>5.4545454545454541</v>
      </c>
      <c r="E135" s="40">
        <f t="shared" si="3"/>
        <v>0.96484375</v>
      </c>
      <c r="F135" s="40">
        <f t="shared" si="4"/>
        <v>1.8098922384806082</v>
      </c>
      <c r="G135" s="40">
        <f t="shared" si="5"/>
        <v>7.1853870155804165</v>
      </c>
      <c r="H135" s="40">
        <f t="shared" si="5"/>
        <v>2.7850112422383382</v>
      </c>
      <c r="I135" s="40">
        <f t="shared" si="5"/>
        <v>1.69644928942373</v>
      </c>
      <c r="J135" s="40"/>
    </row>
    <row r="136" spans="1:10">
      <c r="A136" s="40">
        <v>125</v>
      </c>
      <c r="B136" s="40">
        <v>1600</v>
      </c>
      <c r="C136" s="40">
        <v>19</v>
      </c>
      <c r="D136" s="40">
        <v>6</v>
      </c>
      <c r="E136" s="40">
        <f t="shared" si="3"/>
        <v>0.97265625</v>
      </c>
      <c r="F136" s="40">
        <f t="shared" si="4"/>
        <v>1.921350774293703</v>
      </c>
      <c r="G136" s="40">
        <f t="shared" si="5"/>
        <v>7.3777589082278725</v>
      </c>
      <c r="H136" s="40">
        <f t="shared" si="5"/>
        <v>2.9444389791664403</v>
      </c>
      <c r="I136" s="40">
        <f t="shared" si="5"/>
        <v>1.791759469228055</v>
      </c>
      <c r="J136" s="40"/>
    </row>
    <row r="137" spans="1:10">
      <c r="A137" s="729">
        <v>126</v>
      </c>
      <c r="B137" s="40">
        <v>1600</v>
      </c>
      <c r="C137" s="40">
        <v>19.670000000000002</v>
      </c>
      <c r="D137" s="40">
        <v>6.8181818181818183</v>
      </c>
      <c r="E137" s="40">
        <f t="shared" si="3"/>
        <v>0.98046875</v>
      </c>
      <c r="F137" s="729">
        <f t="shared" si="4"/>
        <v>2.0635278983162442</v>
      </c>
      <c r="G137" s="40">
        <f t="shared" ref="G137:G139" si="6">LN(B137)</f>
        <v>7.3777589082278725</v>
      </c>
      <c r="H137" s="40">
        <f t="shared" ref="H137:H139" si="7">LN(C137)</f>
        <v>2.9790946324009679</v>
      </c>
      <c r="I137" s="40">
        <f t="shared" ref="I137:I139" si="8">LN(D137)</f>
        <v>1.9195928407379399</v>
      </c>
      <c r="J137" s="40"/>
    </row>
    <row r="138" spans="1:10">
      <c r="A138" s="729">
        <v>127</v>
      </c>
      <c r="B138" s="40">
        <v>1760</v>
      </c>
      <c r="C138" s="40">
        <v>28.5</v>
      </c>
      <c r="D138" s="40">
        <v>9.1999999999999993</v>
      </c>
      <c r="E138" s="40">
        <f t="shared" si="3"/>
        <v>0.98828125</v>
      </c>
      <c r="F138" s="729">
        <f t="shared" si="4"/>
        <v>2.2662268092096522</v>
      </c>
      <c r="G138" s="40">
        <f t="shared" si="6"/>
        <v>7.4730690880321973</v>
      </c>
      <c r="H138" s="40">
        <f t="shared" si="7"/>
        <v>3.3499040872746049</v>
      </c>
      <c r="I138" s="40">
        <f t="shared" si="8"/>
        <v>2.2192034840549946</v>
      </c>
      <c r="J138" s="40"/>
    </row>
    <row r="139" spans="1:10">
      <c r="A139" s="729">
        <v>128</v>
      </c>
      <c r="B139" s="40">
        <v>1760</v>
      </c>
      <c r="C139" s="40">
        <v>56</v>
      </c>
      <c r="D139" s="40">
        <v>14.7525</v>
      </c>
      <c r="E139" s="40">
        <f t="shared" si="3"/>
        <v>0.99609375</v>
      </c>
      <c r="F139" s="729">
        <f t="shared" si="4"/>
        <v>2.6600674686174592</v>
      </c>
      <c r="G139" s="40">
        <f t="shared" si="6"/>
        <v>7.4730690880321973</v>
      </c>
      <c r="H139" s="40">
        <f t="shared" si="7"/>
        <v>4.0253516907351496</v>
      </c>
      <c r="I139" s="40">
        <f t="shared" si="8"/>
        <v>2.6914125599491867</v>
      </c>
      <c r="J139" s="40"/>
    </row>
    <row r="140" spans="1:10">
      <c r="A140" s="872"/>
      <c r="B140" s="872"/>
      <c r="C140" s="872"/>
      <c r="D140" s="872"/>
      <c r="E140" s="872"/>
      <c r="F140" s="872"/>
      <c r="G140" s="872"/>
      <c r="H140" s="872"/>
      <c r="I140" s="872"/>
      <c r="J140" s="40"/>
    </row>
    <row r="141" spans="1:10">
      <c r="A141" s="872"/>
      <c r="B141" s="872"/>
      <c r="C141" s="872"/>
      <c r="D141" s="872"/>
      <c r="E141" s="872"/>
      <c r="F141" s="872"/>
      <c r="G141" s="872"/>
      <c r="H141" s="872"/>
      <c r="I141" s="872"/>
      <c r="J141" s="40"/>
    </row>
    <row r="142" spans="1:10">
      <c r="A142" s="872"/>
      <c r="B142" s="872"/>
      <c r="C142" s="872"/>
      <c r="D142" s="872"/>
      <c r="E142" s="872"/>
      <c r="F142" s="872"/>
      <c r="G142" s="872"/>
      <c r="H142" s="872"/>
      <c r="I142" s="872"/>
      <c r="J142" s="40"/>
    </row>
    <row r="143" spans="1:10">
      <c r="A143" s="872"/>
      <c r="B143" s="872"/>
      <c r="C143" s="872"/>
      <c r="D143" s="872"/>
      <c r="E143" s="872"/>
      <c r="F143" s="872"/>
      <c r="G143" s="872"/>
      <c r="H143" s="872"/>
      <c r="I143" s="872"/>
      <c r="J143" s="40"/>
    </row>
    <row r="144" spans="1:10">
      <c r="A144" s="872"/>
      <c r="B144" s="872"/>
      <c r="C144" s="872"/>
      <c r="D144" s="872"/>
      <c r="E144" s="872"/>
      <c r="F144" s="872"/>
      <c r="G144" s="872"/>
      <c r="H144" s="872"/>
      <c r="I144" s="872"/>
      <c r="J144" s="40"/>
    </row>
    <row r="145" spans="1:10">
      <c r="A145" s="872"/>
      <c r="B145" s="872"/>
      <c r="C145" s="872"/>
      <c r="D145" s="872"/>
      <c r="E145" s="872"/>
      <c r="F145" s="872"/>
      <c r="G145" s="872"/>
      <c r="H145" s="872"/>
      <c r="I145" s="872"/>
      <c r="J145" s="40"/>
    </row>
    <row r="146" spans="1:10">
      <c r="A146" s="872"/>
      <c r="B146" s="872"/>
      <c r="C146" s="872"/>
      <c r="D146" s="872"/>
      <c r="E146" s="872"/>
      <c r="F146" s="872"/>
      <c r="G146" s="872"/>
      <c r="H146" s="872"/>
      <c r="I146" s="872"/>
      <c r="J146" s="40"/>
    </row>
    <row r="147" spans="1:10">
      <c r="A147" s="872"/>
      <c r="B147" s="872"/>
      <c r="C147" s="872"/>
      <c r="D147" s="872"/>
      <c r="E147" s="872"/>
      <c r="F147" s="872"/>
      <c r="G147" s="872"/>
      <c r="H147" s="872"/>
      <c r="I147" s="872"/>
      <c r="J147" s="40"/>
    </row>
    <row r="148" spans="1:10">
      <c r="A148" s="872"/>
      <c r="B148" s="872"/>
      <c r="C148" s="872"/>
      <c r="D148" s="872"/>
      <c r="E148" s="872"/>
      <c r="F148" s="872"/>
      <c r="G148" s="872"/>
      <c r="H148" s="872"/>
      <c r="I148" s="872"/>
      <c r="J148" s="40"/>
    </row>
    <row r="149" spans="1:10">
      <c r="A149" s="872"/>
      <c r="B149" s="872"/>
      <c r="C149" s="872"/>
      <c r="D149" s="872"/>
      <c r="E149" s="872"/>
      <c r="F149" s="872"/>
      <c r="G149" s="872"/>
      <c r="H149" s="872"/>
      <c r="I149" s="872"/>
      <c r="J149" s="40"/>
    </row>
    <row r="150" spans="1:10">
      <c r="A150" s="872"/>
      <c r="B150" s="872"/>
      <c r="C150" s="872"/>
      <c r="D150" s="872"/>
      <c r="E150" s="872"/>
      <c r="F150" s="872"/>
      <c r="G150" s="872"/>
      <c r="H150" s="872"/>
      <c r="I150" s="872"/>
      <c r="J150" s="40"/>
    </row>
    <row r="151" spans="1:10">
      <c r="A151" s="872"/>
      <c r="B151" s="872"/>
      <c r="C151" s="872"/>
      <c r="D151" s="872"/>
      <c r="E151" s="872"/>
      <c r="F151" s="872"/>
      <c r="G151" s="872"/>
      <c r="H151" s="872"/>
      <c r="I151" s="872"/>
      <c r="J151" s="40"/>
    </row>
    <row r="152" spans="1:10">
      <c r="A152" s="872"/>
      <c r="B152" s="872"/>
      <c r="C152" s="872"/>
      <c r="D152" s="872"/>
      <c r="E152" s="872"/>
      <c r="F152" s="872"/>
      <c r="G152" s="872"/>
      <c r="H152" s="872"/>
      <c r="I152" s="872"/>
      <c r="J152" s="40"/>
    </row>
    <row r="153" spans="1:10">
      <c r="A153" s="872"/>
      <c r="B153" s="872"/>
      <c r="C153" s="872"/>
      <c r="D153" s="872"/>
      <c r="E153" s="872"/>
      <c r="F153" s="872"/>
      <c r="G153" s="872"/>
      <c r="H153" s="872"/>
      <c r="I153" s="872"/>
      <c r="J153" s="40"/>
    </row>
    <row r="154" spans="1:10">
      <c r="A154" s="872"/>
      <c r="B154" s="872"/>
      <c r="C154" s="872"/>
      <c r="D154" s="872"/>
      <c r="E154" s="872"/>
      <c r="F154" s="872"/>
      <c r="G154" s="872"/>
      <c r="H154" s="872"/>
      <c r="I154" s="872"/>
      <c r="J154" s="40"/>
    </row>
    <row r="155" spans="1:10">
      <c r="A155" s="872"/>
      <c r="B155" s="872"/>
      <c r="C155" s="872"/>
      <c r="D155" s="872"/>
      <c r="E155" s="872"/>
      <c r="F155" s="872"/>
      <c r="G155" s="872"/>
      <c r="H155" s="872"/>
      <c r="I155" s="872"/>
      <c r="J155" s="40"/>
    </row>
    <row r="156" spans="1:10">
      <c r="A156" s="872"/>
      <c r="B156" s="872"/>
      <c r="C156" s="872"/>
      <c r="D156" s="872"/>
      <c r="E156" s="872"/>
      <c r="F156" s="872"/>
      <c r="G156" s="872"/>
      <c r="H156" s="872"/>
      <c r="I156" s="872"/>
      <c r="J156" s="40"/>
    </row>
    <row r="157" spans="1:10">
      <c r="A157" s="872"/>
      <c r="B157" s="872"/>
      <c r="C157" s="872"/>
      <c r="D157" s="872"/>
      <c r="E157" s="872"/>
      <c r="F157" s="872"/>
      <c r="G157" s="872"/>
      <c r="H157" s="872"/>
      <c r="I157" s="872"/>
      <c r="J157" s="40"/>
    </row>
    <row r="158" spans="1:10">
      <c r="A158" s="872"/>
      <c r="B158" s="872"/>
      <c r="C158" s="872"/>
      <c r="D158" s="872"/>
      <c r="E158" s="872"/>
      <c r="F158" s="872"/>
      <c r="G158" s="872"/>
      <c r="H158" s="872"/>
      <c r="I158" s="872"/>
      <c r="J158" s="40"/>
    </row>
    <row r="159" spans="1:10">
      <c r="A159" s="872"/>
      <c r="B159" s="872"/>
      <c r="C159" s="872"/>
      <c r="D159" s="872"/>
      <c r="E159" s="872"/>
      <c r="F159" s="872"/>
      <c r="G159" s="872"/>
      <c r="H159" s="872"/>
      <c r="I159" s="872"/>
      <c r="J159" s="40"/>
    </row>
    <row r="160" spans="1:10">
      <c r="A160" s="872"/>
      <c r="B160" s="872"/>
      <c r="C160" s="872"/>
      <c r="D160" s="872"/>
      <c r="E160" s="872"/>
      <c r="F160" s="872"/>
      <c r="G160" s="872"/>
      <c r="H160" s="872"/>
      <c r="I160" s="872"/>
      <c r="J160" s="40"/>
    </row>
    <row r="161" spans="1:10">
      <c r="A161" s="872"/>
      <c r="B161" s="872"/>
      <c r="C161" s="872"/>
      <c r="D161" s="872"/>
      <c r="E161" s="872"/>
      <c r="F161" s="872"/>
      <c r="G161" s="872"/>
      <c r="H161" s="872"/>
      <c r="I161" s="872"/>
      <c r="J161" s="40"/>
    </row>
    <row r="162" spans="1:10">
      <c r="A162" s="872"/>
      <c r="B162" s="872"/>
      <c r="C162" s="872"/>
      <c r="D162" s="872"/>
      <c r="E162" s="872"/>
      <c r="F162" s="872"/>
      <c r="G162" s="872"/>
      <c r="H162" s="872"/>
      <c r="I162" s="872"/>
      <c r="J162" s="40"/>
    </row>
    <row r="163" spans="1:10">
      <c r="A163" s="872"/>
      <c r="B163" s="872"/>
      <c r="C163" s="872"/>
      <c r="D163" s="872"/>
      <c r="E163" s="872"/>
      <c r="F163" s="872"/>
      <c r="G163" s="872"/>
      <c r="H163" s="872"/>
      <c r="I163" s="872"/>
      <c r="J163" s="40"/>
    </row>
    <row r="164" spans="1:10">
      <c r="A164" s="872"/>
      <c r="B164" s="872"/>
      <c r="C164" s="872"/>
      <c r="D164" s="872"/>
      <c r="E164" s="872"/>
      <c r="F164" s="872"/>
      <c r="G164" s="872"/>
      <c r="H164" s="872"/>
      <c r="I164" s="872"/>
      <c r="J164" s="40"/>
    </row>
    <row r="165" spans="1:10">
      <c r="A165" s="872"/>
      <c r="B165" s="872"/>
      <c r="C165" s="872"/>
      <c r="D165" s="872"/>
      <c r="E165" s="872"/>
      <c r="F165" s="872"/>
      <c r="G165" s="872"/>
      <c r="H165" s="872"/>
      <c r="I165" s="872"/>
      <c r="J165" s="40"/>
    </row>
    <row r="166" spans="1:10">
      <c r="A166" s="872"/>
      <c r="B166" s="872"/>
      <c r="C166" s="872"/>
      <c r="D166" s="872"/>
      <c r="E166" s="872"/>
      <c r="F166" s="872"/>
      <c r="G166" s="872"/>
      <c r="H166" s="872"/>
      <c r="I166" s="872"/>
      <c r="J166" s="40"/>
    </row>
    <row r="167" spans="1:10">
      <c r="A167" s="872"/>
      <c r="B167" s="872"/>
      <c r="C167" s="872"/>
      <c r="D167" s="872"/>
      <c r="E167" s="872"/>
      <c r="F167" s="872"/>
      <c r="G167" s="872"/>
      <c r="H167" s="872"/>
      <c r="I167" s="872"/>
      <c r="J167" s="40"/>
    </row>
    <row r="168" spans="1:10">
      <c r="A168" s="872"/>
      <c r="B168" s="872"/>
      <c r="C168" s="872"/>
      <c r="D168" s="872"/>
      <c r="E168" s="872"/>
      <c r="F168" s="872"/>
      <c r="G168" s="872"/>
      <c r="H168" s="872"/>
      <c r="I168" s="872"/>
      <c r="J168" s="40"/>
    </row>
    <row r="169" spans="1:10">
      <c r="A169" s="872"/>
      <c r="B169" s="872"/>
      <c r="C169" s="872"/>
      <c r="D169" s="872"/>
      <c r="E169" s="872"/>
      <c r="F169" s="872"/>
      <c r="G169" s="872"/>
      <c r="H169" s="872"/>
      <c r="I169" s="872"/>
      <c r="J169" s="40"/>
    </row>
    <row r="170" spans="1:10">
      <c r="A170" s="872"/>
      <c r="B170" s="872"/>
      <c r="C170" s="872"/>
      <c r="D170" s="872"/>
      <c r="E170" s="872"/>
      <c r="F170" s="872"/>
      <c r="G170" s="872"/>
      <c r="H170" s="872"/>
      <c r="I170" s="872"/>
      <c r="J170" s="40"/>
    </row>
    <row r="171" spans="1:10">
      <c r="A171" s="872"/>
      <c r="B171" s="872"/>
      <c r="C171" s="872"/>
      <c r="D171" s="872"/>
      <c r="E171" s="872"/>
      <c r="F171" s="872"/>
      <c r="G171" s="872"/>
      <c r="H171" s="872"/>
      <c r="I171" s="872"/>
      <c r="J171" s="40"/>
    </row>
    <row r="172" spans="1:10">
      <c r="A172" s="872"/>
      <c r="B172" s="872"/>
      <c r="C172" s="872"/>
      <c r="D172" s="872"/>
      <c r="E172" s="872"/>
      <c r="F172" s="872"/>
      <c r="G172" s="872"/>
      <c r="H172" s="872"/>
      <c r="I172" s="872"/>
      <c r="J172" s="40"/>
    </row>
    <row r="173" spans="1:10">
      <c r="A173" s="872"/>
      <c r="B173" s="872"/>
      <c r="C173" s="872"/>
      <c r="D173" s="872"/>
      <c r="E173" s="872"/>
      <c r="F173" s="872"/>
      <c r="G173" s="872"/>
      <c r="H173" s="872"/>
      <c r="I173" s="872"/>
      <c r="J173" s="40"/>
    </row>
    <row r="174" spans="1:10">
      <c r="A174" s="872"/>
      <c r="B174" s="872"/>
      <c r="C174" s="872"/>
      <c r="D174" s="872"/>
      <c r="E174" s="872"/>
      <c r="F174" s="872"/>
      <c r="G174" s="872"/>
      <c r="H174" s="872"/>
      <c r="I174" s="872"/>
      <c r="J174" s="40"/>
    </row>
    <row r="175" spans="1:10">
      <c r="A175" s="872"/>
      <c r="B175" s="872"/>
      <c r="C175" s="872"/>
      <c r="D175" s="872"/>
      <c r="E175" s="872"/>
      <c r="F175" s="872"/>
      <c r="G175" s="872"/>
      <c r="H175" s="872"/>
      <c r="I175" s="872"/>
      <c r="J175" s="40"/>
    </row>
    <row r="176" spans="1:10">
      <c r="A176" s="872"/>
      <c r="B176" s="872"/>
      <c r="C176" s="872"/>
      <c r="D176" s="872"/>
      <c r="E176" s="872"/>
      <c r="F176" s="872"/>
      <c r="G176" s="872"/>
      <c r="H176" s="872"/>
      <c r="I176" s="872"/>
      <c r="J176" s="40"/>
    </row>
    <row r="177" spans="1:10">
      <c r="A177" s="872"/>
      <c r="B177" s="872"/>
      <c r="C177" s="872"/>
      <c r="D177" s="872"/>
      <c r="E177" s="872"/>
      <c r="F177" s="872"/>
      <c r="G177" s="872"/>
      <c r="H177" s="872"/>
      <c r="I177" s="872"/>
      <c r="J177" s="40"/>
    </row>
    <row r="178" spans="1:10">
      <c r="A178" s="872"/>
      <c r="B178" s="872"/>
      <c r="C178" s="872"/>
      <c r="D178" s="872"/>
      <c r="E178" s="872"/>
      <c r="F178" s="872"/>
      <c r="G178" s="872"/>
      <c r="H178" s="872"/>
      <c r="I178" s="872"/>
      <c r="J178" s="40"/>
    </row>
    <row r="179" spans="1:10">
      <c r="A179" s="872"/>
      <c r="B179" s="872"/>
      <c r="C179" s="872"/>
      <c r="D179" s="872"/>
      <c r="E179" s="872"/>
      <c r="F179" s="872"/>
      <c r="G179" s="872"/>
      <c r="H179" s="872"/>
      <c r="I179" s="872"/>
      <c r="J179" s="40"/>
    </row>
    <row r="180" spans="1:10">
      <c r="A180" s="872"/>
      <c r="B180" s="872"/>
      <c r="C180" s="872"/>
      <c r="D180" s="872"/>
      <c r="E180" s="872"/>
      <c r="F180" s="872"/>
      <c r="G180" s="872"/>
      <c r="H180" s="872"/>
      <c r="I180" s="872"/>
      <c r="J180" s="40"/>
    </row>
    <row r="181" spans="1:10">
      <c r="A181" s="872"/>
      <c r="B181" s="872"/>
      <c r="C181" s="872"/>
      <c r="D181" s="872"/>
      <c r="E181" s="872"/>
      <c r="F181" s="872"/>
      <c r="G181" s="872"/>
      <c r="H181" s="872"/>
      <c r="I181" s="872"/>
      <c r="J181" s="40"/>
    </row>
    <row r="182" spans="1:10">
      <c r="A182" s="872"/>
      <c r="B182" s="872"/>
      <c r="C182" s="872"/>
      <c r="D182" s="872"/>
      <c r="E182" s="872"/>
      <c r="F182" s="872"/>
      <c r="G182" s="872"/>
      <c r="H182" s="872"/>
      <c r="I182" s="872"/>
      <c r="J182" s="40"/>
    </row>
    <row r="183" spans="1:10">
      <c r="A183" s="872"/>
      <c r="B183" s="872"/>
      <c r="C183" s="872"/>
      <c r="D183" s="872"/>
      <c r="E183" s="872"/>
      <c r="F183" s="872"/>
      <c r="G183" s="872"/>
      <c r="H183" s="872"/>
      <c r="I183" s="872"/>
      <c r="J183" s="40"/>
    </row>
    <row r="184" spans="1:10">
      <c r="A184" s="872"/>
      <c r="B184" s="872"/>
      <c r="C184" s="872"/>
      <c r="D184" s="872"/>
      <c r="E184" s="872"/>
      <c r="F184" s="872"/>
      <c r="G184" s="872"/>
      <c r="H184" s="872"/>
      <c r="I184" s="872"/>
      <c r="J184" s="40"/>
    </row>
    <row r="185" spans="1:10">
      <c r="A185" s="872"/>
      <c r="B185" s="872"/>
      <c r="C185" s="872"/>
      <c r="D185" s="872"/>
      <c r="E185" s="872"/>
      <c r="F185" s="872"/>
      <c r="G185" s="872"/>
      <c r="H185" s="872"/>
      <c r="I185" s="872"/>
      <c r="J185" s="40"/>
    </row>
    <row r="186" spans="1:10">
      <c r="A186" s="872"/>
      <c r="B186" s="872"/>
      <c r="C186" s="872"/>
      <c r="D186" s="872"/>
      <c r="E186" s="872"/>
      <c r="F186" s="872"/>
      <c r="G186" s="872"/>
      <c r="H186" s="872"/>
      <c r="I186" s="872"/>
      <c r="J186" s="40"/>
    </row>
    <row r="187" spans="1:10">
      <c r="A187" s="872"/>
      <c r="B187" s="872"/>
      <c r="C187" s="872"/>
      <c r="D187" s="872"/>
      <c r="E187" s="872"/>
      <c r="F187" s="872"/>
      <c r="G187" s="872"/>
      <c r="H187" s="872"/>
      <c r="I187" s="872"/>
      <c r="J187" s="40"/>
    </row>
    <row r="188" spans="1:10">
      <c r="A188" s="872"/>
      <c r="B188" s="872"/>
      <c r="C188" s="872"/>
      <c r="D188" s="872"/>
      <c r="E188" s="872"/>
      <c r="F188" s="872"/>
      <c r="G188" s="872"/>
      <c r="H188" s="872"/>
      <c r="I188" s="872"/>
      <c r="J188" s="40"/>
    </row>
    <row r="189" spans="1:10">
      <c r="A189" s="872"/>
      <c r="B189" s="872"/>
      <c r="C189" s="872"/>
      <c r="D189" s="872"/>
      <c r="E189" s="872"/>
      <c r="F189" s="872"/>
      <c r="G189" s="872"/>
      <c r="H189" s="872"/>
      <c r="I189" s="872"/>
      <c r="J189" s="40"/>
    </row>
    <row r="190" spans="1:10">
      <c r="A190" s="872"/>
      <c r="B190" s="872"/>
      <c r="C190" s="872"/>
      <c r="D190" s="872"/>
      <c r="E190" s="872"/>
      <c r="F190" s="872"/>
      <c r="G190" s="872"/>
      <c r="H190" s="872"/>
      <c r="I190" s="872"/>
      <c r="J190" s="40"/>
    </row>
    <row r="191" spans="1:10">
      <c r="A191" s="872"/>
      <c r="B191" s="872"/>
      <c r="C191" s="872"/>
      <c r="D191" s="872"/>
      <c r="E191" s="872"/>
      <c r="F191" s="872"/>
      <c r="G191" s="872"/>
      <c r="H191" s="872"/>
      <c r="I191" s="872"/>
      <c r="J191" s="40"/>
    </row>
    <row r="192" spans="1:10">
      <c r="A192" s="872"/>
      <c r="B192" s="872"/>
      <c r="C192" s="872"/>
      <c r="D192" s="872"/>
      <c r="E192" s="872"/>
      <c r="F192" s="872"/>
      <c r="G192" s="872"/>
      <c r="H192" s="872"/>
      <c r="I192" s="872"/>
      <c r="J192" s="40"/>
    </row>
    <row r="193" spans="1:10">
      <c r="A193" s="872"/>
      <c r="B193" s="872"/>
      <c r="C193" s="872"/>
      <c r="D193" s="872"/>
      <c r="E193" s="872"/>
      <c r="F193" s="872"/>
      <c r="G193" s="872"/>
      <c r="H193" s="872"/>
      <c r="I193" s="872"/>
      <c r="J193" s="40"/>
    </row>
    <row r="194" spans="1:10">
      <c r="A194" s="872"/>
      <c r="B194" s="872"/>
      <c r="C194" s="872"/>
      <c r="D194" s="872"/>
      <c r="E194" s="872"/>
      <c r="F194" s="872"/>
      <c r="G194" s="872"/>
      <c r="H194" s="872"/>
      <c r="I194" s="872"/>
      <c r="J194" s="40"/>
    </row>
    <row r="195" spans="1:10">
      <c r="A195" s="872"/>
      <c r="B195" s="872"/>
      <c r="C195" s="872"/>
      <c r="D195" s="872"/>
      <c r="E195" s="872"/>
      <c r="F195" s="872"/>
      <c r="G195" s="872"/>
      <c r="H195" s="872"/>
      <c r="I195" s="872"/>
      <c r="J195" s="40"/>
    </row>
    <row r="196" spans="1:10">
      <c r="A196" s="872"/>
      <c r="B196" s="872"/>
      <c r="C196" s="872"/>
      <c r="D196" s="872"/>
      <c r="E196" s="872"/>
      <c r="F196" s="872"/>
      <c r="G196" s="872"/>
      <c r="H196" s="872"/>
      <c r="I196" s="872"/>
      <c r="J196" s="40"/>
    </row>
    <row r="197" spans="1:10">
      <c r="A197" s="872"/>
      <c r="B197" s="872"/>
      <c r="C197" s="872"/>
      <c r="D197" s="872"/>
      <c r="E197" s="872"/>
      <c r="F197" s="872"/>
      <c r="G197" s="872"/>
      <c r="H197" s="872"/>
      <c r="I197" s="872"/>
      <c r="J197" s="40"/>
    </row>
    <row r="198" spans="1:10">
      <c r="A198" s="872"/>
      <c r="B198" s="872"/>
      <c r="C198" s="872"/>
      <c r="D198" s="872"/>
      <c r="E198" s="872"/>
      <c r="F198" s="872"/>
      <c r="G198" s="872"/>
      <c r="H198" s="872"/>
      <c r="I198" s="872"/>
      <c r="J198" s="40"/>
    </row>
    <row r="199" spans="1:10">
      <c r="A199" s="872"/>
      <c r="B199" s="872"/>
      <c r="C199" s="872"/>
      <c r="D199" s="872"/>
      <c r="E199" s="872"/>
      <c r="F199" s="872"/>
      <c r="G199" s="872"/>
      <c r="H199" s="872"/>
      <c r="I199" s="872"/>
      <c r="J199" s="40"/>
    </row>
    <row r="200" spans="1:10">
      <c r="A200" s="872"/>
      <c r="B200" s="872"/>
      <c r="C200" s="872"/>
      <c r="D200" s="872"/>
      <c r="E200" s="872"/>
      <c r="F200" s="872"/>
      <c r="G200" s="872"/>
      <c r="H200" s="872"/>
      <c r="I200" s="872"/>
      <c r="J200" s="40"/>
    </row>
    <row r="201" spans="1:10">
      <c r="A201" s="872"/>
      <c r="B201" s="872"/>
      <c r="C201" s="872"/>
      <c r="D201" s="872"/>
      <c r="E201" s="872"/>
      <c r="F201" s="872"/>
      <c r="G201" s="872"/>
      <c r="H201" s="872"/>
      <c r="I201" s="872"/>
      <c r="J201" s="40"/>
    </row>
    <row r="202" spans="1:10">
      <c r="A202" s="872"/>
      <c r="B202" s="872"/>
      <c r="C202" s="872"/>
      <c r="D202" s="872"/>
      <c r="E202" s="872"/>
      <c r="F202" s="872"/>
      <c r="G202" s="872"/>
      <c r="H202" s="872"/>
      <c r="I202" s="872"/>
      <c r="J202" s="40"/>
    </row>
    <row r="203" spans="1:10">
      <c r="A203" s="872"/>
      <c r="B203" s="872"/>
      <c r="C203" s="872"/>
      <c r="D203" s="872"/>
      <c r="E203" s="872"/>
      <c r="F203" s="872"/>
      <c r="G203" s="872"/>
      <c r="H203" s="872"/>
      <c r="I203" s="872"/>
      <c r="J203" s="40"/>
    </row>
    <row r="204" spans="1:10">
      <c r="A204" s="872"/>
      <c r="B204" s="872"/>
      <c r="C204" s="872"/>
      <c r="D204" s="872"/>
      <c r="E204" s="872"/>
      <c r="F204" s="872"/>
      <c r="G204" s="872"/>
      <c r="H204" s="872"/>
      <c r="I204" s="872"/>
      <c r="J204" s="40"/>
    </row>
    <row r="205" spans="1:10">
      <c r="A205" s="872"/>
      <c r="B205" s="872"/>
      <c r="C205" s="872"/>
      <c r="D205" s="872"/>
      <c r="E205" s="872"/>
      <c r="F205" s="872"/>
      <c r="G205" s="872"/>
      <c r="H205" s="872"/>
      <c r="I205" s="872"/>
      <c r="J205" s="40"/>
    </row>
    <row r="206" spans="1:10">
      <c r="A206" s="872"/>
      <c r="B206" s="872"/>
      <c r="C206" s="872"/>
      <c r="D206" s="872"/>
      <c r="E206" s="872"/>
      <c r="F206" s="872"/>
      <c r="G206" s="872"/>
      <c r="H206" s="872"/>
      <c r="I206" s="872"/>
      <c r="J206" s="40"/>
    </row>
    <row r="207" spans="1:10">
      <c r="A207" s="872"/>
      <c r="B207" s="872"/>
      <c r="C207" s="872"/>
      <c r="D207" s="872"/>
      <c r="E207" s="872"/>
      <c r="F207" s="872"/>
      <c r="G207" s="872"/>
      <c r="H207" s="872"/>
      <c r="I207" s="872"/>
      <c r="J207" s="40"/>
    </row>
    <row r="208" spans="1:10">
      <c r="A208" s="872"/>
      <c r="B208" s="872"/>
      <c r="C208" s="872"/>
      <c r="D208" s="872"/>
      <c r="E208" s="872"/>
      <c r="F208" s="872"/>
      <c r="G208" s="872"/>
      <c r="H208" s="872"/>
      <c r="I208" s="872"/>
      <c r="J208" s="40"/>
    </row>
    <row r="209" spans="1:10">
      <c r="A209" s="872"/>
      <c r="B209" s="872"/>
      <c r="C209" s="872"/>
      <c r="D209" s="872"/>
      <c r="E209" s="872"/>
      <c r="F209" s="872"/>
      <c r="G209" s="872"/>
      <c r="H209" s="872"/>
      <c r="I209" s="872"/>
      <c r="J209" s="40"/>
    </row>
    <row r="210" spans="1:10">
      <c r="A210" s="872"/>
      <c r="B210" s="872"/>
      <c r="C210" s="872"/>
      <c r="D210" s="872"/>
      <c r="E210" s="872"/>
      <c r="F210" s="872"/>
      <c r="G210" s="872"/>
      <c r="H210" s="872"/>
      <c r="I210" s="872"/>
      <c r="J210" s="40"/>
    </row>
    <row r="211" spans="1:10">
      <c r="A211" s="40"/>
      <c r="B211" s="40"/>
      <c r="C211" s="40"/>
      <c r="D211" s="40"/>
      <c r="E211" s="40"/>
      <c r="F211" s="40"/>
      <c r="G211" s="40"/>
      <c r="H211" s="40"/>
      <c r="I211" s="40"/>
      <c r="J211" s="40"/>
    </row>
    <row r="212" spans="1:10">
      <c r="A212" s="40"/>
      <c r="B212" s="40"/>
      <c r="C212" s="40"/>
      <c r="D212" s="40"/>
      <c r="E212" s="40"/>
      <c r="F212" s="40"/>
      <c r="G212" s="40"/>
      <c r="H212" s="40"/>
      <c r="I212" s="40"/>
      <c r="J212" s="40"/>
    </row>
    <row r="213" spans="1:10">
      <c r="A213" s="40"/>
      <c r="B213" s="40"/>
      <c r="C213" s="40"/>
      <c r="D213" s="40"/>
      <c r="E213" s="40"/>
      <c r="F213" s="40"/>
      <c r="G213" s="40"/>
      <c r="H213" s="40"/>
      <c r="I213" s="40"/>
      <c r="J213" s="40"/>
    </row>
    <row r="214" spans="1:10">
      <c r="A214" s="40"/>
      <c r="B214" s="40"/>
      <c r="C214" s="40"/>
      <c r="D214" s="40"/>
      <c r="E214" s="40"/>
      <c r="F214" s="40"/>
      <c r="G214" s="40"/>
      <c r="H214" s="40"/>
      <c r="I214" s="40"/>
      <c r="J214" s="40"/>
    </row>
    <row r="215" spans="1:10">
      <c r="A215" s="40"/>
      <c r="B215" s="40"/>
      <c r="C215" s="40"/>
      <c r="D215" s="40"/>
      <c r="E215" s="40"/>
      <c r="F215" s="40"/>
      <c r="G215" s="40"/>
      <c r="H215" s="40"/>
      <c r="I215" s="40"/>
      <c r="J215" s="40"/>
    </row>
    <row r="216" spans="1:10">
      <c r="A216" s="40"/>
      <c r="B216" s="40"/>
      <c r="C216" s="40"/>
      <c r="D216" s="40"/>
      <c r="E216" s="40"/>
      <c r="F216" s="40"/>
      <c r="G216" s="40"/>
      <c r="H216" s="40"/>
      <c r="I216" s="40"/>
      <c r="J216" s="40"/>
    </row>
    <row r="217" spans="1:10">
      <c r="A217" s="40"/>
      <c r="B217" s="40"/>
      <c r="C217" s="40"/>
      <c r="D217" s="40"/>
      <c r="E217" s="40"/>
      <c r="F217" s="40"/>
      <c r="G217" s="40"/>
      <c r="H217" s="40"/>
      <c r="I217" s="40"/>
      <c r="J217" s="40"/>
    </row>
    <row r="218" spans="1:10">
      <c r="A218" s="40"/>
      <c r="B218" s="40"/>
      <c r="C218" s="40"/>
      <c r="D218" s="40"/>
      <c r="E218" s="40"/>
      <c r="F218" s="40"/>
      <c r="G218" s="40"/>
      <c r="H218" s="40"/>
      <c r="I218" s="40"/>
      <c r="J218" s="40"/>
    </row>
    <row r="219" spans="1:10">
      <c r="A219" s="40"/>
      <c r="B219" s="40"/>
      <c r="C219" s="40"/>
      <c r="D219" s="40"/>
      <c r="E219" s="40"/>
      <c r="F219" s="40"/>
      <c r="G219" s="40"/>
      <c r="H219" s="40"/>
      <c r="I219" s="40"/>
      <c r="J219" s="40"/>
    </row>
    <row r="220" spans="1:10">
      <c r="A220" s="40"/>
      <c r="B220" s="40"/>
      <c r="C220" s="40"/>
      <c r="D220" s="40"/>
      <c r="E220" s="40"/>
      <c r="F220" s="40"/>
      <c r="G220" s="40"/>
      <c r="H220" s="40"/>
      <c r="I220" s="40"/>
      <c r="J220" s="40"/>
    </row>
    <row r="221" spans="1:10">
      <c r="A221" s="40"/>
      <c r="B221" s="40"/>
      <c r="C221" s="40"/>
      <c r="D221" s="40"/>
      <c r="E221" s="40"/>
      <c r="F221" s="40"/>
      <c r="G221" s="40"/>
      <c r="H221" s="40"/>
      <c r="I221" s="40"/>
      <c r="J221" s="40"/>
    </row>
    <row r="222" spans="1:10">
      <c r="A222" s="40"/>
      <c r="B222" s="40"/>
      <c r="C222" s="40"/>
      <c r="D222" s="40"/>
      <c r="E222" s="40"/>
      <c r="F222" s="40"/>
      <c r="G222" s="40"/>
      <c r="H222" s="40"/>
      <c r="I222" s="40"/>
      <c r="J222" s="40"/>
    </row>
    <row r="223" spans="1:10">
      <c r="A223" s="40"/>
      <c r="B223" s="40"/>
      <c r="C223" s="40"/>
      <c r="D223" s="40"/>
      <c r="E223" s="40"/>
      <c r="F223" s="40"/>
      <c r="G223" s="40"/>
      <c r="H223" s="40"/>
      <c r="I223" s="40"/>
      <c r="J223" s="40"/>
    </row>
    <row r="224" spans="1:10">
      <c r="A224" s="40"/>
      <c r="B224" s="40"/>
      <c r="C224" s="40"/>
      <c r="D224" s="40"/>
      <c r="E224" s="40"/>
      <c r="F224" s="40"/>
      <c r="G224" s="40"/>
      <c r="H224" s="40"/>
      <c r="I224" s="40"/>
      <c r="J224" s="40"/>
    </row>
    <row r="225" spans="1:10">
      <c r="A225" s="40"/>
      <c r="B225" s="40"/>
      <c r="C225" s="40"/>
      <c r="D225" s="40"/>
      <c r="E225" s="40"/>
      <c r="F225" s="40"/>
      <c r="G225" s="40"/>
      <c r="H225" s="40"/>
      <c r="I225" s="40"/>
      <c r="J225" s="40"/>
    </row>
    <row r="226" spans="1:10">
      <c r="A226" s="40"/>
      <c r="B226" s="40"/>
      <c r="C226" s="40"/>
      <c r="D226" s="40"/>
      <c r="E226" s="40"/>
      <c r="F226" s="40"/>
      <c r="G226" s="40"/>
      <c r="H226" s="40"/>
      <c r="I226" s="40"/>
      <c r="J226" s="40"/>
    </row>
    <row r="227" spans="1:10">
      <c r="A227" s="40"/>
      <c r="B227" s="40"/>
      <c r="C227" s="40"/>
      <c r="D227" s="40"/>
      <c r="E227" s="40"/>
      <c r="F227" s="40"/>
      <c r="G227" s="40"/>
      <c r="H227" s="40"/>
      <c r="I227" s="40"/>
      <c r="J227" s="40"/>
    </row>
    <row r="228" spans="1:10">
      <c r="A228" s="40"/>
      <c r="B228" s="40"/>
      <c r="C228" s="40"/>
      <c r="D228" s="40"/>
      <c r="E228" s="40"/>
      <c r="F228" s="40"/>
      <c r="G228" s="40"/>
      <c r="H228" s="40"/>
      <c r="I228" s="40"/>
      <c r="J228" s="40"/>
    </row>
    <row r="229" spans="1:10">
      <c r="A229" s="40"/>
      <c r="B229" s="40"/>
      <c r="C229" s="40"/>
      <c r="D229" s="40"/>
      <c r="E229" s="40"/>
      <c r="F229" s="40"/>
      <c r="G229" s="40"/>
      <c r="H229" s="40"/>
      <c r="I229" s="40"/>
      <c r="J229" s="40"/>
    </row>
    <row r="230" spans="1:10">
      <c r="A230" s="40"/>
      <c r="B230" s="40"/>
      <c r="C230" s="40"/>
      <c r="D230" s="40"/>
      <c r="E230" s="40"/>
      <c r="F230" s="40"/>
      <c r="G230" s="40"/>
      <c r="H230" s="40"/>
      <c r="I230" s="40"/>
      <c r="J230" s="40"/>
    </row>
    <row r="231" spans="1:10">
      <c r="A231" s="40"/>
      <c r="B231" s="40"/>
      <c r="C231" s="40"/>
      <c r="D231" s="40"/>
      <c r="E231" s="40"/>
      <c r="F231" s="40"/>
      <c r="G231" s="40"/>
      <c r="H231" s="40"/>
      <c r="I231" s="40"/>
      <c r="J231" s="40"/>
    </row>
    <row r="232" spans="1:10">
      <c r="A232" s="40"/>
      <c r="B232" s="40"/>
      <c r="C232" s="40"/>
      <c r="D232" s="40"/>
      <c r="E232" s="40"/>
      <c r="F232" s="40"/>
      <c r="G232" s="40"/>
      <c r="H232" s="40"/>
      <c r="I232" s="40"/>
      <c r="J232" s="40"/>
    </row>
    <row r="233" spans="1:10">
      <c r="A233" s="40"/>
      <c r="B233" s="40"/>
      <c r="C233" s="40"/>
      <c r="D233" s="40"/>
      <c r="E233" s="40"/>
      <c r="F233" s="40"/>
      <c r="G233" s="40"/>
      <c r="H233" s="40"/>
      <c r="I233" s="40"/>
      <c r="J233" s="40"/>
    </row>
    <row r="234" spans="1:10">
      <c r="A234" s="40"/>
      <c r="B234" s="40"/>
      <c r="C234" s="40"/>
      <c r="D234" s="40"/>
      <c r="E234" s="40"/>
      <c r="F234" s="40"/>
      <c r="G234" s="40"/>
      <c r="H234" s="40"/>
      <c r="I234" s="40"/>
      <c r="J234" s="40"/>
    </row>
    <row r="235" spans="1:10">
      <c r="A235" s="40"/>
      <c r="B235" s="40"/>
      <c r="C235" s="40"/>
      <c r="D235" s="40"/>
      <c r="E235" s="40"/>
      <c r="F235" s="40"/>
      <c r="G235" s="40"/>
      <c r="H235" s="40"/>
      <c r="I235" s="40"/>
      <c r="J235" s="40"/>
    </row>
    <row r="236" spans="1:10">
      <c r="A236" s="40"/>
      <c r="B236" s="40"/>
      <c r="C236" s="40"/>
      <c r="D236" s="40"/>
      <c r="E236" s="40"/>
      <c r="F236" s="40"/>
      <c r="G236" s="40"/>
      <c r="H236" s="40"/>
      <c r="I236" s="40"/>
      <c r="J236" s="40"/>
    </row>
    <row r="237" spans="1:10">
      <c r="A237" s="40"/>
      <c r="B237" s="40"/>
      <c r="C237" s="40"/>
      <c r="D237" s="40"/>
      <c r="E237" s="40"/>
      <c r="F237" s="40"/>
      <c r="G237" s="40"/>
      <c r="H237" s="40"/>
      <c r="I237" s="40"/>
      <c r="J237" s="40"/>
    </row>
    <row r="238" spans="1:10">
      <c r="A238" s="40"/>
      <c r="B238" s="40"/>
      <c r="C238" s="40"/>
      <c r="D238" s="40"/>
      <c r="E238" s="40"/>
      <c r="F238" s="40"/>
      <c r="G238" s="40"/>
      <c r="H238" s="40"/>
      <c r="I238" s="40"/>
      <c r="J238" s="40"/>
    </row>
    <row r="239" spans="1:10">
      <c r="A239" s="40"/>
      <c r="B239" s="40"/>
      <c r="C239" s="40"/>
      <c r="D239" s="40"/>
      <c r="E239" s="40"/>
      <c r="F239" s="40"/>
      <c r="G239" s="40"/>
      <c r="H239" s="40"/>
      <c r="I239" s="40"/>
      <c r="J239" s="40"/>
    </row>
    <row r="240" spans="1:10">
      <c r="A240" s="40"/>
      <c r="B240" s="40"/>
      <c r="C240" s="40"/>
      <c r="D240" s="40"/>
      <c r="E240" s="40"/>
      <c r="F240" s="40"/>
      <c r="G240" s="40"/>
      <c r="H240" s="40"/>
      <c r="I240" s="40"/>
      <c r="J240" s="40"/>
    </row>
    <row r="241" spans="1:10">
      <c r="A241" s="40"/>
      <c r="B241" s="40"/>
      <c r="C241" s="40"/>
      <c r="D241" s="40"/>
      <c r="E241" s="40"/>
      <c r="F241" s="40"/>
      <c r="G241" s="40"/>
      <c r="H241" s="40"/>
      <c r="I241" s="40"/>
      <c r="J241" s="40"/>
    </row>
    <row r="242" spans="1:10">
      <c r="A242" s="40"/>
      <c r="B242" s="40"/>
      <c r="C242" s="40"/>
      <c r="D242" s="40"/>
      <c r="E242" s="40"/>
      <c r="F242" s="40"/>
      <c r="G242" s="40"/>
      <c r="H242" s="40"/>
      <c r="I242" s="40"/>
      <c r="J242" s="40"/>
    </row>
    <row r="243" spans="1:10">
      <c r="A243" s="40"/>
      <c r="B243" s="40"/>
      <c r="C243" s="40"/>
      <c r="D243" s="40"/>
      <c r="E243" s="40"/>
      <c r="F243" s="40"/>
      <c r="G243" s="40"/>
      <c r="H243" s="40"/>
      <c r="I243" s="40"/>
      <c r="J243" s="40"/>
    </row>
    <row r="244" spans="1:10">
      <c r="A244" s="40"/>
      <c r="B244" s="40"/>
      <c r="C244" s="40"/>
      <c r="D244" s="40"/>
      <c r="E244" s="40"/>
      <c r="F244" s="40"/>
      <c r="G244" s="40"/>
      <c r="H244" s="40"/>
      <c r="I244" s="40"/>
      <c r="J244" s="40"/>
    </row>
    <row r="245" spans="1:10">
      <c r="A245" s="40"/>
      <c r="B245" s="40"/>
      <c r="C245" s="40"/>
      <c r="D245" s="40"/>
      <c r="E245" s="40"/>
      <c r="F245" s="40"/>
      <c r="G245" s="40"/>
      <c r="H245" s="40"/>
      <c r="I245" s="40"/>
      <c r="J245" s="40"/>
    </row>
    <row r="246" spans="1:10">
      <c r="A246" s="40"/>
      <c r="B246" s="40"/>
      <c r="C246" s="40"/>
      <c r="D246" s="40"/>
      <c r="E246" s="40"/>
      <c r="F246" s="40"/>
      <c r="G246" s="40"/>
      <c r="H246" s="40"/>
      <c r="I246" s="40"/>
      <c r="J246" s="40"/>
    </row>
    <row r="247" spans="1:10">
      <c r="A247" s="40"/>
      <c r="B247" s="40"/>
      <c r="C247" s="40"/>
      <c r="D247" s="40"/>
      <c r="E247" s="40"/>
      <c r="F247" s="40"/>
      <c r="G247" s="40"/>
      <c r="H247" s="40"/>
      <c r="I247" s="40"/>
      <c r="J247" s="40"/>
    </row>
    <row r="248" spans="1:10">
      <c r="A248" s="40"/>
      <c r="B248" s="40"/>
      <c r="C248" s="40"/>
      <c r="D248" s="40"/>
      <c r="E248" s="40"/>
      <c r="F248" s="40"/>
      <c r="G248" s="40"/>
      <c r="H248" s="40"/>
      <c r="I248" s="40"/>
      <c r="J248" s="40"/>
    </row>
    <row r="249" spans="1:10">
      <c r="A249" s="40"/>
      <c r="B249" s="40"/>
      <c r="C249" s="40"/>
      <c r="D249" s="40"/>
      <c r="E249" s="40"/>
      <c r="F249" s="40"/>
      <c r="G249" s="40"/>
      <c r="H249" s="40"/>
      <c r="I249" s="40"/>
      <c r="J249" s="40"/>
    </row>
    <row r="250" spans="1:10">
      <c r="A250" s="40"/>
      <c r="B250" s="40"/>
      <c r="C250" s="40"/>
      <c r="D250" s="40"/>
      <c r="E250" s="40"/>
      <c r="F250" s="40"/>
      <c r="G250" s="40"/>
      <c r="H250" s="40"/>
      <c r="I250" s="40"/>
      <c r="J250" s="40"/>
    </row>
    <row r="251" spans="1:10">
      <c r="A251" s="40"/>
      <c r="B251" s="40"/>
      <c r="C251" s="40"/>
      <c r="D251" s="40"/>
      <c r="E251" s="40"/>
      <c r="F251" s="40"/>
      <c r="G251" s="40"/>
      <c r="H251" s="40"/>
      <c r="I251" s="40"/>
      <c r="J251" s="40"/>
    </row>
    <row r="252" spans="1:10">
      <c r="A252" s="40"/>
      <c r="B252" s="40"/>
      <c r="C252" s="40"/>
      <c r="D252" s="40"/>
      <c r="E252" s="40"/>
      <c r="F252" s="40"/>
      <c r="G252" s="40"/>
      <c r="H252" s="40"/>
      <c r="I252" s="40"/>
      <c r="J252" s="40"/>
    </row>
    <row r="253" spans="1:10">
      <c r="A253" s="40"/>
      <c r="B253" s="40"/>
      <c r="C253" s="40"/>
      <c r="D253" s="40"/>
      <c r="E253" s="40"/>
      <c r="F253" s="40"/>
      <c r="G253" s="40"/>
      <c r="H253" s="40"/>
      <c r="I253" s="40"/>
      <c r="J253" s="40"/>
    </row>
    <row r="254" spans="1:10">
      <c r="A254" s="40"/>
      <c r="B254" s="40"/>
      <c r="C254" s="40"/>
      <c r="D254" s="40"/>
      <c r="E254" s="40"/>
      <c r="F254" s="40"/>
      <c r="G254" s="40"/>
      <c r="H254" s="40"/>
      <c r="I254" s="40"/>
      <c r="J254" s="40"/>
    </row>
    <row r="255" spans="1:10">
      <c r="A255" s="40"/>
      <c r="B255" s="40"/>
      <c r="C255" s="40"/>
      <c r="D255" s="40"/>
      <c r="E255" s="40"/>
      <c r="F255" s="40"/>
      <c r="G255" s="40"/>
      <c r="H255" s="40"/>
      <c r="I255" s="40"/>
      <c r="J255" s="40"/>
    </row>
    <row r="256" spans="1:10">
      <c r="A256" s="40"/>
      <c r="B256" s="40"/>
      <c r="C256" s="40"/>
      <c r="D256" s="40"/>
      <c r="E256" s="40"/>
      <c r="F256" s="40"/>
      <c r="G256" s="40"/>
      <c r="H256" s="40"/>
      <c r="I256" s="40"/>
      <c r="J256" s="40"/>
    </row>
    <row r="257" spans="1:10">
      <c r="A257" s="40"/>
      <c r="B257" s="40"/>
      <c r="C257" s="40"/>
      <c r="D257" s="40"/>
      <c r="E257" s="40"/>
      <c r="F257" s="40"/>
      <c r="G257" s="40"/>
      <c r="H257" s="40"/>
      <c r="I257" s="40"/>
      <c r="J257" s="40"/>
    </row>
    <row r="258" spans="1:10">
      <c r="A258" s="40"/>
      <c r="B258" s="40"/>
      <c r="C258" s="40"/>
      <c r="D258" s="40"/>
      <c r="E258" s="40"/>
      <c r="F258" s="40"/>
      <c r="G258" s="40"/>
      <c r="H258" s="40"/>
      <c r="I258" s="40"/>
      <c r="J258" s="40"/>
    </row>
    <row r="259" spans="1:10">
      <c r="A259" s="40"/>
      <c r="B259" s="40"/>
      <c r="C259" s="40"/>
      <c r="D259" s="40"/>
      <c r="E259" s="40"/>
      <c r="F259" s="40"/>
      <c r="G259" s="40"/>
      <c r="H259" s="40"/>
      <c r="I259" s="40"/>
      <c r="J259" s="40"/>
    </row>
    <row r="260" spans="1:10">
      <c r="A260" s="40"/>
      <c r="B260" s="40"/>
      <c r="C260" s="40"/>
      <c r="D260" s="40"/>
      <c r="E260" s="40"/>
      <c r="F260" s="40"/>
      <c r="G260" s="40"/>
      <c r="H260" s="40"/>
      <c r="I260" s="40"/>
      <c r="J260" s="40"/>
    </row>
    <row r="261" spans="1:10">
      <c r="A261" s="40"/>
      <c r="B261" s="40"/>
      <c r="C261" s="40"/>
      <c r="D261" s="40"/>
      <c r="E261" s="40"/>
      <c r="F261" s="40"/>
      <c r="G261" s="40"/>
      <c r="H261" s="40"/>
      <c r="I261" s="40"/>
      <c r="J261" s="40"/>
    </row>
    <row r="262" spans="1:10">
      <c r="A262" s="40"/>
      <c r="B262" s="40"/>
      <c r="C262" s="40"/>
      <c r="D262" s="40"/>
      <c r="E262" s="40"/>
      <c r="F262" s="40"/>
      <c r="G262" s="40"/>
      <c r="H262" s="40"/>
      <c r="I262" s="40"/>
      <c r="J262" s="40"/>
    </row>
    <row r="263" spans="1:10">
      <c r="A263" s="40"/>
      <c r="B263" s="40"/>
      <c r="C263" s="40"/>
      <c r="D263" s="40"/>
      <c r="E263" s="40"/>
      <c r="F263" s="40"/>
      <c r="G263" s="40"/>
      <c r="H263" s="40"/>
      <c r="I263" s="40"/>
      <c r="J263" s="40"/>
    </row>
    <row r="264" spans="1:10">
      <c r="A264" s="40"/>
      <c r="B264" s="40"/>
      <c r="C264" s="40"/>
      <c r="D264" s="40"/>
      <c r="E264" s="40"/>
      <c r="F264" s="40"/>
      <c r="G264" s="40"/>
      <c r="H264" s="40"/>
      <c r="I264" s="40"/>
      <c r="J264" s="40"/>
    </row>
    <row r="265" spans="1:10">
      <c r="A265" s="40"/>
      <c r="B265" s="40"/>
      <c r="C265" s="40"/>
      <c r="D265" s="40"/>
      <c r="E265" s="40"/>
      <c r="F265" s="40"/>
      <c r="G265" s="40"/>
      <c r="H265" s="40"/>
      <c r="I265" s="40"/>
      <c r="J265" s="40"/>
    </row>
    <row r="266" spans="1:10">
      <c r="A266" s="40"/>
      <c r="B266" s="40"/>
      <c r="C266" s="40"/>
      <c r="D266" s="40"/>
      <c r="E266" s="40"/>
      <c r="F266" s="40"/>
      <c r="G266" s="40"/>
      <c r="H266" s="40"/>
      <c r="I266" s="40"/>
      <c r="J266" s="40"/>
    </row>
    <row r="267" spans="1:10">
      <c r="A267" s="40"/>
      <c r="B267" s="40"/>
      <c r="C267" s="40"/>
      <c r="D267" s="40"/>
      <c r="E267" s="40"/>
      <c r="F267" s="40"/>
      <c r="G267" s="40"/>
      <c r="H267" s="40"/>
      <c r="I267" s="40"/>
      <c r="J267" s="40"/>
    </row>
    <row r="268" spans="1:10">
      <c r="A268" s="40"/>
      <c r="B268" s="40"/>
      <c r="C268" s="40"/>
      <c r="D268" s="40"/>
      <c r="E268" s="40"/>
      <c r="F268" s="40"/>
      <c r="G268" s="40"/>
      <c r="H268" s="40"/>
      <c r="I268" s="40"/>
      <c r="J268" s="40"/>
    </row>
    <row r="269" spans="1:10">
      <c r="A269" s="40"/>
      <c r="B269" s="40"/>
      <c r="C269" s="40"/>
      <c r="D269" s="40"/>
      <c r="E269" s="40"/>
      <c r="F269" s="40"/>
      <c r="G269" s="40"/>
      <c r="H269" s="40"/>
      <c r="I269" s="40"/>
      <c r="J269" s="40"/>
    </row>
    <row r="270" spans="1:10">
      <c r="A270" s="40"/>
      <c r="B270" s="40"/>
      <c r="C270" s="40"/>
      <c r="D270" s="40"/>
      <c r="E270" s="40"/>
      <c r="F270" s="40"/>
      <c r="G270" s="40"/>
      <c r="H270" s="40"/>
      <c r="I270" s="40"/>
      <c r="J270" s="40"/>
    </row>
    <row r="271" spans="1:10">
      <c r="A271" s="40"/>
      <c r="B271" s="40"/>
      <c r="C271" s="40"/>
      <c r="D271" s="40"/>
      <c r="E271" s="40"/>
      <c r="F271" s="40"/>
      <c r="G271" s="40"/>
      <c r="H271" s="40"/>
      <c r="I271" s="40"/>
      <c r="J271" s="40"/>
    </row>
    <row r="272" spans="1:10">
      <c r="A272" s="40"/>
      <c r="B272" s="40"/>
      <c r="C272" s="40"/>
      <c r="D272" s="40"/>
      <c r="E272" s="40"/>
      <c r="F272" s="40"/>
      <c r="G272" s="40"/>
      <c r="H272" s="40"/>
      <c r="I272" s="40"/>
      <c r="J272" s="40"/>
    </row>
    <row r="273" spans="1:10">
      <c r="A273" s="40"/>
      <c r="B273" s="40"/>
      <c r="C273" s="40"/>
      <c r="D273" s="40"/>
      <c r="E273" s="40"/>
      <c r="F273" s="40"/>
      <c r="G273" s="40"/>
      <c r="H273" s="40"/>
      <c r="I273" s="40"/>
      <c r="J273" s="40"/>
    </row>
    <row r="274" spans="1:10">
      <c r="A274" s="40"/>
      <c r="B274" s="40"/>
      <c r="C274" s="40"/>
      <c r="D274" s="40"/>
      <c r="E274" s="40"/>
      <c r="F274" s="40"/>
      <c r="G274" s="40"/>
      <c r="H274" s="40"/>
      <c r="I274" s="40"/>
      <c r="J274" s="40"/>
    </row>
    <row r="275" spans="1:10">
      <c r="A275" s="40"/>
      <c r="B275" s="40"/>
      <c r="C275" s="40"/>
      <c r="D275" s="40"/>
      <c r="E275" s="40"/>
      <c r="F275" s="40"/>
      <c r="G275" s="40"/>
      <c r="H275" s="40"/>
      <c r="I275" s="40"/>
      <c r="J275" s="40"/>
    </row>
    <row r="276" spans="1:10">
      <c r="A276" s="40"/>
      <c r="B276" s="40"/>
      <c r="C276" s="40"/>
      <c r="D276" s="40"/>
      <c r="E276" s="40"/>
      <c r="F276" s="40"/>
      <c r="G276" s="40"/>
      <c r="H276" s="40"/>
      <c r="I276" s="40"/>
      <c r="J276" s="40"/>
    </row>
    <row r="277" spans="1:10">
      <c r="A277" s="40"/>
      <c r="B277" s="40"/>
      <c r="C277" s="40"/>
      <c r="D277" s="40"/>
      <c r="E277" s="40"/>
      <c r="F277" s="40"/>
      <c r="G277" s="40"/>
      <c r="H277" s="40"/>
      <c r="I277" s="40"/>
      <c r="J277" s="40"/>
    </row>
    <row r="278" spans="1:10">
      <c r="A278" s="40"/>
      <c r="B278" s="40"/>
      <c r="C278" s="40"/>
      <c r="D278" s="40"/>
      <c r="E278" s="40"/>
      <c r="F278" s="40"/>
      <c r="G278" s="40"/>
      <c r="H278" s="40"/>
      <c r="I278" s="40"/>
      <c r="J278" s="40"/>
    </row>
    <row r="279" spans="1:10">
      <c r="A279" s="40"/>
      <c r="B279" s="40"/>
      <c r="C279" s="40"/>
      <c r="D279" s="40"/>
      <c r="E279" s="40"/>
      <c r="F279" s="40"/>
      <c r="G279" s="40"/>
      <c r="H279" s="40"/>
      <c r="I279" s="40"/>
      <c r="J279" s="40"/>
    </row>
    <row r="280" spans="1:10">
      <c r="A280" s="40"/>
      <c r="B280" s="40"/>
      <c r="C280" s="40"/>
      <c r="D280" s="40"/>
      <c r="E280" s="40"/>
      <c r="F280" s="40"/>
      <c r="G280" s="40"/>
      <c r="H280" s="40"/>
      <c r="I280" s="40"/>
      <c r="J280" s="40"/>
    </row>
    <row r="281" spans="1:10">
      <c r="A281" s="40"/>
      <c r="B281" s="40"/>
      <c r="C281" s="40"/>
      <c r="D281" s="40"/>
      <c r="E281" s="40"/>
      <c r="F281" s="40"/>
      <c r="G281" s="40"/>
      <c r="H281" s="40"/>
      <c r="I281" s="40"/>
      <c r="J281" s="40"/>
    </row>
    <row r="282" spans="1:10">
      <c r="A282" s="40"/>
      <c r="B282" s="40"/>
      <c r="C282" s="40"/>
      <c r="D282" s="40"/>
      <c r="E282" s="40"/>
      <c r="F282" s="40"/>
      <c r="G282" s="40"/>
      <c r="H282" s="40"/>
      <c r="I282" s="40"/>
      <c r="J282" s="40"/>
    </row>
    <row r="283" spans="1:10">
      <c r="A283" s="40"/>
      <c r="B283" s="40"/>
      <c r="C283" s="40"/>
      <c r="D283" s="40"/>
      <c r="E283" s="40"/>
      <c r="F283" s="40"/>
      <c r="G283" s="40"/>
      <c r="H283" s="40"/>
      <c r="I283" s="40"/>
      <c r="J283" s="40"/>
    </row>
    <row r="284" spans="1:10">
      <c r="A284" s="40"/>
      <c r="B284" s="40"/>
      <c r="C284" s="40"/>
      <c r="D284" s="40"/>
      <c r="E284" s="40"/>
      <c r="F284" s="40"/>
      <c r="G284" s="40"/>
      <c r="H284" s="40"/>
      <c r="I284" s="40"/>
      <c r="J284" s="40"/>
    </row>
    <row r="285" spans="1:10">
      <c r="A285" s="40"/>
      <c r="B285" s="40"/>
      <c r="C285" s="40"/>
      <c r="D285" s="40"/>
      <c r="E285" s="40"/>
      <c r="F285" s="40"/>
      <c r="G285" s="40"/>
      <c r="H285" s="40"/>
      <c r="I285" s="40"/>
      <c r="J285" s="40"/>
    </row>
    <row r="286" spans="1:10">
      <c r="A286" s="40"/>
      <c r="B286" s="40"/>
      <c r="C286" s="40"/>
      <c r="D286" s="40"/>
      <c r="E286" s="40"/>
      <c r="F286" s="40"/>
      <c r="G286" s="40"/>
      <c r="H286" s="40"/>
      <c r="I286" s="40"/>
      <c r="J286" s="40"/>
    </row>
    <row r="287" spans="1:10">
      <c r="A287" s="40"/>
      <c r="B287" s="40"/>
      <c r="C287" s="40"/>
      <c r="D287" s="40"/>
      <c r="E287" s="40"/>
      <c r="F287" s="40"/>
      <c r="G287" s="40"/>
      <c r="H287" s="40"/>
      <c r="I287" s="40"/>
      <c r="J287" s="40"/>
    </row>
    <row r="288" spans="1:10">
      <c r="A288" s="40"/>
      <c r="B288" s="40"/>
      <c r="C288" s="40"/>
      <c r="D288" s="40"/>
      <c r="E288" s="40"/>
      <c r="F288" s="40"/>
      <c r="G288" s="40"/>
      <c r="H288" s="40"/>
      <c r="I288" s="40"/>
      <c r="J288" s="40"/>
    </row>
    <row r="289" spans="1:10">
      <c r="A289" s="40"/>
      <c r="B289" s="40"/>
      <c r="C289" s="40"/>
      <c r="D289" s="40"/>
      <c r="E289" s="40"/>
      <c r="F289" s="40"/>
      <c r="G289" s="40"/>
      <c r="H289" s="40"/>
      <c r="I289" s="40"/>
      <c r="J289" s="40"/>
    </row>
    <row r="290" spans="1:10">
      <c r="A290" s="40"/>
      <c r="B290" s="40"/>
      <c r="C290" s="40"/>
      <c r="D290" s="40"/>
      <c r="E290" s="40"/>
      <c r="F290" s="40"/>
      <c r="G290" s="40"/>
      <c r="H290" s="40"/>
      <c r="I290" s="40"/>
      <c r="J290" s="40"/>
    </row>
    <row r="291" spans="1:10">
      <c r="A291" s="40"/>
      <c r="B291" s="40"/>
      <c r="C291" s="40"/>
      <c r="D291" s="40"/>
      <c r="E291" s="40"/>
      <c r="F291" s="40"/>
      <c r="G291" s="40"/>
      <c r="H291" s="40"/>
      <c r="I291" s="40"/>
      <c r="J291" s="40"/>
    </row>
    <row r="292" spans="1:10">
      <c r="A292" s="40"/>
      <c r="B292" s="40"/>
      <c r="C292" s="40"/>
      <c r="D292" s="40"/>
      <c r="E292" s="40"/>
      <c r="F292" s="40"/>
      <c r="G292" s="40"/>
      <c r="H292" s="40"/>
      <c r="I292" s="40"/>
      <c r="J292" s="40"/>
    </row>
    <row r="293" spans="1:10">
      <c r="A293" s="40"/>
      <c r="B293" s="40"/>
      <c r="C293" s="40"/>
      <c r="D293" s="40"/>
      <c r="E293" s="40"/>
      <c r="F293" s="40"/>
      <c r="G293" s="40"/>
      <c r="H293" s="40"/>
      <c r="I293" s="40"/>
      <c r="J293" s="40"/>
    </row>
    <row r="294" spans="1:10">
      <c r="A294" s="40"/>
      <c r="B294" s="40"/>
      <c r="C294" s="40"/>
      <c r="D294" s="40"/>
      <c r="E294" s="40"/>
      <c r="F294" s="40"/>
      <c r="G294" s="40"/>
      <c r="H294" s="40"/>
      <c r="I294" s="40"/>
      <c r="J294" s="40"/>
    </row>
    <row r="295" spans="1:10">
      <c r="A295" s="40"/>
      <c r="B295" s="40"/>
      <c r="C295" s="40"/>
      <c r="D295" s="40"/>
      <c r="E295" s="40"/>
      <c r="F295" s="40"/>
      <c r="G295" s="40"/>
      <c r="H295" s="40"/>
      <c r="I295" s="40"/>
      <c r="J295" s="40"/>
    </row>
    <row r="296" spans="1:10">
      <c r="A296" s="40"/>
      <c r="B296" s="40"/>
      <c r="C296" s="40"/>
      <c r="D296" s="40"/>
      <c r="E296" s="40"/>
      <c r="F296" s="40"/>
      <c r="G296" s="40"/>
      <c r="H296" s="40"/>
      <c r="I296" s="40"/>
      <c r="J296" s="40"/>
    </row>
    <row r="297" spans="1:10">
      <c r="A297" s="40"/>
      <c r="B297" s="40"/>
      <c r="C297" s="40"/>
      <c r="D297" s="40"/>
      <c r="E297" s="40"/>
      <c r="F297" s="40"/>
      <c r="G297" s="40"/>
      <c r="H297" s="40"/>
      <c r="I297" s="40"/>
      <c r="J297" s="40"/>
    </row>
    <row r="298" spans="1:10">
      <c r="A298" s="40"/>
      <c r="B298" s="40"/>
      <c r="C298" s="40"/>
      <c r="D298" s="40"/>
      <c r="E298" s="40"/>
      <c r="F298" s="40"/>
      <c r="G298" s="40"/>
      <c r="H298" s="40"/>
      <c r="I298" s="40"/>
      <c r="J298" s="40"/>
    </row>
    <row r="299" spans="1:10">
      <c r="A299" s="40"/>
      <c r="B299" s="40"/>
      <c r="C299" s="40"/>
      <c r="D299" s="40"/>
      <c r="E299" s="40"/>
      <c r="F299" s="40"/>
      <c r="G299" s="40"/>
      <c r="H299" s="40"/>
      <c r="I299" s="40"/>
      <c r="J299" s="40"/>
    </row>
    <row r="300" spans="1:10">
      <c r="A300" s="40"/>
      <c r="B300" s="40"/>
      <c r="C300" s="40"/>
      <c r="D300" s="40"/>
      <c r="E300" s="40"/>
      <c r="F300" s="40"/>
      <c r="G300" s="40"/>
      <c r="H300" s="40"/>
      <c r="I300" s="40"/>
      <c r="J300" s="40"/>
    </row>
    <row r="301" spans="1:10">
      <c r="A301" s="40"/>
      <c r="B301" s="40"/>
      <c r="C301" s="40"/>
      <c r="D301" s="40"/>
      <c r="E301" s="40"/>
      <c r="F301" s="40"/>
      <c r="G301" s="40"/>
      <c r="H301" s="40"/>
      <c r="I301" s="40"/>
      <c r="J301" s="40"/>
    </row>
    <row r="302" spans="1:10">
      <c r="A302" s="40"/>
      <c r="B302" s="40"/>
      <c r="C302" s="40"/>
      <c r="D302" s="40"/>
      <c r="E302" s="40"/>
      <c r="F302" s="40"/>
      <c r="G302" s="40"/>
      <c r="H302" s="40"/>
      <c r="I302" s="40"/>
      <c r="J302" s="40"/>
    </row>
    <row r="303" spans="1:10">
      <c r="A303" s="40"/>
      <c r="B303" s="40"/>
      <c r="C303" s="40"/>
      <c r="D303" s="40"/>
      <c r="E303" s="40"/>
      <c r="F303" s="40"/>
      <c r="G303" s="40"/>
      <c r="H303" s="40"/>
      <c r="I303" s="40"/>
      <c r="J303" s="40"/>
    </row>
    <row r="304" spans="1:10">
      <c r="A304" s="40"/>
      <c r="B304" s="40"/>
      <c r="C304" s="40"/>
      <c r="D304" s="40"/>
      <c r="E304" s="40"/>
      <c r="F304" s="40"/>
      <c r="G304" s="40"/>
      <c r="H304" s="40"/>
      <c r="I304" s="40"/>
      <c r="J304" s="40"/>
    </row>
    <row r="305" spans="1:10">
      <c r="A305" s="40"/>
      <c r="B305" s="40"/>
      <c r="C305" s="40"/>
      <c r="D305" s="40"/>
      <c r="E305" s="40"/>
      <c r="F305" s="40"/>
      <c r="G305" s="40"/>
      <c r="H305" s="40"/>
      <c r="I305" s="40"/>
      <c r="J305" s="40"/>
    </row>
    <row r="306" spans="1:10">
      <c r="A306" s="40"/>
      <c r="B306" s="40"/>
      <c r="C306" s="40"/>
      <c r="D306" s="40"/>
      <c r="E306" s="40"/>
      <c r="F306" s="40"/>
      <c r="G306" s="40"/>
      <c r="H306" s="40"/>
      <c r="I306" s="40"/>
      <c r="J306" s="40"/>
    </row>
    <row r="307" spans="1:10">
      <c r="A307" s="40"/>
      <c r="B307" s="40"/>
      <c r="C307" s="40"/>
      <c r="D307" s="40"/>
      <c r="E307" s="40"/>
      <c r="F307" s="40"/>
      <c r="G307" s="40"/>
      <c r="H307" s="40"/>
      <c r="I307" s="40"/>
      <c r="J307" s="40"/>
    </row>
    <row r="308" spans="1:10">
      <c r="A308" s="40"/>
      <c r="B308" s="40"/>
      <c r="C308" s="40"/>
      <c r="D308" s="40"/>
      <c r="E308" s="40"/>
      <c r="F308" s="40"/>
      <c r="G308" s="40"/>
      <c r="H308" s="40"/>
      <c r="I308" s="40"/>
      <c r="J308" s="40"/>
    </row>
    <row r="309" spans="1:10">
      <c r="A309" s="40"/>
      <c r="B309" s="40"/>
      <c r="C309" s="40"/>
      <c r="D309" s="40"/>
      <c r="E309" s="40"/>
      <c r="F309" s="40"/>
      <c r="G309" s="40"/>
      <c r="H309" s="40"/>
      <c r="I309" s="40"/>
      <c r="J309" s="40"/>
    </row>
    <row r="310" spans="1:10">
      <c r="A310" s="40"/>
      <c r="B310" s="40"/>
      <c r="C310" s="40"/>
      <c r="D310" s="40"/>
      <c r="E310" s="40"/>
      <c r="F310" s="40"/>
      <c r="G310" s="40"/>
      <c r="H310" s="40"/>
      <c r="I310" s="40"/>
      <c r="J310" s="40"/>
    </row>
    <row r="311" spans="1:10">
      <c r="A311" s="40"/>
      <c r="B311" s="40"/>
      <c r="C311" s="40"/>
      <c r="D311" s="40"/>
      <c r="E311" s="40"/>
      <c r="F311" s="40"/>
      <c r="G311" s="40"/>
      <c r="H311" s="40"/>
      <c r="I311" s="40"/>
      <c r="J311" s="40"/>
    </row>
    <row r="312" spans="1:10">
      <c r="A312" s="40"/>
      <c r="B312" s="40"/>
      <c r="C312" s="40"/>
      <c r="D312" s="40"/>
      <c r="E312" s="40"/>
      <c r="F312" s="40"/>
      <c r="G312" s="40"/>
      <c r="H312" s="40"/>
      <c r="I312" s="40"/>
      <c r="J312" s="40"/>
    </row>
    <row r="313" spans="1:10">
      <c r="A313" s="40"/>
      <c r="B313" s="40"/>
      <c r="C313" s="40"/>
      <c r="D313" s="40"/>
      <c r="E313" s="40"/>
      <c r="F313" s="40"/>
      <c r="G313" s="40"/>
      <c r="H313" s="40"/>
      <c r="I313" s="40"/>
      <c r="J313" s="40"/>
    </row>
    <row r="314" spans="1:10">
      <c r="A314" s="40"/>
      <c r="B314" s="40"/>
      <c r="C314" s="40"/>
      <c r="D314" s="40"/>
      <c r="E314" s="40"/>
      <c r="F314" s="40"/>
      <c r="G314" s="40"/>
      <c r="H314" s="40"/>
      <c r="I314" s="40"/>
      <c r="J314" s="40"/>
    </row>
    <row r="315" spans="1:10">
      <c r="A315" s="40"/>
      <c r="B315" s="40"/>
      <c r="C315" s="40"/>
      <c r="D315" s="40"/>
      <c r="E315" s="40"/>
      <c r="F315" s="40"/>
      <c r="G315" s="40"/>
      <c r="H315" s="40"/>
      <c r="I315" s="40"/>
      <c r="J315" s="40"/>
    </row>
    <row r="316" spans="1:10">
      <c r="A316" s="40"/>
      <c r="B316" s="40"/>
      <c r="C316" s="40"/>
      <c r="D316" s="40"/>
      <c r="E316" s="40"/>
      <c r="F316" s="40"/>
      <c r="G316" s="40"/>
      <c r="H316" s="40"/>
      <c r="I316" s="40"/>
      <c r="J316" s="40"/>
    </row>
    <row r="317" spans="1:10">
      <c r="A317" s="40"/>
      <c r="B317" s="40"/>
      <c r="C317" s="40"/>
      <c r="D317" s="40"/>
      <c r="E317" s="40"/>
      <c r="F317" s="40"/>
      <c r="G317" s="40"/>
      <c r="H317" s="40"/>
      <c r="I317" s="40"/>
      <c r="J317" s="40"/>
    </row>
    <row r="318" spans="1:10">
      <c r="A318" s="40"/>
      <c r="B318" s="40"/>
      <c r="C318" s="40"/>
      <c r="D318" s="40"/>
      <c r="E318" s="40"/>
      <c r="F318" s="40"/>
      <c r="G318" s="40"/>
      <c r="H318" s="40"/>
      <c r="I318" s="40"/>
      <c r="J318" s="40"/>
    </row>
    <row r="319" spans="1:10">
      <c r="A319" s="40"/>
      <c r="B319" s="40"/>
      <c r="C319" s="40"/>
      <c r="D319" s="40"/>
      <c r="E319" s="40"/>
      <c r="F319" s="40"/>
      <c r="G319" s="40"/>
      <c r="H319" s="40"/>
      <c r="I319" s="40"/>
      <c r="J319" s="40"/>
    </row>
    <row r="320" spans="1:10">
      <c r="A320" s="40"/>
      <c r="B320" s="40"/>
      <c r="C320" s="40"/>
      <c r="D320" s="40"/>
      <c r="E320" s="40"/>
      <c r="F320" s="40"/>
      <c r="G320" s="40"/>
      <c r="H320" s="40"/>
      <c r="I320" s="40"/>
      <c r="J320" s="40"/>
    </row>
    <row r="321" spans="1:10">
      <c r="A321" s="40"/>
      <c r="B321" s="40"/>
      <c r="C321" s="40"/>
      <c r="D321" s="40"/>
      <c r="E321" s="40"/>
      <c r="F321" s="40"/>
      <c r="G321" s="40"/>
      <c r="H321" s="40"/>
      <c r="I321" s="40"/>
      <c r="J321" s="40"/>
    </row>
    <row r="322" spans="1:10">
      <c r="A322" s="40"/>
      <c r="B322" s="40"/>
      <c r="C322" s="40"/>
      <c r="D322" s="40"/>
      <c r="E322" s="40"/>
      <c r="F322" s="40"/>
      <c r="G322" s="40"/>
      <c r="H322" s="40"/>
      <c r="I322" s="40"/>
      <c r="J322" s="40"/>
    </row>
    <row r="323" spans="1:10">
      <c r="A323" s="40"/>
      <c r="B323" s="40"/>
      <c r="C323" s="40"/>
      <c r="D323" s="40"/>
      <c r="E323" s="40"/>
      <c r="F323" s="40"/>
      <c r="G323" s="40"/>
      <c r="H323" s="40"/>
      <c r="I323" s="40"/>
      <c r="J323" s="40"/>
    </row>
    <row r="324" spans="1:10">
      <c r="A324" s="40"/>
      <c r="B324" s="40"/>
      <c r="C324" s="40"/>
      <c r="D324" s="40"/>
      <c r="E324" s="40"/>
      <c r="F324" s="40"/>
      <c r="G324" s="40"/>
      <c r="H324" s="40"/>
      <c r="I324" s="40"/>
      <c r="J324" s="40"/>
    </row>
    <row r="325" spans="1:10">
      <c r="A325" s="40"/>
      <c r="B325" s="40"/>
      <c r="C325" s="40"/>
      <c r="D325" s="40"/>
      <c r="E325" s="40"/>
      <c r="F325" s="40"/>
      <c r="G325" s="40"/>
      <c r="H325" s="40"/>
      <c r="I325" s="40"/>
      <c r="J325" s="40"/>
    </row>
    <row r="326" spans="1:10">
      <c r="A326" s="40"/>
      <c r="B326" s="40"/>
      <c r="C326" s="40"/>
      <c r="D326" s="40"/>
      <c r="E326" s="40"/>
      <c r="F326" s="40"/>
      <c r="G326" s="40"/>
      <c r="H326" s="40"/>
      <c r="I326" s="40"/>
      <c r="J326" s="40"/>
    </row>
    <row r="327" spans="1:10">
      <c r="A327" s="40"/>
      <c r="B327" s="40"/>
      <c r="C327" s="40"/>
      <c r="D327" s="40"/>
      <c r="E327" s="40"/>
      <c r="F327" s="40"/>
      <c r="G327" s="40"/>
      <c r="H327" s="40"/>
      <c r="I327" s="40"/>
      <c r="J327" s="40"/>
    </row>
    <row r="328" spans="1:10">
      <c r="A328" s="40"/>
      <c r="B328" s="40"/>
      <c r="C328" s="40"/>
      <c r="D328" s="40"/>
      <c r="E328" s="40"/>
      <c r="F328" s="40"/>
      <c r="G328" s="40"/>
      <c r="H328" s="40"/>
      <c r="I328" s="40"/>
      <c r="J328" s="40"/>
    </row>
    <row r="329" spans="1:10">
      <c r="A329" s="40"/>
      <c r="B329" s="40"/>
      <c r="C329" s="40"/>
      <c r="D329" s="40"/>
      <c r="E329" s="40"/>
      <c r="F329" s="40"/>
      <c r="G329" s="40"/>
      <c r="H329" s="40"/>
      <c r="I329" s="40"/>
      <c r="J329" s="40"/>
    </row>
    <row r="330" spans="1:10">
      <c r="A330" s="40"/>
      <c r="B330" s="40"/>
      <c r="C330" s="40"/>
      <c r="D330" s="40"/>
      <c r="E330" s="40"/>
      <c r="F330" s="40"/>
      <c r="G330" s="40"/>
      <c r="H330" s="40"/>
      <c r="I330" s="40"/>
      <c r="J330" s="40"/>
    </row>
    <row r="331" spans="1:10">
      <c r="A331" s="40"/>
      <c r="B331" s="40"/>
      <c r="C331" s="40"/>
      <c r="D331" s="40"/>
      <c r="E331" s="40"/>
      <c r="F331" s="40"/>
      <c r="G331" s="40"/>
      <c r="H331" s="40"/>
      <c r="I331" s="40"/>
      <c r="J331" s="40"/>
    </row>
    <row r="332" spans="1:10">
      <c r="A332" s="40"/>
      <c r="B332" s="40"/>
      <c r="C332" s="40"/>
      <c r="D332" s="40"/>
      <c r="E332" s="40"/>
      <c r="F332" s="40"/>
      <c r="G332" s="40"/>
      <c r="H332" s="40"/>
      <c r="I332" s="40"/>
      <c r="J332" s="40"/>
    </row>
    <row r="333" spans="1:10">
      <c r="A333" s="40"/>
      <c r="B333" s="40"/>
      <c r="C333" s="40"/>
      <c r="D333" s="40"/>
      <c r="E333" s="40"/>
      <c r="F333" s="40"/>
      <c r="G333" s="40"/>
      <c r="H333" s="40"/>
      <c r="I333" s="40"/>
      <c r="J333" s="40"/>
    </row>
    <row r="334" spans="1:10">
      <c r="A334" s="40"/>
      <c r="B334" s="40"/>
      <c r="C334" s="40"/>
      <c r="D334" s="40"/>
      <c r="E334" s="40"/>
      <c r="F334" s="40"/>
      <c r="G334" s="40"/>
      <c r="H334" s="40"/>
      <c r="I334" s="40"/>
      <c r="J334" s="40"/>
    </row>
    <row r="335" spans="1:10">
      <c r="A335" s="40"/>
      <c r="B335" s="40"/>
      <c r="C335" s="40"/>
      <c r="D335" s="40"/>
      <c r="E335" s="40"/>
      <c r="F335" s="40"/>
      <c r="G335" s="40"/>
      <c r="H335" s="40"/>
      <c r="I335" s="40"/>
      <c r="J335" s="40"/>
    </row>
    <row r="336" spans="1:10">
      <c r="A336" s="40"/>
      <c r="B336" s="40"/>
      <c r="C336" s="40"/>
      <c r="D336" s="40"/>
      <c r="E336" s="40"/>
      <c r="F336" s="40"/>
      <c r="G336" s="40"/>
      <c r="H336" s="40"/>
      <c r="I336" s="40"/>
      <c r="J336" s="40"/>
    </row>
    <row r="337" spans="1:10">
      <c r="A337" s="40"/>
      <c r="B337" s="40"/>
      <c r="C337" s="40"/>
      <c r="D337" s="40"/>
      <c r="E337" s="40"/>
      <c r="F337" s="40"/>
      <c r="G337" s="40"/>
      <c r="H337" s="40"/>
      <c r="I337" s="40"/>
      <c r="J337" s="40"/>
    </row>
    <row r="338" spans="1:10">
      <c r="A338" s="40"/>
      <c r="B338" s="40"/>
      <c r="C338" s="40"/>
      <c r="D338" s="40"/>
      <c r="E338" s="40"/>
      <c r="F338" s="40"/>
      <c r="G338" s="40"/>
      <c r="H338" s="40"/>
      <c r="I338" s="40"/>
      <c r="J338" s="40"/>
    </row>
    <row r="339" spans="1:10">
      <c r="A339" s="40"/>
      <c r="B339" s="40"/>
      <c r="C339" s="40"/>
      <c r="D339" s="40"/>
      <c r="E339" s="40"/>
      <c r="F339" s="40"/>
      <c r="G339" s="40"/>
      <c r="H339" s="40"/>
      <c r="I339" s="40"/>
      <c r="J339" s="40"/>
    </row>
    <row r="340" spans="1:10">
      <c r="A340" s="40"/>
      <c r="B340" s="40"/>
      <c r="C340" s="40"/>
      <c r="D340" s="40"/>
      <c r="E340" s="40"/>
      <c r="F340" s="40"/>
      <c r="G340" s="40"/>
      <c r="H340" s="40"/>
      <c r="I340" s="40"/>
      <c r="J340" s="40"/>
    </row>
    <row r="341" spans="1:10">
      <c r="A341" s="40"/>
      <c r="B341" s="40"/>
      <c r="C341" s="40"/>
      <c r="D341" s="40"/>
      <c r="E341" s="40"/>
      <c r="F341" s="40"/>
      <c r="G341" s="40"/>
      <c r="H341" s="40"/>
      <c r="I341" s="40"/>
      <c r="J341" s="40"/>
    </row>
    <row r="342" spans="1:10">
      <c r="A342" s="40"/>
      <c r="B342" s="40"/>
      <c r="C342" s="40"/>
      <c r="D342" s="40"/>
      <c r="E342" s="40"/>
      <c r="F342" s="40"/>
      <c r="G342" s="40"/>
      <c r="H342" s="40"/>
      <c r="I342" s="40"/>
      <c r="J342" s="40"/>
    </row>
    <row r="343" spans="1:10">
      <c r="A343" s="40"/>
      <c r="B343" s="40"/>
      <c r="C343" s="40"/>
      <c r="D343" s="40"/>
      <c r="E343" s="40"/>
      <c r="F343" s="40"/>
      <c r="G343" s="40"/>
      <c r="H343" s="40"/>
      <c r="I343" s="40"/>
      <c r="J343" s="40"/>
    </row>
    <row r="344" spans="1:10">
      <c r="A344" s="40"/>
      <c r="B344" s="40"/>
      <c r="C344" s="40"/>
      <c r="D344" s="40"/>
      <c r="E344" s="40"/>
      <c r="F344" s="40"/>
      <c r="G344" s="40"/>
      <c r="H344" s="40"/>
      <c r="I344" s="40"/>
      <c r="J344" s="40"/>
    </row>
    <row r="345" spans="1:10">
      <c r="A345" s="40"/>
      <c r="B345" s="40"/>
      <c r="C345" s="40"/>
      <c r="D345" s="40"/>
      <c r="E345" s="40"/>
      <c r="F345" s="40"/>
      <c r="G345" s="40"/>
      <c r="H345" s="40"/>
      <c r="I345" s="40"/>
      <c r="J345" s="40"/>
    </row>
    <row r="346" spans="1:10">
      <c r="A346" s="40"/>
      <c r="B346" s="40"/>
      <c r="C346" s="40"/>
      <c r="D346" s="40"/>
      <c r="E346" s="40"/>
      <c r="F346" s="40"/>
      <c r="G346" s="40"/>
      <c r="H346" s="40"/>
      <c r="I346" s="40"/>
      <c r="J346" s="40"/>
    </row>
    <row r="347" spans="1:10">
      <c r="A347" s="40"/>
      <c r="B347" s="40"/>
      <c r="C347" s="40"/>
      <c r="D347" s="40"/>
      <c r="E347" s="40"/>
      <c r="F347" s="40"/>
      <c r="G347" s="40"/>
      <c r="H347" s="40"/>
      <c r="I347" s="40"/>
      <c r="J347" s="40"/>
    </row>
    <row r="348" spans="1:10">
      <c r="A348" s="40"/>
      <c r="B348" s="40"/>
      <c r="C348" s="40"/>
      <c r="D348" s="40"/>
      <c r="E348" s="40"/>
      <c r="F348" s="40"/>
      <c r="G348" s="40"/>
      <c r="H348" s="40"/>
      <c r="I348" s="40"/>
      <c r="J348" s="40"/>
    </row>
    <row r="349" spans="1:10">
      <c r="A349" s="40"/>
      <c r="B349" s="40"/>
      <c r="C349" s="40"/>
      <c r="D349" s="40"/>
      <c r="E349" s="40"/>
      <c r="F349" s="40"/>
      <c r="G349" s="40"/>
      <c r="H349" s="40"/>
      <c r="I349" s="40"/>
      <c r="J349" s="40"/>
    </row>
    <row r="350" spans="1:10">
      <c r="A350" s="40"/>
      <c r="B350" s="40"/>
      <c r="C350" s="40"/>
      <c r="D350" s="40"/>
      <c r="E350" s="40"/>
      <c r="F350" s="40"/>
      <c r="G350" s="40"/>
      <c r="H350" s="40"/>
      <c r="I350" s="40"/>
      <c r="J350" s="40"/>
    </row>
    <row r="351" spans="1:10">
      <c r="A351" s="40"/>
      <c r="B351" s="40"/>
      <c r="C351" s="40"/>
      <c r="D351" s="40"/>
      <c r="E351" s="40"/>
      <c r="F351" s="40"/>
      <c r="G351" s="40"/>
      <c r="H351" s="40"/>
      <c r="I351" s="40"/>
      <c r="J351" s="40"/>
    </row>
    <row r="352" spans="1:10">
      <c r="A352" s="40"/>
      <c r="B352" s="40"/>
      <c r="C352" s="40"/>
      <c r="D352" s="40"/>
      <c r="E352" s="40"/>
      <c r="F352" s="40"/>
      <c r="G352" s="40"/>
      <c r="H352" s="40"/>
      <c r="I352" s="40"/>
      <c r="J352" s="40"/>
    </row>
    <row r="353" spans="1:10">
      <c r="A353" s="40"/>
      <c r="B353" s="40"/>
      <c r="C353" s="40"/>
      <c r="D353" s="40"/>
      <c r="E353" s="40"/>
      <c r="F353" s="40"/>
      <c r="G353" s="40"/>
      <c r="H353" s="40"/>
      <c r="I353" s="40"/>
      <c r="J353" s="40"/>
    </row>
    <row r="354" spans="1:10">
      <c r="A354" s="40"/>
      <c r="B354" s="40"/>
      <c r="C354" s="40"/>
      <c r="D354" s="40"/>
      <c r="E354" s="40"/>
      <c r="F354" s="40"/>
      <c r="G354" s="40"/>
      <c r="H354" s="40"/>
      <c r="I354" s="40"/>
      <c r="J354" s="40"/>
    </row>
    <row r="355" spans="1:10">
      <c r="A355" s="40"/>
      <c r="B355" s="40"/>
      <c r="C355" s="40"/>
      <c r="D355" s="40"/>
      <c r="E355" s="40"/>
      <c r="F355" s="40"/>
      <c r="G355" s="40"/>
      <c r="H355" s="40"/>
      <c r="I355" s="40"/>
      <c r="J355" s="40"/>
    </row>
    <row r="356" spans="1:10">
      <c r="A356" s="40"/>
      <c r="B356" s="40"/>
      <c r="C356" s="40"/>
      <c r="D356" s="40"/>
      <c r="E356" s="40"/>
      <c r="F356" s="40"/>
      <c r="G356" s="40"/>
      <c r="H356" s="40"/>
      <c r="I356" s="40"/>
      <c r="J356" s="40"/>
    </row>
    <row r="357" spans="1:10">
      <c r="A357" s="40"/>
      <c r="B357" s="40"/>
      <c r="C357" s="40"/>
      <c r="D357" s="40"/>
      <c r="E357" s="40"/>
      <c r="F357" s="40"/>
      <c r="G357" s="40"/>
      <c r="H357" s="40"/>
      <c r="I357" s="40"/>
      <c r="J357" s="40"/>
    </row>
    <row r="358" spans="1:10">
      <c r="A358" s="40"/>
      <c r="B358" s="40"/>
      <c r="C358" s="40"/>
      <c r="D358" s="40"/>
      <c r="E358" s="40"/>
      <c r="F358" s="40"/>
      <c r="G358" s="40"/>
      <c r="H358" s="40"/>
      <c r="I358" s="40"/>
      <c r="J358" s="40"/>
    </row>
    <row r="359" spans="1:10">
      <c r="A359" s="40"/>
      <c r="B359" s="40"/>
      <c r="C359" s="40"/>
      <c r="D359" s="40"/>
      <c r="E359" s="40"/>
      <c r="F359" s="40"/>
      <c r="G359" s="40"/>
      <c r="H359" s="40"/>
      <c r="I359" s="40"/>
      <c r="J359" s="40"/>
    </row>
    <row r="360" spans="1:10">
      <c r="A360" s="40"/>
      <c r="B360" s="40"/>
      <c r="C360" s="40"/>
      <c r="D360" s="40"/>
      <c r="E360" s="40"/>
      <c r="F360" s="40"/>
      <c r="G360" s="40"/>
      <c r="H360" s="40"/>
      <c r="I360" s="40"/>
      <c r="J360" s="40"/>
    </row>
    <row r="361" spans="1:10">
      <c r="A361" s="40"/>
      <c r="B361" s="40"/>
      <c r="C361" s="40"/>
      <c r="D361" s="40"/>
      <c r="E361" s="40"/>
      <c r="F361" s="40"/>
      <c r="G361" s="40"/>
      <c r="H361" s="40"/>
      <c r="I361" s="40"/>
      <c r="J361" s="40"/>
    </row>
    <row r="362" spans="1:10">
      <c r="A362" s="40"/>
      <c r="B362" s="40"/>
      <c r="C362" s="40"/>
      <c r="D362" s="40"/>
      <c r="E362" s="40"/>
      <c r="F362" s="40"/>
      <c r="G362" s="40"/>
      <c r="H362" s="40"/>
      <c r="I362" s="40"/>
      <c r="J362" s="40"/>
    </row>
    <row r="363" spans="1:10">
      <c r="A363" s="40"/>
      <c r="B363" s="40"/>
      <c r="C363" s="40"/>
      <c r="D363" s="40"/>
      <c r="E363" s="40"/>
      <c r="F363" s="40"/>
      <c r="G363" s="40"/>
      <c r="H363" s="40"/>
      <c r="I363" s="40"/>
      <c r="J363" s="40"/>
    </row>
    <row r="364" spans="1:10">
      <c r="A364" s="40"/>
      <c r="B364" s="40"/>
      <c r="C364" s="40"/>
      <c r="D364" s="40"/>
      <c r="E364" s="40"/>
      <c r="F364" s="40"/>
      <c r="G364" s="40"/>
      <c r="H364" s="40"/>
      <c r="I364" s="40"/>
      <c r="J364" s="40"/>
    </row>
    <row r="365" spans="1:10">
      <c r="A365" s="40"/>
      <c r="B365" s="40"/>
      <c r="C365" s="40"/>
      <c r="D365" s="40"/>
      <c r="E365" s="40"/>
      <c r="F365" s="40"/>
      <c r="G365" s="40"/>
      <c r="H365" s="40"/>
      <c r="I365" s="40"/>
      <c r="J365" s="40"/>
    </row>
    <row r="366" spans="1:10">
      <c r="A366" s="40"/>
      <c r="B366" s="40"/>
      <c r="C366" s="40"/>
      <c r="D366" s="40"/>
      <c r="E366" s="40"/>
      <c r="F366" s="40"/>
      <c r="G366" s="40"/>
      <c r="H366" s="40"/>
      <c r="I366" s="40"/>
      <c r="J366" s="40"/>
    </row>
    <row r="367" spans="1:10">
      <c r="A367" s="40"/>
      <c r="B367" s="40"/>
      <c r="C367" s="40"/>
      <c r="D367" s="40"/>
      <c r="E367" s="40"/>
      <c r="F367" s="40"/>
      <c r="G367" s="40"/>
      <c r="H367" s="40"/>
      <c r="I367" s="40"/>
      <c r="J367" s="40"/>
    </row>
    <row r="368" spans="1:10">
      <c r="A368" s="40"/>
      <c r="B368" s="40"/>
      <c r="C368" s="40"/>
      <c r="D368" s="40"/>
      <c r="E368" s="40"/>
      <c r="F368" s="40"/>
      <c r="G368" s="40"/>
      <c r="H368" s="40"/>
      <c r="I368" s="40"/>
      <c r="J368" s="40"/>
    </row>
    <row r="369" spans="1:10">
      <c r="A369" s="40"/>
      <c r="B369" s="40"/>
      <c r="C369" s="40"/>
      <c r="D369" s="40"/>
      <c r="E369" s="40"/>
      <c r="F369" s="40"/>
      <c r="G369" s="40"/>
      <c r="H369" s="40"/>
      <c r="I369" s="40"/>
      <c r="J369" s="40"/>
    </row>
    <row r="370" spans="1:10">
      <c r="A370" s="40"/>
      <c r="B370" s="40"/>
      <c r="C370" s="40"/>
      <c r="D370" s="40"/>
      <c r="E370" s="40"/>
      <c r="F370" s="40"/>
      <c r="G370" s="40"/>
      <c r="H370" s="40"/>
      <c r="I370" s="40"/>
      <c r="J370" s="40"/>
    </row>
    <row r="371" spans="1:10">
      <c r="A371" s="40"/>
      <c r="B371" s="40"/>
      <c r="C371" s="40"/>
      <c r="D371" s="40"/>
      <c r="E371" s="40"/>
      <c r="F371" s="40"/>
      <c r="G371" s="40"/>
      <c r="H371" s="40"/>
      <c r="I371" s="40"/>
      <c r="J371" s="40"/>
    </row>
    <row r="372" spans="1:10">
      <c r="A372" s="40"/>
      <c r="B372" s="40"/>
      <c r="C372" s="40"/>
      <c r="D372" s="40"/>
      <c r="E372" s="40"/>
      <c r="F372" s="40"/>
      <c r="G372" s="40"/>
      <c r="H372" s="40"/>
      <c r="I372" s="40"/>
      <c r="J372" s="40"/>
    </row>
    <row r="373" spans="1:10">
      <c r="A373" s="40"/>
      <c r="B373" s="40"/>
      <c r="C373" s="40"/>
      <c r="D373" s="40"/>
      <c r="E373" s="40"/>
      <c r="F373" s="40"/>
      <c r="G373" s="40"/>
      <c r="H373" s="40"/>
      <c r="I373" s="40"/>
      <c r="J373" s="40"/>
    </row>
    <row r="374" spans="1:10">
      <c r="A374" s="40"/>
      <c r="B374" s="40"/>
      <c r="C374" s="40"/>
      <c r="D374" s="40"/>
      <c r="E374" s="40"/>
      <c r="F374" s="40"/>
      <c r="G374" s="40"/>
      <c r="H374" s="40"/>
      <c r="I374" s="40"/>
      <c r="J374" s="40"/>
    </row>
    <row r="375" spans="1:10">
      <c r="A375" s="40"/>
      <c r="B375" s="40"/>
      <c r="C375" s="40"/>
      <c r="D375" s="40"/>
      <c r="E375" s="40"/>
      <c r="F375" s="40"/>
      <c r="G375" s="40"/>
      <c r="H375" s="40"/>
      <c r="I375" s="40"/>
      <c r="J375" s="40"/>
    </row>
    <row r="376" spans="1:10">
      <c r="A376" s="40"/>
      <c r="B376" s="40"/>
      <c r="C376" s="40"/>
      <c r="D376" s="40"/>
      <c r="E376" s="40"/>
      <c r="F376" s="40"/>
      <c r="G376" s="40"/>
      <c r="H376" s="40"/>
      <c r="I376" s="40"/>
      <c r="J376" s="40"/>
    </row>
    <row r="377" spans="1:10">
      <c r="A377" s="40"/>
      <c r="B377" s="40"/>
      <c r="C377" s="40"/>
      <c r="D377" s="40"/>
      <c r="E377" s="40"/>
      <c r="F377" s="40"/>
      <c r="G377" s="40"/>
      <c r="H377" s="40"/>
      <c r="I377" s="40"/>
      <c r="J377" s="40"/>
    </row>
    <row r="378" spans="1:10">
      <c r="A378" s="40"/>
      <c r="B378" s="40"/>
      <c r="C378" s="40"/>
      <c r="D378" s="40"/>
      <c r="E378" s="40"/>
      <c r="F378" s="40"/>
      <c r="G378" s="40"/>
      <c r="H378" s="40"/>
      <c r="I378" s="40"/>
      <c r="J378" s="40"/>
    </row>
    <row r="379" spans="1:10">
      <c r="A379" s="40"/>
      <c r="B379" s="40"/>
      <c r="C379" s="40"/>
      <c r="D379" s="40"/>
      <c r="E379" s="40"/>
      <c r="F379" s="40"/>
      <c r="G379" s="40"/>
      <c r="H379" s="40"/>
      <c r="I379" s="40"/>
      <c r="J379" s="40"/>
    </row>
    <row r="380" spans="1:10">
      <c r="A380" s="40"/>
      <c r="B380" s="40"/>
      <c r="C380" s="40"/>
      <c r="D380" s="40"/>
      <c r="E380" s="40"/>
      <c r="F380" s="40"/>
      <c r="G380" s="40"/>
      <c r="H380" s="40"/>
      <c r="I380" s="40"/>
      <c r="J380" s="40"/>
    </row>
    <row r="381" spans="1:10">
      <c r="A381" s="40"/>
      <c r="B381" s="40"/>
      <c r="C381" s="40"/>
      <c r="D381" s="40"/>
      <c r="E381" s="40"/>
      <c r="F381" s="40"/>
      <c r="G381" s="40"/>
      <c r="H381" s="40"/>
      <c r="I381" s="40"/>
      <c r="J381" s="40"/>
    </row>
    <row r="382" spans="1:10">
      <c r="A382" s="40"/>
      <c r="B382" s="40"/>
      <c r="C382" s="40"/>
      <c r="D382" s="40"/>
      <c r="E382" s="40"/>
      <c r="F382" s="40"/>
      <c r="G382" s="40"/>
      <c r="H382" s="40"/>
      <c r="I382" s="40"/>
      <c r="J382" s="40"/>
    </row>
    <row r="383" spans="1:10">
      <c r="A383" s="40"/>
      <c r="B383" s="40"/>
      <c r="C383" s="40"/>
      <c r="D383" s="40"/>
      <c r="E383" s="40"/>
      <c r="F383" s="40"/>
      <c r="G383" s="40"/>
      <c r="H383" s="40"/>
      <c r="I383" s="40"/>
      <c r="J383" s="40"/>
    </row>
    <row r="384" spans="1:10">
      <c r="A384" s="40"/>
      <c r="B384" s="40"/>
      <c r="C384" s="40"/>
      <c r="D384" s="40"/>
      <c r="E384" s="40"/>
      <c r="F384" s="40"/>
      <c r="G384" s="40"/>
      <c r="H384" s="40"/>
      <c r="I384" s="40"/>
      <c r="J384" s="40"/>
    </row>
    <row r="385" spans="1:10">
      <c r="A385" s="40"/>
      <c r="B385" s="40"/>
      <c r="C385" s="40"/>
      <c r="D385" s="40"/>
      <c r="E385" s="40"/>
      <c r="F385" s="40"/>
      <c r="G385" s="40"/>
      <c r="H385" s="40"/>
      <c r="I385" s="40"/>
      <c r="J385" s="40"/>
    </row>
    <row r="386" spans="1:10">
      <c r="A386" s="40"/>
      <c r="B386" s="40"/>
      <c r="C386" s="40"/>
      <c r="D386" s="40"/>
      <c r="E386" s="40"/>
      <c r="F386" s="40"/>
      <c r="G386" s="40"/>
      <c r="H386" s="40"/>
      <c r="I386" s="40"/>
      <c r="J386" s="40"/>
    </row>
    <row r="387" spans="1:10">
      <c r="A387" s="40"/>
      <c r="B387" s="40"/>
      <c r="C387" s="40"/>
      <c r="D387" s="40"/>
      <c r="E387" s="40"/>
      <c r="F387" s="40"/>
      <c r="G387" s="40"/>
      <c r="H387" s="40"/>
      <c r="I387" s="40"/>
      <c r="J387" s="40"/>
    </row>
    <row r="388" spans="1:10">
      <c r="A388" s="40"/>
      <c r="B388" s="40"/>
      <c r="C388" s="40"/>
      <c r="D388" s="40"/>
      <c r="E388" s="40"/>
      <c r="F388" s="40"/>
      <c r="G388" s="40"/>
      <c r="H388" s="40"/>
      <c r="I388" s="40"/>
      <c r="J388" s="40"/>
    </row>
    <row r="389" spans="1:10">
      <c r="A389" s="40"/>
      <c r="B389" s="40"/>
      <c r="C389" s="40"/>
      <c r="D389" s="40"/>
      <c r="E389" s="40"/>
      <c r="F389" s="40"/>
      <c r="G389" s="40"/>
      <c r="H389" s="40"/>
      <c r="I389" s="40"/>
      <c r="J389" s="40"/>
    </row>
    <row r="390" spans="1:10">
      <c r="A390" s="40"/>
      <c r="B390" s="40"/>
      <c r="C390" s="40"/>
      <c r="D390" s="40"/>
      <c r="E390" s="40"/>
      <c r="F390" s="40"/>
      <c r="G390" s="40"/>
      <c r="H390" s="40"/>
      <c r="I390" s="40"/>
      <c r="J390" s="40"/>
    </row>
    <row r="391" spans="1:10">
      <c r="A391" s="40"/>
      <c r="B391" s="40"/>
      <c r="C391" s="40"/>
      <c r="D391" s="40"/>
      <c r="E391" s="40"/>
      <c r="F391" s="40"/>
      <c r="G391" s="40"/>
      <c r="H391" s="40"/>
      <c r="I391" s="40"/>
      <c r="J391" s="40"/>
    </row>
    <row r="392" spans="1:10">
      <c r="A392" s="40"/>
      <c r="B392" s="40"/>
      <c r="C392" s="40"/>
      <c r="D392" s="40"/>
      <c r="E392" s="40"/>
      <c r="F392" s="40"/>
      <c r="G392" s="40"/>
      <c r="H392" s="40"/>
      <c r="I392" s="40"/>
      <c r="J392" s="40"/>
    </row>
    <row r="393" spans="1:10">
      <c r="A393" s="40"/>
      <c r="B393" s="40"/>
      <c r="C393" s="40"/>
      <c r="D393" s="40"/>
      <c r="E393" s="40"/>
      <c r="F393" s="40"/>
      <c r="G393" s="40"/>
      <c r="H393" s="40"/>
      <c r="I393" s="40"/>
      <c r="J393" s="40"/>
    </row>
    <row r="394" spans="1:10">
      <c r="A394" s="40"/>
      <c r="B394" s="40"/>
      <c r="C394" s="40"/>
      <c r="D394" s="40"/>
      <c r="E394" s="40"/>
      <c r="F394" s="40"/>
      <c r="G394" s="40"/>
      <c r="H394" s="40"/>
      <c r="I394" s="40"/>
      <c r="J394" s="40"/>
    </row>
    <row r="395" spans="1:10">
      <c r="A395" s="40"/>
      <c r="B395" s="40"/>
      <c r="C395" s="40"/>
      <c r="D395" s="40"/>
      <c r="E395" s="40"/>
      <c r="F395" s="40"/>
      <c r="G395" s="40"/>
      <c r="H395" s="40"/>
      <c r="I395" s="40"/>
      <c r="J395" s="40"/>
    </row>
    <row r="396" spans="1:10">
      <c r="A396" s="40"/>
      <c r="B396" s="40"/>
      <c r="C396" s="40"/>
      <c r="D396" s="40"/>
      <c r="E396" s="40"/>
      <c r="F396" s="40"/>
      <c r="G396" s="40"/>
      <c r="H396" s="40"/>
      <c r="I396" s="40"/>
      <c r="J396" s="40"/>
    </row>
    <row r="397" spans="1:10">
      <c r="A397" s="40"/>
      <c r="B397" s="40"/>
      <c r="C397" s="40"/>
      <c r="D397" s="40"/>
      <c r="E397" s="40"/>
      <c r="F397" s="40"/>
      <c r="G397" s="40"/>
      <c r="H397" s="40"/>
      <c r="I397" s="40"/>
      <c r="J397" s="40"/>
    </row>
    <row r="398" spans="1:10">
      <c r="A398" s="40"/>
      <c r="B398" s="40"/>
      <c r="C398" s="40"/>
      <c r="D398" s="40"/>
      <c r="E398" s="40"/>
      <c r="F398" s="40"/>
      <c r="G398" s="40"/>
      <c r="H398" s="40"/>
      <c r="I398" s="40"/>
      <c r="J398" s="40"/>
    </row>
    <row r="399" spans="1:10">
      <c r="A399" s="40"/>
      <c r="B399" s="40"/>
      <c r="C399" s="40"/>
      <c r="D399" s="40"/>
      <c r="E399" s="40"/>
      <c r="F399" s="40"/>
      <c r="G399" s="40"/>
      <c r="H399" s="40"/>
      <c r="I399" s="40"/>
      <c r="J399" s="40"/>
    </row>
    <row r="400" spans="1:10">
      <c r="A400" s="40"/>
      <c r="B400" s="40"/>
      <c r="C400" s="40"/>
      <c r="D400" s="40"/>
      <c r="E400" s="40"/>
      <c r="F400" s="40"/>
      <c r="G400" s="40"/>
      <c r="H400" s="40"/>
      <c r="I400" s="40"/>
      <c r="J400" s="40"/>
    </row>
    <row r="401" spans="1:10">
      <c r="A401" s="40"/>
      <c r="B401" s="40"/>
      <c r="C401" s="40"/>
      <c r="D401" s="40"/>
      <c r="E401" s="40"/>
      <c r="F401" s="40"/>
      <c r="G401" s="40"/>
      <c r="H401" s="40"/>
      <c r="I401" s="40"/>
      <c r="J401" s="40"/>
    </row>
    <row r="402" spans="1:10">
      <c r="A402" s="40"/>
      <c r="B402" s="40"/>
      <c r="C402" s="40"/>
      <c r="D402" s="40"/>
      <c r="E402" s="40"/>
      <c r="F402" s="40"/>
      <c r="G402" s="40"/>
      <c r="H402" s="40"/>
      <c r="I402" s="40"/>
      <c r="J402" s="40"/>
    </row>
    <row r="403" spans="1:10">
      <c r="A403" s="40"/>
      <c r="B403" s="40"/>
      <c r="C403" s="40"/>
      <c r="D403" s="40"/>
      <c r="E403" s="40"/>
      <c r="F403" s="40"/>
      <c r="G403" s="40"/>
      <c r="H403" s="40"/>
      <c r="I403" s="40"/>
      <c r="J403" s="40"/>
    </row>
    <row r="404" spans="1:10">
      <c r="A404" s="40"/>
      <c r="B404" s="40"/>
      <c r="C404" s="40"/>
      <c r="D404" s="40"/>
      <c r="E404" s="40"/>
      <c r="F404" s="40"/>
      <c r="G404" s="40"/>
      <c r="H404" s="40"/>
      <c r="I404" s="40"/>
      <c r="J404" s="40"/>
    </row>
    <row r="405" spans="1:10">
      <c r="A405" s="40"/>
      <c r="B405" s="40"/>
      <c r="C405" s="40"/>
      <c r="D405" s="40"/>
      <c r="E405" s="40"/>
      <c r="F405" s="40"/>
      <c r="G405" s="40"/>
      <c r="H405" s="40"/>
      <c r="I405" s="40"/>
      <c r="J405" s="40"/>
    </row>
    <row r="406" spans="1:10">
      <c r="A406" s="40"/>
      <c r="B406" s="40"/>
      <c r="C406" s="40"/>
      <c r="D406" s="40"/>
      <c r="E406" s="40"/>
      <c r="F406" s="40"/>
      <c r="G406" s="40"/>
      <c r="H406" s="40"/>
      <c r="I406" s="40"/>
      <c r="J406" s="40"/>
    </row>
    <row r="407" spans="1:10">
      <c r="A407" s="40"/>
      <c r="B407" s="40"/>
      <c r="C407" s="40"/>
      <c r="D407" s="40"/>
      <c r="E407" s="40"/>
      <c r="F407" s="40"/>
      <c r="G407" s="40"/>
      <c r="H407" s="40"/>
      <c r="I407" s="40"/>
      <c r="J407" s="40"/>
    </row>
    <row r="408" spans="1:10">
      <c r="A408" s="40"/>
      <c r="B408" s="40"/>
      <c r="C408" s="40"/>
      <c r="D408" s="40"/>
      <c r="E408" s="40"/>
      <c r="F408" s="40"/>
      <c r="G408" s="40"/>
      <c r="H408" s="40"/>
      <c r="I408" s="40"/>
      <c r="J408" s="40"/>
    </row>
    <row r="409" spans="1:10">
      <c r="A409" s="40"/>
      <c r="B409" s="40"/>
      <c r="C409" s="40"/>
      <c r="D409" s="40"/>
      <c r="E409" s="40"/>
      <c r="F409" s="40"/>
      <c r="G409" s="40"/>
      <c r="H409" s="40"/>
      <c r="I409" s="40"/>
      <c r="J409" s="40"/>
    </row>
    <row r="410" spans="1:10">
      <c r="A410" s="40"/>
      <c r="B410" s="40"/>
      <c r="C410" s="40"/>
      <c r="D410" s="40"/>
      <c r="E410" s="40"/>
      <c r="F410" s="40"/>
      <c r="G410" s="40"/>
      <c r="H410" s="40"/>
      <c r="I410" s="40"/>
      <c r="J410" s="40"/>
    </row>
    <row r="411" spans="1:10">
      <c r="A411" s="40"/>
      <c r="B411" s="40"/>
      <c r="C411" s="40"/>
      <c r="D411" s="40"/>
      <c r="E411" s="40"/>
      <c r="F411" s="40"/>
      <c r="G411" s="40"/>
      <c r="H411" s="40"/>
      <c r="I411" s="40"/>
      <c r="J411" s="40"/>
    </row>
    <row r="412" spans="1:10">
      <c r="A412" s="40"/>
      <c r="B412" s="40"/>
      <c r="C412" s="40"/>
      <c r="D412" s="40"/>
      <c r="E412" s="40"/>
      <c r="F412" s="40"/>
      <c r="G412" s="40"/>
      <c r="H412" s="40"/>
      <c r="I412" s="40"/>
      <c r="J412" s="40"/>
    </row>
    <row r="413" spans="1:10">
      <c r="A413" s="40"/>
      <c r="B413" s="40"/>
      <c r="C413" s="40"/>
      <c r="D413" s="40"/>
      <c r="E413" s="40"/>
      <c r="F413" s="40"/>
      <c r="G413" s="40"/>
      <c r="H413" s="40"/>
      <c r="I413" s="40"/>
      <c r="J413" s="40"/>
    </row>
    <row r="414" spans="1:10">
      <c r="A414" s="40"/>
      <c r="B414" s="40"/>
      <c r="C414" s="40"/>
      <c r="D414" s="40"/>
      <c r="E414" s="40"/>
      <c r="F414" s="40"/>
      <c r="G414" s="40"/>
      <c r="H414" s="40"/>
      <c r="I414" s="40"/>
      <c r="J414" s="40"/>
    </row>
    <row r="415" spans="1:10">
      <c r="A415" s="40"/>
      <c r="B415" s="40"/>
      <c r="C415" s="40"/>
      <c r="D415" s="40"/>
      <c r="E415" s="40"/>
      <c r="F415" s="40"/>
      <c r="G415" s="40"/>
      <c r="H415" s="40"/>
      <c r="I415" s="40"/>
      <c r="J415" s="40"/>
    </row>
    <row r="416" spans="1:10">
      <c r="A416" s="40"/>
      <c r="B416" s="40"/>
      <c r="C416" s="40"/>
      <c r="D416" s="40"/>
      <c r="E416" s="40"/>
      <c r="F416" s="40"/>
      <c r="G416" s="40"/>
      <c r="H416" s="40"/>
      <c r="I416" s="40"/>
      <c r="J416" s="40"/>
    </row>
    <row r="417" spans="1:10">
      <c r="A417" s="40"/>
      <c r="B417" s="40"/>
      <c r="C417" s="40"/>
      <c r="D417" s="40"/>
      <c r="E417" s="40"/>
      <c r="F417" s="40"/>
      <c r="G417" s="40"/>
      <c r="H417" s="40"/>
      <c r="I417" s="40"/>
      <c r="J417" s="40"/>
    </row>
    <row r="418" spans="1:10">
      <c r="A418" s="40"/>
      <c r="B418" s="40"/>
      <c r="C418" s="40"/>
      <c r="D418" s="40"/>
      <c r="E418" s="40"/>
      <c r="F418" s="40"/>
      <c r="G418" s="40"/>
      <c r="H418" s="40"/>
      <c r="I418" s="40"/>
      <c r="J418" s="40"/>
    </row>
    <row r="419" spans="1:10">
      <c r="A419" s="40"/>
      <c r="B419" s="40"/>
      <c r="C419" s="40"/>
      <c r="D419" s="40"/>
      <c r="E419" s="40"/>
      <c r="F419" s="40"/>
      <c r="G419" s="40"/>
      <c r="H419" s="40"/>
      <c r="I419" s="40"/>
      <c r="J419" s="40"/>
    </row>
    <row r="420" spans="1:10">
      <c r="A420" s="40"/>
      <c r="B420" s="40"/>
      <c r="C420" s="40"/>
      <c r="D420" s="40"/>
      <c r="E420" s="40"/>
      <c r="F420" s="40"/>
      <c r="G420" s="40"/>
      <c r="H420" s="40"/>
      <c r="I420" s="40"/>
      <c r="J420" s="40"/>
    </row>
    <row r="421" spans="1:10">
      <c r="A421" s="40"/>
      <c r="B421" s="40"/>
      <c r="C421" s="40"/>
      <c r="D421" s="40"/>
      <c r="E421" s="40"/>
      <c r="F421" s="40"/>
      <c r="G421" s="40"/>
      <c r="H421" s="40"/>
      <c r="I421" s="40"/>
      <c r="J421" s="40"/>
    </row>
    <row r="422" spans="1:10">
      <c r="A422" s="40"/>
      <c r="B422" s="40"/>
      <c r="C422" s="40"/>
      <c r="D422" s="40"/>
      <c r="E422" s="40"/>
      <c r="F422" s="40"/>
      <c r="G422" s="40"/>
      <c r="H422" s="40"/>
      <c r="I422" s="40"/>
      <c r="J422" s="40"/>
    </row>
    <row r="423" spans="1:10">
      <c r="A423" s="40"/>
      <c r="B423" s="40"/>
      <c r="C423" s="40"/>
      <c r="D423" s="40"/>
      <c r="E423" s="40"/>
      <c r="F423" s="40"/>
      <c r="G423" s="40"/>
      <c r="H423" s="40"/>
      <c r="I423" s="40"/>
      <c r="J423" s="40"/>
    </row>
    <row r="424" spans="1:10">
      <c r="A424" s="40"/>
      <c r="B424" s="40"/>
      <c r="C424" s="40"/>
      <c r="D424" s="40"/>
      <c r="E424" s="40"/>
      <c r="F424" s="40"/>
      <c r="G424" s="40"/>
      <c r="H424" s="40"/>
      <c r="I424" s="40"/>
      <c r="J424" s="40"/>
    </row>
    <row r="425" spans="1:10">
      <c r="A425" s="40"/>
      <c r="B425" s="40"/>
      <c r="C425" s="40"/>
      <c r="D425" s="40"/>
      <c r="E425" s="40"/>
      <c r="F425" s="40"/>
      <c r="G425" s="40"/>
      <c r="H425" s="40"/>
      <c r="I425" s="40"/>
      <c r="J425" s="40"/>
    </row>
    <row r="426" spans="1:10">
      <c r="A426" s="40"/>
      <c r="B426" s="40"/>
      <c r="C426" s="40"/>
      <c r="D426" s="40"/>
      <c r="E426" s="40"/>
      <c r="F426" s="40"/>
      <c r="G426" s="40"/>
      <c r="H426" s="40"/>
      <c r="I426" s="40"/>
      <c r="J426" s="40"/>
    </row>
    <row r="427" spans="1:10">
      <c r="A427" s="40"/>
      <c r="B427" s="40"/>
      <c r="C427" s="40"/>
      <c r="D427" s="40"/>
      <c r="E427" s="40"/>
      <c r="F427" s="40"/>
      <c r="G427" s="40"/>
      <c r="H427" s="40"/>
      <c r="I427" s="40"/>
      <c r="J427" s="40"/>
    </row>
    <row r="428" spans="1:10">
      <c r="A428" s="40"/>
      <c r="B428" s="40"/>
      <c r="C428" s="40"/>
      <c r="D428" s="40"/>
      <c r="E428" s="40"/>
      <c r="F428" s="40"/>
      <c r="G428" s="40"/>
      <c r="H428" s="40"/>
      <c r="I428" s="40"/>
      <c r="J428" s="40"/>
    </row>
    <row r="429" spans="1:10">
      <c r="A429" s="40"/>
      <c r="B429" s="40"/>
      <c r="C429" s="40"/>
      <c r="D429" s="40"/>
      <c r="E429" s="40"/>
      <c r="F429" s="40"/>
      <c r="G429" s="40"/>
      <c r="H429" s="40"/>
      <c r="I429" s="40"/>
      <c r="J429" s="40"/>
    </row>
    <row r="430" spans="1:10">
      <c r="A430" s="40"/>
      <c r="B430" s="40"/>
      <c r="C430" s="40"/>
      <c r="D430" s="40"/>
      <c r="E430" s="40"/>
      <c r="F430" s="40"/>
      <c r="G430" s="40"/>
      <c r="H430" s="40"/>
      <c r="I430" s="40"/>
      <c r="J430" s="40"/>
    </row>
    <row r="431" spans="1:10">
      <c r="A431" s="40"/>
      <c r="B431" s="40"/>
      <c r="C431" s="40"/>
      <c r="D431" s="40"/>
      <c r="E431" s="40"/>
      <c r="F431" s="40"/>
      <c r="G431" s="40"/>
      <c r="H431" s="40"/>
      <c r="I431" s="40"/>
      <c r="J431" s="40"/>
    </row>
    <row r="432" spans="1:10">
      <c r="A432" s="40"/>
      <c r="B432" s="40"/>
      <c r="C432" s="40"/>
      <c r="D432" s="40"/>
      <c r="E432" s="40"/>
      <c r="F432" s="40"/>
      <c r="G432" s="40"/>
      <c r="H432" s="40"/>
      <c r="I432" s="40"/>
      <c r="J432" s="40"/>
    </row>
    <row r="433" spans="1:10">
      <c r="A433" s="40"/>
      <c r="B433" s="40"/>
      <c r="C433" s="40"/>
      <c r="D433" s="40"/>
      <c r="E433" s="40"/>
      <c r="F433" s="40"/>
      <c r="G433" s="40"/>
      <c r="H433" s="40"/>
      <c r="I433" s="40"/>
      <c r="J433" s="40"/>
    </row>
    <row r="434" spans="1:10">
      <c r="A434" s="40"/>
      <c r="B434" s="40"/>
      <c r="C434" s="40"/>
      <c r="D434" s="40"/>
      <c r="E434" s="40"/>
      <c r="F434" s="40"/>
      <c r="G434" s="40"/>
      <c r="H434" s="40"/>
      <c r="I434" s="40"/>
      <c r="J434" s="40"/>
    </row>
    <row r="435" spans="1:10">
      <c r="A435" s="40"/>
      <c r="B435" s="40"/>
      <c r="C435" s="40"/>
      <c r="D435" s="40"/>
      <c r="E435" s="40"/>
      <c r="F435" s="40"/>
      <c r="G435" s="40"/>
      <c r="H435" s="40"/>
      <c r="I435" s="40"/>
      <c r="J435" s="40"/>
    </row>
    <row r="436" spans="1:10">
      <c r="A436" s="40"/>
      <c r="B436" s="40"/>
      <c r="C436" s="40"/>
      <c r="D436" s="40"/>
      <c r="E436" s="40"/>
      <c r="F436" s="40"/>
      <c r="G436" s="40"/>
      <c r="H436" s="40"/>
      <c r="I436" s="40"/>
      <c r="J436" s="40"/>
    </row>
    <row r="437" spans="1:10">
      <c r="A437" s="40"/>
      <c r="B437" s="40"/>
      <c r="C437" s="40"/>
      <c r="D437" s="40"/>
      <c r="E437" s="40"/>
      <c r="F437" s="40"/>
      <c r="G437" s="40"/>
      <c r="H437" s="40"/>
      <c r="I437" s="40"/>
      <c r="J437" s="40"/>
    </row>
    <row r="438" spans="1:10">
      <c r="A438" s="40"/>
      <c r="B438" s="40"/>
      <c r="C438" s="40"/>
      <c r="D438" s="40"/>
      <c r="E438" s="40"/>
      <c r="F438" s="40"/>
      <c r="G438" s="40"/>
      <c r="H438" s="40"/>
      <c r="I438" s="40"/>
      <c r="J438" s="40"/>
    </row>
    <row r="439" spans="1:10">
      <c r="A439" s="40"/>
      <c r="B439" s="40"/>
      <c r="C439" s="40"/>
      <c r="D439" s="40"/>
      <c r="E439" s="40"/>
      <c r="F439" s="40"/>
      <c r="G439" s="40"/>
      <c r="H439" s="40"/>
      <c r="I439" s="40"/>
      <c r="J439" s="40"/>
    </row>
    <row r="440" spans="1:10">
      <c r="A440" s="40"/>
      <c r="B440" s="40"/>
      <c r="C440" s="40"/>
      <c r="D440" s="40"/>
      <c r="E440" s="40"/>
      <c r="F440" s="40"/>
      <c r="G440" s="40"/>
      <c r="H440" s="40"/>
      <c r="I440" s="40"/>
      <c r="J440" s="40"/>
    </row>
    <row r="441" spans="1:10">
      <c r="A441" s="40"/>
      <c r="B441" s="40"/>
      <c r="C441" s="40"/>
      <c r="D441" s="40"/>
      <c r="E441" s="40"/>
      <c r="F441" s="40"/>
      <c r="G441" s="40"/>
      <c r="H441" s="40"/>
      <c r="I441" s="40"/>
      <c r="J441" s="40"/>
    </row>
    <row r="442" spans="1:10">
      <c r="A442" s="40"/>
      <c r="B442" s="40"/>
      <c r="C442" s="40"/>
      <c r="D442" s="40"/>
      <c r="E442" s="40"/>
      <c r="F442" s="40"/>
      <c r="G442" s="40"/>
      <c r="H442" s="40"/>
      <c r="I442" s="40"/>
      <c r="J442" s="40"/>
    </row>
    <row r="443" spans="1:10">
      <c r="A443" s="40"/>
      <c r="B443" s="40"/>
      <c r="C443" s="40"/>
      <c r="D443" s="40"/>
      <c r="E443" s="40"/>
      <c r="F443" s="40"/>
      <c r="G443" s="40"/>
      <c r="H443" s="40"/>
      <c r="I443" s="40"/>
      <c r="J443" s="40"/>
    </row>
    <row r="444" spans="1:10">
      <c r="A444" s="40"/>
      <c r="B444" s="40"/>
      <c r="C444" s="40"/>
      <c r="D444" s="40"/>
      <c r="E444" s="40"/>
      <c r="F444" s="40"/>
      <c r="G444" s="40"/>
      <c r="H444" s="40"/>
      <c r="I444" s="40"/>
      <c r="J444" s="40"/>
    </row>
    <row r="445" spans="1:10">
      <c r="A445" s="40"/>
      <c r="B445" s="40"/>
      <c r="C445" s="40"/>
      <c r="D445" s="40"/>
      <c r="E445" s="40"/>
      <c r="F445" s="40"/>
      <c r="G445" s="40"/>
      <c r="H445" s="40"/>
      <c r="I445" s="40"/>
      <c r="J445" s="40"/>
    </row>
    <row r="446" spans="1:10">
      <c r="A446" s="40"/>
      <c r="B446" s="40"/>
      <c r="C446" s="40"/>
      <c r="D446" s="40"/>
      <c r="E446" s="40"/>
      <c r="F446" s="40"/>
      <c r="G446" s="40"/>
      <c r="H446" s="40"/>
      <c r="I446" s="40"/>
      <c r="J446" s="40"/>
    </row>
    <row r="447" spans="1:10">
      <c r="A447" s="40"/>
      <c r="B447" s="40"/>
      <c r="C447" s="40"/>
      <c r="D447" s="40"/>
      <c r="E447" s="40"/>
      <c r="F447" s="40"/>
      <c r="G447" s="40"/>
      <c r="H447" s="40"/>
      <c r="I447" s="40"/>
      <c r="J447" s="40"/>
    </row>
    <row r="448" spans="1:10">
      <c r="A448" s="40"/>
      <c r="B448" s="40"/>
      <c r="C448" s="40"/>
      <c r="D448" s="40"/>
      <c r="E448" s="40"/>
      <c r="F448" s="40"/>
      <c r="G448" s="40"/>
      <c r="H448" s="40"/>
      <c r="I448" s="40"/>
      <c r="J448" s="40"/>
    </row>
    <row r="449" spans="1:10">
      <c r="A449" s="40"/>
      <c r="B449" s="40"/>
      <c r="C449" s="40"/>
      <c r="D449" s="40"/>
      <c r="E449" s="40"/>
      <c r="F449" s="40"/>
      <c r="G449" s="40"/>
      <c r="H449" s="40"/>
      <c r="I449" s="40"/>
      <c r="J449" s="40"/>
    </row>
    <row r="450" spans="1:10">
      <c r="A450" s="40"/>
      <c r="B450" s="40"/>
      <c r="C450" s="40"/>
      <c r="D450" s="40"/>
      <c r="E450" s="40"/>
      <c r="F450" s="40"/>
      <c r="G450" s="40"/>
      <c r="H450" s="40"/>
      <c r="I450" s="40"/>
      <c r="J450" s="40"/>
    </row>
    <row r="451" spans="1:10">
      <c r="A451" s="40"/>
      <c r="B451" s="40"/>
      <c r="C451" s="40"/>
      <c r="D451" s="40"/>
      <c r="E451" s="40"/>
      <c r="F451" s="40"/>
      <c r="G451" s="40"/>
      <c r="H451" s="40"/>
      <c r="I451" s="40"/>
      <c r="J451" s="40"/>
    </row>
    <row r="452" spans="1:10">
      <c r="A452" s="40"/>
      <c r="B452" s="40"/>
      <c r="C452" s="40"/>
      <c r="D452" s="40"/>
      <c r="E452" s="40"/>
      <c r="F452" s="40"/>
      <c r="G452" s="40"/>
      <c r="H452" s="40"/>
      <c r="I452" s="40"/>
      <c r="J452" s="40"/>
    </row>
    <row r="453" spans="1:10">
      <c r="A453" s="40"/>
      <c r="B453" s="40"/>
      <c r="C453" s="40"/>
      <c r="D453" s="40"/>
      <c r="E453" s="40"/>
      <c r="F453" s="40"/>
      <c r="G453" s="40"/>
      <c r="H453" s="40"/>
      <c r="I453" s="40"/>
      <c r="J453" s="40"/>
    </row>
    <row r="454" spans="1:10">
      <c r="A454" s="40"/>
      <c r="B454" s="40"/>
      <c r="C454" s="40"/>
      <c r="D454" s="40"/>
      <c r="E454" s="40"/>
      <c r="F454" s="40"/>
      <c r="G454" s="40"/>
      <c r="H454" s="40"/>
      <c r="I454" s="40"/>
      <c r="J454" s="40"/>
    </row>
    <row r="455" spans="1:10">
      <c r="A455" s="40"/>
      <c r="B455" s="40"/>
      <c r="C455" s="40"/>
      <c r="D455" s="40"/>
      <c r="E455" s="40"/>
      <c r="F455" s="40"/>
      <c r="G455" s="40"/>
      <c r="H455" s="40"/>
      <c r="I455" s="40"/>
      <c r="J455" s="40"/>
    </row>
    <row r="456" spans="1:10">
      <c r="A456" s="40"/>
      <c r="B456" s="40"/>
      <c r="C456" s="40"/>
      <c r="D456" s="40"/>
      <c r="E456" s="40"/>
      <c r="F456" s="40"/>
      <c r="G456" s="40"/>
      <c r="H456" s="40"/>
      <c r="I456" s="40"/>
      <c r="J456" s="40"/>
    </row>
    <row r="457" spans="1:10">
      <c r="A457" s="40"/>
      <c r="B457" s="40"/>
      <c r="C457" s="40"/>
      <c r="D457" s="40"/>
      <c r="E457" s="40"/>
      <c r="F457" s="40"/>
      <c r="G457" s="40"/>
      <c r="H457" s="40"/>
      <c r="I457" s="40"/>
      <c r="J457" s="40"/>
    </row>
    <row r="458" spans="1:10">
      <c r="A458" s="40"/>
      <c r="B458" s="40"/>
      <c r="C458" s="40"/>
      <c r="D458" s="40"/>
      <c r="E458" s="40"/>
      <c r="F458" s="40"/>
      <c r="G458" s="40"/>
      <c r="H458" s="40"/>
      <c r="I458" s="40"/>
      <c r="J458" s="40"/>
    </row>
    <row r="459" spans="1:10">
      <c r="A459" s="40"/>
      <c r="B459" s="40"/>
      <c r="C459" s="40"/>
      <c r="D459" s="40"/>
      <c r="E459" s="40"/>
      <c r="F459" s="40"/>
      <c r="G459" s="40"/>
      <c r="H459" s="40"/>
      <c r="I459" s="40"/>
      <c r="J459" s="40"/>
    </row>
    <row r="460" spans="1:10">
      <c r="A460" s="40"/>
      <c r="B460" s="40"/>
      <c r="C460" s="40"/>
      <c r="D460" s="40"/>
      <c r="E460" s="40"/>
      <c r="F460" s="40"/>
      <c r="G460" s="40"/>
      <c r="H460" s="40"/>
      <c r="I460" s="40"/>
      <c r="J460" s="40"/>
    </row>
    <row r="461" spans="1:10">
      <c r="A461" s="40"/>
      <c r="B461" s="40"/>
      <c r="C461" s="40"/>
      <c r="D461" s="40"/>
      <c r="E461" s="40"/>
      <c r="F461" s="40"/>
      <c r="G461" s="40"/>
      <c r="H461" s="40"/>
      <c r="I461" s="40"/>
      <c r="J461" s="40"/>
    </row>
    <row r="462" spans="1:10">
      <c r="A462" s="40"/>
      <c r="B462" s="40"/>
      <c r="C462" s="40"/>
      <c r="D462" s="40"/>
      <c r="E462" s="40"/>
      <c r="F462" s="40"/>
      <c r="G462" s="40"/>
      <c r="H462" s="40"/>
      <c r="I462" s="40"/>
      <c r="J462" s="40"/>
    </row>
    <row r="463" spans="1:10">
      <c r="A463" s="40"/>
      <c r="B463" s="40"/>
      <c r="C463" s="40"/>
      <c r="D463" s="40"/>
      <c r="E463" s="40"/>
      <c r="F463" s="40"/>
      <c r="G463" s="40"/>
      <c r="H463" s="40"/>
      <c r="I463" s="40"/>
      <c r="J463" s="40"/>
    </row>
    <row r="464" spans="1:10">
      <c r="A464" s="40"/>
      <c r="B464" s="40"/>
      <c r="C464" s="40"/>
      <c r="D464" s="40"/>
      <c r="E464" s="40"/>
      <c r="F464" s="40"/>
      <c r="G464" s="40"/>
      <c r="H464" s="40"/>
      <c r="I464" s="40"/>
      <c r="J464" s="40"/>
    </row>
    <row r="465" spans="1:10">
      <c r="A465" s="40"/>
      <c r="B465" s="40"/>
      <c r="C465" s="40"/>
      <c r="D465" s="40"/>
      <c r="E465" s="40"/>
      <c r="F465" s="40"/>
      <c r="G465" s="40"/>
      <c r="H465" s="40"/>
      <c r="I465" s="40"/>
      <c r="J465" s="40"/>
    </row>
    <row r="466" spans="1:10">
      <c r="A466" s="40"/>
      <c r="B466" s="40"/>
      <c r="C466" s="40"/>
      <c r="D466" s="40"/>
      <c r="E466" s="40"/>
      <c r="F466" s="40"/>
      <c r="G466" s="40"/>
      <c r="H466" s="40"/>
      <c r="I466" s="40"/>
      <c r="J466" s="40"/>
    </row>
    <row r="467" spans="1:10">
      <c r="A467" s="40"/>
      <c r="B467" s="40"/>
      <c r="C467" s="40"/>
      <c r="D467" s="40"/>
      <c r="E467" s="40"/>
      <c r="F467" s="40"/>
      <c r="G467" s="40"/>
      <c r="H467" s="40"/>
      <c r="I467" s="40"/>
      <c r="J467" s="40"/>
    </row>
    <row r="468" spans="1:10">
      <c r="A468" s="40"/>
      <c r="B468" s="40"/>
      <c r="C468" s="40"/>
      <c r="D468" s="40"/>
      <c r="E468" s="40"/>
      <c r="F468" s="40"/>
      <c r="G468" s="40"/>
      <c r="H468" s="40"/>
      <c r="I468" s="40"/>
      <c r="J468" s="40"/>
    </row>
    <row r="469" spans="1:10">
      <c r="A469" s="40"/>
      <c r="B469" s="40"/>
      <c r="C469" s="40"/>
      <c r="D469" s="40"/>
      <c r="E469" s="40"/>
      <c r="F469" s="40"/>
      <c r="G469" s="40"/>
      <c r="H469" s="40"/>
      <c r="I469" s="40"/>
      <c r="J469" s="40"/>
    </row>
    <row r="470" spans="1:10">
      <c r="A470" s="40"/>
      <c r="B470" s="40"/>
      <c r="C470" s="40"/>
      <c r="D470" s="40"/>
      <c r="E470" s="40"/>
      <c r="F470" s="40"/>
      <c r="G470" s="40"/>
      <c r="H470" s="40"/>
      <c r="I470" s="40"/>
      <c r="J470" s="40"/>
    </row>
    <row r="471" spans="1:10">
      <c r="A471" s="40"/>
      <c r="B471" s="40"/>
      <c r="C471" s="40"/>
      <c r="D471" s="40"/>
      <c r="E471" s="40"/>
      <c r="F471" s="40"/>
      <c r="G471" s="40"/>
      <c r="H471" s="40"/>
      <c r="I471" s="40"/>
      <c r="J471" s="40"/>
    </row>
    <row r="472" spans="1:10">
      <c r="A472" s="40"/>
      <c r="B472" s="40"/>
      <c r="C472" s="40"/>
      <c r="D472" s="40"/>
      <c r="E472" s="40"/>
      <c r="F472" s="40"/>
      <c r="G472" s="40"/>
      <c r="H472" s="40"/>
      <c r="I472" s="40"/>
      <c r="J472" s="40"/>
    </row>
    <row r="473" spans="1:10">
      <c r="A473" s="40"/>
      <c r="B473" s="40"/>
      <c r="C473" s="40"/>
      <c r="D473" s="40"/>
      <c r="E473" s="40"/>
      <c r="F473" s="40"/>
      <c r="G473" s="40"/>
      <c r="H473" s="40"/>
      <c r="I473" s="40"/>
      <c r="J473" s="40"/>
    </row>
    <row r="474" spans="1:10">
      <c r="A474" s="40"/>
      <c r="B474" s="40"/>
      <c r="C474" s="40"/>
      <c r="D474" s="40"/>
      <c r="E474" s="40"/>
      <c r="F474" s="40"/>
      <c r="G474" s="40"/>
      <c r="H474" s="40"/>
      <c r="I474" s="40"/>
      <c r="J474" s="40"/>
    </row>
    <row r="475" spans="1:10">
      <c r="A475" s="40"/>
      <c r="B475" s="40"/>
      <c r="C475" s="40"/>
      <c r="D475" s="40"/>
      <c r="E475" s="40"/>
      <c r="F475" s="40"/>
      <c r="G475" s="40"/>
      <c r="H475" s="40"/>
      <c r="I475" s="40"/>
      <c r="J475" s="40"/>
    </row>
    <row r="476" spans="1:10">
      <c r="A476" s="40"/>
      <c r="B476" s="40"/>
      <c r="C476" s="40"/>
      <c r="D476" s="40"/>
      <c r="E476" s="40"/>
      <c r="F476" s="40"/>
      <c r="G476" s="40"/>
      <c r="H476" s="40"/>
      <c r="I476" s="40"/>
      <c r="J476" s="40"/>
    </row>
    <row r="477" spans="1:10">
      <c r="A477" s="40"/>
      <c r="B477" s="40"/>
      <c r="C477" s="40"/>
      <c r="D477" s="40"/>
      <c r="E477" s="40"/>
      <c r="F477" s="40"/>
      <c r="G477" s="40"/>
      <c r="H477" s="40"/>
      <c r="I477" s="40"/>
      <c r="J477" s="40"/>
    </row>
    <row r="478" spans="1:10">
      <c r="A478" s="40"/>
      <c r="B478" s="40"/>
      <c r="C478" s="40"/>
      <c r="D478" s="40"/>
      <c r="E478" s="40"/>
      <c r="F478" s="40"/>
      <c r="G478" s="40"/>
      <c r="H478" s="40"/>
      <c r="I478" s="40"/>
      <c r="J478" s="40"/>
    </row>
    <row r="479" spans="1:10">
      <c r="A479" s="40"/>
      <c r="B479" s="40"/>
      <c r="C479" s="40"/>
      <c r="D479" s="40"/>
      <c r="E479" s="40"/>
      <c r="F479" s="40"/>
      <c r="G479" s="40"/>
      <c r="H479" s="40"/>
      <c r="I479" s="40"/>
      <c r="J479" s="40"/>
    </row>
    <row r="480" spans="1:10">
      <c r="A480" s="40"/>
      <c r="B480" s="40"/>
      <c r="C480" s="40"/>
      <c r="D480" s="40"/>
      <c r="E480" s="40"/>
      <c r="F480" s="40"/>
      <c r="G480" s="40"/>
      <c r="H480" s="40"/>
      <c r="I480" s="40"/>
      <c r="J480" s="40"/>
    </row>
    <row r="481" spans="1:10">
      <c r="A481" s="40"/>
      <c r="B481" s="40"/>
      <c r="C481" s="40"/>
      <c r="D481" s="40"/>
      <c r="E481" s="40"/>
      <c r="F481" s="40"/>
      <c r="G481" s="40"/>
      <c r="H481" s="40"/>
      <c r="I481" s="40"/>
      <c r="J481" s="40"/>
    </row>
    <row r="482" spans="1:10">
      <c r="A482" s="40"/>
      <c r="B482" s="40"/>
      <c r="C482" s="40"/>
      <c r="D482" s="40"/>
      <c r="E482" s="40"/>
      <c r="F482" s="40"/>
      <c r="G482" s="40"/>
      <c r="H482" s="40"/>
      <c r="I482" s="40"/>
      <c r="J482" s="40"/>
    </row>
    <row r="483" spans="1:10">
      <c r="A483" s="40"/>
      <c r="B483" s="40"/>
      <c r="C483" s="40"/>
      <c r="D483" s="40"/>
      <c r="E483" s="40"/>
      <c r="F483" s="40"/>
      <c r="G483" s="40"/>
      <c r="H483" s="40"/>
      <c r="I483" s="40"/>
      <c r="J483" s="40"/>
    </row>
    <row r="484" spans="1:10">
      <c r="A484" s="40"/>
      <c r="B484" s="40"/>
      <c r="C484" s="40"/>
      <c r="D484" s="40"/>
      <c r="E484" s="40"/>
      <c r="F484" s="40"/>
      <c r="G484" s="40"/>
      <c r="H484" s="40"/>
      <c r="I484" s="40"/>
      <c r="J484" s="40"/>
    </row>
    <row r="485" spans="1:10">
      <c r="A485" s="40"/>
      <c r="B485" s="40"/>
      <c r="C485" s="40"/>
      <c r="D485" s="40"/>
      <c r="E485" s="40"/>
      <c r="F485" s="40"/>
      <c r="G485" s="40"/>
      <c r="H485" s="40"/>
      <c r="I485" s="40"/>
      <c r="J485" s="40"/>
    </row>
    <row r="486" spans="1:10">
      <c r="A486" s="40"/>
      <c r="B486" s="40"/>
      <c r="C486" s="40"/>
      <c r="D486" s="40"/>
      <c r="E486" s="40"/>
      <c r="F486" s="40"/>
      <c r="G486" s="40"/>
      <c r="H486" s="40"/>
      <c r="I486" s="40"/>
      <c r="J486" s="40"/>
    </row>
    <row r="487" spans="1:10">
      <c r="A487" s="40"/>
      <c r="B487" s="40"/>
      <c r="C487" s="40"/>
      <c r="D487" s="40"/>
      <c r="E487" s="40"/>
      <c r="F487" s="40"/>
      <c r="G487" s="40"/>
      <c r="H487" s="40"/>
      <c r="I487" s="40"/>
      <c r="J487" s="40"/>
    </row>
    <row r="488" spans="1:10">
      <c r="A488" s="40"/>
      <c r="B488" s="40"/>
      <c r="C488" s="40"/>
      <c r="D488" s="40"/>
      <c r="E488" s="40"/>
      <c r="F488" s="40"/>
      <c r="G488" s="40"/>
      <c r="H488" s="40"/>
      <c r="I488" s="40"/>
      <c r="J488" s="40"/>
    </row>
    <row r="489" spans="1:10">
      <c r="A489" s="40"/>
      <c r="B489" s="40"/>
      <c r="C489" s="40"/>
      <c r="D489" s="40"/>
      <c r="E489" s="40"/>
      <c r="F489" s="40"/>
      <c r="G489" s="40"/>
      <c r="H489" s="40"/>
      <c r="I489" s="40"/>
      <c r="J489" s="40"/>
    </row>
    <row r="490" spans="1:10">
      <c r="A490" s="40"/>
      <c r="B490" s="40"/>
      <c r="C490" s="40"/>
      <c r="D490" s="40"/>
      <c r="E490" s="40"/>
      <c r="F490" s="40"/>
      <c r="G490" s="40"/>
      <c r="H490" s="40"/>
      <c r="I490" s="40"/>
      <c r="J490" s="40"/>
    </row>
    <row r="491" spans="1:10">
      <c r="A491" s="40"/>
      <c r="B491" s="40"/>
      <c r="C491" s="40"/>
      <c r="D491" s="40"/>
      <c r="E491" s="40"/>
      <c r="F491" s="40"/>
      <c r="G491" s="40"/>
      <c r="H491" s="40"/>
      <c r="I491" s="40"/>
      <c r="J491" s="40"/>
    </row>
    <row r="492" spans="1:10">
      <c r="A492" s="40"/>
      <c r="B492" s="40"/>
      <c r="C492" s="40"/>
      <c r="D492" s="40"/>
      <c r="E492" s="40"/>
      <c r="F492" s="40"/>
      <c r="G492" s="40"/>
      <c r="H492" s="40"/>
      <c r="I492" s="40"/>
      <c r="J492" s="40"/>
    </row>
    <row r="493" spans="1:10">
      <c r="A493" s="40"/>
      <c r="B493" s="40"/>
      <c r="C493" s="40"/>
      <c r="D493" s="40"/>
      <c r="E493" s="40"/>
      <c r="F493" s="40"/>
      <c r="G493" s="40"/>
      <c r="H493" s="40"/>
      <c r="I493" s="40"/>
      <c r="J493" s="40"/>
    </row>
    <row r="494" spans="1:10">
      <c r="A494" s="40"/>
      <c r="B494" s="40"/>
      <c r="C494" s="40"/>
      <c r="D494" s="40"/>
      <c r="E494" s="40"/>
      <c r="F494" s="40"/>
      <c r="G494" s="40"/>
      <c r="H494" s="40"/>
      <c r="I494" s="40"/>
      <c r="J494" s="40"/>
    </row>
    <row r="495" spans="1:10">
      <c r="A495" s="40"/>
      <c r="B495" s="40"/>
      <c r="C495" s="40"/>
      <c r="D495" s="40"/>
      <c r="E495" s="40"/>
      <c r="F495" s="40"/>
      <c r="G495" s="40"/>
      <c r="H495" s="40"/>
      <c r="I495" s="40"/>
      <c r="J495" s="40"/>
    </row>
    <row r="496" spans="1:10">
      <c r="A496" s="40"/>
      <c r="B496" s="40"/>
      <c r="C496" s="40"/>
      <c r="D496" s="40"/>
      <c r="E496" s="40"/>
      <c r="F496" s="40"/>
      <c r="G496" s="40"/>
      <c r="H496" s="40"/>
      <c r="I496" s="40"/>
      <c r="J496" s="40"/>
    </row>
    <row r="497" spans="1:10">
      <c r="A497" s="40"/>
      <c r="B497" s="40"/>
      <c r="C497" s="40"/>
      <c r="D497" s="40"/>
      <c r="E497" s="40"/>
      <c r="F497" s="40"/>
      <c r="G497" s="40"/>
      <c r="H497" s="40"/>
      <c r="I497" s="40"/>
      <c r="J497" s="40"/>
    </row>
    <row r="498" spans="1:10">
      <c r="A498" s="40"/>
      <c r="B498" s="40"/>
      <c r="C498" s="40"/>
      <c r="D498" s="40"/>
      <c r="E498" s="40"/>
      <c r="F498" s="40"/>
      <c r="G498" s="40"/>
      <c r="H498" s="40"/>
      <c r="I498" s="40"/>
      <c r="J498" s="40"/>
    </row>
    <row r="499" spans="1:10">
      <c r="A499" s="40"/>
      <c r="B499" s="40"/>
      <c r="C499" s="40"/>
      <c r="D499" s="40"/>
      <c r="E499" s="40"/>
      <c r="F499" s="40"/>
      <c r="G499" s="40"/>
      <c r="H499" s="40"/>
      <c r="I499" s="40"/>
      <c r="J499" s="40"/>
    </row>
    <row r="500" spans="1:10">
      <c r="A500" s="40"/>
      <c r="B500" s="40"/>
      <c r="C500" s="40"/>
      <c r="D500" s="40"/>
      <c r="E500" s="40"/>
      <c r="F500" s="40"/>
      <c r="G500" s="40"/>
      <c r="H500" s="40"/>
      <c r="I500" s="40"/>
      <c r="J500" s="40"/>
    </row>
    <row r="501" spans="1:10">
      <c r="A501" s="40"/>
      <c r="B501" s="40"/>
      <c r="C501" s="40"/>
      <c r="D501" s="40"/>
      <c r="E501" s="40"/>
      <c r="F501" s="40"/>
      <c r="G501" s="40"/>
      <c r="H501" s="40"/>
      <c r="I501" s="40"/>
      <c r="J501" s="40"/>
    </row>
    <row r="502" spans="1:10">
      <c r="A502" s="40"/>
      <c r="B502" s="40"/>
      <c r="C502" s="40"/>
      <c r="D502" s="40"/>
      <c r="E502" s="40"/>
      <c r="F502" s="40"/>
      <c r="G502" s="40"/>
      <c r="H502" s="40"/>
      <c r="I502" s="40"/>
      <c r="J502" s="40"/>
    </row>
    <row r="503" spans="1:10">
      <c r="A503" s="40"/>
      <c r="B503" s="40"/>
      <c r="C503" s="40"/>
      <c r="D503" s="40"/>
      <c r="E503" s="40"/>
      <c r="F503" s="40"/>
      <c r="G503" s="40"/>
      <c r="H503" s="40"/>
      <c r="I503" s="40"/>
      <c r="J503" s="40"/>
    </row>
    <row r="504" spans="1:10">
      <c r="A504" s="40"/>
      <c r="B504" s="40"/>
      <c r="C504" s="40"/>
      <c r="D504" s="40"/>
      <c r="E504" s="40"/>
      <c r="F504" s="40"/>
      <c r="G504" s="40"/>
      <c r="H504" s="40"/>
      <c r="I504" s="40"/>
      <c r="J504" s="40"/>
    </row>
    <row r="505" spans="1:10">
      <c r="A505" s="40"/>
      <c r="B505" s="40"/>
      <c r="C505" s="40"/>
      <c r="D505" s="40"/>
      <c r="E505" s="40"/>
      <c r="F505" s="40"/>
      <c r="G505" s="40"/>
      <c r="H505" s="40"/>
      <c r="I505" s="40"/>
      <c r="J505" s="40"/>
    </row>
    <row r="506" spans="1:10">
      <c r="A506" s="40"/>
      <c r="B506" s="40"/>
      <c r="C506" s="40"/>
      <c r="D506" s="40"/>
      <c r="E506" s="40"/>
      <c r="F506" s="40"/>
      <c r="G506" s="40"/>
      <c r="H506" s="40"/>
      <c r="I506" s="40"/>
      <c r="J506" s="40"/>
    </row>
    <row r="507" spans="1:10">
      <c r="A507" s="40"/>
      <c r="B507" s="40"/>
      <c r="C507" s="40"/>
      <c r="D507" s="40"/>
      <c r="E507" s="40"/>
      <c r="F507" s="40"/>
      <c r="G507" s="40"/>
      <c r="H507" s="40"/>
      <c r="I507" s="40"/>
      <c r="J507" s="40"/>
    </row>
    <row r="508" spans="1:10">
      <c r="A508" s="40"/>
      <c r="B508" s="40"/>
      <c r="C508" s="40"/>
      <c r="D508" s="40"/>
      <c r="E508" s="40"/>
      <c r="F508" s="40"/>
      <c r="G508" s="40"/>
      <c r="H508" s="40"/>
      <c r="I508" s="40"/>
      <c r="J508" s="40"/>
    </row>
    <row r="509" spans="1:10">
      <c r="A509" s="40"/>
      <c r="B509" s="40"/>
      <c r="C509" s="40"/>
      <c r="D509" s="40"/>
      <c r="E509" s="40"/>
      <c r="F509" s="40"/>
      <c r="G509" s="40"/>
      <c r="H509" s="40"/>
      <c r="I509" s="40"/>
      <c r="J509" s="40"/>
    </row>
    <row r="510" spans="1:10">
      <c r="A510" s="40"/>
      <c r="B510" s="40"/>
      <c r="C510" s="40"/>
      <c r="D510" s="40"/>
      <c r="E510" s="40"/>
      <c r="F510" s="40"/>
      <c r="G510" s="40"/>
      <c r="H510" s="40"/>
      <c r="I510" s="40"/>
      <c r="J510" s="40"/>
    </row>
    <row r="511" spans="1:10">
      <c r="A511" s="40"/>
      <c r="B511" s="40"/>
      <c r="C511" s="40"/>
      <c r="D511" s="40"/>
      <c r="E511" s="40"/>
      <c r="F511" s="40"/>
      <c r="G511" s="40"/>
      <c r="H511" s="40"/>
      <c r="I511" s="40"/>
      <c r="J511" s="40"/>
    </row>
    <row r="512" spans="1:10">
      <c r="A512" s="40"/>
      <c r="B512" s="40"/>
      <c r="C512" s="40"/>
      <c r="D512" s="40"/>
      <c r="E512" s="40"/>
      <c r="F512" s="40"/>
      <c r="G512" s="40"/>
      <c r="H512" s="40"/>
      <c r="I512" s="40"/>
      <c r="J512" s="40"/>
    </row>
    <row r="513" spans="1:10">
      <c r="A513" s="40"/>
      <c r="B513" s="40"/>
      <c r="C513" s="40"/>
      <c r="D513" s="40"/>
      <c r="E513" s="40"/>
      <c r="F513" s="40"/>
      <c r="G513" s="40"/>
      <c r="H513" s="40"/>
      <c r="I513" s="40"/>
      <c r="J513" s="40"/>
    </row>
    <row r="514" spans="1:10">
      <c r="A514" s="40"/>
      <c r="B514" s="40"/>
      <c r="C514" s="40"/>
      <c r="D514" s="40"/>
      <c r="E514" s="40"/>
      <c r="F514" s="40"/>
      <c r="G514" s="40"/>
      <c r="H514" s="40"/>
      <c r="I514" s="40"/>
      <c r="J514" s="40"/>
    </row>
    <row r="515" spans="1:10">
      <c r="A515" s="40"/>
      <c r="B515" s="40"/>
      <c r="C515" s="40"/>
      <c r="D515" s="40"/>
      <c r="E515" s="40"/>
      <c r="F515" s="40"/>
      <c r="G515" s="40"/>
      <c r="H515" s="40"/>
      <c r="I515" s="40"/>
      <c r="J515" s="40"/>
    </row>
    <row r="516" spans="1:10">
      <c r="A516" s="40"/>
      <c r="B516" s="40"/>
      <c r="C516" s="40"/>
      <c r="D516" s="40"/>
      <c r="E516" s="40"/>
      <c r="F516" s="40"/>
      <c r="G516" s="40"/>
      <c r="H516" s="40"/>
      <c r="I516" s="40"/>
      <c r="J516" s="40"/>
    </row>
    <row r="517" spans="1:10">
      <c r="A517" s="40"/>
      <c r="B517" s="40"/>
      <c r="C517" s="40"/>
      <c r="D517" s="40"/>
      <c r="E517" s="40"/>
      <c r="F517" s="40"/>
      <c r="G517" s="40"/>
      <c r="H517" s="40"/>
      <c r="I517" s="40"/>
      <c r="J517" s="40"/>
    </row>
    <row r="518" spans="1:10">
      <c r="A518" s="40"/>
      <c r="B518" s="40"/>
      <c r="C518" s="40"/>
      <c r="D518" s="40"/>
      <c r="E518" s="40"/>
      <c r="F518" s="40"/>
      <c r="G518" s="40"/>
      <c r="H518" s="40"/>
      <c r="I518" s="40"/>
      <c r="J518" s="40"/>
    </row>
    <row r="519" spans="1:10">
      <c r="A519" s="40"/>
      <c r="B519" s="40"/>
      <c r="C519" s="40"/>
      <c r="D519" s="40"/>
      <c r="E519" s="40"/>
      <c r="F519" s="40"/>
      <c r="G519" s="40"/>
      <c r="H519" s="40"/>
      <c r="I519" s="40"/>
      <c r="J519" s="40"/>
    </row>
    <row r="520" spans="1:10">
      <c r="A520" s="40"/>
      <c r="B520" s="40"/>
      <c r="C520" s="40"/>
      <c r="D520" s="40"/>
      <c r="E520" s="40"/>
      <c r="F520" s="40"/>
      <c r="G520" s="40"/>
      <c r="H520" s="40"/>
      <c r="I520" s="40"/>
      <c r="J520" s="40"/>
    </row>
    <row r="521" spans="1:10">
      <c r="A521" s="40"/>
      <c r="B521" s="40"/>
      <c r="C521" s="40"/>
      <c r="D521" s="40"/>
      <c r="E521" s="40"/>
      <c r="F521" s="40"/>
      <c r="G521" s="40"/>
      <c r="H521" s="40"/>
      <c r="I521" s="40"/>
      <c r="J521" s="40"/>
    </row>
    <row r="522" spans="1:10">
      <c r="A522" s="40"/>
      <c r="B522" s="40"/>
      <c r="C522" s="40"/>
      <c r="D522" s="40"/>
      <c r="E522" s="40"/>
      <c r="F522" s="40"/>
      <c r="G522" s="40"/>
      <c r="H522" s="40"/>
      <c r="I522" s="40"/>
      <c r="J522" s="40"/>
    </row>
    <row r="523" spans="1:10">
      <c r="A523" s="40"/>
      <c r="B523" s="40"/>
      <c r="C523" s="40"/>
      <c r="D523" s="40"/>
      <c r="E523" s="40"/>
      <c r="F523" s="40"/>
      <c r="G523" s="40"/>
      <c r="H523" s="40"/>
      <c r="I523" s="40"/>
      <c r="J523" s="40"/>
    </row>
    <row r="524" spans="1:10">
      <c r="A524" s="40"/>
      <c r="B524" s="40"/>
      <c r="C524" s="40"/>
      <c r="D524" s="40"/>
      <c r="E524" s="40"/>
      <c r="F524" s="40"/>
      <c r="G524" s="40"/>
      <c r="H524" s="40"/>
      <c r="I524" s="40"/>
      <c r="J524" s="40"/>
    </row>
    <row r="525" spans="1:10">
      <c r="A525" s="40"/>
      <c r="B525" s="40"/>
      <c r="C525" s="40"/>
      <c r="D525" s="40"/>
      <c r="E525" s="40"/>
      <c r="F525" s="40"/>
      <c r="G525" s="40"/>
      <c r="H525" s="40"/>
      <c r="I525" s="40"/>
      <c r="J525" s="40"/>
    </row>
    <row r="526" spans="1:10">
      <c r="A526" s="40"/>
      <c r="B526" s="40"/>
      <c r="C526" s="40"/>
      <c r="D526" s="40"/>
      <c r="E526" s="40"/>
      <c r="F526" s="40"/>
      <c r="G526" s="40"/>
      <c r="H526" s="40"/>
      <c r="I526" s="40"/>
      <c r="J526" s="40"/>
    </row>
    <row r="527" spans="1:10">
      <c r="A527" s="40"/>
      <c r="B527" s="40"/>
      <c r="C527" s="40"/>
      <c r="D527" s="40"/>
      <c r="E527" s="40"/>
      <c r="F527" s="40"/>
      <c r="G527" s="40"/>
      <c r="H527" s="40"/>
      <c r="I527" s="40"/>
      <c r="J527" s="40"/>
    </row>
    <row r="528" spans="1:10">
      <c r="A528" s="40"/>
      <c r="B528" s="40"/>
      <c r="C528" s="40"/>
      <c r="D528" s="40"/>
      <c r="E528" s="40"/>
      <c r="F528" s="40"/>
      <c r="G528" s="40"/>
      <c r="H528" s="40"/>
      <c r="I528" s="40"/>
      <c r="J528" s="40"/>
    </row>
    <row r="529" spans="1:10">
      <c r="A529" s="40"/>
      <c r="B529" s="40"/>
      <c r="C529" s="40"/>
      <c r="D529" s="40"/>
      <c r="E529" s="40"/>
      <c r="F529" s="40"/>
      <c r="G529" s="40"/>
      <c r="H529" s="40"/>
      <c r="I529" s="40"/>
      <c r="J529" s="40"/>
    </row>
    <row r="530" spans="1:10">
      <c r="A530" s="40"/>
      <c r="B530" s="40"/>
      <c r="C530" s="40"/>
      <c r="D530" s="40"/>
      <c r="E530" s="40"/>
      <c r="F530" s="40"/>
      <c r="G530" s="40"/>
      <c r="H530" s="40"/>
      <c r="I530" s="40"/>
      <c r="J530" s="40"/>
    </row>
    <row r="531" spans="1:10">
      <c r="A531" s="40"/>
      <c r="B531" s="40"/>
      <c r="C531" s="40"/>
      <c r="D531" s="40"/>
      <c r="E531" s="40"/>
      <c r="F531" s="40"/>
      <c r="G531" s="40"/>
      <c r="H531" s="40"/>
      <c r="I531" s="40"/>
      <c r="J531" s="40"/>
    </row>
    <row r="532" spans="1:10">
      <c r="A532" s="40"/>
      <c r="B532" s="40"/>
      <c r="C532" s="40"/>
      <c r="D532" s="40"/>
      <c r="E532" s="40"/>
      <c r="F532" s="40"/>
      <c r="G532" s="40"/>
      <c r="H532" s="40"/>
      <c r="I532" s="40"/>
      <c r="J532" s="40"/>
    </row>
    <row r="533" spans="1:10">
      <c r="A533" s="40"/>
      <c r="B533" s="40"/>
      <c r="C533" s="40"/>
      <c r="D533" s="40"/>
      <c r="E533" s="40"/>
      <c r="F533" s="40"/>
      <c r="G533" s="40"/>
      <c r="H533" s="40"/>
      <c r="I533" s="40"/>
      <c r="J533" s="40"/>
    </row>
    <row r="534" spans="1:10">
      <c r="A534" s="40"/>
      <c r="B534" s="40"/>
      <c r="C534" s="40"/>
      <c r="D534" s="40"/>
      <c r="E534" s="40"/>
      <c r="F534" s="40"/>
      <c r="G534" s="40"/>
      <c r="H534" s="40"/>
      <c r="I534" s="40"/>
      <c r="J534" s="40"/>
    </row>
    <row r="535" spans="1:10">
      <c r="A535" s="40"/>
      <c r="B535" s="40"/>
      <c r="C535" s="40"/>
      <c r="D535" s="40"/>
      <c r="E535" s="40"/>
      <c r="F535" s="40"/>
      <c r="G535" s="40"/>
      <c r="H535" s="40"/>
      <c r="I535" s="40"/>
      <c r="J535" s="40"/>
    </row>
    <row r="536" spans="1:10">
      <c r="A536" s="40"/>
      <c r="B536" s="40"/>
      <c r="C536" s="40"/>
      <c r="D536" s="40"/>
      <c r="E536" s="40"/>
      <c r="F536" s="40"/>
      <c r="G536" s="40"/>
      <c r="H536" s="40"/>
      <c r="I536" s="40"/>
      <c r="J536" s="40"/>
    </row>
    <row r="537" spans="1:10">
      <c r="A537" s="40"/>
      <c r="B537" s="40"/>
      <c r="C537" s="40"/>
      <c r="D537" s="40"/>
      <c r="E537" s="40"/>
      <c r="F537" s="40"/>
      <c r="G537" s="40"/>
      <c r="H537" s="40"/>
      <c r="I537" s="40"/>
      <c r="J537" s="40"/>
    </row>
    <row r="538" spans="1:10">
      <c r="A538" s="40"/>
      <c r="B538" s="40"/>
      <c r="C538" s="40"/>
      <c r="D538" s="40"/>
      <c r="E538" s="40"/>
      <c r="F538" s="40"/>
      <c r="G538" s="40"/>
      <c r="H538" s="40"/>
      <c r="I538" s="40"/>
      <c r="J538" s="40"/>
    </row>
    <row r="539" spans="1:10">
      <c r="A539" s="40"/>
      <c r="B539" s="40"/>
      <c r="C539" s="40"/>
      <c r="D539" s="40"/>
      <c r="E539" s="40"/>
      <c r="F539" s="40"/>
      <c r="G539" s="40"/>
      <c r="H539" s="40"/>
      <c r="I539" s="40"/>
      <c r="J539" s="40"/>
    </row>
    <row r="540" spans="1:10">
      <c r="A540" s="40"/>
      <c r="B540" s="40"/>
      <c r="C540" s="40"/>
      <c r="D540" s="40"/>
      <c r="E540" s="40"/>
      <c r="F540" s="40"/>
      <c r="G540" s="40"/>
      <c r="H540" s="40"/>
      <c r="I540" s="40"/>
      <c r="J540" s="40"/>
    </row>
    <row r="541" spans="1:10">
      <c r="A541" s="40"/>
      <c r="B541" s="40"/>
      <c r="C541" s="40"/>
      <c r="D541" s="40"/>
      <c r="E541" s="40"/>
      <c r="F541" s="40"/>
      <c r="G541" s="40"/>
      <c r="H541" s="40"/>
      <c r="I541" s="40"/>
      <c r="J541" s="40"/>
    </row>
    <row r="542" spans="1:10">
      <c r="A542" s="40"/>
      <c r="B542" s="40"/>
      <c r="C542" s="40"/>
      <c r="D542" s="40"/>
      <c r="E542" s="40"/>
      <c r="F542" s="40"/>
      <c r="G542" s="40"/>
      <c r="H542" s="40"/>
      <c r="I542" s="40"/>
      <c r="J542" s="40"/>
    </row>
    <row r="543" spans="1:10">
      <c r="A543" s="40"/>
      <c r="B543" s="40"/>
      <c r="C543" s="40"/>
      <c r="D543" s="40"/>
      <c r="E543" s="40"/>
      <c r="F543" s="40"/>
      <c r="G543" s="40"/>
      <c r="H543" s="40"/>
      <c r="I543" s="40"/>
      <c r="J543" s="40"/>
    </row>
    <row r="544" spans="1:10">
      <c r="A544" s="40"/>
      <c r="B544" s="40"/>
      <c r="C544" s="40"/>
      <c r="D544" s="40"/>
      <c r="E544" s="40"/>
      <c r="F544" s="40"/>
      <c r="G544" s="40"/>
      <c r="H544" s="40"/>
      <c r="I544" s="40"/>
      <c r="J544" s="40"/>
    </row>
    <row r="545" spans="1:10">
      <c r="A545" s="40"/>
      <c r="B545" s="40"/>
      <c r="C545" s="40"/>
      <c r="D545" s="40"/>
      <c r="E545" s="40"/>
      <c r="F545" s="40"/>
      <c r="G545" s="40"/>
      <c r="H545" s="40"/>
      <c r="I545" s="40"/>
      <c r="J545" s="40"/>
    </row>
    <row r="546" spans="1:10">
      <c r="A546" s="40"/>
      <c r="B546" s="40"/>
      <c r="C546" s="40"/>
      <c r="D546" s="40"/>
      <c r="E546" s="40"/>
      <c r="F546" s="40"/>
      <c r="G546" s="40"/>
      <c r="H546" s="40"/>
      <c r="I546" s="40"/>
      <c r="J546" s="40"/>
    </row>
    <row r="547" spans="1:10">
      <c r="A547" s="40"/>
      <c r="B547" s="40"/>
      <c r="C547" s="40"/>
      <c r="D547" s="40"/>
      <c r="E547" s="40"/>
      <c r="F547" s="40"/>
      <c r="G547" s="40"/>
      <c r="H547" s="40"/>
      <c r="I547" s="40"/>
      <c r="J547" s="40"/>
    </row>
    <row r="548" spans="1:10">
      <c r="A548" s="40"/>
      <c r="B548" s="40"/>
      <c r="C548" s="40"/>
      <c r="D548" s="40"/>
      <c r="E548" s="40"/>
      <c r="F548" s="40"/>
      <c r="G548" s="40"/>
      <c r="H548" s="40"/>
      <c r="I548" s="40"/>
      <c r="J548" s="40"/>
    </row>
    <row r="549" spans="1:10">
      <c r="A549" s="40"/>
      <c r="B549" s="40"/>
      <c r="C549" s="40"/>
      <c r="D549" s="40"/>
      <c r="E549" s="40"/>
      <c r="F549" s="40"/>
      <c r="G549" s="40"/>
      <c r="H549" s="40"/>
      <c r="I549" s="40"/>
      <c r="J549" s="40"/>
    </row>
    <row r="550" spans="1:10">
      <c r="A550" s="40"/>
      <c r="B550" s="40"/>
      <c r="C550" s="40"/>
      <c r="D550" s="40"/>
      <c r="E550" s="40"/>
      <c r="F550" s="40"/>
      <c r="G550" s="40"/>
      <c r="H550" s="40"/>
      <c r="I550" s="40"/>
      <c r="J550" s="40"/>
    </row>
    <row r="551" spans="1:10">
      <c r="A551" s="40"/>
      <c r="B551" s="40"/>
      <c r="C551" s="40"/>
      <c r="D551" s="40"/>
      <c r="E551" s="40"/>
      <c r="F551" s="40"/>
      <c r="G551" s="40"/>
      <c r="H551" s="40"/>
      <c r="I551" s="40"/>
      <c r="J551" s="40"/>
    </row>
    <row r="552" spans="1:10">
      <c r="A552" s="40"/>
      <c r="B552" s="40"/>
      <c r="C552" s="40"/>
      <c r="D552" s="40"/>
      <c r="E552" s="40"/>
      <c r="F552" s="40"/>
      <c r="G552" s="40"/>
      <c r="H552" s="40"/>
      <c r="I552" s="40"/>
      <c r="J552" s="40"/>
    </row>
    <row r="553" spans="1:10">
      <c r="A553" s="40"/>
      <c r="B553" s="40"/>
      <c r="C553" s="40"/>
      <c r="D553" s="40"/>
      <c r="E553" s="40"/>
      <c r="F553" s="40"/>
      <c r="G553" s="40"/>
      <c r="H553" s="40"/>
      <c r="I553" s="40"/>
      <c r="J553" s="40"/>
    </row>
    <row r="554" spans="1:10">
      <c r="A554" s="40"/>
      <c r="B554" s="40"/>
      <c r="C554" s="40"/>
      <c r="D554" s="40"/>
      <c r="E554" s="40"/>
      <c r="F554" s="40"/>
      <c r="G554" s="40"/>
      <c r="H554" s="40"/>
      <c r="I554" s="40"/>
      <c r="J554" s="40"/>
    </row>
    <row r="555" spans="1:10">
      <c r="A555" s="40"/>
      <c r="B555" s="40"/>
      <c r="C555" s="40"/>
      <c r="D555" s="40"/>
      <c r="E555" s="40"/>
      <c r="F555" s="40"/>
      <c r="G555" s="40"/>
      <c r="H555" s="40"/>
      <c r="I555" s="40"/>
      <c r="J555" s="40"/>
    </row>
    <row r="556" spans="1:10">
      <c r="A556" s="40"/>
      <c r="B556" s="40"/>
      <c r="C556" s="40"/>
      <c r="D556" s="40"/>
      <c r="E556" s="40"/>
      <c r="F556" s="40"/>
      <c r="G556" s="40"/>
      <c r="H556" s="40"/>
      <c r="I556" s="40"/>
      <c r="J556" s="40"/>
    </row>
    <row r="557" spans="1:10">
      <c r="A557" s="40"/>
      <c r="B557" s="40"/>
      <c r="C557" s="40"/>
      <c r="D557" s="40"/>
      <c r="E557" s="40"/>
      <c r="F557" s="40"/>
      <c r="G557" s="40"/>
      <c r="H557" s="40"/>
      <c r="I557" s="40"/>
      <c r="J557" s="40"/>
    </row>
    <row r="558" spans="1:10">
      <c r="A558" s="40"/>
      <c r="B558" s="40"/>
      <c r="C558" s="40"/>
      <c r="D558" s="40"/>
      <c r="E558" s="40"/>
      <c r="F558" s="40"/>
      <c r="G558" s="40"/>
      <c r="H558" s="40"/>
      <c r="I558" s="40"/>
      <c r="J558" s="40"/>
    </row>
    <row r="559" spans="1:10">
      <c r="A559" s="40"/>
      <c r="B559" s="40"/>
      <c r="C559" s="40"/>
      <c r="D559" s="40"/>
      <c r="E559" s="40"/>
      <c r="F559" s="40"/>
      <c r="G559" s="40"/>
      <c r="H559" s="40"/>
      <c r="I559" s="40"/>
      <c r="J559" s="40"/>
    </row>
    <row r="560" spans="1:10">
      <c r="A560" s="40"/>
      <c r="B560" s="40"/>
      <c r="C560" s="40"/>
      <c r="D560" s="40"/>
      <c r="E560" s="40"/>
      <c r="F560" s="40"/>
      <c r="G560" s="40"/>
      <c r="H560" s="40"/>
      <c r="I560" s="40"/>
      <c r="J560" s="40"/>
    </row>
    <row r="561" spans="1:10">
      <c r="A561" s="40"/>
      <c r="B561" s="40"/>
      <c r="C561" s="40"/>
      <c r="D561" s="40"/>
      <c r="E561" s="40"/>
      <c r="F561" s="40"/>
      <c r="G561" s="40"/>
      <c r="H561" s="40"/>
      <c r="I561" s="40"/>
      <c r="J561" s="40"/>
    </row>
    <row r="562" spans="1:10">
      <c r="A562" s="40"/>
      <c r="B562" s="40"/>
      <c r="C562" s="40"/>
      <c r="D562" s="40"/>
      <c r="E562" s="40"/>
      <c r="F562" s="40"/>
      <c r="G562" s="40"/>
      <c r="H562" s="40"/>
      <c r="I562" s="40"/>
      <c r="J562" s="40"/>
    </row>
    <row r="563" spans="1:10">
      <c r="A563" s="40"/>
      <c r="B563" s="40"/>
      <c r="C563" s="40"/>
      <c r="D563" s="40"/>
      <c r="E563" s="40"/>
      <c r="F563" s="40"/>
      <c r="G563" s="40"/>
      <c r="H563" s="40"/>
      <c r="I563" s="40"/>
      <c r="J563" s="40"/>
    </row>
    <row r="564" spans="1:10">
      <c r="A564" s="40"/>
      <c r="B564" s="40"/>
      <c r="C564" s="40"/>
      <c r="D564" s="40"/>
      <c r="E564" s="40"/>
      <c r="F564" s="40"/>
      <c r="G564" s="40"/>
      <c r="H564" s="40"/>
      <c r="I564" s="40"/>
      <c r="J564" s="40"/>
    </row>
    <row r="565" spans="1:10">
      <c r="A565" s="40"/>
      <c r="B565" s="40"/>
      <c r="C565" s="40"/>
      <c r="D565" s="40"/>
      <c r="E565" s="40"/>
      <c r="F565" s="40"/>
      <c r="G565" s="40"/>
      <c r="H565" s="40"/>
      <c r="I565" s="40"/>
      <c r="J565" s="40"/>
    </row>
    <row r="566" spans="1:10">
      <c r="A566" s="40"/>
      <c r="B566" s="40"/>
      <c r="C566" s="40"/>
      <c r="D566" s="40"/>
      <c r="E566" s="40"/>
      <c r="F566" s="40"/>
      <c r="G566" s="40"/>
      <c r="H566" s="40"/>
      <c r="I566" s="40"/>
      <c r="J566" s="40"/>
    </row>
    <row r="567" spans="1:10">
      <c r="A567" s="40"/>
      <c r="B567" s="40"/>
      <c r="C567" s="40"/>
      <c r="D567" s="40"/>
      <c r="E567" s="40"/>
      <c r="F567" s="40"/>
      <c r="G567" s="40"/>
      <c r="H567" s="40"/>
      <c r="I567" s="40"/>
      <c r="J567" s="40"/>
    </row>
    <row r="568" spans="1:10">
      <c r="A568" s="40"/>
      <c r="B568" s="40"/>
      <c r="C568" s="40"/>
      <c r="D568" s="40"/>
      <c r="E568" s="40"/>
      <c r="F568" s="40"/>
      <c r="G568" s="40"/>
      <c r="H568" s="40"/>
      <c r="I568" s="40"/>
      <c r="J568" s="40"/>
    </row>
    <row r="569" spans="1:10">
      <c r="A569" s="40"/>
      <c r="B569" s="40"/>
      <c r="C569" s="40"/>
      <c r="D569" s="40"/>
      <c r="E569" s="40"/>
      <c r="F569" s="40"/>
      <c r="G569" s="40"/>
      <c r="H569" s="40"/>
      <c r="I569" s="40"/>
      <c r="J569" s="40"/>
    </row>
    <row r="570" spans="1:10">
      <c r="A570" s="40"/>
      <c r="B570" s="40"/>
      <c r="C570" s="40"/>
      <c r="D570" s="40"/>
      <c r="E570" s="40"/>
      <c r="F570" s="40"/>
      <c r="G570" s="40"/>
      <c r="H570" s="40"/>
      <c r="I570" s="40"/>
      <c r="J570" s="40"/>
    </row>
    <row r="571" spans="1:10">
      <c r="A571" s="40"/>
      <c r="B571" s="40"/>
      <c r="C571" s="40"/>
      <c r="D571" s="40"/>
      <c r="E571" s="40"/>
      <c r="F571" s="40"/>
      <c r="G571" s="40"/>
      <c r="H571" s="40"/>
      <c r="I571" s="40"/>
      <c r="J571" s="40"/>
    </row>
    <row r="572" spans="1:10">
      <c r="A572" s="40"/>
      <c r="B572" s="40"/>
      <c r="C572" s="40"/>
      <c r="D572" s="40"/>
      <c r="E572" s="40"/>
      <c r="F572" s="40"/>
      <c r="G572" s="40"/>
      <c r="H572" s="40"/>
      <c r="I572" s="40"/>
      <c r="J572" s="40"/>
    </row>
    <row r="573" spans="1:10">
      <c r="A573" s="40"/>
      <c r="B573" s="40"/>
      <c r="C573" s="40"/>
      <c r="D573" s="40"/>
      <c r="E573" s="40"/>
      <c r="F573" s="40"/>
      <c r="G573" s="40"/>
      <c r="H573" s="40"/>
      <c r="I573" s="40"/>
      <c r="J573" s="40"/>
    </row>
    <row r="574" spans="1:10">
      <c r="A574" s="40"/>
      <c r="B574" s="40"/>
      <c r="C574" s="40"/>
      <c r="D574" s="40"/>
      <c r="E574" s="40"/>
      <c r="F574" s="40"/>
      <c r="G574" s="40"/>
      <c r="H574" s="40"/>
      <c r="I574" s="40"/>
      <c r="J574" s="40"/>
    </row>
    <row r="575" spans="1:10">
      <c r="A575" s="40"/>
      <c r="B575" s="40"/>
      <c r="C575" s="40"/>
      <c r="D575" s="40"/>
      <c r="E575" s="40"/>
      <c r="F575" s="40"/>
      <c r="G575" s="40"/>
      <c r="H575" s="40"/>
      <c r="I575" s="40"/>
      <c r="J575" s="40"/>
    </row>
    <row r="576" spans="1:10">
      <c r="A576" s="40"/>
      <c r="B576" s="40"/>
      <c r="C576" s="40"/>
      <c r="D576" s="40"/>
      <c r="E576" s="40"/>
      <c r="F576" s="40"/>
      <c r="G576" s="40"/>
      <c r="H576" s="40"/>
      <c r="I576" s="40"/>
      <c r="J576" s="40"/>
    </row>
    <row r="577" spans="1:10">
      <c r="A577" s="40"/>
      <c r="B577" s="40"/>
      <c r="C577" s="40"/>
      <c r="D577" s="40"/>
      <c r="E577" s="40"/>
      <c r="F577" s="40"/>
      <c r="G577" s="40"/>
      <c r="H577" s="40"/>
      <c r="I577" s="40"/>
      <c r="J577" s="40"/>
    </row>
    <row r="578" spans="1:10">
      <c r="A578" s="40"/>
      <c r="B578" s="40"/>
      <c r="C578" s="40"/>
      <c r="D578" s="40"/>
      <c r="E578" s="40"/>
      <c r="F578" s="40"/>
      <c r="G578" s="40"/>
      <c r="H578" s="40"/>
      <c r="I578" s="40"/>
      <c r="J578" s="40"/>
    </row>
    <row r="579" spans="1:10">
      <c r="A579" s="40"/>
      <c r="B579" s="40"/>
      <c r="C579" s="40"/>
      <c r="D579" s="40"/>
      <c r="E579" s="40"/>
      <c r="F579" s="40"/>
      <c r="G579" s="40"/>
      <c r="H579" s="40"/>
      <c r="I579" s="40"/>
      <c r="J579" s="40"/>
    </row>
    <row r="580" spans="1:10">
      <c r="A580" s="40"/>
      <c r="B580" s="40"/>
      <c r="C580" s="40"/>
      <c r="D580" s="40"/>
      <c r="E580" s="40"/>
      <c r="F580" s="40"/>
      <c r="G580" s="40"/>
      <c r="H580" s="40"/>
      <c r="I580" s="40"/>
      <c r="J580" s="40"/>
    </row>
    <row r="581" spans="1:10">
      <c r="A581" s="40"/>
      <c r="B581" s="40"/>
      <c r="C581" s="40"/>
      <c r="D581" s="40"/>
      <c r="E581" s="40"/>
      <c r="F581" s="40"/>
      <c r="G581" s="40"/>
      <c r="H581" s="40"/>
      <c r="I581" s="40"/>
      <c r="J581" s="40"/>
    </row>
    <row r="582" spans="1:10">
      <c r="A582" s="40"/>
      <c r="B582" s="40"/>
      <c r="C582" s="40"/>
      <c r="D582" s="40"/>
      <c r="E582" s="40"/>
      <c r="F582" s="40"/>
      <c r="G582" s="40"/>
      <c r="H582" s="40"/>
      <c r="I582" s="40"/>
      <c r="J582" s="40"/>
    </row>
    <row r="583" spans="1:10">
      <c r="A583" s="40"/>
      <c r="B583" s="40"/>
      <c r="C583" s="40"/>
      <c r="D583" s="40"/>
      <c r="E583" s="40"/>
      <c r="F583" s="40"/>
      <c r="G583" s="40"/>
      <c r="H583" s="40"/>
      <c r="I583" s="40"/>
      <c r="J583" s="40"/>
    </row>
    <row r="584" spans="1:10">
      <c r="A584" s="40"/>
      <c r="B584" s="40"/>
      <c r="C584" s="40"/>
      <c r="D584" s="40"/>
      <c r="E584" s="40"/>
      <c r="F584" s="40"/>
      <c r="G584" s="40"/>
      <c r="H584" s="40"/>
      <c r="I584" s="40"/>
      <c r="J584" s="40"/>
    </row>
    <row r="585" spans="1:10">
      <c r="A585" s="40"/>
      <c r="B585" s="40"/>
      <c r="C585" s="40"/>
      <c r="D585" s="40"/>
      <c r="E585" s="40"/>
      <c r="F585" s="40"/>
      <c r="G585" s="40"/>
      <c r="H585" s="40"/>
      <c r="I585" s="40"/>
      <c r="J585" s="40"/>
    </row>
    <row r="586" spans="1:10">
      <c r="A586" s="40"/>
      <c r="B586" s="40"/>
      <c r="C586" s="40"/>
      <c r="D586" s="40"/>
      <c r="E586" s="40"/>
      <c r="F586" s="40"/>
      <c r="G586" s="40"/>
      <c r="H586" s="40"/>
      <c r="I586" s="40"/>
      <c r="J586" s="40"/>
    </row>
    <row r="587" spans="1:10">
      <c r="A587" s="40"/>
      <c r="B587" s="40"/>
      <c r="C587" s="40"/>
      <c r="D587" s="40"/>
      <c r="E587" s="40"/>
      <c r="F587" s="40"/>
      <c r="G587" s="40"/>
      <c r="H587" s="40"/>
      <c r="I587" s="40"/>
      <c r="J587" s="40"/>
    </row>
    <row r="588" spans="1:10">
      <c r="A588" s="40"/>
      <c r="B588" s="40"/>
      <c r="C588" s="40"/>
      <c r="D588" s="40"/>
      <c r="E588" s="40"/>
      <c r="F588" s="40"/>
      <c r="G588" s="40"/>
      <c r="H588" s="40"/>
      <c r="I588" s="40"/>
      <c r="J588" s="40"/>
    </row>
    <row r="589" spans="1:10">
      <c r="A589" s="40"/>
      <c r="B589" s="40"/>
      <c r="C589" s="40"/>
      <c r="D589" s="40"/>
      <c r="E589" s="40"/>
      <c r="F589" s="40"/>
      <c r="G589" s="40"/>
      <c r="H589" s="40"/>
      <c r="I589" s="40"/>
      <c r="J589" s="40"/>
    </row>
    <row r="590" spans="1:10">
      <c r="A590" s="40"/>
      <c r="B590" s="40"/>
      <c r="C590" s="40"/>
      <c r="D590" s="40"/>
      <c r="E590" s="40"/>
      <c r="F590" s="40"/>
      <c r="G590" s="40"/>
      <c r="H590" s="40"/>
      <c r="I590" s="40"/>
      <c r="J590" s="40"/>
    </row>
    <row r="591" spans="1:10">
      <c r="A591" s="40"/>
      <c r="B591" s="40"/>
      <c r="C591" s="40"/>
      <c r="D591" s="40"/>
      <c r="E591" s="40"/>
      <c r="F591" s="40"/>
      <c r="G591" s="40"/>
      <c r="H591" s="40"/>
      <c r="I591" s="40"/>
      <c r="J591" s="40"/>
    </row>
    <row r="592" spans="1:10">
      <c r="A592" s="40"/>
      <c r="B592" s="40"/>
      <c r="C592" s="40"/>
      <c r="D592" s="40"/>
      <c r="E592" s="40"/>
      <c r="F592" s="40"/>
      <c r="G592" s="40"/>
      <c r="H592" s="40"/>
      <c r="I592" s="40"/>
      <c r="J592" s="40"/>
    </row>
    <row r="593" spans="1:10">
      <c r="A593" s="40"/>
      <c r="B593" s="40"/>
      <c r="C593" s="40"/>
      <c r="D593" s="40"/>
      <c r="E593" s="40"/>
      <c r="F593" s="40"/>
      <c r="G593" s="40"/>
      <c r="H593" s="40"/>
      <c r="I593" s="40"/>
      <c r="J593" s="40"/>
    </row>
    <row r="594" spans="1:10">
      <c r="A594" s="40"/>
      <c r="B594" s="40"/>
      <c r="C594" s="40"/>
      <c r="D594" s="40"/>
      <c r="E594" s="40"/>
      <c r="F594" s="40"/>
      <c r="G594" s="40"/>
      <c r="H594" s="40"/>
      <c r="I594" s="40"/>
      <c r="J594" s="40"/>
    </row>
    <row r="595" spans="1:10">
      <c r="A595" s="40"/>
      <c r="B595" s="40"/>
      <c r="C595" s="40"/>
      <c r="D595" s="40"/>
      <c r="E595" s="40"/>
      <c r="F595" s="40"/>
      <c r="G595" s="40"/>
      <c r="H595" s="40"/>
      <c r="I595" s="40"/>
      <c r="J595" s="40"/>
    </row>
    <row r="596" spans="1:10">
      <c r="A596" s="40"/>
      <c r="B596" s="40"/>
      <c r="C596" s="40"/>
      <c r="D596" s="40"/>
      <c r="E596" s="40"/>
      <c r="F596" s="40"/>
      <c r="G596" s="40"/>
      <c r="H596" s="40"/>
      <c r="I596" s="40"/>
      <c r="J596" s="40"/>
    </row>
    <row r="597" spans="1:10">
      <c r="A597" s="40"/>
      <c r="B597" s="40"/>
      <c r="C597" s="40"/>
      <c r="D597" s="40"/>
      <c r="E597" s="40"/>
      <c r="F597" s="40"/>
      <c r="G597" s="40"/>
      <c r="H597" s="40"/>
      <c r="I597" s="40"/>
      <c r="J597" s="40"/>
    </row>
    <row r="598" spans="1:10">
      <c r="A598" s="40"/>
      <c r="B598" s="40"/>
      <c r="C598" s="40"/>
      <c r="D598" s="40"/>
      <c r="E598" s="40"/>
      <c r="F598" s="40"/>
      <c r="G598" s="40"/>
      <c r="H598" s="40"/>
      <c r="I598" s="40"/>
      <c r="J598" s="40"/>
    </row>
    <row r="599" spans="1:10">
      <c r="A599" s="40"/>
      <c r="B599" s="40"/>
      <c r="C599" s="40"/>
      <c r="D599" s="40"/>
      <c r="E599" s="40"/>
      <c r="F599" s="40"/>
      <c r="G599" s="40"/>
      <c r="H599" s="40"/>
      <c r="I599" s="40"/>
      <c r="J599" s="40"/>
    </row>
    <row r="600" spans="1:10">
      <c r="A600" s="40"/>
      <c r="B600" s="40"/>
      <c r="C600" s="40"/>
      <c r="D600" s="40"/>
      <c r="E600" s="40"/>
      <c r="F600" s="40"/>
      <c r="G600" s="40"/>
      <c r="H600" s="40"/>
      <c r="I600" s="40"/>
      <c r="J600" s="40"/>
    </row>
    <row r="601" spans="1:10">
      <c r="A601" s="40"/>
      <c r="B601" s="40"/>
      <c r="C601" s="40"/>
      <c r="D601" s="40"/>
      <c r="E601" s="40"/>
      <c r="F601" s="40"/>
      <c r="G601" s="40"/>
      <c r="H601" s="40"/>
      <c r="I601" s="40"/>
      <c r="J601" s="40"/>
    </row>
    <row r="602" spans="1:10">
      <c r="A602" s="40"/>
      <c r="B602" s="40"/>
      <c r="C602" s="40"/>
      <c r="D602" s="40"/>
      <c r="E602" s="40"/>
      <c r="F602" s="40"/>
      <c r="G602" s="40"/>
      <c r="H602" s="40"/>
      <c r="I602" s="40"/>
      <c r="J602" s="40"/>
    </row>
    <row r="603" spans="1:10">
      <c r="A603" s="40"/>
      <c r="B603" s="40"/>
      <c r="C603" s="40"/>
      <c r="D603" s="40"/>
      <c r="E603" s="40"/>
      <c r="F603" s="40"/>
      <c r="G603" s="40"/>
      <c r="H603" s="40"/>
      <c r="I603" s="40"/>
      <c r="J603" s="40"/>
    </row>
    <row r="604" spans="1:10">
      <c r="A604" s="40"/>
      <c r="B604" s="40"/>
      <c r="C604" s="40"/>
      <c r="D604" s="40"/>
      <c r="E604" s="40"/>
      <c r="F604" s="40"/>
      <c r="G604" s="40"/>
      <c r="H604" s="40"/>
      <c r="I604" s="40"/>
      <c r="J604" s="40"/>
    </row>
    <row r="605" spans="1:10">
      <c r="A605" s="40"/>
      <c r="B605" s="40"/>
      <c r="C605" s="40"/>
      <c r="D605" s="40"/>
      <c r="E605" s="40"/>
      <c r="F605" s="40"/>
      <c r="G605" s="40"/>
      <c r="H605" s="40"/>
      <c r="I605" s="40"/>
      <c r="J605" s="40"/>
    </row>
    <row r="606" spans="1:10">
      <c r="A606" s="40"/>
      <c r="B606" s="40"/>
      <c r="C606" s="40"/>
      <c r="D606" s="40"/>
      <c r="E606" s="40"/>
      <c r="F606" s="40"/>
      <c r="G606" s="40"/>
      <c r="H606" s="40"/>
      <c r="I606" s="40"/>
      <c r="J606" s="40"/>
    </row>
    <row r="607" spans="1:10">
      <c r="A607" s="40"/>
      <c r="B607" s="40"/>
      <c r="C607" s="40"/>
      <c r="D607" s="40"/>
      <c r="E607" s="40"/>
      <c r="F607" s="40"/>
      <c r="G607" s="40"/>
      <c r="H607" s="40"/>
      <c r="I607" s="40"/>
      <c r="J607" s="40"/>
    </row>
    <row r="608" spans="1:10">
      <c r="A608" s="40"/>
      <c r="B608" s="40"/>
      <c r="C608" s="40"/>
      <c r="D608" s="40"/>
      <c r="E608" s="40"/>
      <c r="F608" s="40"/>
      <c r="G608" s="40"/>
      <c r="H608" s="40"/>
      <c r="I608" s="40"/>
      <c r="J608" s="40"/>
    </row>
    <row r="609" spans="1:10">
      <c r="A609" s="40"/>
      <c r="B609" s="40"/>
      <c r="C609" s="40"/>
      <c r="D609" s="40"/>
      <c r="E609" s="40"/>
      <c r="F609" s="40"/>
      <c r="G609" s="40"/>
      <c r="H609" s="40"/>
      <c r="I609" s="40"/>
      <c r="J609" s="40"/>
    </row>
    <row r="610" spans="1:10">
      <c r="A610" s="40"/>
      <c r="B610" s="40"/>
      <c r="C610" s="40"/>
      <c r="D610" s="40"/>
      <c r="E610" s="40"/>
      <c r="F610" s="40"/>
      <c r="G610" s="40"/>
      <c r="H610" s="40"/>
      <c r="I610" s="40"/>
      <c r="J610" s="40"/>
    </row>
    <row r="611" spans="1:10">
      <c r="A611" s="40"/>
      <c r="B611" s="40"/>
      <c r="C611" s="40"/>
      <c r="D611" s="40"/>
      <c r="E611" s="40"/>
      <c r="F611" s="40"/>
      <c r="G611" s="40"/>
      <c r="H611" s="40"/>
      <c r="I611" s="40"/>
      <c r="J611" s="40"/>
    </row>
    <row r="612" spans="1:10">
      <c r="A612" s="40"/>
      <c r="B612" s="40"/>
      <c r="C612" s="40"/>
      <c r="D612" s="40"/>
      <c r="E612" s="40"/>
      <c r="F612" s="40"/>
      <c r="G612" s="40"/>
      <c r="H612" s="40"/>
      <c r="I612" s="40"/>
      <c r="J612" s="40"/>
    </row>
    <row r="613" spans="1:10">
      <c r="A613" s="40"/>
      <c r="B613" s="40"/>
      <c r="C613" s="40"/>
      <c r="D613" s="40"/>
      <c r="E613" s="40"/>
      <c r="F613" s="40"/>
      <c r="G613" s="40"/>
      <c r="H613" s="40"/>
      <c r="I613" s="40"/>
      <c r="J613" s="40"/>
    </row>
    <row r="614" spans="1:10">
      <c r="A614" s="40"/>
      <c r="B614" s="40"/>
      <c r="C614" s="40"/>
      <c r="D614" s="40"/>
      <c r="E614" s="40"/>
      <c r="F614" s="40"/>
      <c r="G614" s="40"/>
      <c r="H614" s="40"/>
      <c r="I614" s="40"/>
      <c r="J614" s="40"/>
    </row>
    <row r="615" spans="1:10">
      <c r="A615" s="40"/>
      <c r="B615" s="40"/>
      <c r="C615" s="40"/>
      <c r="D615" s="40"/>
      <c r="E615" s="40"/>
      <c r="F615" s="40"/>
      <c r="G615" s="40"/>
      <c r="H615" s="40"/>
      <c r="I615" s="40"/>
      <c r="J615" s="40"/>
    </row>
    <row r="616" spans="1:10">
      <c r="A616" s="40"/>
      <c r="B616" s="40"/>
      <c r="C616" s="40"/>
      <c r="D616" s="40"/>
      <c r="E616" s="40"/>
      <c r="F616" s="40"/>
      <c r="G616" s="40"/>
      <c r="H616" s="40"/>
      <c r="I616" s="40"/>
      <c r="J616" s="40"/>
    </row>
    <row r="617" spans="1:10">
      <c r="A617" s="40"/>
      <c r="B617" s="40"/>
      <c r="C617" s="40"/>
      <c r="D617" s="40"/>
      <c r="E617" s="40"/>
      <c r="F617" s="40"/>
      <c r="G617" s="40"/>
      <c r="H617" s="40"/>
      <c r="I617" s="40"/>
      <c r="J617" s="40"/>
    </row>
    <row r="618" spans="1:10">
      <c r="A618" s="40"/>
      <c r="B618" s="40"/>
      <c r="C618" s="40"/>
      <c r="D618" s="40"/>
      <c r="E618" s="40"/>
      <c r="F618" s="40"/>
      <c r="G618" s="40"/>
      <c r="H618" s="40"/>
      <c r="I618" s="40"/>
      <c r="J618" s="40"/>
    </row>
    <row r="619" spans="1:10">
      <c r="A619" s="40"/>
      <c r="B619" s="40"/>
      <c r="C619" s="40"/>
      <c r="D619" s="40"/>
      <c r="E619" s="40"/>
      <c r="F619" s="40"/>
      <c r="G619" s="40"/>
      <c r="H619" s="40"/>
      <c r="I619" s="40"/>
      <c r="J619" s="40"/>
    </row>
    <row r="620" spans="1:10">
      <c r="A620" s="40"/>
      <c r="B620" s="40"/>
      <c r="C620" s="40"/>
      <c r="D620" s="40"/>
      <c r="E620" s="40"/>
      <c r="F620" s="40"/>
      <c r="G620" s="40"/>
      <c r="H620" s="40"/>
      <c r="I620" s="40"/>
      <c r="J620" s="40"/>
    </row>
    <row r="621" spans="1:10">
      <c r="A621" s="40"/>
      <c r="B621" s="40"/>
      <c r="C621" s="40"/>
      <c r="D621" s="40"/>
      <c r="E621" s="40"/>
      <c r="F621" s="40"/>
      <c r="G621" s="40"/>
      <c r="H621" s="40"/>
      <c r="I621" s="40"/>
      <c r="J621" s="40"/>
    </row>
    <row r="622" spans="1:10">
      <c r="A622" s="40"/>
      <c r="B622" s="40"/>
      <c r="C622" s="40"/>
      <c r="D622" s="40"/>
      <c r="E622" s="40"/>
      <c r="F622" s="40"/>
      <c r="G622" s="40"/>
      <c r="H622" s="40"/>
      <c r="I622" s="40"/>
      <c r="J622" s="40"/>
    </row>
    <row r="623" spans="1:10">
      <c r="A623" s="40"/>
      <c r="B623" s="40"/>
      <c r="C623" s="40"/>
      <c r="D623" s="40"/>
      <c r="E623" s="40"/>
      <c r="F623" s="40"/>
      <c r="G623" s="40"/>
      <c r="H623" s="40"/>
      <c r="I623" s="40"/>
      <c r="J623" s="40"/>
    </row>
    <row r="624" spans="1:10">
      <c r="A624" s="40"/>
      <c r="B624" s="40"/>
      <c r="C624" s="40"/>
      <c r="D624" s="40"/>
      <c r="E624" s="40"/>
      <c r="F624" s="40"/>
      <c r="G624" s="40"/>
      <c r="H624" s="40"/>
      <c r="I624" s="40"/>
      <c r="J624" s="40"/>
    </row>
    <row r="625" spans="1:10">
      <c r="A625" s="40"/>
      <c r="B625" s="40"/>
      <c r="C625" s="40"/>
      <c r="D625" s="40"/>
      <c r="E625" s="40"/>
      <c r="F625" s="40"/>
      <c r="G625" s="40"/>
      <c r="H625" s="40"/>
      <c r="I625" s="40"/>
      <c r="J625" s="40"/>
    </row>
    <row r="626" spans="1:10">
      <c r="A626" s="40"/>
      <c r="B626" s="40"/>
      <c r="C626" s="40"/>
      <c r="D626" s="40"/>
      <c r="E626" s="40"/>
      <c r="F626" s="40"/>
      <c r="G626" s="40"/>
      <c r="H626" s="40"/>
      <c r="I626" s="40"/>
      <c r="J626" s="40"/>
    </row>
    <row r="627" spans="1:10">
      <c r="A627" s="40"/>
      <c r="B627" s="40"/>
      <c r="C627" s="40"/>
      <c r="D627" s="40"/>
      <c r="E627" s="40"/>
      <c r="F627" s="40"/>
      <c r="G627" s="40"/>
      <c r="H627" s="40"/>
      <c r="I627" s="40"/>
      <c r="J627" s="40"/>
    </row>
    <row r="628" spans="1:10">
      <c r="A628" s="40"/>
      <c r="B628" s="40"/>
      <c r="C628" s="40"/>
      <c r="D628" s="40"/>
      <c r="E628" s="40"/>
      <c r="F628" s="40"/>
      <c r="G628" s="40"/>
      <c r="H628" s="40"/>
      <c r="I628" s="40"/>
      <c r="J628" s="40"/>
    </row>
    <row r="629" spans="1:10">
      <c r="A629" s="40"/>
      <c r="B629" s="40"/>
      <c r="C629" s="40"/>
      <c r="D629" s="40"/>
      <c r="E629" s="40"/>
      <c r="F629" s="40"/>
      <c r="G629" s="40"/>
      <c r="H629" s="40"/>
      <c r="I629" s="40"/>
      <c r="J629" s="40"/>
    </row>
    <row r="630" spans="1:10">
      <c r="A630" s="40"/>
      <c r="B630" s="40"/>
      <c r="C630" s="40"/>
      <c r="D630" s="40"/>
      <c r="E630" s="40"/>
      <c r="F630" s="40"/>
      <c r="G630" s="40"/>
      <c r="H630" s="40"/>
      <c r="I630" s="40"/>
      <c r="J630" s="40"/>
    </row>
    <row r="631" spans="1:10">
      <c r="A631" s="40"/>
      <c r="B631" s="40"/>
      <c r="C631" s="40"/>
      <c r="D631" s="40"/>
      <c r="E631" s="40"/>
      <c r="F631" s="40"/>
      <c r="G631" s="40"/>
      <c r="H631" s="40"/>
      <c r="I631" s="40"/>
      <c r="J631" s="40"/>
    </row>
    <row r="632" spans="1:10">
      <c r="A632" s="40"/>
      <c r="B632" s="40"/>
      <c r="C632" s="40"/>
      <c r="D632" s="40"/>
      <c r="E632" s="40"/>
      <c r="F632" s="40"/>
      <c r="G632" s="40"/>
      <c r="H632" s="40"/>
      <c r="I632" s="40"/>
      <c r="J632" s="40"/>
    </row>
    <row r="633" spans="1:10">
      <c r="A633" s="40"/>
      <c r="B633" s="40"/>
      <c r="C633" s="40"/>
      <c r="D633" s="40"/>
      <c r="E633" s="40"/>
      <c r="F633" s="40"/>
      <c r="G633" s="40"/>
      <c r="H633" s="40"/>
      <c r="I633" s="40"/>
      <c r="J633" s="40"/>
    </row>
    <row r="634" spans="1:10">
      <c r="A634" s="40"/>
      <c r="B634" s="40"/>
      <c r="C634" s="40"/>
      <c r="D634" s="40"/>
      <c r="E634" s="40"/>
      <c r="F634" s="40"/>
      <c r="G634" s="40"/>
      <c r="H634" s="40"/>
      <c r="I634" s="40"/>
      <c r="J634" s="40"/>
    </row>
    <row r="635" spans="1:10">
      <c r="A635" s="40"/>
      <c r="B635" s="40"/>
      <c r="C635" s="40"/>
      <c r="D635" s="40"/>
      <c r="E635" s="40"/>
      <c r="F635" s="40"/>
      <c r="G635" s="40"/>
      <c r="H635" s="40"/>
      <c r="I635" s="40"/>
      <c r="J635" s="40"/>
    </row>
    <row r="636" spans="1:10">
      <c r="A636" s="40"/>
      <c r="B636" s="40"/>
      <c r="C636" s="40"/>
      <c r="D636" s="40"/>
      <c r="E636" s="40"/>
      <c r="F636" s="40"/>
      <c r="G636" s="40"/>
      <c r="H636" s="40"/>
      <c r="I636" s="40"/>
      <c r="J636" s="40"/>
    </row>
    <row r="637" spans="1:10">
      <c r="A637" s="40"/>
      <c r="B637" s="40"/>
      <c r="C637" s="40"/>
      <c r="D637" s="40"/>
      <c r="E637" s="40"/>
      <c r="F637" s="40"/>
      <c r="G637" s="40"/>
      <c r="H637" s="40"/>
      <c r="I637" s="40"/>
      <c r="J637" s="40"/>
    </row>
    <row r="638" spans="1:10">
      <c r="A638" s="40"/>
      <c r="B638" s="40"/>
      <c r="C638" s="40"/>
      <c r="D638" s="40"/>
      <c r="E638" s="40"/>
      <c r="F638" s="40"/>
      <c r="G638" s="40"/>
      <c r="H638" s="40"/>
      <c r="I638" s="40"/>
      <c r="J638" s="40"/>
    </row>
    <row r="639" spans="1:10">
      <c r="A639" s="40"/>
      <c r="B639" s="40"/>
      <c r="C639" s="40"/>
      <c r="D639" s="40"/>
      <c r="E639" s="40"/>
      <c r="F639" s="40"/>
      <c r="G639" s="40"/>
      <c r="H639" s="40"/>
      <c r="I639" s="40"/>
      <c r="J639" s="40"/>
    </row>
    <row r="640" spans="1:10">
      <c r="A640" s="40"/>
      <c r="B640" s="40"/>
      <c r="C640" s="40"/>
      <c r="D640" s="40"/>
      <c r="E640" s="40"/>
      <c r="F640" s="40"/>
      <c r="G640" s="40"/>
      <c r="H640" s="40"/>
      <c r="I640" s="40"/>
      <c r="J640" s="40"/>
    </row>
    <row r="641" spans="1:10">
      <c r="A641" s="40"/>
      <c r="B641" s="40"/>
      <c r="C641" s="40"/>
      <c r="D641" s="40"/>
      <c r="E641" s="40"/>
      <c r="F641" s="40"/>
      <c r="G641" s="40"/>
      <c r="H641" s="40"/>
      <c r="I641" s="40"/>
      <c r="J641" s="40"/>
    </row>
    <row r="642" spans="1:10">
      <c r="A642" s="40"/>
      <c r="B642" s="40"/>
      <c r="C642" s="40"/>
      <c r="D642" s="40"/>
      <c r="E642" s="40"/>
      <c r="F642" s="40"/>
      <c r="G642" s="40"/>
      <c r="H642" s="40"/>
      <c r="I642" s="40"/>
      <c r="J642" s="40"/>
    </row>
    <row r="643" spans="1:10">
      <c r="A643" s="40"/>
      <c r="B643" s="40"/>
      <c r="C643" s="40"/>
      <c r="D643" s="40"/>
      <c r="E643" s="40"/>
      <c r="F643" s="40"/>
      <c r="G643" s="40"/>
      <c r="H643" s="40"/>
      <c r="I643" s="40"/>
      <c r="J643" s="40"/>
    </row>
    <row r="644" spans="1:10">
      <c r="A644" s="40"/>
      <c r="B644" s="40"/>
      <c r="C644" s="40"/>
      <c r="D644" s="40"/>
      <c r="E644" s="40"/>
      <c r="F644" s="40"/>
      <c r="G644" s="40"/>
      <c r="H644" s="40"/>
      <c r="I644" s="40"/>
      <c r="J644" s="40"/>
    </row>
    <row r="645" spans="1:10">
      <c r="A645" s="40"/>
      <c r="B645" s="40"/>
      <c r="C645" s="40"/>
      <c r="D645" s="40"/>
      <c r="E645" s="40"/>
      <c r="F645" s="40"/>
      <c r="G645" s="40"/>
      <c r="H645" s="40"/>
      <c r="I645" s="40"/>
      <c r="J645" s="40"/>
    </row>
    <row r="646" spans="1:10">
      <c r="A646" s="40"/>
      <c r="B646" s="40"/>
      <c r="C646" s="40"/>
      <c r="D646" s="40"/>
      <c r="E646" s="40"/>
      <c r="F646" s="40"/>
      <c r="G646" s="40"/>
      <c r="H646" s="40"/>
      <c r="I646" s="40"/>
      <c r="J646" s="40"/>
    </row>
    <row r="647" spans="1:10">
      <c r="A647" s="40"/>
      <c r="B647" s="40"/>
      <c r="C647" s="40"/>
      <c r="D647" s="40"/>
      <c r="E647" s="40"/>
      <c r="F647" s="40"/>
      <c r="G647" s="40"/>
      <c r="H647" s="40"/>
      <c r="I647" s="40"/>
      <c r="J647" s="40"/>
    </row>
    <row r="648" spans="1:10">
      <c r="A648" s="40"/>
      <c r="B648" s="40"/>
      <c r="C648" s="40"/>
      <c r="D648" s="40"/>
      <c r="E648" s="40"/>
      <c r="F648" s="40"/>
      <c r="G648" s="40"/>
      <c r="H648" s="40"/>
      <c r="I648" s="40"/>
      <c r="J648" s="40"/>
    </row>
    <row r="649" spans="1:10">
      <c r="A649" s="40"/>
      <c r="B649" s="40"/>
      <c r="C649" s="40"/>
      <c r="D649" s="40"/>
      <c r="E649" s="40"/>
      <c r="F649" s="40"/>
      <c r="G649" s="40"/>
      <c r="H649" s="40"/>
      <c r="I649" s="40"/>
      <c r="J649" s="40"/>
    </row>
    <row r="650" spans="1:10">
      <c r="A650" s="40"/>
      <c r="B650" s="40"/>
      <c r="C650" s="40"/>
      <c r="D650" s="40"/>
      <c r="E650" s="40"/>
      <c r="F650" s="40"/>
      <c r="G650" s="40"/>
      <c r="H650" s="40"/>
      <c r="I650" s="40"/>
      <c r="J650" s="40"/>
    </row>
    <row r="651" spans="1:10">
      <c r="A651" s="40"/>
      <c r="B651" s="40"/>
      <c r="C651" s="40"/>
      <c r="D651" s="40"/>
      <c r="E651" s="40"/>
      <c r="F651" s="40"/>
      <c r="G651" s="40"/>
      <c r="H651" s="40"/>
      <c r="I651" s="40"/>
      <c r="J651" s="40"/>
    </row>
    <row r="652" spans="1:10">
      <c r="A652" s="40"/>
      <c r="B652" s="40"/>
      <c r="C652" s="40"/>
      <c r="D652" s="40"/>
      <c r="E652" s="40"/>
      <c r="F652" s="40"/>
      <c r="G652" s="40"/>
      <c r="H652" s="40"/>
      <c r="I652" s="40"/>
      <c r="J652" s="40"/>
    </row>
    <row r="653" spans="1:10">
      <c r="A653" s="40"/>
      <c r="B653" s="40"/>
      <c r="C653" s="40"/>
      <c r="D653" s="40"/>
      <c r="E653" s="40"/>
      <c r="F653" s="40"/>
      <c r="G653" s="40"/>
      <c r="H653" s="40"/>
      <c r="I653" s="40"/>
      <c r="J653" s="40"/>
    </row>
    <row r="654" spans="1:10">
      <c r="A654" s="40"/>
      <c r="B654" s="40"/>
      <c r="C654" s="40"/>
      <c r="D654" s="40"/>
      <c r="E654" s="40"/>
      <c r="F654" s="40"/>
      <c r="G654" s="40"/>
      <c r="H654" s="40"/>
      <c r="I654" s="40"/>
      <c r="J654" s="40"/>
    </row>
    <row r="655" spans="1:10">
      <c r="A655" s="40"/>
      <c r="B655" s="40"/>
      <c r="C655" s="40"/>
      <c r="D655" s="40"/>
      <c r="E655" s="40"/>
      <c r="F655" s="40"/>
      <c r="G655" s="40"/>
      <c r="H655" s="40"/>
      <c r="I655" s="40"/>
      <c r="J655" s="40"/>
    </row>
    <row r="656" spans="1:10">
      <c r="A656" s="40"/>
      <c r="B656" s="40"/>
      <c r="C656" s="40"/>
      <c r="D656" s="40"/>
      <c r="E656" s="40"/>
      <c r="F656" s="40"/>
      <c r="G656" s="40"/>
      <c r="H656" s="40"/>
      <c r="I656" s="40"/>
      <c r="J656" s="40"/>
    </row>
    <row r="657" spans="1:10">
      <c r="A657" s="40"/>
      <c r="B657" s="40"/>
      <c r="C657" s="40"/>
      <c r="D657" s="40"/>
      <c r="E657" s="40"/>
      <c r="F657" s="40"/>
      <c r="G657" s="40"/>
      <c r="H657" s="40"/>
      <c r="I657" s="40"/>
      <c r="J657" s="40"/>
    </row>
    <row r="658" spans="1:10">
      <c r="A658" s="40"/>
      <c r="B658" s="40"/>
      <c r="C658" s="40"/>
      <c r="D658" s="40"/>
      <c r="E658" s="40"/>
      <c r="F658" s="40"/>
      <c r="G658" s="40"/>
      <c r="H658" s="40"/>
      <c r="I658" s="40"/>
      <c r="J658" s="40"/>
    </row>
  </sheetData>
  <sortState ref="D13:D139">
    <sortCondition ref="D13:D139"/>
  </sortState>
  <mergeCells count="1">
    <mergeCell ref="A1:I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1"/>
  <sheetViews>
    <sheetView zoomScaleNormal="100" workbookViewId="0">
      <pane ySplit="6" topLeftCell="A37" activePane="bottomLeft" state="frozen"/>
      <selection pane="bottomLeft" activeCell="B25" sqref="B25"/>
    </sheetView>
    <sheetView tabSelected="1" workbookViewId="1">
      <pane ySplit="6" topLeftCell="A43" activePane="bottomLeft" state="frozen"/>
      <selection pane="bottomLeft" activeCell="G52" sqref="G52"/>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73" t="s">
        <v>905</v>
      </c>
      <c r="B1" s="1074"/>
      <c r="C1" s="1074"/>
      <c r="D1" s="1074"/>
      <c r="E1" s="1074"/>
      <c r="F1" s="1074"/>
      <c r="G1" s="1074"/>
      <c r="H1" s="1215"/>
      <c r="I1" s="323"/>
      <c r="J1" s="524"/>
      <c r="K1" s="525" t="s">
        <v>803</v>
      </c>
      <c r="L1" s="322">
        <f>SUM(G7:G101)</f>
        <v>350.29</v>
      </c>
      <c r="M1" s="323" t="s">
        <v>114</v>
      </c>
    </row>
    <row r="2" spans="1:26" ht="18">
      <c r="A2" s="1076"/>
      <c r="B2" s="1077"/>
      <c r="C2" s="1077"/>
      <c r="D2" s="1077"/>
      <c r="E2" s="1077"/>
      <c r="F2" s="1077"/>
      <c r="G2" s="1077"/>
      <c r="H2" s="1216"/>
      <c r="J2" s="391"/>
      <c r="K2" s="526" t="s">
        <v>694</v>
      </c>
      <c r="L2" s="322">
        <f>SUM(H7:H101)</f>
        <v>108.48526136363635</v>
      </c>
      <c r="M2" s="323" t="s">
        <v>644</v>
      </c>
    </row>
    <row r="3" spans="1:26" ht="16.5" thickBot="1">
      <c r="A3" s="1079"/>
      <c r="B3" s="1080"/>
      <c r="C3" s="1080"/>
      <c r="D3" s="1080"/>
      <c r="E3" s="1080"/>
      <c r="F3" s="1080"/>
      <c r="G3" s="1080"/>
      <c r="H3" s="1217"/>
      <c r="I3" s="109"/>
      <c r="L3" s="315"/>
      <c r="M3" s="315"/>
      <c r="N3" s="316"/>
      <c r="O3" s="315"/>
      <c r="P3" s="315"/>
      <c r="Q3" s="315"/>
      <c r="R3" s="315"/>
      <c r="S3" s="315"/>
      <c r="T3" s="315"/>
      <c r="U3" s="315"/>
      <c r="V3" s="315"/>
      <c r="W3" s="315"/>
      <c r="X3" s="315"/>
      <c r="Y3" s="315"/>
      <c r="Z3" s="315"/>
    </row>
    <row r="4" spans="1:26" ht="15.75" customHeight="1">
      <c r="A4" s="60"/>
      <c r="B4" s="62"/>
      <c r="C4" s="61" t="s">
        <v>234</v>
      </c>
      <c r="D4" s="62"/>
      <c r="E4" s="65"/>
      <c r="F4" s="61"/>
      <c r="G4" s="62"/>
      <c r="H4" s="266"/>
      <c r="I4" s="318" t="s">
        <v>641</v>
      </c>
      <c r="J4" s="318" t="s">
        <v>641</v>
      </c>
      <c r="K4" s="318" t="s">
        <v>641</v>
      </c>
      <c r="L4" s="110"/>
      <c r="N4" s="36"/>
      <c r="O4" s="108"/>
      <c r="U4" s="108"/>
      <c r="Y4" s="108"/>
    </row>
    <row r="5" spans="1:26" ht="15.75">
      <c r="A5" s="66" t="s">
        <v>210</v>
      </c>
      <c r="B5" s="67"/>
      <c r="C5" s="67" t="s">
        <v>166</v>
      </c>
      <c r="D5" s="67"/>
      <c r="E5" s="67"/>
      <c r="F5" s="67" t="s">
        <v>213</v>
      </c>
      <c r="G5" s="67" t="s">
        <v>214</v>
      </c>
      <c r="H5" s="267" t="s">
        <v>571</v>
      </c>
      <c r="I5" s="317" t="s">
        <v>642</v>
      </c>
      <c r="J5" s="317" t="s">
        <v>642</v>
      </c>
      <c r="K5" s="317" t="s">
        <v>642</v>
      </c>
      <c r="L5" s="110"/>
      <c r="M5" s="320"/>
      <c r="N5" s="36"/>
      <c r="O5" s="108"/>
      <c r="Q5" s="320"/>
      <c r="U5" s="108"/>
      <c r="Y5" s="108"/>
    </row>
    <row r="6" spans="1:26" ht="16.5" thickBot="1">
      <c r="A6" s="69" t="s">
        <v>211</v>
      </c>
      <c r="B6" s="70" t="s">
        <v>165</v>
      </c>
      <c r="C6" s="71" t="s">
        <v>167</v>
      </c>
      <c r="D6" s="70" t="s">
        <v>168</v>
      </c>
      <c r="E6" s="70" t="s">
        <v>169</v>
      </c>
      <c r="F6" s="71" t="s">
        <v>170</v>
      </c>
      <c r="G6" s="71" t="s">
        <v>171</v>
      </c>
      <c r="H6" s="268" t="s">
        <v>624</v>
      </c>
      <c r="I6" s="318" t="s">
        <v>639</v>
      </c>
      <c r="J6" s="319" t="s">
        <v>640</v>
      </c>
      <c r="K6" s="319" t="s">
        <v>691</v>
      </c>
      <c r="L6" s="110"/>
      <c r="N6" s="36"/>
      <c r="O6" s="108"/>
      <c r="P6" s="169"/>
      <c r="Q6" s="43"/>
      <c r="R6" s="169"/>
      <c r="X6" s="169"/>
      <c r="Y6" s="43"/>
      <c r="Z6" s="169"/>
    </row>
    <row r="7" spans="1:26" ht="15.75" thickTop="1">
      <c r="A7" s="600">
        <v>1</v>
      </c>
      <c r="B7" s="783">
        <v>18785</v>
      </c>
      <c r="C7" s="784">
        <v>0.83750000000000002</v>
      </c>
      <c r="D7" s="601" t="s">
        <v>141</v>
      </c>
      <c r="E7" s="785" t="s">
        <v>152</v>
      </c>
      <c r="F7" s="786">
        <v>100</v>
      </c>
      <c r="G7" s="786">
        <v>10.4</v>
      </c>
      <c r="H7" s="796">
        <f>+(F7/1760)*G7</f>
        <v>0.59090909090909094</v>
      </c>
      <c r="I7" s="169">
        <f>LN(F7)</f>
        <v>4.6051701859880918</v>
      </c>
      <c r="J7" s="169">
        <f>LN(G7)</f>
        <v>2.341805806147327</v>
      </c>
      <c r="K7" s="169">
        <f>LN(H7)</f>
        <v>-0.52609309589677911</v>
      </c>
    </row>
    <row r="8" spans="1:26">
      <c r="A8" s="616">
        <f>+A7+1</f>
        <v>2</v>
      </c>
      <c r="B8" s="618">
        <v>20197</v>
      </c>
      <c r="C8" s="604">
        <v>0.78125</v>
      </c>
      <c r="D8" s="617" t="s">
        <v>143</v>
      </c>
      <c r="E8" s="620" t="s">
        <v>152</v>
      </c>
      <c r="F8" s="621">
        <v>100</v>
      </c>
      <c r="G8" s="621">
        <v>8.9</v>
      </c>
      <c r="H8" s="797">
        <f t="shared" ref="H8:H59" si="0">+(F8/1760)*G8</f>
        <v>0.50568181818181823</v>
      </c>
      <c r="I8" s="169">
        <f t="shared" ref="I8:J59" si="1">LN(F8)</f>
        <v>4.6051701859880918</v>
      </c>
      <c r="J8" s="169">
        <f t="shared" si="1"/>
        <v>2.1860512767380942</v>
      </c>
      <c r="K8" s="169">
        <f t="shared" ref="K8:K59" si="2">LN(H8)</f>
        <v>-0.68184762530601184</v>
      </c>
    </row>
    <row r="9" spans="1:26">
      <c r="A9" s="616">
        <f t="shared" ref="A9:A73" si="3">+A8+1</f>
        <v>3</v>
      </c>
      <c r="B9" s="618">
        <v>20257</v>
      </c>
      <c r="C9" s="604">
        <v>0.79861111111111116</v>
      </c>
      <c r="D9" s="617" t="s">
        <v>148</v>
      </c>
      <c r="E9" s="620" t="s">
        <v>152</v>
      </c>
      <c r="F9" s="621">
        <v>67</v>
      </c>
      <c r="G9" s="621">
        <v>16.2</v>
      </c>
      <c r="H9" s="797">
        <f t="shared" si="0"/>
        <v>0.61670454545454545</v>
      </c>
      <c r="I9" s="169">
        <f t="shared" si="1"/>
        <v>4.2046926193909657</v>
      </c>
      <c r="J9" s="169">
        <f t="shared" si="1"/>
        <v>2.7850112422383382</v>
      </c>
      <c r="K9" s="169">
        <f t="shared" si="2"/>
        <v>-0.48336522640289303</v>
      </c>
    </row>
    <row r="10" spans="1:26">
      <c r="A10" s="616">
        <f t="shared" si="3"/>
        <v>4</v>
      </c>
      <c r="B10" s="618">
        <v>20955</v>
      </c>
      <c r="C10" s="604">
        <v>0.75</v>
      </c>
      <c r="D10" s="617" t="s">
        <v>147</v>
      </c>
      <c r="E10" s="620" t="s">
        <v>152</v>
      </c>
      <c r="F10" s="621">
        <v>50</v>
      </c>
      <c r="G10" s="621">
        <v>10.199999999999999</v>
      </c>
      <c r="H10" s="797">
        <f t="shared" si="0"/>
        <v>0.28977272727272724</v>
      </c>
      <c r="I10" s="169">
        <f t="shared" si="1"/>
        <v>3.912023005428146</v>
      </c>
      <c r="J10" s="169">
        <f t="shared" si="1"/>
        <v>2.3223877202902252</v>
      </c>
      <c r="K10" s="169">
        <f t="shared" si="2"/>
        <v>-1.2386583623138261</v>
      </c>
    </row>
    <row r="11" spans="1:26">
      <c r="A11" s="616">
        <f t="shared" si="3"/>
        <v>5</v>
      </c>
      <c r="B11" s="618">
        <v>22793</v>
      </c>
      <c r="C11" s="604">
        <v>0.72916666666666663</v>
      </c>
      <c r="D11" s="617" t="s">
        <v>132</v>
      </c>
      <c r="E11" s="620" t="s">
        <v>152</v>
      </c>
      <c r="F11" s="621">
        <v>200</v>
      </c>
      <c r="G11" s="621">
        <v>4.5</v>
      </c>
      <c r="H11" s="797">
        <f t="shared" si="0"/>
        <v>0.51136363636363635</v>
      </c>
      <c r="I11" s="169">
        <f t="shared" si="1"/>
        <v>5.2983173665480363</v>
      </c>
      <c r="J11" s="169">
        <f t="shared" si="1"/>
        <v>1.5040773967762742</v>
      </c>
      <c r="K11" s="169">
        <f t="shared" si="2"/>
        <v>-0.67067432470788668</v>
      </c>
    </row>
    <row r="12" spans="1:26">
      <c r="A12" s="616">
        <f t="shared" si="3"/>
        <v>6</v>
      </c>
      <c r="B12" s="618">
        <v>23207</v>
      </c>
      <c r="C12" s="604">
        <v>0.84375</v>
      </c>
      <c r="D12" s="617" t="s">
        <v>128</v>
      </c>
      <c r="E12" s="620" t="s">
        <v>152</v>
      </c>
      <c r="F12" s="621">
        <v>10</v>
      </c>
      <c r="G12" s="621">
        <v>0.1</v>
      </c>
      <c r="H12" s="797">
        <f t="shared" si="0"/>
        <v>5.6818181818181826E-4</v>
      </c>
      <c r="I12" s="169">
        <f t="shared" si="1"/>
        <v>2.3025850929940459</v>
      </c>
      <c r="J12" s="169">
        <f t="shared" si="1"/>
        <v>-2.3025850929940455</v>
      </c>
      <c r="K12" s="169">
        <f t="shared" si="2"/>
        <v>-7.4730690880321973</v>
      </c>
    </row>
    <row r="13" spans="1:26">
      <c r="A13" s="616">
        <f t="shared" si="3"/>
        <v>7</v>
      </c>
      <c r="B13" s="618">
        <v>23896</v>
      </c>
      <c r="C13" s="604">
        <v>0.91666666666666663</v>
      </c>
      <c r="D13" s="617" t="s">
        <v>148</v>
      </c>
      <c r="E13" s="620" t="s">
        <v>152</v>
      </c>
      <c r="F13" s="621">
        <v>33</v>
      </c>
      <c r="G13" s="621">
        <v>8.8000000000000007</v>
      </c>
      <c r="H13" s="797">
        <f t="shared" si="0"/>
        <v>0.16500000000000001</v>
      </c>
      <c r="I13" s="169">
        <f t="shared" si="1"/>
        <v>3.4965075614664802</v>
      </c>
      <c r="J13" s="169">
        <f t="shared" si="1"/>
        <v>2.174751721484161</v>
      </c>
      <c r="K13" s="169">
        <f t="shared" si="2"/>
        <v>-1.8018098050815563</v>
      </c>
    </row>
    <row r="14" spans="1:26">
      <c r="A14" s="616">
        <f t="shared" si="3"/>
        <v>8</v>
      </c>
      <c r="B14" s="618">
        <v>23897</v>
      </c>
      <c r="C14" s="604">
        <v>0.875</v>
      </c>
      <c r="D14" s="617" t="s">
        <v>143</v>
      </c>
      <c r="E14" s="620" t="s">
        <v>152</v>
      </c>
      <c r="F14" s="621">
        <v>50</v>
      </c>
      <c r="G14" s="621">
        <v>6.8</v>
      </c>
      <c r="H14" s="797">
        <f t="shared" si="0"/>
        <v>0.19318181818181818</v>
      </c>
      <c r="I14" s="169">
        <f t="shared" si="1"/>
        <v>3.912023005428146</v>
      </c>
      <c r="J14" s="169">
        <f t="shared" si="1"/>
        <v>1.9169226121820611</v>
      </c>
      <c r="K14" s="169">
        <f t="shared" si="2"/>
        <v>-1.6441234704219905</v>
      </c>
    </row>
    <row r="15" spans="1:26">
      <c r="A15" s="616">
        <f t="shared" si="3"/>
        <v>9</v>
      </c>
      <c r="B15" s="618">
        <v>24656</v>
      </c>
      <c r="C15" s="604">
        <v>0.89583333333333337</v>
      </c>
      <c r="D15" s="617" t="s">
        <v>143</v>
      </c>
      <c r="E15" s="620" t="s">
        <v>152</v>
      </c>
      <c r="F15" s="621">
        <v>33</v>
      </c>
      <c r="G15" s="621">
        <v>2.2999999999999998</v>
      </c>
      <c r="H15" s="797">
        <f t="shared" si="0"/>
        <v>4.3124999999999997E-2</v>
      </c>
      <c r="I15" s="169">
        <f t="shared" si="1"/>
        <v>3.4965075614664802</v>
      </c>
      <c r="J15" s="169">
        <f t="shared" si="1"/>
        <v>0.83290912293510388</v>
      </c>
      <c r="K15" s="169">
        <f t="shared" si="2"/>
        <v>-3.1436524036306133</v>
      </c>
    </row>
    <row r="16" spans="1:26">
      <c r="A16" s="616">
        <f t="shared" si="3"/>
        <v>10</v>
      </c>
      <c r="B16" s="618">
        <v>24964</v>
      </c>
      <c r="C16" s="604">
        <v>0.67013888888888884</v>
      </c>
      <c r="D16" s="617" t="s">
        <v>137</v>
      </c>
      <c r="E16" s="620" t="s">
        <v>152</v>
      </c>
      <c r="F16" s="621">
        <v>100</v>
      </c>
      <c r="G16" s="621">
        <v>0.5</v>
      </c>
      <c r="H16" s="797">
        <f t="shared" si="0"/>
        <v>2.8409090909090908E-2</v>
      </c>
      <c r="I16" s="169">
        <f t="shared" si="1"/>
        <v>4.6051701859880918</v>
      </c>
      <c r="J16" s="169">
        <f t="shared" si="1"/>
        <v>-0.69314718055994529</v>
      </c>
      <c r="K16" s="169">
        <f t="shared" si="2"/>
        <v>-3.5610460826040513</v>
      </c>
    </row>
    <row r="17" spans="1:11">
      <c r="A17" s="616">
        <f t="shared" si="3"/>
        <v>11</v>
      </c>
      <c r="B17" s="618">
        <v>26042</v>
      </c>
      <c r="C17" s="604">
        <v>2.0833333333333332E-2</v>
      </c>
      <c r="D17" s="617" t="s">
        <v>144</v>
      </c>
      <c r="E17" s="620" t="s">
        <v>152</v>
      </c>
      <c r="F17" s="621">
        <v>133</v>
      </c>
      <c r="G17" s="621">
        <v>6.1</v>
      </c>
      <c r="H17" s="797">
        <f t="shared" si="0"/>
        <v>0.46096590909090901</v>
      </c>
      <c r="I17" s="169">
        <f t="shared" si="1"/>
        <v>4.8903491282217537</v>
      </c>
      <c r="J17" s="169">
        <f t="shared" si="1"/>
        <v>1.8082887711792655</v>
      </c>
      <c r="K17" s="169">
        <f t="shared" si="2"/>
        <v>-0.77443118863117832</v>
      </c>
    </row>
    <row r="18" spans="1:11">
      <c r="A18" s="616">
        <f t="shared" si="3"/>
        <v>12</v>
      </c>
      <c r="B18" s="618">
        <v>26089</v>
      </c>
      <c r="C18" s="604">
        <v>0.75</v>
      </c>
      <c r="D18" s="617" t="s">
        <v>136</v>
      </c>
      <c r="E18" s="620" t="s">
        <v>152</v>
      </c>
      <c r="F18" s="621">
        <v>1320</v>
      </c>
      <c r="G18" s="621">
        <v>4.7</v>
      </c>
      <c r="H18" s="797">
        <f t="shared" si="0"/>
        <v>3.5250000000000004</v>
      </c>
      <c r="I18" s="169">
        <f t="shared" si="1"/>
        <v>7.1853870155804165</v>
      </c>
      <c r="J18" s="169">
        <f t="shared" si="1"/>
        <v>1.547562508716013</v>
      </c>
      <c r="K18" s="169">
        <f t="shared" si="2"/>
        <v>1.2598804362642322</v>
      </c>
    </row>
    <row r="19" spans="1:11">
      <c r="A19" s="616">
        <f t="shared" si="3"/>
        <v>13</v>
      </c>
      <c r="B19" s="618">
        <v>26223</v>
      </c>
      <c r="C19" s="604">
        <v>0.89583333333333337</v>
      </c>
      <c r="D19" s="617" t="s">
        <v>141</v>
      </c>
      <c r="E19" s="620" t="s">
        <v>152</v>
      </c>
      <c r="F19" s="621">
        <v>100</v>
      </c>
      <c r="G19" s="621">
        <v>2.2999999999999998</v>
      </c>
      <c r="H19" s="797">
        <f t="shared" si="0"/>
        <v>0.13068181818181818</v>
      </c>
      <c r="I19" s="169">
        <f t="shared" si="1"/>
        <v>4.6051701859880918</v>
      </c>
      <c r="J19" s="169">
        <f t="shared" si="1"/>
        <v>0.83290912293510388</v>
      </c>
      <c r="K19" s="169">
        <f t="shared" si="2"/>
        <v>-2.0349897791090021</v>
      </c>
    </row>
    <row r="20" spans="1:11">
      <c r="A20" s="616">
        <f t="shared" si="3"/>
        <v>14</v>
      </c>
      <c r="B20" s="618">
        <v>27479</v>
      </c>
      <c r="C20" s="604">
        <v>0.99305555555555547</v>
      </c>
      <c r="D20" s="617" t="s">
        <v>142</v>
      </c>
      <c r="E20" s="620" t="s">
        <v>152</v>
      </c>
      <c r="F20" s="621">
        <v>220</v>
      </c>
      <c r="G20" s="621">
        <v>1</v>
      </c>
      <c r="H20" s="797">
        <f t="shared" si="0"/>
        <v>0.125</v>
      </c>
      <c r="I20" s="169">
        <f t="shared" si="1"/>
        <v>5.393627546352362</v>
      </c>
      <c r="J20" s="169">
        <f t="shared" si="1"/>
        <v>0</v>
      </c>
      <c r="K20" s="169">
        <f t="shared" si="2"/>
        <v>-2.0794415416798357</v>
      </c>
    </row>
    <row r="21" spans="1:11">
      <c r="A21" s="616">
        <f t="shared" si="3"/>
        <v>15</v>
      </c>
      <c r="B21" s="618">
        <v>28261</v>
      </c>
      <c r="C21" s="604">
        <v>0.63194444444444442</v>
      </c>
      <c r="D21" s="617" t="s">
        <v>148</v>
      </c>
      <c r="E21" s="620" t="s">
        <v>152</v>
      </c>
      <c r="F21" s="621">
        <v>500</v>
      </c>
      <c r="G21" s="621">
        <v>16.7</v>
      </c>
      <c r="H21" s="797">
        <f t="shared" si="0"/>
        <v>4.7443181818181817</v>
      </c>
      <c r="I21" s="169">
        <f t="shared" si="1"/>
        <v>6.2146080984221914</v>
      </c>
      <c r="J21" s="169">
        <f t="shared" si="1"/>
        <v>2.8154087194227095</v>
      </c>
      <c r="K21" s="169">
        <f t="shared" si="2"/>
        <v>1.5569477298127037</v>
      </c>
    </row>
    <row r="22" spans="1:11">
      <c r="A22" s="616">
        <f t="shared" si="3"/>
        <v>16</v>
      </c>
      <c r="B22" s="618">
        <v>28261</v>
      </c>
      <c r="C22" s="604">
        <v>0.67013888888888884</v>
      </c>
      <c r="D22" s="617" t="s">
        <v>148</v>
      </c>
      <c r="E22" s="620" t="s">
        <v>152</v>
      </c>
      <c r="F22" s="621">
        <v>500</v>
      </c>
      <c r="G22" s="621">
        <v>3</v>
      </c>
      <c r="H22" s="797">
        <f t="shared" si="0"/>
        <v>0.85227272727272729</v>
      </c>
      <c r="I22" s="169">
        <f t="shared" si="1"/>
        <v>6.2146080984221914</v>
      </c>
      <c r="J22" s="169">
        <f t="shared" si="1"/>
        <v>1.0986122886681098</v>
      </c>
      <c r="K22" s="169">
        <f t="shared" si="2"/>
        <v>-0.15984870094189602</v>
      </c>
    </row>
    <row r="23" spans="1:11">
      <c r="A23" s="616">
        <f t="shared" si="3"/>
        <v>17</v>
      </c>
      <c r="B23" s="618">
        <v>28261</v>
      </c>
      <c r="C23" s="604">
        <v>0.67569444444444438</v>
      </c>
      <c r="D23" s="617" t="s">
        <v>143</v>
      </c>
      <c r="E23" s="620" t="s">
        <v>152</v>
      </c>
      <c r="F23" s="621">
        <v>500</v>
      </c>
      <c r="G23" s="621">
        <v>12</v>
      </c>
      <c r="H23" s="797">
        <f t="shared" si="0"/>
        <v>3.4090909090909092</v>
      </c>
      <c r="I23" s="169">
        <f t="shared" si="1"/>
        <v>6.2146080984221914</v>
      </c>
      <c r="J23" s="169">
        <f t="shared" si="1"/>
        <v>2.4849066497880004</v>
      </c>
      <c r="K23" s="169">
        <f t="shared" si="2"/>
        <v>1.2264456601779945</v>
      </c>
    </row>
    <row r="24" spans="1:11">
      <c r="A24" s="616">
        <f t="shared" si="3"/>
        <v>18</v>
      </c>
      <c r="B24" s="618">
        <v>28610</v>
      </c>
      <c r="C24" s="604">
        <v>0.68611111111111101</v>
      </c>
      <c r="D24" s="617" t="s">
        <v>133</v>
      </c>
      <c r="E24" s="620" t="s">
        <v>152</v>
      </c>
      <c r="F24" s="621">
        <v>100</v>
      </c>
      <c r="G24" s="621">
        <v>14.4</v>
      </c>
      <c r="H24" s="797">
        <f t="shared" si="0"/>
        <v>0.81818181818181812</v>
      </c>
      <c r="I24" s="169">
        <f t="shared" si="1"/>
        <v>4.6051701859880918</v>
      </c>
      <c r="J24" s="169">
        <f t="shared" si="1"/>
        <v>2.6672282065819548</v>
      </c>
      <c r="K24" s="169">
        <f t="shared" si="2"/>
        <v>-0.20067069546215124</v>
      </c>
    </row>
    <row r="25" spans="1:11" s="902" customFormat="1">
      <c r="A25" s="616">
        <f t="shared" si="3"/>
        <v>19</v>
      </c>
      <c r="B25" s="618">
        <v>30029</v>
      </c>
      <c r="C25" s="604">
        <v>4.1666666666666664E-2</v>
      </c>
      <c r="D25" s="617" t="s">
        <v>128</v>
      </c>
      <c r="E25" s="620" t="s">
        <v>152</v>
      </c>
      <c r="F25" s="621">
        <v>880</v>
      </c>
      <c r="G25" s="621">
        <v>29</v>
      </c>
      <c r="H25" s="794">
        <f t="shared" si="0"/>
        <v>14.5</v>
      </c>
      <c r="I25" s="169">
        <f t="shared" si="1"/>
        <v>6.7799219074722519</v>
      </c>
      <c r="J25" s="169">
        <f t="shared" si="1"/>
        <v>3.3672958299864741</v>
      </c>
      <c r="K25" s="169">
        <f t="shared" si="2"/>
        <v>2.6741486494265287</v>
      </c>
    </row>
    <row r="26" spans="1:11">
      <c r="A26" s="616">
        <f t="shared" si="3"/>
        <v>20</v>
      </c>
      <c r="B26" s="618">
        <v>30080</v>
      </c>
      <c r="C26" s="604">
        <v>0.7993055555555556</v>
      </c>
      <c r="D26" s="617" t="s">
        <v>145</v>
      </c>
      <c r="E26" s="620" t="s">
        <v>152</v>
      </c>
      <c r="F26" s="621">
        <v>40</v>
      </c>
      <c r="G26" s="621">
        <v>2</v>
      </c>
      <c r="H26" s="797">
        <f t="shared" si="0"/>
        <v>4.5454545454545456E-2</v>
      </c>
      <c r="I26" s="169">
        <f t="shared" si="1"/>
        <v>3.6888794541139363</v>
      </c>
      <c r="J26" s="169">
        <f t="shared" si="1"/>
        <v>0.69314718055994529</v>
      </c>
      <c r="K26" s="169">
        <f t="shared" si="2"/>
        <v>-3.0910424533583156</v>
      </c>
    </row>
    <row r="27" spans="1:11">
      <c r="A27" s="616">
        <f t="shared" si="3"/>
        <v>21</v>
      </c>
      <c r="B27" s="618">
        <v>30080</v>
      </c>
      <c r="C27" s="604">
        <v>0.80208333333333337</v>
      </c>
      <c r="D27" s="617" t="s">
        <v>140</v>
      </c>
      <c r="E27" s="620" t="s">
        <v>152</v>
      </c>
      <c r="F27" s="621">
        <v>40</v>
      </c>
      <c r="G27" s="621">
        <v>6</v>
      </c>
      <c r="H27" s="797">
        <f t="shared" si="0"/>
        <v>0.13636363636363635</v>
      </c>
      <c r="I27" s="169">
        <f t="shared" si="1"/>
        <v>3.6888794541139363</v>
      </c>
      <c r="J27" s="169">
        <f t="shared" si="1"/>
        <v>1.791759469228055</v>
      </c>
      <c r="K27" s="169">
        <f t="shared" si="2"/>
        <v>-1.9924301646902063</v>
      </c>
    </row>
    <row r="28" spans="1:11">
      <c r="A28" s="616">
        <f t="shared" si="3"/>
        <v>22</v>
      </c>
      <c r="B28" s="618">
        <v>30090</v>
      </c>
      <c r="C28" s="604">
        <v>0.72430555555555554</v>
      </c>
      <c r="D28" s="617" t="s">
        <v>142</v>
      </c>
      <c r="E28" s="620" t="s">
        <v>152</v>
      </c>
      <c r="F28" s="621">
        <v>587</v>
      </c>
      <c r="G28" s="621">
        <v>1.5</v>
      </c>
      <c r="H28" s="797">
        <f t="shared" si="0"/>
        <v>0.50028409090909087</v>
      </c>
      <c r="I28" s="169">
        <f t="shared" si="1"/>
        <v>6.3750248198280968</v>
      </c>
      <c r="J28" s="169">
        <f t="shared" si="1"/>
        <v>0.40546510810816438</v>
      </c>
      <c r="K28" s="169">
        <f t="shared" si="2"/>
        <v>-0.69257916009593667</v>
      </c>
    </row>
    <row r="29" spans="1:11">
      <c r="A29" s="616">
        <f t="shared" si="3"/>
        <v>23</v>
      </c>
      <c r="B29" s="618">
        <v>30090</v>
      </c>
      <c r="C29" s="604">
        <v>0.74513888888888891</v>
      </c>
      <c r="D29" s="617" t="s">
        <v>142</v>
      </c>
      <c r="E29" s="620" t="s">
        <v>152</v>
      </c>
      <c r="F29" s="621">
        <v>880</v>
      </c>
      <c r="G29" s="621">
        <v>4</v>
      </c>
      <c r="H29" s="797">
        <f t="shared" si="0"/>
        <v>2</v>
      </c>
      <c r="I29" s="169">
        <f t="shared" si="1"/>
        <v>6.7799219074722519</v>
      </c>
      <c r="J29" s="169">
        <f t="shared" si="1"/>
        <v>1.3862943611198906</v>
      </c>
      <c r="K29" s="169">
        <f t="shared" si="2"/>
        <v>0.69314718055994529</v>
      </c>
    </row>
    <row r="30" spans="1:11">
      <c r="A30" s="616">
        <f t="shared" si="3"/>
        <v>24</v>
      </c>
      <c r="B30" s="618">
        <v>30090</v>
      </c>
      <c r="C30" s="604">
        <v>0.76736111111111116</v>
      </c>
      <c r="D30" s="617" t="s">
        <v>142</v>
      </c>
      <c r="E30" s="620" t="s">
        <v>152</v>
      </c>
      <c r="F30" s="621">
        <v>100</v>
      </c>
      <c r="G30" s="621">
        <v>2</v>
      </c>
      <c r="H30" s="797">
        <f t="shared" si="0"/>
        <v>0.11363636363636363</v>
      </c>
      <c r="I30" s="169">
        <f t="shared" si="1"/>
        <v>4.6051701859880918</v>
      </c>
      <c r="J30" s="169">
        <f t="shared" si="1"/>
        <v>0.69314718055994529</v>
      </c>
      <c r="K30" s="169">
        <f t="shared" si="2"/>
        <v>-2.174751721484161</v>
      </c>
    </row>
    <row r="31" spans="1:11">
      <c r="A31" s="616">
        <f t="shared" si="3"/>
        <v>25</v>
      </c>
      <c r="B31" s="618">
        <v>31539</v>
      </c>
      <c r="C31" s="604">
        <v>0.69097222222222221</v>
      </c>
      <c r="D31" s="617" t="s">
        <v>138</v>
      </c>
      <c r="E31" s="620" t="s">
        <v>152</v>
      </c>
      <c r="F31" s="621">
        <v>300</v>
      </c>
      <c r="G31" s="621">
        <v>7</v>
      </c>
      <c r="H31" s="797">
        <f t="shared" si="0"/>
        <v>1.1931818181818181</v>
      </c>
      <c r="I31" s="169">
        <f t="shared" si="1"/>
        <v>5.7037824746562009</v>
      </c>
      <c r="J31" s="169">
        <f t="shared" si="1"/>
        <v>1.9459101490553132</v>
      </c>
      <c r="K31" s="169">
        <f t="shared" si="2"/>
        <v>0.17662353567931685</v>
      </c>
    </row>
    <row r="32" spans="1:11">
      <c r="A32" s="616">
        <f t="shared" si="3"/>
        <v>26</v>
      </c>
      <c r="B32" s="618">
        <v>31858</v>
      </c>
      <c r="C32" s="604">
        <v>0.73958333333333337</v>
      </c>
      <c r="D32" s="617" t="s">
        <v>133</v>
      </c>
      <c r="E32" s="620" t="s">
        <v>152</v>
      </c>
      <c r="F32" s="621">
        <v>440</v>
      </c>
      <c r="G32" s="621">
        <v>30</v>
      </c>
      <c r="H32" s="797">
        <f t="shared" si="0"/>
        <v>7.5</v>
      </c>
      <c r="I32" s="169">
        <f t="shared" si="1"/>
        <v>6.0867747269123065</v>
      </c>
      <c r="J32" s="169">
        <f t="shared" si="1"/>
        <v>3.4011973816621555</v>
      </c>
      <c r="K32" s="169">
        <f t="shared" si="2"/>
        <v>2.0149030205422647</v>
      </c>
    </row>
    <row r="33" spans="1:11">
      <c r="A33" s="616">
        <f t="shared" si="3"/>
        <v>27</v>
      </c>
      <c r="B33" s="618">
        <v>31922</v>
      </c>
      <c r="C33" s="604">
        <v>0.72222222222222221</v>
      </c>
      <c r="D33" s="617" t="s">
        <v>131</v>
      </c>
      <c r="E33" s="620" t="s">
        <v>152</v>
      </c>
      <c r="F33" s="621">
        <v>530</v>
      </c>
      <c r="G33" s="621">
        <v>3</v>
      </c>
      <c r="H33" s="797">
        <f t="shared" si="0"/>
        <v>0.90340909090909094</v>
      </c>
      <c r="I33" s="169">
        <f t="shared" si="1"/>
        <v>6.2728770065461674</v>
      </c>
      <c r="J33" s="169">
        <f t="shared" si="1"/>
        <v>1.0986122886681098</v>
      </c>
      <c r="K33" s="169">
        <f t="shared" si="2"/>
        <v>-0.10157979281792022</v>
      </c>
    </row>
    <row r="34" spans="1:11">
      <c r="A34" s="616">
        <f t="shared" si="3"/>
        <v>28</v>
      </c>
      <c r="B34" s="618">
        <v>31922</v>
      </c>
      <c r="C34" s="604">
        <v>0.8</v>
      </c>
      <c r="D34" s="617" t="s">
        <v>132</v>
      </c>
      <c r="E34" s="620" t="s">
        <v>152</v>
      </c>
      <c r="F34" s="621">
        <v>700</v>
      </c>
      <c r="G34" s="621">
        <v>3</v>
      </c>
      <c r="H34" s="797">
        <f t="shared" si="0"/>
        <v>1.1931818181818181</v>
      </c>
      <c r="I34" s="169">
        <f t="shared" si="1"/>
        <v>6.5510803350434044</v>
      </c>
      <c r="J34" s="169">
        <f t="shared" si="1"/>
        <v>1.0986122886681098</v>
      </c>
      <c r="K34" s="169">
        <f t="shared" si="2"/>
        <v>0.17662353567931685</v>
      </c>
    </row>
    <row r="35" spans="1:11">
      <c r="A35" s="616">
        <f t="shared" si="3"/>
        <v>29</v>
      </c>
      <c r="B35" s="618">
        <v>33024</v>
      </c>
      <c r="C35" s="604">
        <v>0.7368055555555556</v>
      </c>
      <c r="D35" s="617" t="s">
        <v>132</v>
      </c>
      <c r="E35" s="620" t="s">
        <v>152</v>
      </c>
      <c r="F35" s="621">
        <v>1407</v>
      </c>
      <c r="G35" s="621">
        <v>14</v>
      </c>
      <c r="H35" s="797">
        <f t="shared" si="0"/>
        <v>11.192045454545454</v>
      </c>
      <c r="I35" s="169">
        <f t="shared" si="1"/>
        <v>7.2492150571143892</v>
      </c>
      <c r="J35" s="169">
        <f t="shared" si="1"/>
        <v>2.6390573296152584</v>
      </c>
      <c r="K35" s="169">
        <f t="shared" si="2"/>
        <v>2.4152032986974503</v>
      </c>
    </row>
    <row r="36" spans="1:11">
      <c r="A36" s="616">
        <f t="shared" si="3"/>
        <v>30</v>
      </c>
      <c r="B36" s="618">
        <v>33373</v>
      </c>
      <c r="C36" s="604">
        <v>0.84513888888888899</v>
      </c>
      <c r="D36" s="617" t="s">
        <v>148</v>
      </c>
      <c r="E36" s="620" t="s">
        <v>152</v>
      </c>
      <c r="F36" s="621">
        <v>450</v>
      </c>
      <c r="G36" s="621">
        <v>12</v>
      </c>
      <c r="H36" s="797">
        <f t="shared" si="0"/>
        <v>3.0681818181818183</v>
      </c>
      <c r="I36" s="169">
        <f t="shared" si="1"/>
        <v>6.1092475827643655</v>
      </c>
      <c r="J36" s="169">
        <f t="shared" si="1"/>
        <v>2.4849066497880004</v>
      </c>
      <c r="K36" s="169">
        <f t="shared" si="2"/>
        <v>1.1210851445201684</v>
      </c>
    </row>
    <row r="37" spans="1:11">
      <c r="A37" s="616">
        <f t="shared" si="3"/>
        <v>31</v>
      </c>
      <c r="B37" s="618">
        <v>33373</v>
      </c>
      <c r="C37" s="604">
        <v>0.87361111111111101</v>
      </c>
      <c r="D37" s="617" t="s">
        <v>143</v>
      </c>
      <c r="E37" s="620" t="s">
        <v>152</v>
      </c>
      <c r="F37" s="621">
        <v>450</v>
      </c>
      <c r="G37" s="621">
        <v>4</v>
      </c>
      <c r="H37" s="797">
        <f t="shared" si="0"/>
        <v>1.0227272727272727</v>
      </c>
      <c r="I37" s="169">
        <f t="shared" si="1"/>
        <v>6.1092475827643655</v>
      </c>
      <c r="J37" s="169">
        <f t="shared" si="1"/>
        <v>1.3862943611198906</v>
      </c>
      <c r="K37" s="169">
        <f t="shared" si="2"/>
        <v>2.2472855852058576E-2</v>
      </c>
    </row>
    <row r="38" spans="1:11">
      <c r="A38" s="616">
        <f t="shared" si="3"/>
        <v>32</v>
      </c>
      <c r="B38" s="618">
        <v>33782</v>
      </c>
      <c r="C38" s="604">
        <v>0.73402777777777783</v>
      </c>
      <c r="D38" s="617" t="s">
        <v>135</v>
      </c>
      <c r="E38" s="620" t="s">
        <v>152</v>
      </c>
      <c r="F38" s="621">
        <v>300</v>
      </c>
      <c r="G38" s="621">
        <v>5</v>
      </c>
      <c r="H38" s="797">
        <f t="shared" si="0"/>
        <v>0.85227272727272718</v>
      </c>
      <c r="I38" s="169">
        <f t="shared" si="1"/>
        <v>5.7037824746562009</v>
      </c>
      <c r="J38" s="169">
        <f t="shared" si="1"/>
        <v>1.6094379124341003</v>
      </c>
      <c r="K38" s="169">
        <f t="shared" si="2"/>
        <v>-0.15984870094189613</v>
      </c>
    </row>
    <row r="39" spans="1:11">
      <c r="A39" s="616">
        <f t="shared" si="3"/>
        <v>33</v>
      </c>
      <c r="B39" s="618">
        <v>34094</v>
      </c>
      <c r="C39" s="604">
        <v>0.73472222222222217</v>
      </c>
      <c r="D39" s="617" t="s">
        <v>127</v>
      </c>
      <c r="E39" s="620" t="s">
        <v>152</v>
      </c>
      <c r="F39" s="621">
        <v>500</v>
      </c>
      <c r="G39" s="621">
        <v>4</v>
      </c>
      <c r="H39" s="797">
        <f t="shared" si="0"/>
        <v>1.1363636363636365</v>
      </c>
      <c r="I39" s="169">
        <f t="shared" si="1"/>
        <v>6.2146080984221914</v>
      </c>
      <c r="J39" s="169">
        <f t="shared" si="1"/>
        <v>1.3862943611198906</v>
      </c>
      <c r="K39" s="169">
        <f t="shared" si="2"/>
        <v>0.127833371509885</v>
      </c>
    </row>
    <row r="40" spans="1:11">
      <c r="A40" s="616">
        <f t="shared" si="3"/>
        <v>34</v>
      </c>
      <c r="B40" s="618">
        <v>34094</v>
      </c>
      <c r="C40" s="604">
        <v>0.78749999999999998</v>
      </c>
      <c r="D40" s="617" t="s">
        <v>127</v>
      </c>
      <c r="E40" s="620" t="s">
        <v>152</v>
      </c>
      <c r="F40" s="621">
        <v>1200</v>
      </c>
      <c r="G40" s="621">
        <v>11</v>
      </c>
      <c r="H40" s="797">
        <f t="shared" si="0"/>
        <v>7.4999999999999991</v>
      </c>
      <c r="I40" s="169">
        <f t="shared" si="1"/>
        <v>7.0900768357760917</v>
      </c>
      <c r="J40" s="169">
        <f t="shared" si="1"/>
        <v>2.3978952727983707</v>
      </c>
      <c r="K40" s="169">
        <f t="shared" si="2"/>
        <v>2.0149030205422647</v>
      </c>
    </row>
    <row r="41" spans="1:11">
      <c r="A41" s="616">
        <f t="shared" si="3"/>
        <v>35</v>
      </c>
      <c r="B41" s="618">
        <v>35592</v>
      </c>
      <c r="C41" s="604">
        <v>0.7402777777777777</v>
      </c>
      <c r="D41" s="617" t="s">
        <v>143</v>
      </c>
      <c r="E41" s="620" t="s">
        <v>152</v>
      </c>
      <c r="F41" s="621">
        <v>600</v>
      </c>
      <c r="G41" s="621">
        <v>9</v>
      </c>
      <c r="H41" s="797">
        <f t="shared" si="0"/>
        <v>3.0681818181818179</v>
      </c>
      <c r="I41" s="169">
        <f t="shared" si="1"/>
        <v>6.3969296552161463</v>
      </c>
      <c r="J41" s="169">
        <f t="shared" si="1"/>
        <v>2.1972245773362196</v>
      </c>
      <c r="K41" s="169">
        <f t="shared" si="2"/>
        <v>1.1210851445201682</v>
      </c>
    </row>
    <row r="42" spans="1:11">
      <c r="A42" s="616">
        <f t="shared" si="3"/>
        <v>36</v>
      </c>
      <c r="B42" s="618">
        <v>37040</v>
      </c>
      <c r="C42" s="604">
        <v>0.76041666666666663</v>
      </c>
      <c r="D42" s="617" t="s">
        <v>141</v>
      </c>
      <c r="E42" s="620" t="s">
        <v>152</v>
      </c>
      <c r="F42" s="621">
        <v>440</v>
      </c>
      <c r="G42" s="621">
        <v>10</v>
      </c>
      <c r="H42" s="797">
        <f t="shared" si="0"/>
        <v>2.5</v>
      </c>
      <c r="I42" s="169">
        <f t="shared" si="1"/>
        <v>6.0867747269123065</v>
      </c>
      <c r="J42" s="169">
        <f t="shared" si="1"/>
        <v>2.3025850929940459</v>
      </c>
      <c r="K42" s="169">
        <f t="shared" si="2"/>
        <v>0.91629073187415511</v>
      </c>
    </row>
    <row r="43" spans="1:11">
      <c r="A43" s="616">
        <f t="shared" si="3"/>
        <v>37</v>
      </c>
      <c r="B43" s="618">
        <v>39169</v>
      </c>
      <c r="C43" s="604">
        <v>0.77708333333333324</v>
      </c>
      <c r="D43" s="617" t="s">
        <v>147</v>
      </c>
      <c r="E43" s="620" t="s">
        <v>192</v>
      </c>
      <c r="F43" s="621">
        <v>600</v>
      </c>
      <c r="G43" s="621">
        <v>3.35</v>
      </c>
      <c r="H43" s="797">
        <f t="shared" si="0"/>
        <v>1.1420454545454546</v>
      </c>
      <c r="I43" s="169">
        <f t="shared" si="1"/>
        <v>6.3969296552161463</v>
      </c>
      <c r="J43" s="169">
        <f t="shared" si="1"/>
        <v>1.2089603458369751</v>
      </c>
      <c r="K43" s="169">
        <f t="shared" si="2"/>
        <v>0.132820913020924</v>
      </c>
    </row>
    <row r="44" spans="1:11">
      <c r="A44" s="616">
        <f t="shared" si="3"/>
        <v>38</v>
      </c>
      <c r="B44" s="618">
        <v>39169</v>
      </c>
      <c r="C44" s="604">
        <v>0.78333333333333333</v>
      </c>
      <c r="D44" s="617" t="s">
        <v>142</v>
      </c>
      <c r="E44" s="620" t="s">
        <v>192</v>
      </c>
      <c r="F44" s="621">
        <v>600</v>
      </c>
      <c r="G44" s="621">
        <v>3</v>
      </c>
      <c r="H44" s="797">
        <f t="shared" si="0"/>
        <v>1.0227272727272727</v>
      </c>
      <c r="I44" s="169">
        <f t="shared" si="1"/>
        <v>6.3969296552161463</v>
      </c>
      <c r="J44" s="169">
        <f t="shared" si="1"/>
        <v>1.0986122886681098</v>
      </c>
      <c r="K44" s="169">
        <f t="shared" si="2"/>
        <v>2.2472855852058576E-2</v>
      </c>
    </row>
    <row r="45" spans="1:11">
      <c r="A45" s="616">
        <f t="shared" si="3"/>
        <v>39</v>
      </c>
      <c r="B45" s="618">
        <v>39169</v>
      </c>
      <c r="C45" s="604">
        <v>0.82291666666666663</v>
      </c>
      <c r="D45" s="617" t="s">
        <v>142</v>
      </c>
      <c r="E45" s="620" t="s">
        <v>192</v>
      </c>
      <c r="F45" s="621">
        <v>1760</v>
      </c>
      <c r="G45" s="621">
        <v>7.99</v>
      </c>
      <c r="H45" s="797">
        <f t="shared" si="0"/>
        <v>7.99</v>
      </c>
      <c r="I45" s="169">
        <f t="shared" si="1"/>
        <v>7.4730690880321973</v>
      </c>
      <c r="J45" s="169">
        <f t="shared" si="1"/>
        <v>2.0781907597781832</v>
      </c>
      <c r="K45" s="169">
        <f t="shared" si="2"/>
        <v>2.0781907597781832</v>
      </c>
    </row>
    <row r="46" spans="1:11">
      <c r="A46" s="616">
        <f t="shared" si="3"/>
        <v>40</v>
      </c>
      <c r="B46" s="618">
        <v>39169</v>
      </c>
      <c r="C46" s="604">
        <v>0.85416666666666663</v>
      </c>
      <c r="D46" s="617" t="s">
        <v>138</v>
      </c>
      <c r="E46" s="620" t="s">
        <v>192</v>
      </c>
      <c r="F46" s="621">
        <v>1408</v>
      </c>
      <c r="G46" s="621">
        <v>7.77</v>
      </c>
      <c r="H46" s="797">
        <f t="shared" si="0"/>
        <v>6.2160000000000002</v>
      </c>
      <c r="I46" s="169">
        <f t="shared" si="1"/>
        <v>7.2499255367179876</v>
      </c>
      <c r="J46" s="169">
        <f t="shared" si="1"/>
        <v>2.050270164379556</v>
      </c>
      <c r="K46" s="169">
        <f t="shared" si="2"/>
        <v>1.8271266130653463</v>
      </c>
    </row>
    <row r="47" spans="1:11">
      <c r="A47" s="616">
        <f t="shared" si="3"/>
        <v>41</v>
      </c>
      <c r="B47" s="643">
        <v>42324</v>
      </c>
      <c r="C47" s="646">
        <v>0.76388888888888884</v>
      </c>
      <c r="D47" s="724" t="s">
        <v>142</v>
      </c>
      <c r="E47" s="620" t="s">
        <v>192</v>
      </c>
      <c r="F47" s="1015">
        <v>750</v>
      </c>
      <c r="G47" s="1015">
        <v>23.16</v>
      </c>
      <c r="H47" s="797">
        <f t="shared" si="0"/>
        <v>9.8693181818181817</v>
      </c>
      <c r="I47" s="169">
        <f t="shared" si="1"/>
        <v>6.620073206530356</v>
      </c>
      <c r="J47" s="169">
        <f t="shared" si="1"/>
        <v>3.1424266527047946</v>
      </c>
      <c r="K47" s="169">
        <f t="shared" si="2"/>
        <v>2.2894307712029534</v>
      </c>
    </row>
    <row r="48" spans="1:11">
      <c r="A48" s="616">
        <f t="shared" si="3"/>
        <v>42</v>
      </c>
      <c r="B48" s="643">
        <v>42324</v>
      </c>
      <c r="C48" s="646">
        <v>0.79166666666666663</v>
      </c>
      <c r="D48" s="921" t="s">
        <v>137</v>
      </c>
      <c r="E48" s="620" t="s">
        <v>192</v>
      </c>
      <c r="F48" s="1015">
        <v>750</v>
      </c>
      <c r="G48" s="1015">
        <v>8.6999999999999993</v>
      </c>
      <c r="H48" s="797">
        <f t="shared" si="0"/>
        <v>3.7073863636363633</v>
      </c>
      <c r="I48" s="169">
        <f t="shared" si="1"/>
        <v>6.620073206530356</v>
      </c>
      <c r="J48" s="169">
        <f t="shared" si="1"/>
        <v>2.1633230256605378</v>
      </c>
      <c r="K48" s="169">
        <f t="shared" si="2"/>
        <v>1.3103271441586966</v>
      </c>
    </row>
    <row r="49" spans="1:13">
      <c r="A49" s="616">
        <f t="shared" si="3"/>
        <v>43</v>
      </c>
      <c r="B49" s="643">
        <v>42324</v>
      </c>
      <c r="C49" s="646">
        <v>0.79583333333333339</v>
      </c>
      <c r="D49" s="921" t="s">
        <v>142</v>
      </c>
      <c r="E49" s="620" t="s">
        <v>192</v>
      </c>
      <c r="F49" s="1015">
        <v>500</v>
      </c>
      <c r="G49" s="1015">
        <v>10.92</v>
      </c>
      <c r="H49" s="797">
        <f t="shared" si="0"/>
        <v>3.1022727272727275</v>
      </c>
      <c r="I49" s="169">
        <f t="shared" si="1"/>
        <v>6.2146080984221914</v>
      </c>
      <c r="J49" s="169">
        <f t="shared" si="1"/>
        <v>2.3905959703167592</v>
      </c>
      <c r="K49" s="169">
        <f t="shared" si="2"/>
        <v>1.1321349807067533</v>
      </c>
    </row>
    <row r="50" spans="1:13">
      <c r="A50" s="97">
        <f t="shared" si="3"/>
        <v>44</v>
      </c>
      <c r="B50" s="1035"/>
      <c r="C50" s="102"/>
      <c r="D50" s="102"/>
      <c r="E50" s="858" t="s">
        <v>192</v>
      </c>
      <c r="F50" s="102"/>
      <c r="G50" s="102"/>
      <c r="H50" s="264">
        <f t="shared" si="0"/>
        <v>0</v>
      </c>
      <c r="I50" s="169" t="e">
        <f t="shared" si="1"/>
        <v>#NUM!</v>
      </c>
      <c r="J50" s="169" t="e">
        <f t="shared" si="1"/>
        <v>#NUM!</v>
      </c>
      <c r="K50" s="169" t="e">
        <f t="shared" si="2"/>
        <v>#NUM!</v>
      </c>
    </row>
    <row r="51" spans="1:13">
      <c r="A51" s="97">
        <f t="shared" si="3"/>
        <v>45</v>
      </c>
      <c r="B51" s="1035"/>
      <c r="C51" s="102"/>
      <c r="D51" s="102"/>
      <c r="E51" s="858" t="s">
        <v>192</v>
      </c>
      <c r="F51" s="102"/>
      <c r="G51" s="102"/>
      <c r="H51" s="264">
        <f t="shared" si="0"/>
        <v>0</v>
      </c>
      <c r="I51" s="169" t="e">
        <f t="shared" si="1"/>
        <v>#NUM!</v>
      </c>
      <c r="J51" s="169" t="e">
        <f t="shared" si="1"/>
        <v>#NUM!</v>
      </c>
      <c r="K51" s="169" t="e">
        <f t="shared" si="2"/>
        <v>#NUM!</v>
      </c>
    </row>
    <row r="52" spans="1:13">
      <c r="A52" s="97">
        <f t="shared" si="3"/>
        <v>46</v>
      </c>
      <c r="B52" s="1035"/>
      <c r="C52" s="102"/>
      <c r="D52" s="102"/>
      <c r="E52" s="858" t="s">
        <v>192</v>
      </c>
      <c r="F52" s="102"/>
      <c r="G52" s="102"/>
      <c r="H52" s="264">
        <f t="shared" si="0"/>
        <v>0</v>
      </c>
      <c r="I52" s="169" t="e">
        <f t="shared" si="1"/>
        <v>#NUM!</v>
      </c>
      <c r="J52" s="169" t="e">
        <f t="shared" si="1"/>
        <v>#NUM!</v>
      </c>
      <c r="K52" s="169" t="e">
        <f t="shared" si="2"/>
        <v>#NUM!</v>
      </c>
    </row>
    <row r="53" spans="1:13">
      <c r="A53" s="97">
        <f t="shared" si="3"/>
        <v>47</v>
      </c>
      <c r="B53" s="1035"/>
      <c r="C53" s="102"/>
      <c r="D53" s="102"/>
      <c r="E53" s="858" t="s">
        <v>192</v>
      </c>
      <c r="F53" s="102"/>
      <c r="G53" s="102"/>
      <c r="H53" s="264">
        <f t="shared" si="0"/>
        <v>0</v>
      </c>
      <c r="I53" s="169" t="e">
        <f t="shared" si="1"/>
        <v>#NUM!</v>
      </c>
      <c r="J53" s="169" t="e">
        <f t="shared" si="1"/>
        <v>#NUM!</v>
      </c>
      <c r="K53" s="169" t="e">
        <f t="shared" si="2"/>
        <v>#NUM!</v>
      </c>
    </row>
    <row r="54" spans="1:13">
      <c r="A54" s="97">
        <f t="shared" si="3"/>
        <v>48</v>
      </c>
      <c r="B54" s="1035"/>
      <c r="C54" s="102"/>
      <c r="D54" s="102"/>
      <c r="E54" s="858" t="s">
        <v>192</v>
      </c>
      <c r="F54" s="102"/>
      <c r="G54" s="102"/>
      <c r="H54" s="264">
        <f t="shared" si="0"/>
        <v>0</v>
      </c>
      <c r="I54" s="169" t="e">
        <f t="shared" si="1"/>
        <v>#NUM!</v>
      </c>
      <c r="J54" s="169" t="e">
        <f t="shared" si="1"/>
        <v>#NUM!</v>
      </c>
      <c r="K54" s="169" t="e">
        <f t="shared" si="2"/>
        <v>#NUM!</v>
      </c>
    </row>
    <row r="55" spans="1:13">
      <c r="A55" s="97">
        <f t="shared" si="3"/>
        <v>49</v>
      </c>
      <c r="B55" s="1035"/>
      <c r="C55" s="102"/>
      <c r="D55" s="102"/>
      <c r="E55" s="858" t="s">
        <v>192</v>
      </c>
      <c r="F55" s="102"/>
      <c r="G55" s="102"/>
      <c r="H55" s="264">
        <f t="shared" si="0"/>
        <v>0</v>
      </c>
      <c r="I55" s="169" t="e">
        <f t="shared" si="1"/>
        <v>#NUM!</v>
      </c>
      <c r="J55" s="169" t="e">
        <f t="shared" si="1"/>
        <v>#NUM!</v>
      </c>
      <c r="K55" s="169" t="e">
        <f t="shared" si="2"/>
        <v>#NUM!</v>
      </c>
    </row>
    <row r="56" spans="1:13">
      <c r="A56" s="97">
        <f t="shared" si="3"/>
        <v>50</v>
      </c>
      <c r="B56" s="1035"/>
      <c r="C56" s="102"/>
      <c r="D56" s="102"/>
      <c r="E56" s="858" t="s">
        <v>192</v>
      </c>
      <c r="F56" s="102"/>
      <c r="G56" s="102"/>
      <c r="H56" s="264">
        <f t="shared" si="0"/>
        <v>0</v>
      </c>
      <c r="I56" s="169" t="e">
        <f t="shared" si="1"/>
        <v>#NUM!</v>
      </c>
      <c r="J56" s="169" t="e">
        <f t="shared" si="1"/>
        <v>#NUM!</v>
      </c>
      <c r="K56" s="169" t="e">
        <f t="shared" si="2"/>
        <v>#NUM!</v>
      </c>
    </row>
    <row r="57" spans="1:13">
      <c r="A57" s="97">
        <f t="shared" si="3"/>
        <v>51</v>
      </c>
      <c r="B57" s="1035"/>
      <c r="C57" s="102"/>
      <c r="D57" s="102"/>
      <c r="E57" s="858" t="s">
        <v>192</v>
      </c>
      <c r="F57" s="102"/>
      <c r="G57" s="102"/>
      <c r="H57" s="264">
        <f t="shared" si="0"/>
        <v>0</v>
      </c>
      <c r="I57" s="169" t="e">
        <f t="shared" si="1"/>
        <v>#NUM!</v>
      </c>
      <c r="J57" s="169" t="e">
        <f t="shared" si="1"/>
        <v>#NUM!</v>
      </c>
      <c r="K57" s="169" t="e">
        <f t="shared" si="2"/>
        <v>#NUM!</v>
      </c>
    </row>
    <row r="58" spans="1:13">
      <c r="A58" s="97">
        <f t="shared" si="3"/>
        <v>52</v>
      </c>
      <c r="B58" s="1035"/>
      <c r="C58" s="102"/>
      <c r="D58" s="102"/>
      <c r="E58" s="858" t="s">
        <v>192</v>
      </c>
      <c r="F58" s="102"/>
      <c r="G58" s="102"/>
      <c r="H58" s="264">
        <f t="shared" si="0"/>
        <v>0</v>
      </c>
      <c r="I58" s="169" t="e">
        <f t="shared" si="1"/>
        <v>#NUM!</v>
      </c>
      <c r="J58" s="169" t="e">
        <f t="shared" si="1"/>
        <v>#NUM!</v>
      </c>
      <c r="K58" s="169" t="e">
        <f t="shared" si="2"/>
        <v>#NUM!</v>
      </c>
    </row>
    <row r="59" spans="1:13">
      <c r="A59" s="97">
        <f t="shared" si="3"/>
        <v>53</v>
      </c>
      <c r="B59" s="1035"/>
      <c r="C59" s="102"/>
      <c r="D59" s="102"/>
      <c r="E59" s="858" t="s">
        <v>192</v>
      </c>
      <c r="F59" s="102"/>
      <c r="G59" s="102"/>
      <c r="H59" s="264">
        <f t="shared" si="0"/>
        <v>0</v>
      </c>
      <c r="I59" s="169" t="e">
        <f t="shared" si="1"/>
        <v>#NUM!</v>
      </c>
      <c r="J59" s="169" t="e">
        <f t="shared" si="1"/>
        <v>#NUM!</v>
      </c>
      <c r="K59" s="169" t="e">
        <f t="shared" si="2"/>
        <v>#NUM!</v>
      </c>
    </row>
    <row r="60" spans="1:13">
      <c r="A60" s="97">
        <f t="shared" si="3"/>
        <v>54</v>
      </c>
      <c r="B60" s="1035"/>
      <c r="C60" s="102"/>
      <c r="D60" s="102"/>
      <c r="E60" s="858" t="s">
        <v>192</v>
      </c>
      <c r="F60" s="102"/>
      <c r="G60" s="102"/>
      <c r="H60" s="264">
        <f t="shared" ref="H60:H101" si="4">+(F60/1760)*G60</f>
        <v>0</v>
      </c>
      <c r="I60" s="169" t="e">
        <f t="shared" ref="I60:I101" si="5">LN(F60)</f>
        <v>#NUM!</v>
      </c>
      <c r="J60" s="169" t="e">
        <f t="shared" ref="J60:J101" si="6">LN(G60)</f>
        <v>#NUM!</v>
      </c>
      <c r="K60" s="169" t="e">
        <f t="shared" ref="K60:K101" si="7">LN(H60)</f>
        <v>#NUM!</v>
      </c>
    </row>
    <row r="61" spans="1:13">
      <c r="A61" s="97">
        <f t="shared" si="3"/>
        <v>55</v>
      </c>
      <c r="B61" s="1035"/>
      <c r="C61" s="102"/>
      <c r="D61" s="102"/>
      <c r="E61" s="858" t="s">
        <v>192</v>
      </c>
      <c r="F61" s="102"/>
      <c r="G61" s="102"/>
      <c r="H61" s="264">
        <f t="shared" si="4"/>
        <v>0</v>
      </c>
      <c r="I61" s="169" t="e">
        <f t="shared" si="5"/>
        <v>#NUM!</v>
      </c>
      <c r="J61" s="169" t="e">
        <f t="shared" si="6"/>
        <v>#NUM!</v>
      </c>
      <c r="K61" s="169" t="e">
        <f t="shared" si="7"/>
        <v>#NUM!</v>
      </c>
    </row>
    <row r="62" spans="1:13">
      <c r="A62" s="97">
        <f t="shared" si="3"/>
        <v>56</v>
      </c>
      <c r="B62" s="1035"/>
      <c r="C62" s="102"/>
      <c r="D62" s="102"/>
      <c r="E62" s="858" t="s">
        <v>192</v>
      </c>
      <c r="F62" s="102"/>
      <c r="G62" s="102"/>
      <c r="H62" s="264">
        <f t="shared" si="4"/>
        <v>0</v>
      </c>
      <c r="I62" s="169" t="e">
        <f t="shared" si="5"/>
        <v>#NUM!</v>
      </c>
      <c r="J62" s="169" t="e">
        <f t="shared" si="6"/>
        <v>#NUM!</v>
      </c>
      <c r="K62" s="169" t="e">
        <f t="shared" si="7"/>
        <v>#NUM!</v>
      </c>
      <c r="L62" s="32"/>
      <c r="M62" s="32"/>
    </row>
    <row r="63" spans="1:13">
      <c r="A63" s="97">
        <f t="shared" si="3"/>
        <v>57</v>
      </c>
      <c r="B63" s="102"/>
      <c r="C63" s="102"/>
      <c r="D63" s="102"/>
      <c r="E63" s="858" t="s">
        <v>192</v>
      </c>
      <c r="F63" s="102"/>
      <c r="G63" s="102"/>
      <c r="H63" s="264">
        <f t="shared" si="4"/>
        <v>0</v>
      </c>
      <c r="I63" s="169" t="e">
        <f t="shared" si="5"/>
        <v>#NUM!</v>
      </c>
      <c r="J63" s="169" t="e">
        <f t="shared" si="6"/>
        <v>#NUM!</v>
      </c>
      <c r="K63" s="169" t="e">
        <f t="shared" si="7"/>
        <v>#NUM!</v>
      </c>
      <c r="L63" s="389"/>
      <c r="M63" s="32"/>
    </row>
    <row r="64" spans="1:13">
      <c r="A64" s="97">
        <f t="shared" si="3"/>
        <v>58</v>
      </c>
      <c r="B64" s="102"/>
      <c r="C64" s="102"/>
      <c r="D64" s="102"/>
      <c r="E64" s="858" t="s">
        <v>192</v>
      </c>
      <c r="F64" s="102"/>
      <c r="G64" s="102"/>
      <c r="H64" s="264">
        <f t="shared" si="4"/>
        <v>0</v>
      </c>
      <c r="I64" s="169" t="e">
        <f t="shared" si="5"/>
        <v>#NUM!</v>
      </c>
      <c r="J64" s="169" t="e">
        <f t="shared" si="6"/>
        <v>#NUM!</v>
      </c>
      <c r="K64" s="169" t="e">
        <f t="shared" si="7"/>
        <v>#NUM!</v>
      </c>
      <c r="L64" s="32"/>
      <c r="M64" s="32"/>
    </row>
    <row r="65" spans="1:13">
      <c r="A65" s="97">
        <f t="shared" si="3"/>
        <v>59</v>
      </c>
      <c r="B65" s="102"/>
      <c r="C65" s="102"/>
      <c r="D65" s="102"/>
      <c r="E65" s="858" t="s">
        <v>192</v>
      </c>
      <c r="F65" s="102"/>
      <c r="G65" s="102"/>
      <c r="H65" s="264">
        <f t="shared" si="4"/>
        <v>0</v>
      </c>
      <c r="I65" s="169" t="e">
        <f t="shared" si="5"/>
        <v>#NUM!</v>
      </c>
      <c r="J65" s="169" t="e">
        <f t="shared" si="6"/>
        <v>#NUM!</v>
      </c>
      <c r="K65" s="169" t="e">
        <f t="shared" si="7"/>
        <v>#NUM!</v>
      </c>
      <c r="L65" s="32"/>
      <c r="M65" s="32"/>
    </row>
    <row r="66" spans="1:13">
      <c r="A66" s="97">
        <f t="shared" si="3"/>
        <v>60</v>
      </c>
      <c r="B66" s="102"/>
      <c r="C66" s="102"/>
      <c r="D66" s="102"/>
      <c r="E66" s="858" t="s">
        <v>192</v>
      </c>
      <c r="F66" s="102"/>
      <c r="G66" s="102"/>
      <c r="H66" s="264">
        <f t="shared" si="4"/>
        <v>0</v>
      </c>
      <c r="I66" s="169" t="e">
        <f t="shared" si="5"/>
        <v>#NUM!</v>
      </c>
      <c r="J66" s="169" t="e">
        <f t="shared" si="6"/>
        <v>#NUM!</v>
      </c>
      <c r="K66" s="169" t="e">
        <f t="shared" si="7"/>
        <v>#NUM!</v>
      </c>
    </row>
    <row r="67" spans="1:13">
      <c r="A67" s="97">
        <f t="shared" si="3"/>
        <v>61</v>
      </c>
      <c r="B67" s="102"/>
      <c r="C67" s="102"/>
      <c r="D67" s="102"/>
      <c r="E67" s="858" t="s">
        <v>192</v>
      </c>
      <c r="F67" s="102"/>
      <c r="G67" s="102"/>
      <c r="H67" s="264">
        <f t="shared" si="4"/>
        <v>0</v>
      </c>
      <c r="I67" s="169" t="e">
        <f t="shared" si="5"/>
        <v>#NUM!</v>
      </c>
      <c r="J67" s="169" t="e">
        <f t="shared" si="6"/>
        <v>#NUM!</v>
      </c>
      <c r="K67" s="169" t="e">
        <f t="shared" si="7"/>
        <v>#NUM!</v>
      </c>
    </row>
    <row r="68" spans="1:13">
      <c r="A68" s="97">
        <f t="shared" si="3"/>
        <v>62</v>
      </c>
      <c r="B68" s="102"/>
      <c r="C68" s="102"/>
      <c r="D68" s="102"/>
      <c r="E68" s="858" t="s">
        <v>192</v>
      </c>
      <c r="F68" s="102"/>
      <c r="G68" s="102"/>
      <c r="H68" s="264">
        <f t="shared" si="4"/>
        <v>0</v>
      </c>
      <c r="I68" s="169" t="e">
        <f t="shared" si="5"/>
        <v>#NUM!</v>
      </c>
      <c r="J68" s="169" t="e">
        <f t="shared" si="6"/>
        <v>#NUM!</v>
      </c>
      <c r="K68" s="169" t="e">
        <f t="shared" si="7"/>
        <v>#NUM!</v>
      </c>
    </row>
    <row r="69" spans="1:13">
      <c r="A69" s="97">
        <f t="shared" si="3"/>
        <v>63</v>
      </c>
      <c r="B69" s="102"/>
      <c r="C69" s="102"/>
      <c r="D69" s="102"/>
      <c r="E69" s="858" t="s">
        <v>192</v>
      </c>
      <c r="F69" s="102"/>
      <c r="G69" s="102"/>
      <c r="H69" s="264">
        <f t="shared" si="4"/>
        <v>0</v>
      </c>
      <c r="I69" s="169" t="e">
        <f t="shared" si="5"/>
        <v>#NUM!</v>
      </c>
      <c r="J69" s="169" t="e">
        <f t="shared" si="6"/>
        <v>#NUM!</v>
      </c>
      <c r="K69" s="169" t="e">
        <f t="shared" si="7"/>
        <v>#NUM!</v>
      </c>
    </row>
    <row r="70" spans="1:13">
      <c r="A70" s="97">
        <f t="shared" si="3"/>
        <v>64</v>
      </c>
      <c r="B70" s="102"/>
      <c r="C70" s="102"/>
      <c r="D70" s="102"/>
      <c r="E70" s="858" t="s">
        <v>192</v>
      </c>
      <c r="F70" s="102"/>
      <c r="G70" s="102"/>
      <c r="H70" s="264">
        <f t="shared" si="4"/>
        <v>0</v>
      </c>
      <c r="I70" s="169" t="e">
        <f t="shared" si="5"/>
        <v>#NUM!</v>
      </c>
      <c r="J70" s="169" t="e">
        <f t="shared" si="6"/>
        <v>#NUM!</v>
      </c>
      <c r="K70" s="169" t="e">
        <f t="shared" si="7"/>
        <v>#NUM!</v>
      </c>
    </row>
    <row r="71" spans="1:13">
      <c r="A71" s="97">
        <f t="shared" si="3"/>
        <v>65</v>
      </c>
      <c r="B71" s="102"/>
      <c r="C71" s="102"/>
      <c r="D71" s="102"/>
      <c r="E71" s="858" t="s">
        <v>192</v>
      </c>
      <c r="F71" s="102"/>
      <c r="G71" s="102"/>
      <c r="H71" s="264">
        <f t="shared" si="4"/>
        <v>0</v>
      </c>
      <c r="I71" s="169" t="e">
        <f t="shared" si="5"/>
        <v>#NUM!</v>
      </c>
      <c r="J71" s="169" t="e">
        <f t="shared" si="6"/>
        <v>#NUM!</v>
      </c>
      <c r="K71" s="169" t="e">
        <f t="shared" si="7"/>
        <v>#NUM!</v>
      </c>
    </row>
    <row r="72" spans="1:13">
      <c r="A72" s="97">
        <f t="shared" si="3"/>
        <v>66</v>
      </c>
      <c r="B72" s="102"/>
      <c r="C72" s="102"/>
      <c r="D72" s="102"/>
      <c r="E72" s="858" t="s">
        <v>192</v>
      </c>
      <c r="F72" s="102"/>
      <c r="G72" s="102"/>
      <c r="H72" s="264">
        <f t="shared" si="4"/>
        <v>0</v>
      </c>
      <c r="I72" s="169" t="e">
        <f t="shared" si="5"/>
        <v>#NUM!</v>
      </c>
      <c r="J72" s="169" t="e">
        <f t="shared" si="6"/>
        <v>#NUM!</v>
      </c>
      <c r="K72" s="169" t="e">
        <f t="shared" si="7"/>
        <v>#NUM!</v>
      </c>
    </row>
    <row r="73" spans="1:13">
      <c r="A73" s="97">
        <f t="shared" si="3"/>
        <v>67</v>
      </c>
      <c r="B73" s="102"/>
      <c r="C73" s="102"/>
      <c r="D73" s="102"/>
      <c r="E73" s="858" t="s">
        <v>192</v>
      </c>
      <c r="F73" s="102"/>
      <c r="G73" s="102"/>
      <c r="H73" s="264">
        <f t="shared" si="4"/>
        <v>0</v>
      </c>
      <c r="I73" s="169" t="e">
        <f t="shared" si="5"/>
        <v>#NUM!</v>
      </c>
      <c r="J73" s="169" t="e">
        <f t="shared" si="6"/>
        <v>#NUM!</v>
      </c>
      <c r="K73" s="169" t="e">
        <f t="shared" si="7"/>
        <v>#NUM!</v>
      </c>
    </row>
    <row r="74" spans="1:13">
      <c r="A74" s="97">
        <f t="shared" ref="A74:A101" si="8">+A73+1</f>
        <v>68</v>
      </c>
      <c r="B74" s="102"/>
      <c r="C74" s="102"/>
      <c r="D74" s="102"/>
      <c r="E74" s="858" t="s">
        <v>192</v>
      </c>
      <c r="F74" s="102"/>
      <c r="G74" s="102"/>
      <c r="H74" s="264">
        <f t="shared" si="4"/>
        <v>0</v>
      </c>
      <c r="I74" s="169" t="e">
        <f t="shared" si="5"/>
        <v>#NUM!</v>
      </c>
      <c r="J74" s="169" t="e">
        <f t="shared" si="6"/>
        <v>#NUM!</v>
      </c>
      <c r="K74" s="169" t="e">
        <f t="shared" si="7"/>
        <v>#NUM!</v>
      </c>
    </row>
    <row r="75" spans="1:13">
      <c r="A75" s="97">
        <f t="shared" si="8"/>
        <v>69</v>
      </c>
      <c r="B75" s="102"/>
      <c r="C75" s="102"/>
      <c r="D75" s="102"/>
      <c r="E75" s="858" t="s">
        <v>192</v>
      </c>
      <c r="F75" s="102"/>
      <c r="G75" s="102"/>
      <c r="H75" s="264">
        <f t="shared" si="4"/>
        <v>0</v>
      </c>
      <c r="I75" s="169" t="e">
        <f t="shared" si="5"/>
        <v>#NUM!</v>
      </c>
      <c r="J75" s="169" t="e">
        <f t="shared" si="6"/>
        <v>#NUM!</v>
      </c>
      <c r="K75" s="169" t="e">
        <f t="shared" si="7"/>
        <v>#NUM!</v>
      </c>
    </row>
    <row r="76" spans="1:13">
      <c r="A76" s="97">
        <f t="shared" si="8"/>
        <v>70</v>
      </c>
      <c r="B76" s="102"/>
      <c r="C76" s="102"/>
      <c r="D76" s="102"/>
      <c r="E76" s="858" t="s">
        <v>192</v>
      </c>
      <c r="F76" s="102"/>
      <c r="G76" s="102"/>
      <c r="H76" s="264">
        <f t="shared" si="4"/>
        <v>0</v>
      </c>
      <c r="I76" s="169" t="e">
        <f t="shared" si="5"/>
        <v>#NUM!</v>
      </c>
      <c r="J76" s="169" t="e">
        <f t="shared" si="6"/>
        <v>#NUM!</v>
      </c>
      <c r="K76" s="169" t="e">
        <f t="shared" si="7"/>
        <v>#NUM!</v>
      </c>
    </row>
    <row r="77" spans="1:13">
      <c r="A77" s="97">
        <f t="shared" si="8"/>
        <v>71</v>
      </c>
      <c r="B77" s="102"/>
      <c r="C77" s="102"/>
      <c r="D77" s="102"/>
      <c r="E77" s="858" t="s">
        <v>192</v>
      </c>
      <c r="F77" s="102"/>
      <c r="G77" s="102"/>
      <c r="H77" s="264">
        <f t="shared" si="4"/>
        <v>0</v>
      </c>
      <c r="I77" s="169" t="e">
        <f t="shared" si="5"/>
        <v>#NUM!</v>
      </c>
      <c r="J77" s="169" t="e">
        <f t="shared" si="6"/>
        <v>#NUM!</v>
      </c>
      <c r="K77" s="169" t="e">
        <f t="shared" si="7"/>
        <v>#NUM!</v>
      </c>
    </row>
    <row r="78" spans="1:13">
      <c r="A78" s="97">
        <f t="shared" si="8"/>
        <v>72</v>
      </c>
      <c r="B78" s="102"/>
      <c r="C78" s="102"/>
      <c r="D78" s="102"/>
      <c r="E78" s="858" t="s">
        <v>192</v>
      </c>
      <c r="F78" s="102"/>
      <c r="G78" s="102"/>
      <c r="H78" s="264">
        <f t="shared" si="4"/>
        <v>0</v>
      </c>
      <c r="I78" s="169" t="e">
        <f t="shared" si="5"/>
        <v>#NUM!</v>
      </c>
      <c r="J78" s="169" t="e">
        <f t="shared" si="6"/>
        <v>#NUM!</v>
      </c>
      <c r="K78" s="169" t="e">
        <f t="shared" si="7"/>
        <v>#NUM!</v>
      </c>
    </row>
    <row r="79" spans="1:13">
      <c r="A79" s="97">
        <f t="shared" si="8"/>
        <v>73</v>
      </c>
      <c r="B79" s="102"/>
      <c r="C79" s="102"/>
      <c r="D79" s="102"/>
      <c r="E79" s="858" t="s">
        <v>192</v>
      </c>
      <c r="F79" s="102"/>
      <c r="G79" s="102"/>
      <c r="H79" s="264">
        <f t="shared" si="4"/>
        <v>0</v>
      </c>
      <c r="I79" s="169" t="e">
        <f t="shared" si="5"/>
        <v>#NUM!</v>
      </c>
      <c r="J79" s="169" t="e">
        <f t="shared" si="6"/>
        <v>#NUM!</v>
      </c>
      <c r="K79" s="169" t="e">
        <f t="shared" si="7"/>
        <v>#NUM!</v>
      </c>
    </row>
    <row r="80" spans="1:13">
      <c r="A80" s="97">
        <f t="shared" si="8"/>
        <v>74</v>
      </c>
      <c r="B80" s="102"/>
      <c r="C80" s="102"/>
      <c r="D80" s="102"/>
      <c r="E80" s="858" t="s">
        <v>192</v>
      </c>
      <c r="F80" s="102"/>
      <c r="G80" s="102"/>
      <c r="H80" s="264">
        <f t="shared" si="4"/>
        <v>0</v>
      </c>
      <c r="I80" s="169" t="e">
        <f t="shared" si="5"/>
        <v>#NUM!</v>
      </c>
      <c r="J80" s="169" t="e">
        <f t="shared" si="6"/>
        <v>#NUM!</v>
      </c>
      <c r="K80" s="169" t="e">
        <f t="shared" si="7"/>
        <v>#NUM!</v>
      </c>
    </row>
    <row r="81" spans="1:11">
      <c r="A81" s="97">
        <f t="shared" si="8"/>
        <v>75</v>
      </c>
      <c r="B81" s="102"/>
      <c r="C81" s="102"/>
      <c r="D81" s="102"/>
      <c r="E81" s="858" t="s">
        <v>192</v>
      </c>
      <c r="F81" s="102"/>
      <c r="G81" s="102"/>
      <c r="H81" s="264">
        <f t="shared" si="4"/>
        <v>0</v>
      </c>
      <c r="I81" s="169" t="e">
        <f t="shared" si="5"/>
        <v>#NUM!</v>
      </c>
      <c r="J81" s="169" t="e">
        <f t="shared" si="6"/>
        <v>#NUM!</v>
      </c>
      <c r="K81" s="169" t="e">
        <f t="shared" si="7"/>
        <v>#NUM!</v>
      </c>
    </row>
    <row r="82" spans="1:11">
      <c r="A82" s="97">
        <f t="shared" si="8"/>
        <v>76</v>
      </c>
      <c r="B82" s="102"/>
      <c r="C82" s="102"/>
      <c r="D82" s="102"/>
      <c r="E82" s="858" t="s">
        <v>192</v>
      </c>
      <c r="F82" s="102"/>
      <c r="G82" s="102"/>
      <c r="H82" s="264">
        <f t="shared" si="4"/>
        <v>0</v>
      </c>
      <c r="I82" s="169" t="e">
        <f t="shared" si="5"/>
        <v>#NUM!</v>
      </c>
      <c r="J82" s="169" t="e">
        <f t="shared" si="6"/>
        <v>#NUM!</v>
      </c>
      <c r="K82" s="169" t="e">
        <f t="shared" si="7"/>
        <v>#NUM!</v>
      </c>
    </row>
    <row r="83" spans="1:11">
      <c r="A83" s="97">
        <f t="shared" si="8"/>
        <v>77</v>
      </c>
      <c r="B83" s="102"/>
      <c r="C83" s="102"/>
      <c r="D83" s="102"/>
      <c r="E83" s="858" t="s">
        <v>192</v>
      </c>
      <c r="F83" s="102"/>
      <c r="G83" s="102"/>
      <c r="H83" s="264">
        <f t="shared" si="4"/>
        <v>0</v>
      </c>
      <c r="I83" s="169" t="e">
        <f t="shared" si="5"/>
        <v>#NUM!</v>
      </c>
      <c r="J83" s="169" t="e">
        <f t="shared" si="6"/>
        <v>#NUM!</v>
      </c>
      <c r="K83" s="169" t="e">
        <f t="shared" si="7"/>
        <v>#NUM!</v>
      </c>
    </row>
    <row r="84" spans="1:11">
      <c r="A84" s="97">
        <f t="shared" si="8"/>
        <v>78</v>
      </c>
      <c r="B84" s="102"/>
      <c r="C84" s="102"/>
      <c r="D84" s="102"/>
      <c r="E84" s="858" t="s">
        <v>192</v>
      </c>
      <c r="F84" s="102"/>
      <c r="G84" s="102"/>
      <c r="H84" s="264">
        <f t="shared" si="4"/>
        <v>0</v>
      </c>
      <c r="I84" s="169" t="e">
        <f t="shared" si="5"/>
        <v>#NUM!</v>
      </c>
      <c r="J84" s="169" t="e">
        <f t="shared" si="6"/>
        <v>#NUM!</v>
      </c>
      <c r="K84" s="169" t="e">
        <f t="shared" si="7"/>
        <v>#NUM!</v>
      </c>
    </row>
    <row r="85" spans="1:11">
      <c r="A85" s="97">
        <f t="shared" si="8"/>
        <v>79</v>
      </c>
      <c r="B85" s="102"/>
      <c r="C85" s="102"/>
      <c r="D85" s="102"/>
      <c r="E85" s="858" t="s">
        <v>192</v>
      </c>
      <c r="F85" s="102"/>
      <c r="G85" s="102"/>
      <c r="H85" s="264">
        <f t="shared" si="4"/>
        <v>0</v>
      </c>
      <c r="I85" s="169" t="e">
        <f t="shared" si="5"/>
        <v>#NUM!</v>
      </c>
      <c r="J85" s="169" t="e">
        <f t="shared" si="6"/>
        <v>#NUM!</v>
      </c>
      <c r="K85" s="169" t="e">
        <f t="shared" si="7"/>
        <v>#NUM!</v>
      </c>
    </row>
    <row r="86" spans="1:11">
      <c r="A86" s="97">
        <f t="shared" si="8"/>
        <v>80</v>
      </c>
      <c r="B86" s="102"/>
      <c r="C86" s="102"/>
      <c r="D86" s="102"/>
      <c r="E86" s="858" t="s">
        <v>192</v>
      </c>
      <c r="F86" s="102"/>
      <c r="G86" s="102"/>
      <c r="H86" s="264">
        <f t="shared" si="4"/>
        <v>0</v>
      </c>
      <c r="I86" s="169" t="e">
        <f t="shared" si="5"/>
        <v>#NUM!</v>
      </c>
      <c r="J86" s="169" t="e">
        <f t="shared" si="6"/>
        <v>#NUM!</v>
      </c>
      <c r="K86" s="169" t="e">
        <f t="shared" si="7"/>
        <v>#NUM!</v>
      </c>
    </row>
    <row r="87" spans="1:11">
      <c r="A87" s="97">
        <f t="shared" si="8"/>
        <v>81</v>
      </c>
      <c r="B87" s="102"/>
      <c r="C87" s="102"/>
      <c r="D87" s="102"/>
      <c r="E87" s="858" t="s">
        <v>192</v>
      </c>
      <c r="F87" s="102"/>
      <c r="G87" s="102"/>
      <c r="H87" s="264">
        <f t="shared" si="4"/>
        <v>0</v>
      </c>
      <c r="I87" s="169" t="e">
        <f t="shared" si="5"/>
        <v>#NUM!</v>
      </c>
      <c r="J87" s="169" t="e">
        <f t="shared" si="6"/>
        <v>#NUM!</v>
      </c>
      <c r="K87" s="169" t="e">
        <f t="shared" si="7"/>
        <v>#NUM!</v>
      </c>
    </row>
    <row r="88" spans="1:11">
      <c r="A88" s="97">
        <f t="shared" si="8"/>
        <v>82</v>
      </c>
      <c r="B88" s="102"/>
      <c r="C88" s="102"/>
      <c r="D88" s="102"/>
      <c r="E88" s="858" t="s">
        <v>192</v>
      </c>
      <c r="F88" s="102"/>
      <c r="G88" s="102"/>
      <c r="H88" s="264">
        <f t="shared" si="4"/>
        <v>0</v>
      </c>
      <c r="I88" s="169" t="e">
        <f t="shared" si="5"/>
        <v>#NUM!</v>
      </c>
      <c r="J88" s="169" t="e">
        <f t="shared" si="6"/>
        <v>#NUM!</v>
      </c>
      <c r="K88" s="169" t="e">
        <f t="shared" si="7"/>
        <v>#NUM!</v>
      </c>
    </row>
    <row r="89" spans="1:11">
      <c r="A89" s="97">
        <f t="shared" si="8"/>
        <v>83</v>
      </c>
      <c r="B89" s="102"/>
      <c r="C89" s="102"/>
      <c r="D89" s="102"/>
      <c r="E89" s="858" t="s">
        <v>192</v>
      </c>
      <c r="F89" s="102"/>
      <c r="G89" s="102"/>
      <c r="H89" s="264">
        <f t="shared" si="4"/>
        <v>0</v>
      </c>
      <c r="I89" s="169" t="e">
        <f t="shared" si="5"/>
        <v>#NUM!</v>
      </c>
      <c r="J89" s="169" t="e">
        <f t="shared" si="6"/>
        <v>#NUM!</v>
      </c>
      <c r="K89" s="169" t="e">
        <f t="shared" si="7"/>
        <v>#NUM!</v>
      </c>
    </row>
    <row r="90" spans="1:11">
      <c r="A90" s="97">
        <f t="shared" si="8"/>
        <v>84</v>
      </c>
      <c r="B90" s="102"/>
      <c r="C90" s="102"/>
      <c r="D90" s="102"/>
      <c r="E90" s="858" t="s">
        <v>192</v>
      </c>
      <c r="F90" s="102"/>
      <c r="G90" s="102"/>
      <c r="H90" s="264">
        <f t="shared" si="4"/>
        <v>0</v>
      </c>
      <c r="I90" s="169" t="e">
        <f t="shared" si="5"/>
        <v>#NUM!</v>
      </c>
      <c r="J90" s="169" t="e">
        <f t="shared" si="6"/>
        <v>#NUM!</v>
      </c>
      <c r="K90" s="169" t="e">
        <f t="shared" si="7"/>
        <v>#NUM!</v>
      </c>
    </row>
    <row r="91" spans="1:11">
      <c r="A91" s="97">
        <f t="shared" si="8"/>
        <v>85</v>
      </c>
      <c r="B91" s="102"/>
      <c r="C91" s="102"/>
      <c r="D91" s="102"/>
      <c r="E91" s="858" t="s">
        <v>192</v>
      </c>
      <c r="F91" s="102"/>
      <c r="G91" s="102"/>
      <c r="H91" s="264">
        <f t="shared" si="4"/>
        <v>0</v>
      </c>
      <c r="I91" s="169" t="e">
        <f t="shared" si="5"/>
        <v>#NUM!</v>
      </c>
      <c r="J91" s="169" t="e">
        <f t="shared" si="6"/>
        <v>#NUM!</v>
      </c>
      <c r="K91" s="169" t="e">
        <f t="shared" si="7"/>
        <v>#NUM!</v>
      </c>
    </row>
    <row r="92" spans="1:11">
      <c r="A92" s="97">
        <f t="shared" si="8"/>
        <v>86</v>
      </c>
      <c r="B92" s="102"/>
      <c r="C92" s="102"/>
      <c r="D92" s="102"/>
      <c r="E92" s="858" t="s">
        <v>192</v>
      </c>
      <c r="F92" s="102"/>
      <c r="G92" s="102"/>
      <c r="H92" s="264">
        <f t="shared" si="4"/>
        <v>0</v>
      </c>
      <c r="I92" s="169" t="e">
        <f t="shared" si="5"/>
        <v>#NUM!</v>
      </c>
      <c r="J92" s="169" t="e">
        <f t="shared" si="6"/>
        <v>#NUM!</v>
      </c>
      <c r="K92" s="169" t="e">
        <f t="shared" si="7"/>
        <v>#NUM!</v>
      </c>
    </row>
    <row r="93" spans="1:11">
      <c r="A93" s="97">
        <f t="shared" si="8"/>
        <v>87</v>
      </c>
      <c r="B93" s="102"/>
      <c r="C93" s="102"/>
      <c r="D93" s="102"/>
      <c r="E93" s="858" t="s">
        <v>192</v>
      </c>
      <c r="F93" s="102"/>
      <c r="G93" s="102"/>
      <c r="H93" s="264">
        <f t="shared" si="4"/>
        <v>0</v>
      </c>
      <c r="I93" s="169" t="e">
        <f t="shared" si="5"/>
        <v>#NUM!</v>
      </c>
      <c r="J93" s="169" t="e">
        <f t="shared" si="6"/>
        <v>#NUM!</v>
      </c>
      <c r="K93" s="169" t="e">
        <f t="shared" si="7"/>
        <v>#NUM!</v>
      </c>
    </row>
    <row r="94" spans="1:11">
      <c r="A94" s="97">
        <f t="shared" si="8"/>
        <v>88</v>
      </c>
      <c r="B94" s="102"/>
      <c r="C94" s="102"/>
      <c r="D94" s="102"/>
      <c r="E94" s="858" t="s">
        <v>192</v>
      </c>
      <c r="F94" s="102"/>
      <c r="G94" s="102"/>
      <c r="H94" s="264">
        <f t="shared" si="4"/>
        <v>0</v>
      </c>
      <c r="I94" s="169" t="e">
        <f t="shared" si="5"/>
        <v>#NUM!</v>
      </c>
      <c r="J94" s="169" t="e">
        <f t="shared" si="6"/>
        <v>#NUM!</v>
      </c>
      <c r="K94" s="169" t="e">
        <f t="shared" si="7"/>
        <v>#NUM!</v>
      </c>
    </row>
    <row r="95" spans="1:11">
      <c r="A95" s="97">
        <f t="shared" si="8"/>
        <v>89</v>
      </c>
      <c r="B95" s="102"/>
      <c r="C95" s="102"/>
      <c r="D95" s="102"/>
      <c r="E95" s="858" t="s">
        <v>192</v>
      </c>
      <c r="F95" s="102"/>
      <c r="G95" s="102"/>
      <c r="H95" s="264">
        <f t="shared" si="4"/>
        <v>0</v>
      </c>
      <c r="I95" s="169" t="e">
        <f t="shared" si="5"/>
        <v>#NUM!</v>
      </c>
      <c r="J95" s="169" t="e">
        <f t="shared" si="6"/>
        <v>#NUM!</v>
      </c>
      <c r="K95" s="169" t="e">
        <f t="shared" si="7"/>
        <v>#NUM!</v>
      </c>
    </row>
    <row r="96" spans="1:11">
      <c r="A96" s="97">
        <f t="shared" si="8"/>
        <v>90</v>
      </c>
      <c r="B96" s="102"/>
      <c r="C96" s="102"/>
      <c r="D96" s="102"/>
      <c r="E96" s="858" t="s">
        <v>192</v>
      </c>
      <c r="F96" s="102"/>
      <c r="G96" s="102"/>
      <c r="H96" s="264">
        <f t="shared" si="4"/>
        <v>0</v>
      </c>
      <c r="I96" s="169" t="e">
        <f t="shared" si="5"/>
        <v>#NUM!</v>
      </c>
      <c r="J96" s="169" t="e">
        <f t="shared" si="6"/>
        <v>#NUM!</v>
      </c>
      <c r="K96" s="169" t="e">
        <f t="shared" si="7"/>
        <v>#NUM!</v>
      </c>
    </row>
    <row r="97" spans="1:11">
      <c r="A97" s="97">
        <f t="shared" si="8"/>
        <v>91</v>
      </c>
      <c r="B97" s="102"/>
      <c r="C97" s="102"/>
      <c r="D97" s="102"/>
      <c r="E97" s="858" t="s">
        <v>192</v>
      </c>
      <c r="F97" s="102"/>
      <c r="G97" s="102"/>
      <c r="H97" s="264">
        <f t="shared" si="4"/>
        <v>0</v>
      </c>
      <c r="I97" s="169" t="e">
        <f t="shared" si="5"/>
        <v>#NUM!</v>
      </c>
      <c r="J97" s="169" t="e">
        <f t="shared" si="6"/>
        <v>#NUM!</v>
      </c>
      <c r="K97" s="169" t="e">
        <f t="shared" si="7"/>
        <v>#NUM!</v>
      </c>
    </row>
    <row r="98" spans="1:11">
      <c r="A98" s="97">
        <f t="shared" si="8"/>
        <v>92</v>
      </c>
      <c r="B98" s="102"/>
      <c r="C98" s="102"/>
      <c r="D98" s="102"/>
      <c r="E98" s="858" t="s">
        <v>192</v>
      </c>
      <c r="F98" s="102"/>
      <c r="G98" s="102"/>
      <c r="H98" s="264">
        <f t="shared" si="4"/>
        <v>0</v>
      </c>
      <c r="I98" s="169" t="e">
        <f t="shared" si="5"/>
        <v>#NUM!</v>
      </c>
      <c r="J98" s="169" t="e">
        <f t="shared" si="6"/>
        <v>#NUM!</v>
      </c>
      <c r="K98" s="169" t="e">
        <f t="shared" si="7"/>
        <v>#NUM!</v>
      </c>
    </row>
    <row r="99" spans="1:11">
      <c r="A99" s="97">
        <f t="shared" si="8"/>
        <v>93</v>
      </c>
      <c r="B99" s="102"/>
      <c r="C99" s="102"/>
      <c r="D99" s="102"/>
      <c r="E99" s="858" t="s">
        <v>192</v>
      </c>
      <c r="F99" s="102"/>
      <c r="G99" s="102"/>
      <c r="H99" s="264">
        <f t="shared" si="4"/>
        <v>0</v>
      </c>
      <c r="I99" s="169" t="e">
        <f t="shared" si="5"/>
        <v>#NUM!</v>
      </c>
      <c r="J99" s="169" t="e">
        <f t="shared" si="6"/>
        <v>#NUM!</v>
      </c>
      <c r="K99" s="169" t="e">
        <f t="shared" si="7"/>
        <v>#NUM!</v>
      </c>
    </row>
    <row r="100" spans="1:11">
      <c r="A100" s="97">
        <f t="shared" si="8"/>
        <v>94</v>
      </c>
      <c r="B100" s="102"/>
      <c r="C100" s="102"/>
      <c r="D100" s="102"/>
      <c r="E100" s="858" t="s">
        <v>192</v>
      </c>
      <c r="F100" s="102"/>
      <c r="G100" s="102"/>
      <c r="H100" s="264">
        <f t="shared" si="4"/>
        <v>0</v>
      </c>
      <c r="I100" s="169" t="e">
        <f t="shared" si="5"/>
        <v>#NUM!</v>
      </c>
      <c r="J100" s="169" t="e">
        <f t="shared" si="6"/>
        <v>#NUM!</v>
      </c>
      <c r="K100" s="169" t="e">
        <f t="shared" si="7"/>
        <v>#NUM!</v>
      </c>
    </row>
    <row r="101" spans="1:11">
      <c r="A101" s="97">
        <f t="shared" si="8"/>
        <v>95</v>
      </c>
      <c r="B101" s="102"/>
      <c r="C101" s="102"/>
      <c r="D101" s="102"/>
      <c r="E101" s="858" t="s">
        <v>192</v>
      </c>
      <c r="F101" s="102"/>
      <c r="G101" s="102"/>
      <c r="H101" s="264">
        <f t="shared" si="4"/>
        <v>0</v>
      </c>
      <c r="I101" s="169" t="e">
        <f t="shared" si="5"/>
        <v>#NUM!</v>
      </c>
      <c r="J101" s="169" t="e">
        <f t="shared" si="6"/>
        <v>#NUM!</v>
      </c>
      <c r="K101" s="169" t="e">
        <f t="shared" si="7"/>
        <v>#NUM!</v>
      </c>
    </row>
  </sheetData>
  <customSheetViews>
    <customSheetView guid="{CFA9FB8A-52FF-44B9-AE70-27339693E196}" scale="90" topLeftCell="I1">
      <pane ySplit="6" topLeftCell="A49" activePane="bottomLeft" state="frozen"/>
      <selection pane="bottomLeft" activeCell="K2" sqref="K2"/>
      <pageMargins left="0.75" right="0.75" top="1" bottom="1" header="0.5" footer="0.5"/>
      <pageSetup orientation="portrait" r:id="rId1"/>
      <headerFooter alignWithMargins="0"/>
    </customSheetView>
  </customSheetViews>
  <mergeCells count="1">
    <mergeCell ref="A1:H3"/>
  </mergeCells>
  <phoneticPr fontId="18" type="noConversion"/>
  <dataValidations count="1">
    <dataValidation type="list" allowBlank="1" showInputMessage="1" showErrorMessage="1" sqref="D47:D101">
      <formula1>counties</formula1>
    </dataValidation>
  </dataValidations>
  <printOptions horizontalCentered="1"/>
  <pageMargins left="0.75" right="0.75" top="1.25" bottom="0.5" header="0.5" footer="0"/>
  <pageSetup scale="74" firstPageNumber="167" fitToHeight="3" orientation="landscape" useFirstPageNumber="1" r:id="rId2"/>
  <headerFooter scaleWithDoc="0">
    <oddFooter>&amp;CPage &amp;P of 172</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33" activePane="bottomLeft" state="frozen"/>
      <selection pane="bottomLeft" activeCell="F4" sqref="F4"/>
    </sheetView>
    <sheetView workbookViewId="1">
      <pane ySplit="11" topLeftCell="A12" activePane="bottomLeft" state="frozen"/>
      <selection pane="bottomLeft" activeCell="F7" sqref="F7"/>
    </sheetView>
  </sheetViews>
  <sheetFormatPr defaultRowHeight="15"/>
  <cols>
    <col min="5" max="5" width="8.109375" customWidth="1"/>
    <col min="11" max="11" width="7.88671875" bestFit="1" customWidth="1"/>
  </cols>
  <sheetData>
    <row r="1" spans="1:16" s="918" customFormat="1" ht="30" customHeight="1" thickTop="1" thickBot="1">
      <c r="A1" s="1212" t="s">
        <v>1278</v>
      </c>
      <c r="B1" s="1213"/>
      <c r="C1" s="1213"/>
      <c r="D1" s="1213"/>
      <c r="E1" s="1213"/>
      <c r="F1" s="1213"/>
      <c r="G1" s="1213"/>
      <c r="H1" s="1213"/>
      <c r="I1" s="1214"/>
    </row>
    <row r="2" spans="1:16" s="918" customFormat="1" ht="16.5" thickTop="1">
      <c r="A2" s="987"/>
      <c r="B2" s="842"/>
      <c r="C2" s="842" t="s">
        <v>213</v>
      </c>
      <c r="D2" s="842" t="s">
        <v>214</v>
      </c>
      <c r="E2" s="842" t="s">
        <v>571</v>
      </c>
      <c r="F2" s="36"/>
      <c r="G2" s="36"/>
      <c r="H2" s="36"/>
      <c r="I2" s="988"/>
    </row>
    <row r="3" spans="1:16" s="918" customFormat="1">
      <c r="A3" s="987"/>
      <c r="B3" s="40" t="s">
        <v>1030</v>
      </c>
      <c r="C3" s="40">
        <f>COUNT(G12:G110)</f>
        <v>43</v>
      </c>
      <c r="D3" s="40">
        <f>COUNT(H12:H110)</f>
        <v>43</v>
      </c>
      <c r="E3" s="40">
        <f>COUNT(I12:I110)</f>
        <v>43</v>
      </c>
      <c r="F3" s="36"/>
      <c r="G3" s="36"/>
      <c r="H3" s="36"/>
      <c r="I3" s="988"/>
    </row>
    <row r="4" spans="1:16" s="918" customFormat="1">
      <c r="A4" s="987"/>
      <c r="B4" s="40">
        <v>0.05</v>
      </c>
      <c r="C4" s="872">
        <f>EXP(INDEX(G12:G54,C3*$B$4)+(INDEX(G12:G54,C3*$B$4+1)-INDEX(G12:G54,C3*$B$4))*(C3*$B$4-INT(C3*$B$4)))</f>
        <v>33</v>
      </c>
      <c r="D4" s="872">
        <f>EXP(INDEX(H12:H54,D3*$B$4)+(INDEX(H12:H54,D3*$B$4+1)-INDEX(H12:H54,D3*$B$4))*(D3*$B$4-INT(D3*$B$4)))</f>
        <v>0.55478473603392242</v>
      </c>
      <c r="E4" s="872">
        <f>EXP(INDEX(I12:I54,E3*$B$4)+(INDEX(I12:I54,E3*$B$4+1)-INDEX(I12:I54,E3*$B$4))*(E3*$B$4-INT(E3*$B$4)))</f>
        <v>3.0244617907203251E-2</v>
      </c>
      <c r="F4" s="36"/>
      <c r="G4" s="36"/>
      <c r="H4" s="36"/>
      <c r="I4" s="988"/>
    </row>
    <row r="5" spans="1:16" s="918" customFormat="1">
      <c r="A5" s="987"/>
      <c r="B5" s="40" t="s">
        <v>1031</v>
      </c>
      <c r="C5" s="872">
        <f>EXP(MODE(G12:G54))</f>
        <v>100.00000000000004</v>
      </c>
      <c r="D5" s="872">
        <f>EXP(MODE(H12:H54))</f>
        <v>3.0000000000000004</v>
      </c>
      <c r="E5" s="872">
        <f>EXP(MODE(I12:I54))</f>
        <v>1.0227272727272727</v>
      </c>
      <c r="F5" s="36"/>
      <c r="G5" s="36"/>
      <c r="H5" s="36"/>
      <c r="I5" s="988"/>
    </row>
    <row r="6" spans="1:16" s="918" customFormat="1">
      <c r="A6" s="987"/>
      <c r="B6" s="40" t="s">
        <v>1032</v>
      </c>
      <c r="C6" s="872">
        <f>EXP(MEDIAN(G12:G54))</f>
        <v>450.00000000000006</v>
      </c>
      <c r="D6" s="872">
        <f>EXP(MEDIAN(H12:H54))</f>
        <v>6.8000000000000007</v>
      </c>
      <c r="E6" s="872">
        <f>EXP(MEDIAN(I12:I54))</f>
        <v>1.0227272727272727</v>
      </c>
      <c r="F6" s="36"/>
      <c r="G6" s="36"/>
      <c r="H6" s="36"/>
      <c r="I6" s="988"/>
    </row>
    <row r="7" spans="1:16" s="918" customFormat="1">
      <c r="A7" s="987"/>
      <c r="B7" s="40" t="s">
        <v>1033</v>
      </c>
      <c r="C7" s="872">
        <f>EXP(AVERAGE(G12:G54))</f>
        <v>266.83740026715475</v>
      </c>
      <c r="D7" s="872">
        <f>EXP(AVERAGE(H12:H54))</f>
        <v>5.4283881777173013</v>
      </c>
      <c r="E7" s="872">
        <f>EXP(AVERAGE(I12:I54))</f>
        <v>0.82300965283127403</v>
      </c>
      <c r="F7" s="36"/>
      <c r="G7" s="36"/>
      <c r="H7" s="36"/>
      <c r="I7" s="988"/>
    </row>
    <row r="8" spans="1:16" s="918" customFormat="1">
      <c r="A8" s="987"/>
      <c r="B8" s="40" t="s">
        <v>158</v>
      </c>
      <c r="C8" s="872">
        <f>AVERAGE(B12:B54)</f>
        <v>472.74418604651163</v>
      </c>
      <c r="D8" s="872">
        <f>AVERAGE(C12:C54)</f>
        <v>8.1462790697674432</v>
      </c>
      <c r="E8" s="872">
        <f>AVERAGE(D12:D54)</f>
        <v>2.5229130549682872</v>
      </c>
      <c r="F8" s="36"/>
      <c r="G8" s="36"/>
      <c r="H8" s="36"/>
      <c r="I8" s="988"/>
    </row>
    <row r="9" spans="1:16" s="918" customFormat="1">
      <c r="A9" s="987"/>
      <c r="B9" s="40">
        <v>0.95</v>
      </c>
      <c r="C9" s="872">
        <f>EXP(INDEX(G12:G54,C3*$B$9)+(INDEX(G12:G54,C3*$B$9+1)-INDEX(G12:G54,C3*$B$9))*(C3*$B$9-INT(C3*$B$9)))</f>
        <v>1393.5933731496023</v>
      </c>
      <c r="D9" s="872">
        <f>EXP(INDEX(H12:H54,D3*$B$9)+(INDEX(H12:H54,D3*$B$9+1)-INDEX(H12:H54,D3*$B$9))*(D3*$B$9-INT(D3*$B$9)))</f>
        <v>22.051353047584414</v>
      </c>
      <c r="E9" s="872">
        <f>EXP(INDEX(I12:I54,E3*$B$9)+(INDEX(I12:I54,E3*$B$9+1)-INDEX(I12:I54,E3*$B$9))*(E3*$B$9-INT(E3*$B$9)))</f>
        <v>9.5615014434839534</v>
      </c>
      <c r="F9" s="36"/>
      <c r="G9" s="36"/>
      <c r="H9" s="36"/>
      <c r="I9" s="988"/>
    </row>
    <row r="10" spans="1:16" s="918" customFormat="1" ht="15.75" thickBot="1">
      <c r="A10" s="987"/>
      <c r="B10" s="36"/>
      <c r="C10" s="36"/>
      <c r="D10" s="36"/>
      <c r="E10" s="36"/>
      <c r="F10" s="36"/>
      <c r="G10" s="36"/>
      <c r="H10" s="36"/>
      <c r="I10" s="988"/>
    </row>
    <row r="11" spans="1:16" s="315" customFormat="1" ht="17.25" thickTop="1" thickBot="1">
      <c r="A11" s="989" t="s">
        <v>1024</v>
      </c>
      <c r="B11" s="989" t="s">
        <v>213</v>
      </c>
      <c r="C11" s="989" t="s">
        <v>214</v>
      </c>
      <c r="D11" s="989" t="s">
        <v>571</v>
      </c>
      <c r="E11" s="990" t="s">
        <v>1025</v>
      </c>
      <c r="F11" s="989" t="s">
        <v>1026</v>
      </c>
      <c r="G11" s="989" t="s">
        <v>1027</v>
      </c>
      <c r="H11" s="989" t="s">
        <v>1028</v>
      </c>
      <c r="I11" s="989" t="s">
        <v>1029</v>
      </c>
      <c r="J11" s="842"/>
      <c r="O11" s="842"/>
      <c r="P11" s="842"/>
    </row>
    <row r="12" spans="1:16" ht="15.75" thickTop="1">
      <c r="A12" s="40">
        <v>1</v>
      </c>
      <c r="B12" s="40">
        <v>10</v>
      </c>
      <c r="C12" s="40">
        <v>0.1</v>
      </c>
      <c r="D12" s="40">
        <v>5.6818181818181826E-4</v>
      </c>
      <c r="E12" s="40">
        <f>(A12-0.5)/43</f>
        <v>1.1627906976744186E-2</v>
      </c>
      <c r="F12" s="40">
        <f>NORMSINV(E12)</f>
        <v>-2.2692057962849637</v>
      </c>
      <c r="G12" s="40">
        <f>LN(B12)</f>
        <v>2.3025850929940459</v>
      </c>
      <c r="H12" s="40">
        <f>LN(C12)</f>
        <v>-2.3025850929940455</v>
      </c>
      <c r="I12" s="40">
        <f>LN(D12)</f>
        <v>-7.4730690880321973</v>
      </c>
      <c r="J12" s="40"/>
      <c r="O12" s="40"/>
      <c r="P12" s="40"/>
    </row>
    <row r="13" spans="1:16">
      <c r="A13" s="40">
        <v>2</v>
      </c>
      <c r="B13" s="40">
        <v>33</v>
      </c>
      <c r="C13" s="40">
        <v>0.5</v>
      </c>
      <c r="D13" s="40">
        <v>2.8409090909090908E-2</v>
      </c>
      <c r="E13" s="40">
        <f t="shared" ref="E13:E54" si="0">(A13-0.5)/43</f>
        <v>3.4883720930232558E-2</v>
      </c>
      <c r="F13" s="40">
        <f t="shared" ref="F13:F54" si="1">NORMSINV(E13)</f>
        <v>-1.8134175686740344</v>
      </c>
      <c r="G13" s="40">
        <f t="shared" ref="G13:I51" si="2">LN(B13)</f>
        <v>3.4965075614664802</v>
      </c>
      <c r="H13" s="40">
        <f t="shared" si="2"/>
        <v>-0.69314718055994529</v>
      </c>
      <c r="I13" s="40">
        <f t="shared" si="2"/>
        <v>-3.5610460826040513</v>
      </c>
      <c r="J13" s="40"/>
      <c r="O13" s="40"/>
      <c r="P13" s="40"/>
    </row>
    <row r="14" spans="1:16">
      <c r="A14" s="40">
        <v>3</v>
      </c>
      <c r="B14" s="40">
        <v>33</v>
      </c>
      <c r="C14" s="40">
        <v>1</v>
      </c>
      <c r="D14" s="40">
        <v>4.3124999999999997E-2</v>
      </c>
      <c r="E14" s="40">
        <f t="shared" si="0"/>
        <v>5.8139534883720929E-2</v>
      </c>
      <c r="F14" s="40">
        <f t="shared" si="1"/>
        <v>-1.5705850285674188</v>
      </c>
      <c r="G14" s="40">
        <f t="shared" si="2"/>
        <v>3.4965075614664802</v>
      </c>
      <c r="H14" s="40">
        <f t="shared" si="2"/>
        <v>0</v>
      </c>
      <c r="I14" s="40">
        <f t="shared" si="2"/>
        <v>-3.1436524036306133</v>
      </c>
      <c r="J14" s="40"/>
      <c r="O14" s="40"/>
      <c r="P14" s="40"/>
    </row>
    <row r="15" spans="1:16">
      <c r="A15" s="40">
        <v>4</v>
      </c>
      <c r="B15" s="40">
        <v>40</v>
      </c>
      <c r="C15" s="40">
        <v>1.5</v>
      </c>
      <c r="D15" s="40">
        <v>4.5454545454545456E-2</v>
      </c>
      <c r="E15" s="40">
        <f t="shared" si="0"/>
        <v>8.1395348837209308E-2</v>
      </c>
      <c r="F15" s="40">
        <f t="shared" si="1"/>
        <v>-1.39574699294967</v>
      </c>
      <c r="G15" s="40">
        <f t="shared" si="2"/>
        <v>3.6888794541139363</v>
      </c>
      <c r="H15" s="40">
        <f t="shared" si="2"/>
        <v>0.40546510810816438</v>
      </c>
      <c r="I15" s="40">
        <f t="shared" si="2"/>
        <v>-3.0910424533583156</v>
      </c>
      <c r="J15" s="40"/>
      <c r="O15" s="40"/>
      <c r="P15" s="40"/>
    </row>
    <row r="16" spans="1:16">
      <c r="A16" s="40">
        <v>5</v>
      </c>
      <c r="B16" s="40">
        <v>40</v>
      </c>
      <c r="C16" s="40">
        <v>2</v>
      </c>
      <c r="D16" s="40">
        <v>0.11363636363636363</v>
      </c>
      <c r="E16" s="40">
        <f t="shared" si="0"/>
        <v>0.10465116279069768</v>
      </c>
      <c r="F16" s="40">
        <f t="shared" si="1"/>
        <v>-1.2554861698244286</v>
      </c>
      <c r="G16" s="40">
        <f t="shared" si="2"/>
        <v>3.6888794541139363</v>
      </c>
      <c r="H16" s="40">
        <f t="shared" si="2"/>
        <v>0.69314718055994529</v>
      </c>
      <c r="I16" s="40">
        <f t="shared" si="2"/>
        <v>-2.174751721484161</v>
      </c>
      <c r="J16" s="40"/>
      <c r="O16" s="40"/>
      <c r="P16" s="40"/>
    </row>
    <row r="17" spans="1:16">
      <c r="A17" s="40">
        <v>6</v>
      </c>
      <c r="B17" s="40">
        <v>50</v>
      </c>
      <c r="C17" s="40">
        <v>2</v>
      </c>
      <c r="D17" s="40">
        <v>0.125</v>
      </c>
      <c r="E17" s="40">
        <f t="shared" si="0"/>
        <v>0.12790697674418605</v>
      </c>
      <c r="F17" s="40">
        <f t="shared" si="1"/>
        <v>-1.1363408192553905</v>
      </c>
      <c r="G17" s="40">
        <f t="shared" si="2"/>
        <v>3.912023005428146</v>
      </c>
      <c r="H17" s="40">
        <f t="shared" si="2"/>
        <v>0.69314718055994529</v>
      </c>
      <c r="I17" s="40">
        <f t="shared" si="2"/>
        <v>-2.0794415416798357</v>
      </c>
      <c r="J17" s="40"/>
      <c r="O17" s="40"/>
      <c r="P17" s="40"/>
    </row>
    <row r="18" spans="1:16">
      <c r="A18" s="40">
        <v>7</v>
      </c>
      <c r="B18" s="40">
        <v>50</v>
      </c>
      <c r="C18" s="40">
        <v>2.2999999999999998</v>
      </c>
      <c r="D18" s="40">
        <v>0.13068181818181818</v>
      </c>
      <c r="E18" s="40">
        <f t="shared" si="0"/>
        <v>0.15116279069767441</v>
      </c>
      <c r="F18" s="40">
        <f t="shared" si="1"/>
        <v>-1.0314590939212436</v>
      </c>
      <c r="G18" s="40">
        <f t="shared" si="2"/>
        <v>3.912023005428146</v>
      </c>
      <c r="H18" s="40">
        <f t="shared" si="2"/>
        <v>0.83290912293510388</v>
      </c>
      <c r="I18" s="40">
        <f t="shared" si="2"/>
        <v>-2.0349897791090021</v>
      </c>
      <c r="J18" s="40"/>
      <c r="O18" s="40"/>
      <c r="P18" s="40"/>
    </row>
    <row r="19" spans="1:16">
      <c r="A19" s="40">
        <v>8</v>
      </c>
      <c r="B19" s="40">
        <v>67</v>
      </c>
      <c r="C19" s="40">
        <v>2.2999999999999998</v>
      </c>
      <c r="D19" s="40">
        <v>0.13636363636363635</v>
      </c>
      <c r="E19" s="40">
        <f t="shared" si="0"/>
        <v>0.1744186046511628</v>
      </c>
      <c r="F19" s="40">
        <f t="shared" si="1"/>
        <v>-0.93684710835836804</v>
      </c>
      <c r="G19" s="40">
        <f t="shared" si="2"/>
        <v>4.2046926193909657</v>
      </c>
      <c r="H19" s="40">
        <f t="shared" si="2"/>
        <v>0.83290912293510388</v>
      </c>
      <c r="I19" s="40">
        <f t="shared" si="2"/>
        <v>-1.9924301646902063</v>
      </c>
      <c r="J19" s="40"/>
      <c r="M19" s="40"/>
      <c r="N19" s="40"/>
      <c r="O19" s="40"/>
      <c r="P19" s="40"/>
    </row>
    <row r="20" spans="1:16">
      <c r="A20" s="40">
        <v>9</v>
      </c>
      <c r="B20" s="40">
        <v>100</v>
      </c>
      <c r="C20" s="40">
        <v>3</v>
      </c>
      <c r="D20" s="40">
        <v>0.16500000000000001</v>
      </c>
      <c r="E20" s="40">
        <f t="shared" si="0"/>
        <v>0.19767441860465115</v>
      </c>
      <c r="F20" s="40">
        <f t="shared" si="1"/>
        <v>-0.8499572808920578</v>
      </c>
      <c r="G20" s="40">
        <f t="shared" si="2"/>
        <v>4.6051701859880918</v>
      </c>
      <c r="H20" s="40">
        <f t="shared" si="2"/>
        <v>1.0986122886681098</v>
      </c>
      <c r="I20" s="40">
        <f t="shared" si="2"/>
        <v>-1.8018098050815563</v>
      </c>
      <c r="J20" s="40"/>
      <c r="M20" s="40"/>
      <c r="N20" s="40"/>
      <c r="O20" s="40"/>
      <c r="P20" s="40"/>
    </row>
    <row r="21" spans="1:16">
      <c r="A21" s="40">
        <v>10</v>
      </c>
      <c r="B21" s="40">
        <v>100</v>
      </c>
      <c r="C21" s="40">
        <v>3</v>
      </c>
      <c r="D21" s="40">
        <v>0.19318181818181818</v>
      </c>
      <c r="E21" s="40">
        <f t="shared" si="0"/>
        <v>0.22093023255813954</v>
      </c>
      <c r="F21" s="40">
        <f t="shared" si="1"/>
        <v>-0.76905532945127975</v>
      </c>
      <c r="G21" s="40">
        <f t="shared" si="2"/>
        <v>4.6051701859880918</v>
      </c>
      <c r="H21" s="40">
        <f t="shared" si="2"/>
        <v>1.0986122886681098</v>
      </c>
      <c r="I21" s="40">
        <f t="shared" si="2"/>
        <v>-1.6441234704219905</v>
      </c>
      <c r="J21" s="40"/>
      <c r="M21" s="40"/>
      <c r="N21" s="40"/>
      <c r="O21" s="40"/>
      <c r="P21" s="40"/>
    </row>
    <row r="22" spans="1:16">
      <c r="A22" s="40">
        <v>11</v>
      </c>
      <c r="B22" s="40">
        <v>100</v>
      </c>
      <c r="C22" s="40">
        <v>3</v>
      </c>
      <c r="D22" s="40">
        <v>0.28977272727272724</v>
      </c>
      <c r="E22" s="40">
        <f t="shared" si="0"/>
        <v>0.2441860465116279</v>
      </c>
      <c r="F22" s="40">
        <f t="shared" si="1"/>
        <v>-0.69290034522758903</v>
      </c>
      <c r="G22" s="40">
        <f t="shared" si="2"/>
        <v>4.6051701859880918</v>
      </c>
      <c r="H22" s="40">
        <f t="shared" si="2"/>
        <v>1.0986122886681098</v>
      </c>
      <c r="I22" s="40">
        <f t="shared" si="2"/>
        <v>-1.2386583623138261</v>
      </c>
      <c r="J22" s="40"/>
      <c r="M22" s="40"/>
      <c r="N22" s="40"/>
      <c r="O22" s="40"/>
      <c r="P22" s="40"/>
    </row>
    <row r="23" spans="1:16">
      <c r="A23" s="40">
        <v>12</v>
      </c>
      <c r="B23" s="40">
        <v>100</v>
      </c>
      <c r="C23" s="40">
        <v>3</v>
      </c>
      <c r="D23" s="40">
        <v>0.46096590909090901</v>
      </c>
      <c r="E23" s="40">
        <f t="shared" si="0"/>
        <v>0.26744186046511625</v>
      </c>
      <c r="F23" s="40">
        <f t="shared" si="1"/>
        <v>-0.62056827180753826</v>
      </c>
      <c r="G23" s="40">
        <f t="shared" si="2"/>
        <v>4.6051701859880918</v>
      </c>
      <c r="H23" s="40">
        <f t="shared" si="2"/>
        <v>1.0986122886681098</v>
      </c>
      <c r="I23" s="40">
        <f t="shared" si="2"/>
        <v>-0.77443118863117832</v>
      </c>
      <c r="J23" s="40"/>
      <c r="K23" s="40"/>
      <c r="L23" s="40"/>
      <c r="M23" s="40"/>
      <c r="N23" s="40"/>
      <c r="O23" s="40"/>
      <c r="P23" s="40"/>
    </row>
    <row r="24" spans="1:16">
      <c r="A24" s="40">
        <v>13</v>
      </c>
      <c r="B24" s="40">
        <v>100</v>
      </c>
      <c r="C24" s="40">
        <v>3.35</v>
      </c>
      <c r="D24" s="40">
        <v>0.50028409090909087</v>
      </c>
      <c r="E24" s="40">
        <f t="shared" si="0"/>
        <v>0.29069767441860467</v>
      </c>
      <c r="F24" s="40">
        <f t="shared" si="1"/>
        <v>-0.55134769512053772</v>
      </c>
      <c r="G24" s="40">
        <f t="shared" si="2"/>
        <v>4.6051701859880918</v>
      </c>
      <c r="H24" s="40">
        <f t="shared" si="2"/>
        <v>1.2089603458369751</v>
      </c>
      <c r="I24" s="40">
        <f t="shared" si="2"/>
        <v>-0.69257916009593667</v>
      </c>
      <c r="J24" s="40"/>
      <c r="K24" s="40"/>
      <c r="L24" s="40"/>
      <c r="M24" s="40"/>
      <c r="N24" s="40"/>
      <c r="O24" s="40"/>
      <c r="P24" s="40"/>
    </row>
    <row r="25" spans="1:16">
      <c r="A25" s="40">
        <v>14</v>
      </c>
      <c r="B25" s="40">
        <v>100</v>
      </c>
      <c r="C25" s="40">
        <v>4</v>
      </c>
      <c r="D25" s="40">
        <v>0.50568181818181823</v>
      </c>
      <c r="E25" s="40">
        <f t="shared" si="0"/>
        <v>0.31395348837209303</v>
      </c>
      <c r="F25" s="40">
        <f t="shared" si="1"/>
        <v>-0.48467489602278113</v>
      </c>
      <c r="G25" s="40">
        <f t="shared" si="2"/>
        <v>4.6051701859880918</v>
      </c>
      <c r="H25" s="40">
        <f t="shared" si="2"/>
        <v>1.3862943611198906</v>
      </c>
      <c r="I25" s="40">
        <f t="shared" si="2"/>
        <v>-0.68184762530601184</v>
      </c>
      <c r="J25" s="40"/>
      <c r="K25" s="40"/>
      <c r="L25" s="40"/>
      <c r="M25" s="40"/>
      <c r="N25" s="40"/>
      <c r="O25" s="40"/>
      <c r="P25" s="40"/>
    </row>
    <row r="26" spans="1:16">
      <c r="A26" s="40">
        <v>15</v>
      </c>
      <c r="B26" s="40">
        <v>133</v>
      </c>
      <c r="C26" s="40">
        <v>4</v>
      </c>
      <c r="D26" s="40">
        <v>0.51136363636363635</v>
      </c>
      <c r="E26" s="40">
        <f t="shared" si="0"/>
        <v>0.33720930232558138</v>
      </c>
      <c r="F26" s="40">
        <f t="shared" si="1"/>
        <v>-0.4200915099394113</v>
      </c>
      <c r="G26" s="40">
        <f t="shared" si="2"/>
        <v>4.8903491282217537</v>
      </c>
      <c r="H26" s="40">
        <f t="shared" si="2"/>
        <v>1.3862943611198906</v>
      </c>
      <c r="I26" s="40">
        <f t="shared" si="2"/>
        <v>-0.67067432470788668</v>
      </c>
      <c r="J26" s="40"/>
      <c r="K26" s="40"/>
      <c r="L26" s="40"/>
      <c r="M26" s="40"/>
      <c r="N26" s="40"/>
      <c r="O26" s="40"/>
      <c r="P26" s="40"/>
    </row>
    <row r="27" spans="1:16">
      <c r="A27" s="40">
        <v>16</v>
      </c>
      <c r="B27" s="40">
        <v>200</v>
      </c>
      <c r="C27" s="40">
        <v>4</v>
      </c>
      <c r="D27" s="40">
        <v>0.59090909090909094</v>
      </c>
      <c r="E27" s="40">
        <f t="shared" si="0"/>
        <v>0.36046511627906974</v>
      </c>
      <c r="F27" s="40">
        <f t="shared" si="1"/>
        <v>-0.35721583463458467</v>
      </c>
      <c r="G27" s="40">
        <f t="shared" si="2"/>
        <v>5.2983173665480363</v>
      </c>
      <c r="H27" s="40">
        <f t="shared" si="2"/>
        <v>1.3862943611198906</v>
      </c>
      <c r="I27" s="40">
        <f t="shared" si="2"/>
        <v>-0.52609309589677911</v>
      </c>
      <c r="J27" s="40"/>
      <c r="K27" s="40"/>
      <c r="L27" s="40"/>
      <c r="M27" s="40"/>
      <c r="N27" s="40"/>
      <c r="O27" s="40"/>
      <c r="P27" s="40"/>
    </row>
    <row r="28" spans="1:16">
      <c r="A28" s="40">
        <v>17</v>
      </c>
      <c r="B28" s="40">
        <v>220</v>
      </c>
      <c r="C28" s="40">
        <v>4.5</v>
      </c>
      <c r="D28" s="40">
        <v>0.61670454545454545</v>
      </c>
      <c r="E28" s="40">
        <f t="shared" si="0"/>
        <v>0.38372093023255816</v>
      </c>
      <c r="F28" s="40">
        <f t="shared" si="1"/>
        <v>-0.29572269945216134</v>
      </c>
      <c r="G28" s="40">
        <f t="shared" si="2"/>
        <v>5.393627546352362</v>
      </c>
      <c r="H28" s="40">
        <f t="shared" si="2"/>
        <v>1.5040773967762742</v>
      </c>
      <c r="I28" s="40">
        <f t="shared" si="2"/>
        <v>-0.48336522640289303</v>
      </c>
      <c r="J28" s="40"/>
      <c r="K28" s="40"/>
      <c r="L28" s="40"/>
      <c r="M28" s="40"/>
      <c r="N28" s="40"/>
      <c r="O28" s="40"/>
      <c r="P28" s="40"/>
    </row>
    <row r="29" spans="1:16">
      <c r="A29" s="40">
        <v>18</v>
      </c>
      <c r="B29" s="40">
        <v>300</v>
      </c>
      <c r="C29" s="40">
        <v>4.7</v>
      </c>
      <c r="D29" s="40">
        <v>0.81818181818181812</v>
      </c>
      <c r="E29" s="40">
        <f t="shared" si="0"/>
        <v>0.40697674418604651</v>
      </c>
      <c r="F29" s="40">
        <f t="shared" si="1"/>
        <v>-0.23532887106951692</v>
      </c>
      <c r="G29" s="40">
        <f t="shared" si="2"/>
        <v>5.7037824746562009</v>
      </c>
      <c r="H29" s="40">
        <f t="shared" si="2"/>
        <v>1.547562508716013</v>
      </c>
      <c r="I29" s="40">
        <f t="shared" si="2"/>
        <v>-0.20067069546215124</v>
      </c>
      <c r="J29" s="40"/>
      <c r="K29" s="40"/>
      <c r="L29" s="40"/>
      <c r="M29" s="40"/>
      <c r="N29" s="40"/>
      <c r="O29" s="40"/>
      <c r="P29" s="40"/>
    </row>
    <row r="30" spans="1:16">
      <c r="A30" s="40">
        <v>19</v>
      </c>
      <c r="B30" s="40">
        <v>300</v>
      </c>
      <c r="C30" s="40">
        <v>5</v>
      </c>
      <c r="D30" s="40">
        <v>0.85227272727272718</v>
      </c>
      <c r="E30" s="40">
        <f t="shared" si="0"/>
        <v>0.43023255813953487</v>
      </c>
      <c r="F30" s="40">
        <f t="shared" si="1"/>
        <v>-0.17578212101566829</v>
      </c>
      <c r="G30" s="40">
        <f t="shared" si="2"/>
        <v>5.7037824746562009</v>
      </c>
      <c r="H30" s="40">
        <f t="shared" si="2"/>
        <v>1.6094379124341003</v>
      </c>
      <c r="I30" s="40">
        <f t="shared" si="2"/>
        <v>-0.15984870094189613</v>
      </c>
      <c r="J30" s="40"/>
      <c r="K30" s="40"/>
      <c r="L30" s="40"/>
      <c r="M30" s="40"/>
      <c r="N30" s="40"/>
      <c r="O30" s="40"/>
      <c r="P30" s="40"/>
    </row>
    <row r="31" spans="1:16">
      <c r="A31" s="40">
        <v>20</v>
      </c>
      <c r="B31" s="40">
        <v>440</v>
      </c>
      <c r="C31" s="40">
        <v>6</v>
      </c>
      <c r="D31" s="40">
        <v>0.85227272727272729</v>
      </c>
      <c r="E31" s="40">
        <f t="shared" si="0"/>
        <v>0.45348837209302323</v>
      </c>
      <c r="F31" s="40">
        <f t="shared" si="1"/>
        <v>-0.116852746716332</v>
      </c>
      <c r="G31" s="40">
        <f t="shared" si="2"/>
        <v>6.0867747269123065</v>
      </c>
      <c r="H31" s="40">
        <f t="shared" si="2"/>
        <v>1.791759469228055</v>
      </c>
      <c r="I31" s="40">
        <f t="shared" si="2"/>
        <v>-0.15984870094189602</v>
      </c>
      <c r="J31" s="40"/>
    </row>
    <row r="32" spans="1:16">
      <c r="A32" s="40">
        <v>21</v>
      </c>
      <c r="B32" s="40">
        <v>440</v>
      </c>
      <c r="C32" s="40">
        <v>6.1</v>
      </c>
      <c r="D32" s="40">
        <v>0.90340909090909094</v>
      </c>
      <c r="E32" s="40">
        <f t="shared" si="0"/>
        <v>0.47674418604651164</v>
      </c>
      <c r="F32" s="40">
        <f t="shared" si="1"/>
        <v>-5.8326735272993049E-2</v>
      </c>
      <c r="G32" s="40">
        <f t="shared" si="2"/>
        <v>6.0867747269123065</v>
      </c>
      <c r="H32" s="40">
        <f t="shared" si="2"/>
        <v>1.8082887711792655</v>
      </c>
      <c r="I32" s="40">
        <f t="shared" si="2"/>
        <v>-0.10157979281792022</v>
      </c>
      <c r="J32" s="40"/>
      <c r="M32" s="835"/>
    </row>
    <row r="33" spans="1:16">
      <c r="A33" s="40">
        <v>22</v>
      </c>
      <c r="B33" s="40">
        <v>450</v>
      </c>
      <c r="C33" s="40">
        <v>6.8</v>
      </c>
      <c r="D33" s="40">
        <v>1.0227272727272727</v>
      </c>
      <c r="E33" s="40">
        <f t="shared" si="0"/>
        <v>0.5</v>
      </c>
      <c r="F33" s="40">
        <f t="shared" si="1"/>
        <v>0</v>
      </c>
      <c r="G33" s="40">
        <f t="shared" si="2"/>
        <v>6.1092475827643655</v>
      </c>
      <c r="H33" s="40">
        <f t="shared" si="2"/>
        <v>1.9169226121820611</v>
      </c>
      <c r="I33" s="40">
        <f t="shared" si="2"/>
        <v>2.2472855852058576E-2</v>
      </c>
      <c r="J33" s="40"/>
    </row>
    <row r="34" spans="1:16">
      <c r="A34" s="40">
        <v>23</v>
      </c>
      <c r="B34" s="40">
        <v>450</v>
      </c>
      <c r="C34" s="40">
        <v>7</v>
      </c>
      <c r="D34" s="40">
        <v>1.0227272727272727</v>
      </c>
      <c r="E34" s="40">
        <f t="shared" si="0"/>
        <v>0.52325581395348841</v>
      </c>
      <c r="F34" s="40">
        <f t="shared" si="1"/>
        <v>5.8326735272993181E-2</v>
      </c>
      <c r="G34" s="40">
        <f t="shared" si="2"/>
        <v>6.1092475827643655</v>
      </c>
      <c r="H34" s="40">
        <f t="shared" si="2"/>
        <v>1.9459101490553132</v>
      </c>
      <c r="I34" s="40">
        <f t="shared" si="2"/>
        <v>2.2472855852058576E-2</v>
      </c>
      <c r="J34" s="40"/>
      <c r="K34" s="40"/>
      <c r="N34" s="40"/>
      <c r="O34" s="40"/>
      <c r="P34" s="40"/>
    </row>
    <row r="35" spans="1:16">
      <c r="A35" s="40">
        <v>24</v>
      </c>
      <c r="B35" s="40">
        <v>500</v>
      </c>
      <c r="C35" s="40">
        <v>7.77</v>
      </c>
      <c r="D35" s="40">
        <v>1.1363636363636365</v>
      </c>
      <c r="E35" s="40">
        <f t="shared" si="0"/>
        <v>0.54651162790697672</v>
      </c>
      <c r="F35" s="40">
        <f t="shared" si="1"/>
        <v>0.11685274671633186</v>
      </c>
      <c r="G35" s="40">
        <f t="shared" si="2"/>
        <v>6.2146080984221914</v>
      </c>
      <c r="H35" s="40">
        <f t="shared" si="2"/>
        <v>2.050270164379556</v>
      </c>
      <c r="I35" s="40">
        <f t="shared" si="2"/>
        <v>0.127833371509885</v>
      </c>
      <c r="J35" s="40"/>
      <c r="K35" s="40"/>
      <c r="N35" s="40"/>
      <c r="O35" s="40"/>
      <c r="P35" s="40"/>
    </row>
    <row r="36" spans="1:16">
      <c r="A36" s="40">
        <v>25</v>
      </c>
      <c r="B36" s="40">
        <v>500</v>
      </c>
      <c r="C36" s="40">
        <v>7.99</v>
      </c>
      <c r="D36" s="40">
        <v>1.1420454545454546</v>
      </c>
      <c r="E36" s="40">
        <f t="shared" si="0"/>
        <v>0.56976744186046513</v>
      </c>
      <c r="F36" s="40">
        <f t="shared" si="1"/>
        <v>0.17578212101566829</v>
      </c>
      <c r="G36" s="40">
        <f t="shared" si="2"/>
        <v>6.2146080984221914</v>
      </c>
      <c r="H36" s="40">
        <f t="shared" si="2"/>
        <v>2.0781907597781832</v>
      </c>
      <c r="I36" s="40">
        <f t="shared" si="2"/>
        <v>0.132820913020924</v>
      </c>
      <c r="J36" s="40"/>
      <c r="K36" s="40"/>
      <c r="N36" s="40"/>
      <c r="O36" s="40"/>
      <c r="P36" s="40"/>
    </row>
    <row r="37" spans="1:16">
      <c r="A37" s="40">
        <v>26</v>
      </c>
      <c r="B37" s="40">
        <v>500</v>
      </c>
      <c r="C37" s="729">
        <v>8.6999999999999993</v>
      </c>
      <c r="D37" s="40">
        <v>1.1931818181818181</v>
      </c>
      <c r="E37" s="40">
        <f t="shared" si="0"/>
        <v>0.59302325581395354</v>
      </c>
      <c r="F37" s="40">
        <f t="shared" si="1"/>
        <v>0.23532887106951708</v>
      </c>
      <c r="G37" s="40">
        <f t="shared" si="2"/>
        <v>6.2146080984221914</v>
      </c>
      <c r="H37" s="40">
        <f t="shared" si="2"/>
        <v>2.1633230256605378</v>
      </c>
      <c r="I37" s="40">
        <f t="shared" si="2"/>
        <v>0.17662353567931685</v>
      </c>
      <c r="J37" s="40"/>
      <c r="K37" s="40"/>
      <c r="N37" s="40"/>
      <c r="O37" s="40"/>
      <c r="P37" s="40"/>
    </row>
    <row r="38" spans="1:16">
      <c r="A38" s="40">
        <v>27</v>
      </c>
      <c r="B38" s="40">
        <v>500</v>
      </c>
      <c r="C38" s="40">
        <v>8.8000000000000007</v>
      </c>
      <c r="D38" s="40">
        <v>1.1931818181818181</v>
      </c>
      <c r="E38" s="40">
        <f t="shared" si="0"/>
        <v>0.61627906976744184</v>
      </c>
      <c r="F38" s="40">
        <f t="shared" si="1"/>
        <v>0.29572269945216134</v>
      </c>
      <c r="G38" s="40">
        <f t="shared" si="2"/>
        <v>6.2146080984221914</v>
      </c>
      <c r="H38" s="40">
        <f t="shared" si="2"/>
        <v>2.174751721484161</v>
      </c>
      <c r="I38" s="40">
        <f t="shared" si="2"/>
        <v>0.17662353567931685</v>
      </c>
      <c r="J38" s="40"/>
      <c r="K38" s="40"/>
      <c r="N38" s="40"/>
      <c r="O38" s="40"/>
      <c r="P38" s="40"/>
    </row>
    <row r="39" spans="1:16">
      <c r="A39" s="40">
        <v>28</v>
      </c>
      <c r="B39" s="729">
        <v>500</v>
      </c>
      <c r="C39" s="40">
        <v>8.9</v>
      </c>
      <c r="D39" s="40">
        <v>2</v>
      </c>
      <c r="E39" s="40">
        <f t="shared" si="0"/>
        <v>0.63953488372093026</v>
      </c>
      <c r="F39" s="40">
        <f t="shared" si="1"/>
        <v>0.35721583463458467</v>
      </c>
      <c r="G39" s="40">
        <f t="shared" si="2"/>
        <v>6.2146080984221914</v>
      </c>
      <c r="H39" s="40">
        <f t="shared" si="2"/>
        <v>2.1860512767380942</v>
      </c>
      <c r="I39" s="40">
        <f t="shared" si="2"/>
        <v>0.69314718055994529</v>
      </c>
      <c r="J39" s="40"/>
      <c r="K39" s="40"/>
      <c r="N39" s="40"/>
      <c r="O39" s="40"/>
      <c r="P39" s="40"/>
    </row>
    <row r="40" spans="1:16">
      <c r="A40" s="40">
        <v>29</v>
      </c>
      <c r="B40" s="40">
        <v>530</v>
      </c>
      <c r="C40" s="40">
        <v>9</v>
      </c>
      <c r="D40" s="40">
        <v>2.5</v>
      </c>
      <c r="E40" s="40">
        <f t="shared" si="0"/>
        <v>0.66279069767441856</v>
      </c>
      <c r="F40" s="40">
        <f t="shared" si="1"/>
        <v>0.42009150993941113</v>
      </c>
      <c r="G40" s="40">
        <f t="shared" si="2"/>
        <v>6.2728770065461674</v>
      </c>
      <c r="H40" s="40">
        <f t="shared" si="2"/>
        <v>2.1972245773362196</v>
      </c>
      <c r="I40" s="40">
        <f t="shared" si="2"/>
        <v>0.91629073187415511</v>
      </c>
      <c r="J40" s="40"/>
      <c r="K40" s="40"/>
      <c r="N40" s="40"/>
      <c r="O40" s="40"/>
      <c r="P40" s="40"/>
    </row>
    <row r="41" spans="1:16">
      <c r="A41" s="40">
        <v>30</v>
      </c>
      <c r="B41" s="40">
        <v>587</v>
      </c>
      <c r="C41" s="40">
        <v>10</v>
      </c>
      <c r="D41" s="40">
        <v>3.0681818181818179</v>
      </c>
      <c r="E41" s="40">
        <f t="shared" si="0"/>
        <v>0.68604651162790697</v>
      </c>
      <c r="F41" s="40">
        <f t="shared" si="1"/>
        <v>0.48467489602278113</v>
      </c>
      <c r="G41" s="40">
        <f t="shared" si="2"/>
        <v>6.3750248198280968</v>
      </c>
      <c r="H41" s="40">
        <f t="shared" si="2"/>
        <v>2.3025850929940459</v>
      </c>
      <c r="I41" s="40">
        <f t="shared" si="2"/>
        <v>1.1210851445201682</v>
      </c>
      <c r="J41" s="40"/>
      <c r="K41" s="40"/>
      <c r="N41" s="40"/>
      <c r="O41" s="40"/>
      <c r="P41" s="40"/>
    </row>
    <row r="42" spans="1:16">
      <c r="A42" s="40">
        <v>31</v>
      </c>
      <c r="B42" s="40">
        <v>600</v>
      </c>
      <c r="C42" s="40">
        <v>10.199999999999999</v>
      </c>
      <c r="D42" s="40">
        <v>3.0681818181818183</v>
      </c>
      <c r="E42" s="40">
        <f t="shared" si="0"/>
        <v>0.70930232558139539</v>
      </c>
      <c r="F42" s="40">
        <f t="shared" si="1"/>
        <v>0.55134769512053794</v>
      </c>
      <c r="G42" s="40">
        <f t="shared" si="2"/>
        <v>6.3969296552161463</v>
      </c>
      <c r="H42" s="40">
        <f t="shared" si="2"/>
        <v>2.3223877202902252</v>
      </c>
      <c r="I42" s="40">
        <f t="shared" si="2"/>
        <v>1.1210851445201684</v>
      </c>
      <c r="J42" s="40"/>
      <c r="K42" s="40"/>
      <c r="N42" s="40"/>
      <c r="O42" s="40"/>
      <c r="P42" s="40"/>
    </row>
    <row r="43" spans="1:16">
      <c r="A43" s="40">
        <v>32</v>
      </c>
      <c r="B43" s="40">
        <v>600</v>
      </c>
      <c r="C43" s="40">
        <v>10.4</v>
      </c>
      <c r="D43" s="729">
        <v>3.1022727272727275</v>
      </c>
      <c r="E43" s="40">
        <f t="shared" si="0"/>
        <v>0.73255813953488369</v>
      </c>
      <c r="F43" s="40">
        <f t="shared" si="1"/>
        <v>0.62056827180753793</v>
      </c>
      <c r="G43" s="40">
        <f t="shared" si="2"/>
        <v>6.3969296552161463</v>
      </c>
      <c r="H43" s="40">
        <f t="shared" si="2"/>
        <v>2.341805806147327</v>
      </c>
      <c r="I43" s="40">
        <f t="shared" si="2"/>
        <v>1.1321349807067533</v>
      </c>
      <c r="J43" s="40"/>
      <c r="K43" s="40"/>
      <c r="N43" s="40"/>
      <c r="O43" s="40"/>
      <c r="P43" s="40"/>
    </row>
    <row r="44" spans="1:16">
      <c r="A44" s="40">
        <v>33</v>
      </c>
      <c r="B44" s="40">
        <v>600</v>
      </c>
      <c r="C44" s="729">
        <v>10.92</v>
      </c>
      <c r="D44" s="40">
        <v>3.4090909090909092</v>
      </c>
      <c r="E44" s="40">
        <f t="shared" si="0"/>
        <v>0.7558139534883721</v>
      </c>
      <c r="F44" s="40">
        <f t="shared" si="1"/>
        <v>0.69290034522758903</v>
      </c>
      <c r="G44" s="40">
        <f t="shared" si="2"/>
        <v>6.3969296552161463</v>
      </c>
      <c r="H44" s="40">
        <f t="shared" si="2"/>
        <v>2.3905959703167592</v>
      </c>
      <c r="I44" s="40">
        <f t="shared" si="2"/>
        <v>1.2264456601779945</v>
      </c>
      <c r="J44" s="40"/>
      <c r="K44" s="40"/>
      <c r="N44" s="40"/>
      <c r="O44" s="40"/>
      <c r="P44" s="40"/>
    </row>
    <row r="45" spans="1:16">
      <c r="A45" s="729">
        <v>34</v>
      </c>
      <c r="B45" s="40">
        <v>700</v>
      </c>
      <c r="C45" s="40">
        <v>11</v>
      </c>
      <c r="D45" s="40">
        <v>3.5249999999999999</v>
      </c>
      <c r="E45" s="40">
        <f t="shared" si="0"/>
        <v>0.77906976744186052</v>
      </c>
      <c r="F45" s="729">
        <f t="shared" si="1"/>
        <v>0.76905532945128019</v>
      </c>
      <c r="G45" s="729">
        <f t="shared" si="2"/>
        <v>6.5510803350434044</v>
      </c>
      <c r="H45" s="729">
        <f t="shared" si="2"/>
        <v>2.3978952727983707</v>
      </c>
      <c r="I45" s="729">
        <f t="shared" si="2"/>
        <v>1.259880436264232</v>
      </c>
      <c r="J45" s="40"/>
      <c r="K45" s="40"/>
      <c r="N45" s="40"/>
      <c r="O45" s="40"/>
      <c r="P45" s="40"/>
    </row>
    <row r="46" spans="1:16">
      <c r="A46" s="729">
        <v>35</v>
      </c>
      <c r="B46" s="729">
        <v>750</v>
      </c>
      <c r="C46" s="40">
        <v>12</v>
      </c>
      <c r="D46" s="729">
        <v>3.7073863636363633</v>
      </c>
      <c r="E46" s="40">
        <f t="shared" si="0"/>
        <v>0.80232558139534882</v>
      </c>
      <c r="F46" s="729">
        <f t="shared" si="1"/>
        <v>0.8499572808920578</v>
      </c>
      <c r="G46" s="729">
        <f t="shared" si="2"/>
        <v>6.620073206530356</v>
      </c>
      <c r="H46" s="729">
        <f t="shared" si="2"/>
        <v>2.4849066497880004</v>
      </c>
      <c r="I46" s="729">
        <f t="shared" si="2"/>
        <v>1.3103271441586966</v>
      </c>
      <c r="J46" s="40"/>
      <c r="K46" s="40"/>
      <c r="N46" s="40"/>
      <c r="O46" s="40"/>
      <c r="P46" s="40"/>
    </row>
    <row r="47" spans="1:16">
      <c r="A47" s="729">
        <v>36</v>
      </c>
      <c r="B47" s="729">
        <v>750</v>
      </c>
      <c r="C47" s="729">
        <v>12</v>
      </c>
      <c r="D47" s="729">
        <v>4.7443181818181817</v>
      </c>
      <c r="E47" s="40">
        <f t="shared" si="0"/>
        <v>0.82558139534883723</v>
      </c>
      <c r="F47" s="729">
        <f t="shared" si="1"/>
        <v>0.93684710835836804</v>
      </c>
      <c r="G47" s="729">
        <f t="shared" si="2"/>
        <v>6.620073206530356</v>
      </c>
      <c r="H47" s="729">
        <f t="shared" si="2"/>
        <v>2.4849066497880004</v>
      </c>
      <c r="I47" s="729">
        <f t="shared" si="2"/>
        <v>1.5569477298127037</v>
      </c>
      <c r="J47" s="40"/>
      <c r="K47" s="40"/>
      <c r="N47" s="40"/>
      <c r="O47" s="40"/>
      <c r="P47" s="40"/>
    </row>
    <row r="48" spans="1:16">
      <c r="A48" s="729">
        <v>37</v>
      </c>
      <c r="B48" s="729">
        <v>880</v>
      </c>
      <c r="C48" s="729">
        <v>14</v>
      </c>
      <c r="D48" s="729">
        <v>6.2160000000000002</v>
      </c>
      <c r="E48" s="40">
        <f t="shared" si="0"/>
        <v>0.84883720930232553</v>
      </c>
      <c r="F48" s="729">
        <f t="shared" si="1"/>
        <v>1.0314590939212447</v>
      </c>
      <c r="G48" s="729">
        <f t="shared" si="2"/>
        <v>6.7799219074722519</v>
      </c>
      <c r="H48" s="729">
        <f t="shared" si="2"/>
        <v>2.6390573296152584</v>
      </c>
      <c r="I48" s="729">
        <f t="shared" si="2"/>
        <v>1.8271266130653463</v>
      </c>
      <c r="J48" s="40"/>
      <c r="K48" s="40"/>
      <c r="N48" s="40"/>
      <c r="O48" s="40"/>
      <c r="P48" s="40"/>
    </row>
    <row r="49" spans="1:16">
      <c r="A49" s="729">
        <v>38</v>
      </c>
      <c r="B49" s="729">
        <v>880</v>
      </c>
      <c r="C49" s="729">
        <v>14.4</v>
      </c>
      <c r="D49" s="729">
        <v>7.5</v>
      </c>
      <c r="E49" s="40">
        <f t="shared" si="0"/>
        <v>0.87209302325581395</v>
      </c>
      <c r="F49" s="729">
        <f t="shared" si="1"/>
        <v>1.1363408192553905</v>
      </c>
      <c r="G49" s="729">
        <f t="shared" si="2"/>
        <v>6.7799219074722519</v>
      </c>
      <c r="H49" s="729">
        <f t="shared" si="2"/>
        <v>2.6672282065819548</v>
      </c>
      <c r="I49" s="729">
        <f t="shared" si="2"/>
        <v>2.0149030205422647</v>
      </c>
      <c r="J49" s="40"/>
      <c r="K49" s="40"/>
      <c r="N49" s="40"/>
      <c r="O49" s="40"/>
      <c r="P49" s="40"/>
    </row>
    <row r="50" spans="1:16">
      <c r="A50" s="729">
        <v>39</v>
      </c>
      <c r="B50" s="729">
        <v>1200</v>
      </c>
      <c r="C50" s="729">
        <v>16.2</v>
      </c>
      <c r="D50" s="729">
        <v>7.5</v>
      </c>
      <c r="E50" s="40">
        <f t="shared" si="0"/>
        <v>0.89534883720930236</v>
      </c>
      <c r="F50" s="729">
        <f t="shared" si="1"/>
        <v>1.2554861698244288</v>
      </c>
      <c r="G50" s="729">
        <f t="shared" si="2"/>
        <v>7.0900768357760917</v>
      </c>
      <c r="H50" s="729">
        <f t="shared" si="2"/>
        <v>2.7850112422383382</v>
      </c>
      <c r="I50" s="729">
        <f t="shared" si="2"/>
        <v>2.0149030205422647</v>
      </c>
      <c r="J50" s="40"/>
      <c r="K50" s="40"/>
      <c r="N50" s="40"/>
      <c r="O50" s="40"/>
      <c r="P50" s="40"/>
    </row>
    <row r="51" spans="1:16">
      <c r="A51" s="729">
        <v>40</v>
      </c>
      <c r="B51" s="729">
        <v>1320</v>
      </c>
      <c r="C51" s="729">
        <v>16.7</v>
      </c>
      <c r="D51" s="729">
        <v>7.99</v>
      </c>
      <c r="E51" s="40">
        <f t="shared" si="0"/>
        <v>0.91860465116279066</v>
      </c>
      <c r="F51" s="729">
        <f t="shared" si="1"/>
        <v>1.39574699294967</v>
      </c>
      <c r="G51" s="729">
        <f t="shared" si="2"/>
        <v>7.1853870155804165</v>
      </c>
      <c r="H51" s="729">
        <f t="shared" si="2"/>
        <v>2.8154087194227095</v>
      </c>
      <c r="I51" s="729">
        <f t="shared" si="2"/>
        <v>2.0781907597781832</v>
      </c>
      <c r="J51" s="40"/>
      <c r="K51" s="40"/>
      <c r="N51" s="40"/>
      <c r="O51" s="40"/>
      <c r="P51" s="40"/>
    </row>
    <row r="52" spans="1:16">
      <c r="A52" s="729">
        <v>41</v>
      </c>
      <c r="B52" s="729">
        <v>1407</v>
      </c>
      <c r="C52" s="729">
        <v>23.16</v>
      </c>
      <c r="D52" s="729">
        <v>9.8693181818181817</v>
      </c>
      <c r="E52" s="40">
        <f t="shared" si="0"/>
        <v>0.94186046511627908</v>
      </c>
      <c r="F52" s="729">
        <f t="shared" si="1"/>
        <v>1.5705850285674188</v>
      </c>
      <c r="G52" s="729">
        <f t="shared" ref="G52:G54" si="3">LN(B52)</f>
        <v>7.2492150571143892</v>
      </c>
      <c r="H52" s="729">
        <f t="shared" ref="H52:H54" si="4">LN(C52)</f>
        <v>3.1424266527047946</v>
      </c>
      <c r="I52" s="729">
        <f t="shared" ref="I52:I54" si="5">LN(D52)</f>
        <v>2.2894307712029534</v>
      </c>
      <c r="J52" s="40"/>
      <c r="K52" s="40"/>
      <c r="N52" s="40"/>
      <c r="O52" s="40"/>
      <c r="P52" s="40"/>
    </row>
    <row r="53" spans="1:16">
      <c r="A53" s="729">
        <v>42</v>
      </c>
      <c r="B53" s="729">
        <v>1408</v>
      </c>
      <c r="C53" s="729">
        <v>29</v>
      </c>
      <c r="D53" s="729">
        <v>11.192045454545454</v>
      </c>
      <c r="E53" s="40">
        <f t="shared" si="0"/>
        <v>0.96511627906976749</v>
      </c>
      <c r="F53" s="729">
        <f t="shared" si="1"/>
        <v>1.813417568674035</v>
      </c>
      <c r="G53" s="729">
        <f t="shared" si="3"/>
        <v>7.2499255367179876</v>
      </c>
      <c r="H53" s="729">
        <f t="shared" si="4"/>
        <v>3.3672958299864741</v>
      </c>
      <c r="I53" s="729">
        <f t="shared" si="5"/>
        <v>2.4152032986974503</v>
      </c>
      <c r="J53" s="40"/>
    </row>
    <row r="54" spans="1:16">
      <c r="A54" s="729">
        <v>43</v>
      </c>
      <c r="B54" s="729">
        <v>1760</v>
      </c>
      <c r="C54" s="729">
        <v>30</v>
      </c>
      <c r="D54" s="729">
        <v>14.5</v>
      </c>
      <c r="E54" s="40">
        <f t="shared" si="0"/>
        <v>0.98837209302325579</v>
      </c>
      <c r="F54" s="729">
        <f t="shared" si="1"/>
        <v>2.2692057962849623</v>
      </c>
      <c r="G54" s="729">
        <f t="shared" si="3"/>
        <v>7.4730690880321973</v>
      </c>
      <c r="H54" s="729">
        <f t="shared" si="4"/>
        <v>3.4011973816621555</v>
      </c>
      <c r="I54" s="729">
        <f t="shared" si="5"/>
        <v>2.6741486494265287</v>
      </c>
      <c r="J54" s="40"/>
    </row>
    <row r="55" spans="1:16">
      <c r="A55" s="872"/>
      <c r="B55" s="872"/>
      <c r="C55" s="872"/>
      <c r="D55" s="872"/>
      <c r="E55" s="872"/>
      <c r="F55" s="872"/>
      <c r="G55" s="872"/>
      <c r="H55" s="872"/>
      <c r="I55" s="872"/>
      <c r="J55" s="40"/>
    </row>
    <row r="56" spans="1:16">
      <c r="A56" s="872"/>
      <c r="B56" s="872"/>
      <c r="C56" s="872"/>
      <c r="D56" s="872"/>
      <c r="E56" s="872"/>
      <c r="F56" s="872"/>
      <c r="G56" s="872"/>
      <c r="H56" s="872"/>
      <c r="I56" s="872"/>
      <c r="J56" s="40"/>
    </row>
    <row r="57" spans="1:16">
      <c r="A57" s="872"/>
      <c r="B57" s="872"/>
      <c r="C57" s="872"/>
      <c r="D57" s="872"/>
      <c r="E57" s="872"/>
      <c r="F57" s="872"/>
      <c r="G57" s="872"/>
      <c r="H57" s="872"/>
      <c r="I57" s="872"/>
      <c r="J57" s="40"/>
    </row>
    <row r="58" spans="1:16">
      <c r="A58" s="872"/>
      <c r="B58" s="872"/>
      <c r="C58" s="872"/>
      <c r="D58" s="872"/>
      <c r="E58" s="872"/>
      <c r="F58" s="872"/>
      <c r="G58" s="872"/>
      <c r="H58" s="872"/>
      <c r="I58" s="872"/>
      <c r="J58" s="40"/>
    </row>
    <row r="59" spans="1:16">
      <c r="A59" s="872"/>
      <c r="B59" s="872"/>
      <c r="C59" s="872"/>
      <c r="D59" s="872"/>
      <c r="E59" s="872"/>
      <c r="F59" s="872"/>
      <c r="G59" s="872"/>
      <c r="H59" s="872"/>
      <c r="I59" s="872"/>
      <c r="J59" s="40"/>
    </row>
    <row r="60" spans="1:16">
      <c r="A60" s="872"/>
      <c r="B60" s="872"/>
      <c r="C60" s="872"/>
      <c r="D60" s="872"/>
      <c r="E60" s="872"/>
      <c r="F60" s="872"/>
      <c r="G60" s="872"/>
      <c r="H60" s="872"/>
      <c r="I60" s="872"/>
      <c r="J60" s="40"/>
    </row>
    <row r="61" spans="1:16">
      <c r="A61" s="872"/>
      <c r="B61" s="872"/>
      <c r="C61" s="872"/>
      <c r="D61" s="872"/>
      <c r="E61" s="872"/>
      <c r="F61" s="872"/>
      <c r="G61" s="872"/>
      <c r="H61" s="872"/>
      <c r="I61" s="872"/>
      <c r="J61" s="40"/>
    </row>
    <row r="62" spans="1:16">
      <c r="A62" s="872"/>
      <c r="B62" s="872"/>
      <c r="C62" s="872"/>
      <c r="D62" s="872"/>
      <c r="E62" s="872"/>
      <c r="F62" s="872"/>
      <c r="G62" s="872"/>
      <c r="H62" s="872"/>
      <c r="I62" s="872"/>
      <c r="J62" s="40"/>
    </row>
    <row r="63" spans="1:16">
      <c r="A63" s="872"/>
      <c r="B63" s="872"/>
      <c r="C63" s="872"/>
      <c r="D63" s="872"/>
      <c r="E63" s="872"/>
      <c r="F63" s="872"/>
      <c r="G63" s="872"/>
      <c r="H63" s="872"/>
      <c r="I63" s="872"/>
      <c r="J63" s="40"/>
    </row>
    <row r="64" spans="1:16">
      <c r="A64" s="872"/>
      <c r="B64" s="872"/>
      <c r="C64" s="872"/>
      <c r="D64" s="872"/>
      <c r="E64" s="872"/>
      <c r="F64" s="872"/>
      <c r="G64" s="872"/>
      <c r="H64" s="872"/>
      <c r="I64" s="872"/>
      <c r="J64" s="40"/>
    </row>
    <row r="65" spans="1:10">
      <c r="A65" s="872"/>
      <c r="B65" s="872"/>
      <c r="C65" s="872"/>
      <c r="D65" s="872"/>
      <c r="E65" s="872"/>
      <c r="F65" s="872"/>
      <c r="G65" s="872"/>
      <c r="H65" s="872"/>
      <c r="I65" s="872"/>
      <c r="J65" s="40"/>
    </row>
    <row r="66" spans="1:10">
      <c r="A66" s="872"/>
      <c r="B66" s="872"/>
      <c r="C66" s="872"/>
      <c r="D66" s="872"/>
      <c r="E66" s="872"/>
      <c r="F66" s="872"/>
      <c r="G66" s="872"/>
      <c r="H66" s="872"/>
      <c r="I66" s="872"/>
      <c r="J66" s="40"/>
    </row>
    <row r="67" spans="1:10">
      <c r="A67" s="872"/>
      <c r="B67" s="872"/>
      <c r="C67" s="872"/>
      <c r="D67" s="872"/>
      <c r="E67" s="872"/>
      <c r="F67" s="872"/>
      <c r="G67" s="872"/>
      <c r="H67" s="872"/>
      <c r="I67" s="872"/>
      <c r="J67" s="40"/>
    </row>
    <row r="68" spans="1:10">
      <c r="A68" s="872"/>
      <c r="B68" s="872"/>
      <c r="C68" s="872"/>
      <c r="D68" s="872"/>
      <c r="E68" s="872"/>
      <c r="F68" s="872"/>
      <c r="G68" s="872"/>
      <c r="H68" s="872"/>
      <c r="I68" s="872"/>
      <c r="J68" s="40"/>
    </row>
    <row r="69" spans="1:10">
      <c r="A69" s="872"/>
      <c r="B69" s="872"/>
      <c r="C69" s="872"/>
      <c r="D69" s="872"/>
      <c r="E69" s="872"/>
      <c r="F69" s="872"/>
      <c r="G69" s="872"/>
      <c r="H69" s="872"/>
      <c r="I69" s="872"/>
      <c r="J69" s="40"/>
    </row>
    <row r="70" spans="1:10">
      <c r="A70" s="872"/>
      <c r="B70" s="872"/>
      <c r="C70" s="872"/>
      <c r="D70" s="872"/>
      <c r="E70" s="872"/>
      <c r="F70" s="872"/>
      <c r="G70" s="872"/>
      <c r="H70" s="872"/>
      <c r="I70" s="872"/>
      <c r="J70" s="40"/>
    </row>
    <row r="71" spans="1:10">
      <c r="A71" s="872"/>
      <c r="B71" s="872"/>
      <c r="C71" s="872"/>
      <c r="D71" s="872"/>
      <c r="E71" s="872"/>
      <c r="F71" s="872"/>
      <c r="G71" s="872"/>
      <c r="H71" s="872"/>
      <c r="I71" s="872"/>
      <c r="J71" s="40"/>
    </row>
    <row r="72" spans="1:10">
      <c r="A72" s="872"/>
      <c r="B72" s="872"/>
      <c r="C72" s="872"/>
      <c r="D72" s="872"/>
      <c r="E72" s="872"/>
      <c r="F72" s="872"/>
      <c r="G72" s="872"/>
      <c r="H72" s="872"/>
      <c r="I72" s="872"/>
      <c r="J72" s="40"/>
    </row>
    <row r="73" spans="1:10">
      <c r="A73" s="872"/>
      <c r="B73" s="872"/>
      <c r="C73" s="872"/>
      <c r="D73" s="872"/>
      <c r="E73" s="872"/>
      <c r="F73" s="872"/>
      <c r="G73" s="872"/>
      <c r="H73" s="872"/>
      <c r="I73" s="872"/>
      <c r="J73" s="40"/>
    </row>
    <row r="74" spans="1:10">
      <c r="A74" s="872"/>
      <c r="B74" s="872"/>
      <c r="C74" s="872"/>
      <c r="D74" s="872"/>
      <c r="E74" s="872"/>
      <c r="F74" s="872"/>
      <c r="G74" s="872"/>
      <c r="H74" s="872"/>
      <c r="I74" s="872"/>
      <c r="J74" s="40"/>
    </row>
    <row r="75" spans="1:10">
      <c r="A75" s="872"/>
      <c r="B75" s="872"/>
      <c r="C75" s="872"/>
      <c r="D75" s="872"/>
      <c r="E75" s="872"/>
      <c r="F75" s="872"/>
      <c r="G75" s="872"/>
      <c r="H75" s="872"/>
      <c r="I75" s="872"/>
      <c r="J75" s="40"/>
    </row>
    <row r="76" spans="1:10">
      <c r="A76" s="872"/>
      <c r="B76" s="872"/>
      <c r="C76" s="872"/>
      <c r="D76" s="872"/>
      <c r="E76" s="872"/>
      <c r="F76" s="872"/>
      <c r="G76" s="872"/>
      <c r="H76" s="872"/>
      <c r="I76" s="872"/>
      <c r="J76" s="40"/>
    </row>
    <row r="77" spans="1:10">
      <c r="A77" s="872"/>
      <c r="B77" s="872"/>
      <c r="C77" s="872"/>
      <c r="D77" s="872"/>
      <c r="E77" s="872"/>
      <c r="F77" s="872"/>
      <c r="G77" s="872"/>
      <c r="H77" s="872"/>
      <c r="I77" s="872"/>
      <c r="J77" s="40"/>
    </row>
    <row r="78" spans="1:10">
      <c r="A78" s="872"/>
      <c r="B78" s="872"/>
      <c r="C78" s="872"/>
      <c r="D78" s="872"/>
      <c r="E78" s="872"/>
      <c r="F78" s="872"/>
      <c r="G78" s="872"/>
      <c r="H78" s="872"/>
      <c r="I78" s="872"/>
      <c r="J78" s="40"/>
    </row>
    <row r="79" spans="1:10">
      <c r="A79" s="872"/>
      <c r="B79" s="872"/>
      <c r="C79" s="872"/>
      <c r="D79" s="872"/>
      <c r="E79" s="872"/>
      <c r="F79" s="872"/>
      <c r="G79" s="872"/>
      <c r="H79" s="872"/>
      <c r="I79" s="872"/>
      <c r="J79" s="40"/>
    </row>
    <row r="80" spans="1:10">
      <c r="A80" s="872"/>
      <c r="B80" s="872"/>
      <c r="C80" s="872"/>
      <c r="D80" s="872"/>
      <c r="E80" s="872"/>
      <c r="F80" s="872"/>
      <c r="G80" s="872"/>
      <c r="H80" s="872"/>
      <c r="I80" s="872"/>
      <c r="J80" s="40"/>
    </row>
    <row r="81" spans="1:10">
      <c r="A81" s="872"/>
      <c r="B81" s="872"/>
      <c r="C81" s="872"/>
      <c r="D81" s="872"/>
      <c r="E81" s="872"/>
      <c r="F81" s="872"/>
      <c r="G81" s="872"/>
      <c r="H81" s="872"/>
      <c r="I81" s="872"/>
      <c r="J81" s="40"/>
    </row>
    <row r="82" spans="1:10">
      <c r="A82" s="872"/>
      <c r="B82" s="872"/>
      <c r="C82" s="872"/>
      <c r="D82" s="872"/>
      <c r="E82" s="872"/>
      <c r="F82" s="872"/>
      <c r="G82" s="872"/>
      <c r="H82" s="872"/>
      <c r="I82" s="872"/>
      <c r="J82" s="40"/>
    </row>
    <row r="83" spans="1:10">
      <c r="A83" s="872"/>
      <c r="B83" s="872"/>
      <c r="C83" s="872"/>
      <c r="D83" s="872"/>
      <c r="E83" s="872"/>
      <c r="F83" s="872"/>
      <c r="G83" s="872"/>
      <c r="H83" s="872"/>
      <c r="I83" s="872"/>
      <c r="J83" s="40"/>
    </row>
    <row r="84" spans="1:10">
      <c r="A84" s="872"/>
      <c r="B84" s="872"/>
      <c r="C84" s="872"/>
      <c r="D84" s="872"/>
      <c r="E84" s="872"/>
      <c r="F84" s="872"/>
      <c r="G84" s="872"/>
      <c r="H84" s="872"/>
      <c r="I84" s="872"/>
      <c r="J84" s="40"/>
    </row>
    <row r="85" spans="1:10">
      <c r="A85" s="872"/>
      <c r="B85" s="872"/>
      <c r="C85" s="872"/>
      <c r="D85" s="872"/>
      <c r="E85" s="872"/>
      <c r="F85" s="872"/>
      <c r="G85" s="872"/>
      <c r="H85" s="872"/>
      <c r="I85" s="872"/>
      <c r="J85" s="40"/>
    </row>
    <row r="86" spans="1:10">
      <c r="A86" s="872"/>
      <c r="B86" s="872"/>
      <c r="C86" s="872"/>
      <c r="D86" s="872"/>
      <c r="E86" s="872"/>
      <c r="F86" s="872"/>
      <c r="G86" s="872"/>
      <c r="H86" s="872"/>
      <c r="I86" s="872"/>
      <c r="J86" s="40"/>
    </row>
    <row r="87" spans="1:10">
      <c r="A87" s="872"/>
      <c r="B87" s="872"/>
      <c r="C87" s="872"/>
      <c r="D87" s="872"/>
      <c r="E87" s="872"/>
      <c r="F87" s="872"/>
      <c r="G87" s="872"/>
      <c r="H87" s="872"/>
      <c r="I87" s="872"/>
      <c r="J87" s="40"/>
    </row>
    <row r="88" spans="1:10">
      <c r="A88" s="872"/>
      <c r="B88" s="872"/>
      <c r="C88" s="872"/>
      <c r="D88" s="872"/>
      <c r="E88" s="872"/>
      <c r="F88" s="872"/>
      <c r="G88" s="872"/>
      <c r="H88" s="872"/>
      <c r="I88" s="872"/>
      <c r="J88" s="40"/>
    </row>
    <row r="89" spans="1:10">
      <c r="A89" s="872"/>
      <c r="B89" s="872"/>
      <c r="C89" s="872"/>
      <c r="D89" s="872"/>
      <c r="E89" s="872"/>
      <c r="F89" s="872"/>
      <c r="G89" s="872"/>
      <c r="H89" s="872"/>
      <c r="I89" s="872"/>
      <c r="J89" s="40"/>
    </row>
    <row r="90" spans="1:10">
      <c r="A90" s="872"/>
      <c r="B90" s="872"/>
      <c r="C90" s="872"/>
      <c r="D90" s="872"/>
      <c r="E90" s="872"/>
      <c r="F90" s="872"/>
      <c r="G90" s="872"/>
      <c r="H90" s="872"/>
      <c r="I90" s="872"/>
      <c r="J90" s="40"/>
    </row>
    <row r="91" spans="1:10">
      <c r="A91" s="872"/>
      <c r="B91" s="872"/>
      <c r="C91" s="872"/>
      <c r="D91" s="872"/>
      <c r="E91" s="872"/>
      <c r="F91" s="872"/>
      <c r="G91" s="872"/>
      <c r="H91" s="872"/>
      <c r="I91" s="872"/>
      <c r="J91" s="40"/>
    </row>
    <row r="92" spans="1:10">
      <c r="A92" s="872"/>
      <c r="B92" s="872"/>
      <c r="C92" s="872"/>
      <c r="D92" s="872"/>
      <c r="E92" s="872"/>
      <c r="F92" s="872"/>
      <c r="G92" s="872"/>
      <c r="H92" s="872"/>
      <c r="I92" s="872"/>
      <c r="J92" s="40"/>
    </row>
    <row r="93" spans="1:10">
      <c r="A93" s="872"/>
      <c r="B93" s="872"/>
      <c r="C93" s="872"/>
      <c r="D93" s="872"/>
      <c r="E93" s="872"/>
      <c r="F93" s="872"/>
      <c r="G93" s="872"/>
      <c r="H93" s="872"/>
      <c r="I93" s="872"/>
      <c r="J93" s="40"/>
    </row>
    <row r="94" spans="1:10">
      <c r="A94" s="872"/>
      <c r="B94" s="872"/>
      <c r="C94" s="872"/>
      <c r="D94" s="872"/>
      <c r="E94" s="872"/>
      <c r="F94" s="872"/>
      <c r="G94" s="872"/>
      <c r="H94" s="872"/>
      <c r="I94" s="872"/>
      <c r="J94" s="40"/>
    </row>
    <row r="95" spans="1:10">
      <c r="A95" s="872"/>
      <c r="B95" s="872"/>
      <c r="C95" s="872"/>
      <c r="D95" s="872"/>
      <c r="E95" s="872"/>
      <c r="F95" s="872"/>
      <c r="G95" s="872"/>
      <c r="H95" s="872"/>
      <c r="I95" s="872"/>
      <c r="J95" s="40"/>
    </row>
    <row r="96" spans="1:10">
      <c r="A96" s="872"/>
      <c r="B96" s="872"/>
      <c r="C96" s="872"/>
      <c r="D96" s="872"/>
      <c r="E96" s="872"/>
      <c r="F96" s="872"/>
      <c r="G96" s="872"/>
      <c r="H96" s="872"/>
      <c r="I96" s="872"/>
      <c r="J96" s="40"/>
    </row>
    <row r="97" spans="1:10">
      <c r="A97" s="872"/>
      <c r="B97" s="872"/>
      <c r="C97" s="872"/>
      <c r="D97" s="872"/>
      <c r="E97" s="872"/>
      <c r="F97" s="872"/>
      <c r="G97" s="872"/>
      <c r="H97" s="872"/>
      <c r="I97" s="872"/>
      <c r="J97" s="40"/>
    </row>
    <row r="98" spans="1:10">
      <c r="A98" s="872"/>
      <c r="B98" s="872"/>
      <c r="C98" s="872"/>
      <c r="D98" s="872"/>
      <c r="E98" s="872"/>
      <c r="F98" s="872"/>
      <c r="G98" s="872"/>
      <c r="H98" s="872"/>
      <c r="I98" s="872"/>
      <c r="J98" s="40"/>
    </row>
    <row r="99" spans="1:10">
      <c r="A99" s="872"/>
      <c r="B99" s="872"/>
      <c r="C99" s="872"/>
      <c r="D99" s="872"/>
      <c r="E99" s="872"/>
      <c r="F99" s="872"/>
      <c r="G99" s="872"/>
      <c r="H99" s="872"/>
      <c r="I99" s="872"/>
      <c r="J99" s="40"/>
    </row>
    <row r="100" spans="1:10">
      <c r="A100" s="872"/>
      <c r="B100" s="872"/>
      <c r="C100" s="872"/>
      <c r="D100" s="872"/>
      <c r="E100" s="872"/>
      <c r="F100" s="872"/>
      <c r="G100" s="872"/>
      <c r="H100" s="872"/>
      <c r="I100" s="872"/>
      <c r="J100" s="40"/>
    </row>
    <row r="101" spans="1:10">
      <c r="A101" s="872"/>
      <c r="B101" s="872"/>
      <c r="C101" s="872"/>
      <c r="D101" s="872"/>
      <c r="E101" s="872"/>
      <c r="F101" s="872"/>
      <c r="G101" s="872"/>
      <c r="H101" s="872"/>
      <c r="I101" s="872"/>
      <c r="J101" s="40"/>
    </row>
    <row r="102" spans="1:10">
      <c r="A102" s="872"/>
      <c r="B102" s="872"/>
      <c r="C102" s="872"/>
      <c r="D102" s="872"/>
      <c r="E102" s="872"/>
      <c r="F102" s="872"/>
      <c r="G102" s="872"/>
      <c r="H102" s="872"/>
      <c r="I102" s="872"/>
      <c r="J102" s="40"/>
    </row>
    <row r="103" spans="1:10">
      <c r="A103" s="872"/>
      <c r="B103" s="872"/>
      <c r="C103" s="872"/>
      <c r="D103" s="872"/>
      <c r="E103" s="872"/>
      <c r="F103" s="872"/>
      <c r="G103" s="872"/>
      <c r="H103" s="872"/>
      <c r="I103" s="872"/>
      <c r="J103" s="40"/>
    </row>
    <row r="104" spans="1:10">
      <c r="A104" s="872"/>
      <c r="B104" s="872"/>
      <c r="C104" s="872"/>
      <c r="D104" s="872"/>
      <c r="E104" s="872"/>
      <c r="F104" s="872"/>
      <c r="G104" s="872"/>
      <c r="H104" s="872"/>
      <c r="I104" s="872"/>
      <c r="J104" s="40"/>
    </row>
    <row r="105" spans="1:10">
      <c r="A105" s="872"/>
      <c r="B105" s="872"/>
      <c r="C105" s="872"/>
      <c r="D105" s="872"/>
      <c r="E105" s="872"/>
      <c r="F105" s="872"/>
      <c r="G105" s="872"/>
      <c r="H105" s="872"/>
      <c r="I105" s="872"/>
      <c r="J105" s="40"/>
    </row>
    <row r="106" spans="1:10">
      <c r="A106" s="872"/>
      <c r="B106" s="872"/>
      <c r="C106" s="872"/>
      <c r="D106" s="872"/>
      <c r="E106" s="872"/>
      <c r="F106" s="872"/>
      <c r="G106" s="872"/>
      <c r="H106" s="872"/>
      <c r="I106" s="872"/>
      <c r="J106" s="40"/>
    </row>
    <row r="107" spans="1:10">
      <c r="A107" s="872"/>
      <c r="B107" s="872"/>
      <c r="C107" s="872"/>
      <c r="D107" s="872"/>
      <c r="E107" s="872"/>
      <c r="F107" s="872"/>
      <c r="G107" s="872"/>
      <c r="H107" s="872"/>
      <c r="I107" s="872"/>
      <c r="J107" s="40"/>
    </row>
    <row r="108" spans="1:10">
      <c r="A108" s="872"/>
      <c r="B108" s="872"/>
      <c r="C108" s="872"/>
      <c r="D108" s="872"/>
      <c r="E108" s="872"/>
      <c r="F108" s="872"/>
      <c r="G108" s="872"/>
      <c r="H108" s="872"/>
      <c r="I108" s="872"/>
      <c r="J108" s="40"/>
    </row>
    <row r="109" spans="1:10">
      <c r="A109" s="872"/>
      <c r="B109" s="872"/>
      <c r="C109" s="872"/>
      <c r="D109" s="872"/>
      <c r="E109" s="872"/>
      <c r="F109" s="872"/>
      <c r="G109" s="872"/>
      <c r="H109" s="872"/>
      <c r="I109" s="872"/>
      <c r="J109" s="40"/>
    </row>
    <row r="110" spans="1:10">
      <c r="A110" s="872"/>
      <c r="B110" s="872"/>
      <c r="C110" s="872"/>
      <c r="D110" s="872"/>
      <c r="E110" s="872"/>
      <c r="F110" s="872"/>
      <c r="G110" s="872"/>
      <c r="H110" s="872"/>
      <c r="I110" s="872"/>
      <c r="J110" s="40"/>
    </row>
    <row r="111" spans="1:10">
      <c r="A111" s="40"/>
      <c r="B111" s="40"/>
      <c r="C111" s="40"/>
      <c r="D111" s="40"/>
      <c r="E111" s="40"/>
      <c r="F111" s="40"/>
      <c r="G111" s="40"/>
      <c r="H111" s="40"/>
      <c r="I111" s="40"/>
      <c r="J111" s="40"/>
    </row>
    <row r="112" spans="1:10">
      <c r="A112" s="40"/>
      <c r="B112" s="40"/>
      <c r="C112" s="40"/>
      <c r="D112" s="40"/>
      <c r="E112" s="40"/>
      <c r="F112" s="40"/>
      <c r="G112" s="40"/>
      <c r="H112" s="40"/>
      <c r="I112" s="40"/>
      <c r="J112" s="40"/>
    </row>
    <row r="113" spans="1:10">
      <c r="A113" s="40"/>
      <c r="B113" s="40"/>
      <c r="C113" s="40"/>
      <c r="D113" s="40"/>
      <c r="E113" s="40"/>
      <c r="F113" s="40"/>
      <c r="G113" s="40"/>
      <c r="H113" s="40"/>
      <c r="I113" s="40"/>
      <c r="J113" s="40"/>
    </row>
    <row r="114" spans="1:10">
      <c r="A114" s="40"/>
      <c r="B114" s="40"/>
      <c r="C114" s="40"/>
      <c r="D114" s="40"/>
      <c r="E114" s="40"/>
      <c r="F114" s="40"/>
      <c r="G114" s="40"/>
      <c r="H114" s="40"/>
      <c r="I114" s="40"/>
      <c r="J114" s="40"/>
    </row>
    <row r="115" spans="1:10">
      <c r="A115" s="40"/>
      <c r="B115" s="40"/>
      <c r="C115" s="40"/>
      <c r="D115" s="40"/>
      <c r="E115" s="40"/>
      <c r="F115" s="40"/>
      <c r="G115" s="40"/>
      <c r="H115" s="40"/>
      <c r="I115" s="40"/>
      <c r="J115" s="40"/>
    </row>
    <row r="116" spans="1:10">
      <c r="A116" s="40"/>
      <c r="B116" s="40"/>
      <c r="C116" s="40"/>
      <c r="D116" s="40"/>
      <c r="E116" s="40"/>
      <c r="F116" s="40"/>
      <c r="G116" s="40"/>
      <c r="H116" s="40"/>
      <c r="I116" s="40"/>
      <c r="J116" s="40"/>
    </row>
    <row r="117" spans="1:10">
      <c r="A117" s="40"/>
      <c r="B117" s="40"/>
      <c r="C117" s="40"/>
      <c r="D117" s="40"/>
      <c r="E117" s="40"/>
      <c r="F117" s="40"/>
      <c r="G117" s="40"/>
      <c r="H117" s="40"/>
      <c r="I117" s="40"/>
      <c r="J117" s="40"/>
    </row>
    <row r="118" spans="1:10">
      <c r="A118" s="40"/>
      <c r="B118" s="40"/>
      <c r="C118" s="40"/>
      <c r="D118" s="40"/>
      <c r="E118" s="40"/>
      <c r="F118" s="40"/>
      <c r="G118" s="40"/>
      <c r="H118" s="40"/>
      <c r="I118" s="40"/>
      <c r="J118" s="40"/>
    </row>
    <row r="119" spans="1:10">
      <c r="A119" s="40"/>
      <c r="B119" s="40"/>
      <c r="C119" s="40"/>
      <c r="D119" s="40"/>
      <c r="E119" s="40"/>
      <c r="F119" s="40"/>
      <c r="G119" s="40"/>
      <c r="H119" s="40"/>
      <c r="I119" s="40"/>
      <c r="J119" s="40"/>
    </row>
    <row r="120" spans="1:10">
      <c r="A120" s="40"/>
      <c r="B120" s="40"/>
      <c r="C120" s="40"/>
      <c r="D120" s="40"/>
      <c r="E120" s="40"/>
      <c r="F120" s="40"/>
      <c r="G120" s="40"/>
      <c r="H120" s="40"/>
      <c r="I120" s="40"/>
      <c r="J120" s="40"/>
    </row>
    <row r="121" spans="1:10">
      <c r="A121" s="40"/>
      <c r="B121" s="40"/>
      <c r="C121" s="40"/>
      <c r="D121" s="40"/>
      <c r="E121" s="40"/>
      <c r="F121" s="40"/>
      <c r="G121" s="40"/>
      <c r="H121" s="40"/>
      <c r="I121" s="40"/>
      <c r="J121" s="40"/>
    </row>
    <row r="122" spans="1:10">
      <c r="A122" s="40"/>
      <c r="B122" s="40"/>
      <c r="C122" s="40"/>
      <c r="D122" s="40"/>
      <c r="E122" s="40"/>
      <c r="F122" s="40"/>
      <c r="G122" s="40"/>
      <c r="H122" s="40"/>
      <c r="I122" s="40"/>
      <c r="J122" s="40"/>
    </row>
    <row r="123" spans="1:10">
      <c r="A123" s="40"/>
      <c r="B123" s="40"/>
      <c r="C123" s="40"/>
      <c r="D123" s="40"/>
      <c r="E123" s="40"/>
      <c r="F123" s="40"/>
      <c r="G123" s="40"/>
      <c r="H123" s="40"/>
      <c r="I123" s="40"/>
      <c r="J123" s="40"/>
    </row>
    <row r="124" spans="1:10">
      <c r="A124" s="40"/>
      <c r="B124" s="40"/>
      <c r="C124" s="40"/>
      <c r="D124" s="40"/>
      <c r="E124" s="40"/>
      <c r="F124" s="40"/>
      <c r="G124" s="40"/>
      <c r="H124" s="40"/>
      <c r="I124" s="40"/>
      <c r="J124" s="40"/>
    </row>
    <row r="125" spans="1:10">
      <c r="A125" s="40"/>
      <c r="B125" s="40"/>
      <c r="C125" s="40"/>
      <c r="D125" s="40"/>
      <c r="E125" s="40"/>
      <c r="F125" s="40"/>
      <c r="G125" s="40"/>
      <c r="H125" s="40"/>
      <c r="I125" s="40"/>
      <c r="J125" s="40"/>
    </row>
    <row r="126" spans="1:10">
      <c r="A126" s="40"/>
      <c r="B126" s="40"/>
      <c r="C126" s="40"/>
      <c r="D126" s="40"/>
      <c r="E126" s="40"/>
      <c r="F126" s="40"/>
      <c r="G126" s="40"/>
      <c r="H126" s="40"/>
      <c r="I126" s="40"/>
      <c r="J126" s="40"/>
    </row>
    <row r="127" spans="1:10">
      <c r="A127" s="40"/>
      <c r="B127" s="40"/>
      <c r="C127" s="40"/>
      <c r="D127" s="40"/>
      <c r="E127" s="40"/>
      <c r="F127" s="40"/>
      <c r="G127" s="40"/>
      <c r="H127" s="40"/>
      <c r="I127" s="40"/>
      <c r="J127" s="40"/>
    </row>
    <row r="128" spans="1:10">
      <c r="A128" s="40"/>
      <c r="B128" s="40"/>
      <c r="C128" s="40"/>
      <c r="D128" s="40"/>
      <c r="E128" s="40"/>
      <c r="F128" s="40"/>
      <c r="G128" s="40"/>
      <c r="H128" s="40"/>
      <c r="I128" s="40"/>
      <c r="J128" s="40"/>
    </row>
    <row r="129" spans="1:10">
      <c r="A129" s="40"/>
      <c r="B129" s="40"/>
      <c r="C129" s="40"/>
      <c r="D129" s="40"/>
      <c r="E129" s="40"/>
      <c r="F129" s="40"/>
      <c r="G129" s="40"/>
      <c r="H129" s="40"/>
      <c r="I129" s="40"/>
      <c r="J129" s="40"/>
    </row>
    <row r="130" spans="1:10">
      <c r="A130" s="40"/>
      <c r="B130" s="40"/>
      <c r="C130" s="40"/>
      <c r="D130" s="40"/>
      <c r="E130" s="40"/>
      <c r="F130" s="40"/>
      <c r="G130" s="40"/>
      <c r="H130" s="40"/>
      <c r="I130" s="40"/>
      <c r="J130" s="40"/>
    </row>
    <row r="131" spans="1:10">
      <c r="A131" s="40"/>
      <c r="B131" s="40"/>
      <c r="C131" s="40"/>
      <c r="D131" s="40"/>
      <c r="E131" s="40"/>
      <c r="F131" s="40"/>
      <c r="G131" s="40"/>
      <c r="H131" s="40"/>
      <c r="I131" s="40"/>
      <c r="J131" s="40"/>
    </row>
    <row r="132" spans="1:10">
      <c r="A132" s="40"/>
      <c r="B132" s="40"/>
      <c r="C132" s="40"/>
      <c r="D132" s="40"/>
      <c r="E132" s="40"/>
      <c r="F132" s="40"/>
      <c r="G132" s="40"/>
      <c r="H132" s="40"/>
      <c r="I132" s="40"/>
      <c r="J132" s="40"/>
    </row>
    <row r="133" spans="1:10">
      <c r="A133" s="40"/>
      <c r="B133" s="40"/>
      <c r="C133" s="40"/>
      <c r="D133" s="40"/>
      <c r="E133" s="40"/>
      <c r="F133" s="40"/>
      <c r="G133" s="40"/>
      <c r="H133" s="40"/>
      <c r="I133" s="40"/>
      <c r="J133" s="40"/>
    </row>
    <row r="134" spans="1:10">
      <c r="A134" s="40"/>
      <c r="B134" s="40"/>
      <c r="C134" s="40"/>
      <c r="D134" s="40"/>
      <c r="E134" s="40"/>
      <c r="F134" s="40"/>
      <c r="G134" s="40"/>
      <c r="H134" s="40"/>
      <c r="I134" s="40"/>
      <c r="J134" s="40"/>
    </row>
    <row r="135" spans="1:10">
      <c r="A135" s="40"/>
      <c r="B135" s="40"/>
      <c r="C135" s="40"/>
      <c r="D135" s="40"/>
      <c r="E135" s="40"/>
      <c r="F135" s="40"/>
      <c r="G135" s="40"/>
      <c r="H135" s="40"/>
      <c r="I135" s="40"/>
      <c r="J135" s="40"/>
    </row>
    <row r="136" spans="1:10">
      <c r="A136" s="40"/>
      <c r="B136" s="40"/>
      <c r="C136" s="40"/>
      <c r="D136" s="40"/>
      <c r="E136" s="40"/>
      <c r="F136" s="40"/>
      <c r="G136" s="40"/>
      <c r="H136" s="40"/>
      <c r="I136" s="40"/>
      <c r="J136" s="40"/>
    </row>
    <row r="137" spans="1:10">
      <c r="A137" s="40"/>
      <c r="B137" s="40"/>
      <c r="C137" s="40"/>
      <c r="D137" s="40"/>
      <c r="E137" s="40"/>
      <c r="F137" s="40"/>
      <c r="G137" s="40"/>
      <c r="H137" s="40"/>
      <c r="I137" s="40"/>
      <c r="J137" s="40"/>
    </row>
    <row r="138" spans="1:10">
      <c r="A138" s="40"/>
      <c r="B138" s="40"/>
      <c r="C138" s="40"/>
      <c r="D138" s="40"/>
      <c r="E138" s="40"/>
      <c r="F138" s="40"/>
      <c r="G138" s="40"/>
      <c r="H138" s="40"/>
      <c r="I138" s="40"/>
      <c r="J138" s="40"/>
    </row>
    <row r="139" spans="1:10">
      <c r="A139" s="40"/>
      <c r="B139" s="40"/>
      <c r="C139" s="40"/>
      <c r="D139" s="40"/>
      <c r="E139" s="40"/>
      <c r="F139" s="40"/>
      <c r="G139" s="40"/>
      <c r="H139" s="40"/>
      <c r="I139" s="40"/>
      <c r="J139" s="40"/>
    </row>
    <row r="140" spans="1:10">
      <c r="A140" s="40"/>
      <c r="B140" s="40"/>
      <c r="C140" s="40"/>
      <c r="D140" s="40"/>
      <c r="E140" s="40"/>
      <c r="F140" s="40"/>
      <c r="G140" s="40"/>
      <c r="H140" s="40"/>
      <c r="I140" s="40"/>
      <c r="J140" s="40"/>
    </row>
    <row r="141" spans="1:10">
      <c r="A141" s="40"/>
      <c r="B141" s="40"/>
      <c r="C141" s="40"/>
      <c r="D141" s="40"/>
      <c r="E141" s="40"/>
      <c r="F141" s="40"/>
      <c r="G141" s="40"/>
      <c r="H141" s="40"/>
      <c r="I141" s="40"/>
      <c r="J141" s="40"/>
    </row>
    <row r="142" spans="1:10">
      <c r="A142" s="40"/>
      <c r="B142" s="40"/>
      <c r="C142" s="40"/>
      <c r="D142" s="40"/>
      <c r="E142" s="40"/>
      <c r="F142" s="40"/>
      <c r="G142" s="40"/>
      <c r="H142" s="40"/>
      <c r="I142" s="40"/>
      <c r="J142" s="40"/>
    </row>
    <row r="143" spans="1:10">
      <c r="A143" s="40"/>
      <c r="B143" s="40"/>
      <c r="C143" s="40"/>
      <c r="D143" s="40"/>
      <c r="E143" s="40"/>
      <c r="F143" s="40"/>
      <c r="G143" s="40"/>
      <c r="H143" s="40"/>
      <c r="I143" s="40"/>
      <c r="J143" s="40"/>
    </row>
    <row r="144" spans="1:10">
      <c r="A144" s="40"/>
      <c r="B144" s="40"/>
      <c r="C144" s="40"/>
      <c r="D144" s="40"/>
      <c r="E144" s="40"/>
      <c r="F144" s="40"/>
      <c r="G144" s="40"/>
      <c r="H144" s="40"/>
      <c r="I144" s="40"/>
      <c r="J144" s="40"/>
    </row>
    <row r="145" spans="1:10">
      <c r="A145" s="40"/>
      <c r="B145" s="40"/>
      <c r="C145" s="40"/>
      <c r="D145" s="40"/>
      <c r="E145" s="40"/>
      <c r="F145" s="40"/>
      <c r="G145" s="40"/>
      <c r="H145" s="40"/>
      <c r="I145" s="40"/>
      <c r="J145" s="40"/>
    </row>
    <row r="146" spans="1:10">
      <c r="A146" s="40"/>
      <c r="B146" s="40"/>
      <c r="C146" s="40"/>
      <c r="D146" s="40"/>
      <c r="E146" s="40"/>
      <c r="F146" s="40"/>
      <c r="G146" s="40"/>
      <c r="H146" s="40"/>
      <c r="I146" s="40"/>
      <c r="J146" s="40"/>
    </row>
    <row r="147" spans="1:10">
      <c r="A147" s="40"/>
      <c r="B147" s="40"/>
      <c r="C147" s="40"/>
      <c r="D147" s="40"/>
      <c r="E147" s="40"/>
      <c r="F147" s="40"/>
      <c r="G147" s="40"/>
      <c r="H147" s="40"/>
      <c r="I147" s="40"/>
      <c r="J147" s="40"/>
    </row>
    <row r="148" spans="1:10">
      <c r="A148" s="40"/>
      <c r="B148" s="40"/>
      <c r="C148" s="40"/>
      <c r="D148" s="40"/>
      <c r="E148" s="40"/>
      <c r="F148" s="40"/>
      <c r="G148" s="40"/>
      <c r="H148" s="40"/>
      <c r="I148" s="40"/>
      <c r="J148" s="40"/>
    </row>
    <row r="149" spans="1:10">
      <c r="A149" s="40"/>
      <c r="B149" s="40"/>
      <c r="C149" s="40"/>
      <c r="D149" s="40"/>
      <c r="E149" s="40"/>
      <c r="F149" s="40"/>
      <c r="G149" s="40"/>
      <c r="H149" s="40"/>
      <c r="I149" s="40"/>
      <c r="J149" s="40"/>
    </row>
    <row r="150" spans="1:10">
      <c r="A150" s="40"/>
      <c r="B150" s="40"/>
      <c r="C150" s="40"/>
      <c r="D150" s="40"/>
      <c r="E150" s="40"/>
      <c r="F150" s="40"/>
      <c r="G150" s="40"/>
      <c r="H150" s="40"/>
      <c r="I150" s="40"/>
      <c r="J150" s="40"/>
    </row>
    <row r="151" spans="1:10">
      <c r="A151" s="40"/>
      <c r="B151" s="40"/>
      <c r="C151" s="40"/>
      <c r="D151" s="40"/>
      <c r="E151" s="40"/>
      <c r="F151" s="40"/>
      <c r="G151" s="40"/>
      <c r="H151" s="40"/>
      <c r="I151" s="40"/>
      <c r="J151" s="40"/>
    </row>
    <row r="152" spans="1:10">
      <c r="A152" s="40"/>
      <c r="B152" s="40"/>
      <c r="C152" s="40"/>
      <c r="D152" s="40"/>
      <c r="E152" s="40"/>
      <c r="F152" s="40"/>
      <c r="G152" s="40"/>
      <c r="H152" s="40"/>
      <c r="I152" s="40"/>
      <c r="J152" s="40"/>
    </row>
    <row r="153" spans="1:10">
      <c r="A153" s="40"/>
      <c r="B153" s="40"/>
      <c r="C153" s="40"/>
      <c r="D153" s="40"/>
      <c r="E153" s="40"/>
      <c r="F153" s="40"/>
      <c r="G153" s="40"/>
      <c r="H153" s="40"/>
      <c r="I153" s="40"/>
      <c r="J153" s="40"/>
    </row>
    <row r="154" spans="1:10">
      <c r="A154" s="40"/>
      <c r="B154" s="40"/>
      <c r="C154" s="40"/>
      <c r="D154" s="40"/>
      <c r="E154" s="40"/>
      <c r="F154" s="40"/>
      <c r="G154" s="40"/>
      <c r="H154" s="40"/>
      <c r="I154" s="40"/>
      <c r="J154" s="40"/>
    </row>
    <row r="155" spans="1:10">
      <c r="A155" s="40"/>
      <c r="B155" s="40"/>
      <c r="C155" s="40"/>
      <c r="D155" s="40"/>
      <c r="E155" s="40"/>
      <c r="F155" s="40"/>
      <c r="G155" s="40"/>
      <c r="H155" s="40"/>
      <c r="I155" s="40"/>
      <c r="J155" s="40"/>
    </row>
    <row r="156" spans="1:10">
      <c r="A156" s="40"/>
      <c r="B156" s="40"/>
      <c r="C156" s="40"/>
      <c r="D156" s="40"/>
      <c r="E156" s="40"/>
      <c r="F156" s="40"/>
      <c r="G156" s="40"/>
      <c r="H156" s="40"/>
      <c r="I156" s="40"/>
      <c r="J156" s="40"/>
    </row>
    <row r="157" spans="1:10">
      <c r="A157" s="40"/>
      <c r="B157" s="40"/>
      <c r="C157" s="40"/>
      <c r="D157" s="40"/>
      <c r="E157" s="40"/>
      <c r="F157" s="40"/>
      <c r="G157" s="40"/>
      <c r="H157" s="40"/>
      <c r="I157" s="40"/>
      <c r="J157" s="40"/>
    </row>
    <row r="158" spans="1:10">
      <c r="A158" s="40"/>
      <c r="B158" s="40"/>
      <c r="C158" s="40"/>
      <c r="D158" s="40"/>
      <c r="E158" s="40"/>
      <c r="F158" s="40"/>
      <c r="G158" s="40"/>
      <c r="H158" s="40"/>
      <c r="I158" s="40"/>
      <c r="J158" s="40"/>
    </row>
    <row r="159" spans="1:10">
      <c r="A159" s="40"/>
      <c r="B159" s="40"/>
      <c r="C159" s="40"/>
      <c r="D159" s="40"/>
      <c r="E159" s="40"/>
      <c r="F159" s="40"/>
      <c r="G159" s="40"/>
      <c r="H159" s="40"/>
      <c r="I159" s="40"/>
      <c r="J159" s="40"/>
    </row>
    <row r="160" spans="1:10">
      <c r="A160" s="40"/>
      <c r="B160" s="40"/>
      <c r="C160" s="40"/>
      <c r="D160" s="40"/>
      <c r="E160" s="40"/>
      <c r="F160" s="40"/>
      <c r="G160" s="40"/>
      <c r="H160" s="40"/>
      <c r="I160" s="40"/>
      <c r="J160" s="40"/>
    </row>
    <row r="161" spans="1:10">
      <c r="A161" s="40"/>
      <c r="B161" s="40"/>
      <c r="C161" s="40"/>
      <c r="D161" s="40"/>
      <c r="E161" s="40"/>
      <c r="F161" s="40"/>
      <c r="G161" s="40"/>
      <c r="H161" s="40"/>
      <c r="I161" s="40"/>
      <c r="J161" s="40"/>
    </row>
    <row r="162" spans="1:10">
      <c r="A162" s="40"/>
      <c r="B162" s="40"/>
      <c r="C162" s="40"/>
      <c r="D162" s="40"/>
      <c r="E162" s="40"/>
      <c r="F162" s="40"/>
      <c r="G162" s="40"/>
      <c r="H162" s="40"/>
      <c r="I162" s="40"/>
      <c r="J162" s="40"/>
    </row>
    <row r="163" spans="1:10">
      <c r="A163" s="40"/>
      <c r="B163" s="40"/>
      <c r="C163" s="40"/>
      <c r="D163" s="40"/>
      <c r="E163" s="40"/>
      <c r="F163" s="40"/>
      <c r="G163" s="40"/>
      <c r="H163" s="40"/>
      <c r="I163" s="40"/>
      <c r="J163" s="40"/>
    </row>
    <row r="164" spans="1:10">
      <c r="A164" s="40"/>
      <c r="B164" s="40"/>
      <c r="C164" s="40"/>
      <c r="D164" s="40"/>
      <c r="E164" s="40"/>
      <c r="F164" s="40"/>
      <c r="G164" s="40"/>
      <c r="H164" s="40"/>
      <c r="I164" s="40"/>
      <c r="J164" s="40"/>
    </row>
    <row r="165" spans="1:10">
      <c r="A165" s="40"/>
      <c r="B165" s="40"/>
      <c r="C165" s="40"/>
      <c r="D165" s="40"/>
      <c r="E165" s="40"/>
      <c r="F165" s="40"/>
      <c r="G165" s="40"/>
      <c r="H165" s="40"/>
      <c r="I165" s="40"/>
      <c r="J165" s="40"/>
    </row>
    <row r="166" spans="1:10">
      <c r="A166" s="40"/>
      <c r="B166" s="40"/>
      <c r="C166" s="40"/>
      <c r="D166" s="40"/>
      <c r="E166" s="40"/>
      <c r="F166" s="40"/>
      <c r="G166" s="40"/>
      <c r="H166" s="40"/>
      <c r="I166" s="40"/>
      <c r="J166" s="40"/>
    </row>
    <row r="167" spans="1:10">
      <c r="A167" s="40"/>
      <c r="B167" s="40"/>
      <c r="C167" s="40"/>
      <c r="D167" s="40"/>
      <c r="E167" s="40"/>
      <c r="F167" s="40"/>
      <c r="G167" s="40"/>
      <c r="H167" s="40"/>
      <c r="I167" s="40"/>
      <c r="J167" s="40"/>
    </row>
    <row r="168" spans="1:10">
      <c r="A168" s="40"/>
      <c r="B168" s="40"/>
      <c r="C168" s="40"/>
      <c r="D168" s="40"/>
      <c r="E168" s="40"/>
      <c r="F168" s="40"/>
      <c r="G168" s="40"/>
      <c r="H168" s="40"/>
      <c r="I168" s="40"/>
      <c r="J168" s="40"/>
    </row>
    <row r="169" spans="1:10">
      <c r="A169" s="40"/>
      <c r="B169" s="40"/>
      <c r="C169" s="40"/>
      <c r="D169" s="40"/>
      <c r="E169" s="40"/>
      <c r="F169" s="40"/>
      <c r="G169" s="40"/>
      <c r="H169" s="40"/>
      <c r="I169" s="40"/>
      <c r="J169" s="40"/>
    </row>
    <row r="170" spans="1:10">
      <c r="A170" s="40"/>
      <c r="B170" s="40"/>
      <c r="C170" s="40"/>
      <c r="D170" s="40"/>
      <c r="E170" s="40"/>
      <c r="F170" s="40"/>
      <c r="G170" s="40"/>
      <c r="H170" s="40"/>
      <c r="I170" s="40"/>
      <c r="J170" s="40"/>
    </row>
    <row r="171" spans="1:10">
      <c r="A171" s="40"/>
      <c r="B171" s="40"/>
      <c r="C171" s="40"/>
      <c r="D171" s="40"/>
      <c r="E171" s="40"/>
      <c r="F171" s="40"/>
      <c r="G171" s="40"/>
      <c r="H171" s="40"/>
      <c r="I171" s="40"/>
      <c r="J171" s="40"/>
    </row>
    <row r="172" spans="1:10">
      <c r="A172" s="40"/>
      <c r="B172" s="40"/>
      <c r="C172" s="40"/>
      <c r="D172" s="40"/>
      <c r="E172" s="40"/>
      <c r="F172" s="40"/>
      <c r="G172" s="40"/>
      <c r="H172" s="40"/>
      <c r="I172" s="40"/>
      <c r="J172" s="40"/>
    </row>
    <row r="173" spans="1:10">
      <c r="A173" s="40"/>
      <c r="B173" s="40"/>
      <c r="C173" s="40"/>
      <c r="D173" s="40"/>
      <c r="E173" s="40"/>
      <c r="F173" s="40"/>
      <c r="G173" s="40"/>
      <c r="H173" s="40"/>
      <c r="I173" s="40"/>
      <c r="J173" s="40"/>
    </row>
    <row r="174" spans="1:10">
      <c r="A174" s="40"/>
      <c r="B174" s="40"/>
      <c r="C174" s="40"/>
      <c r="D174" s="40"/>
      <c r="E174" s="40"/>
      <c r="F174" s="40"/>
      <c r="G174" s="40"/>
      <c r="H174" s="40"/>
      <c r="I174" s="40"/>
      <c r="J174" s="40"/>
    </row>
    <row r="175" spans="1:10">
      <c r="A175" s="40"/>
      <c r="B175" s="40"/>
      <c r="C175" s="40"/>
      <c r="D175" s="40"/>
      <c r="E175" s="40"/>
      <c r="F175" s="40"/>
      <c r="G175" s="40"/>
      <c r="H175" s="40"/>
      <c r="I175" s="40"/>
      <c r="J175" s="40"/>
    </row>
    <row r="176" spans="1:10">
      <c r="A176" s="40"/>
      <c r="B176" s="40"/>
      <c r="C176" s="40"/>
      <c r="D176" s="40"/>
      <c r="E176" s="40"/>
      <c r="F176" s="40"/>
      <c r="G176" s="40"/>
      <c r="H176" s="40"/>
      <c r="I176" s="40"/>
      <c r="J176" s="40"/>
    </row>
    <row r="177" spans="1:10">
      <c r="A177" s="40"/>
      <c r="B177" s="40"/>
      <c r="C177" s="40"/>
      <c r="D177" s="40"/>
      <c r="E177" s="40"/>
      <c r="F177" s="40"/>
      <c r="G177" s="40"/>
      <c r="H177" s="40"/>
      <c r="I177" s="40"/>
      <c r="J177" s="40"/>
    </row>
    <row r="178" spans="1:10">
      <c r="A178" s="40"/>
      <c r="B178" s="40"/>
      <c r="C178" s="40"/>
      <c r="D178" s="40"/>
      <c r="E178" s="40"/>
      <c r="F178" s="40"/>
      <c r="G178" s="40"/>
      <c r="H178" s="40"/>
      <c r="I178" s="40"/>
      <c r="J178" s="40"/>
    </row>
    <row r="179" spans="1:10">
      <c r="A179" s="40"/>
      <c r="B179" s="40"/>
      <c r="C179" s="40"/>
      <c r="D179" s="40"/>
      <c r="E179" s="40"/>
      <c r="F179" s="40"/>
      <c r="G179" s="40"/>
      <c r="H179" s="40"/>
      <c r="I179" s="40"/>
      <c r="J179" s="40"/>
    </row>
    <row r="180" spans="1:10">
      <c r="A180" s="40"/>
      <c r="B180" s="40"/>
      <c r="C180" s="40"/>
      <c r="D180" s="40"/>
      <c r="E180" s="40"/>
      <c r="F180" s="40"/>
      <c r="G180" s="40"/>
      <c r="H180" s="40"/>
      <c r="I180" s="40"/>
      <c r="J180" s="40"/>
    </row>
    <row r="181" spans="1:10">
      <c r="A181" s="40"/>
      <c r="B181" s="40"/>
      <c r="C181" s="40"/>
      <c r="D181" s="40"/>
      <c r="E181" s="40"/>
      <c r="F181" s="40"/>
      <c r="G181" s="40"/>
      <c r="H181" s="40"/>
      <c r="I181" s="40"/>
      <c r="J181" s="40"/>
    </row>
    <row r="182" spans="1:10">
      <c r="A182" s="40"/>
      <c r="B182" s="40"/>
      <c r="C182" s="40"/>
      <c r="D182" s="40"/>
      <c r="E182" s="40"/>
      <c r="F182" s="40"/>
      <c r="G182" s="40"/>
      <c r="H182" s="40"/>
      <c r="I182" s="40"/>
      <c r="J182" s="40"/>
    </row>
    <row r="183" spans="1:10">
      <c r="A183" s="40"/>
      <c r="B183" s="40"/>
      <c r="C183" s="40"/>
      <c r="D183" s="40"/>
      <c r="E183" s="40"/>
      <c r="F183" s="40"/>
      <c r="G183" s="40"/>
      <c r="H183" s="40"/>
      <c r="I183" s="40"/>
      <c r="J183" s="40"/>
    </row>
    <row r="184" spans="1:10">
      <c r="A184" s="40"/>
      <c r="B184" s="40"/>
      <c r="C184" s="40"/>
      <c r="D184" s="40"/>
      <c r="E184" s="40"/>
      <c r="F184" s="40"/>
      <c r="G184" s="40"/>
      <c r="H184" s="40"/>
      <c r="I184" s="40"/>
      <c r="J184" s="40"/>
    </row>
    <row r="185" spans="1:10">
      <c r="A185" s="40"/>
      <c r="B185" s="40"/>
      <c r="C185" s="40"/>
      <c r="D185" s="40"/>
      <c r="E185" s="40"/>
      <c r="F185" s="40"/>
      <c r="G185" s="40"/>
      <c r="H185" s="40"/>
      <c r="I185" s="40"/>
      <c r="J185" s="40"/>
    </row>
    <row r="186" spans="1:10">
      <c r="A186" s="40"/>
      <c r="B186" s="40"/>
      <c r="C186" s="40"/>
      <c r="D186" s="40"/>
      <c r="E186" s="40"/>
      <c r="F186" s="40"/>
      <c r="G186" s="40"/>
      <c r="H186" s="40"/>
      <c r="I186" s="40"/>
      <c r="J186" s="40"/>
    </row>
    <row r="187" spans="1:10">
      <c r="A187" s="40"/>
      <c r="B187" s="40"/>
      <c r="C187" s="40"/>
      <c r="D187" s="40"/>
      <c r="E187" s="40"/>
      <c r="F187" s="40"/>
      <c r="G187" s="40"/>
      <c r="H187" s="40"/>
      <c r="I187" s="40"/>
      <c r="J187" s="40"/>
    </row>
    <row r="188" spans="1:10">
      <c r="A188" s="40"/>
      <c r="B188" s="40"/>
      <c r="C188" s="40"/>
      <c r="D188" s="40"/>
      <c r="E188" s="40"/>
      <c r="F188" s="40"/>
      <c r="G188" s="40"/>
      <c r="H188" s="40"/>
      <c r="I188" s="40"/>
      <c r="J188" s="40"/>
    </row>
    <row r="189" spans="1:10">
      <c r="A189" s="40"/>
      <c r="B189" s="40"/>
      <c r="C189" s="40"/>
      <c r="D189" s="40"/>
      <c r="E189" s="40"/>
      <c r="F189" s="40"/>
      <c r="G189" s="40"/>
      <c r="H189" s="40"/>
      <c r="I189" s="40"/>
      <c r="J189" s="40"/>
    </row>
    <row r="190" spans="1:10">
      <c r="A190" s="40"/>
      <c r="B190" s="40"/>
      <c r="C190" s="40"/>
      <c r="D190" s="40"/>
      <c r="E190" s="40"/>
      <c r="F190" s="40"/>
      <c r="G190" s="40"/>
      <c r="H190" s="40"/>
      <c r="I190" s="40"/>
      <c r="J190" s="40"/>
    </row>
    <row r="191" spans="1:10">
      <c r="A191" s="40"/>
      <c r="B191" s="40"/>
      <c r="C191" s="40"/>
      <c r="D191" s="40"/>
      <c r="E191" s="40"/>
      <c r="F191" s="40"/>
      <c r="G191" s="40"/>
      <c r="H191" s="40"/>
      <c r="I191" s="40"/>
      <c r="J191" s="40"/>
    </row>
    <row r="192" spans="1:10">
      <c r="A192" s="40"/>
      <c r="B192" s="40"/>
      <c r="C192" s="40"/>
      <c r="D192" s="40"/>
      <c r="E192" s="40"/>
      <c r="F192" s="40"/>
      <c r="G192" s="40"/>
      <c r="H192" s="40"/>
      <c r="I192" s="40"/>
      <c r="J192" s="40"/>
    </row>
    <row r="193" spans="1:10">
      <c r="A193" s="40"/>
      <c r="B193" s="40"/>
      <c r="C193" s="40"/>
      <c r="D193" s="40"/>
      <c r="E193" s="40"/>
      <c r="F193" s="40"/>
      <c r="G193" s="40"/>
      <c r="H193" s="40"/>
      <c r="I193" s="40"/>
      <c r="J193" s="40"/>
    </row>
    <row r="194" spans="1:10">
      <c r="A194" s="40"/>
      <c r="B194" s="40"/>
      <c r="C194" s="40"/>
      <c r="D194" s="40"/>
      <c r="E194" s="40"/>
      <c r="F194" s="40"/>
      <c r="G194" s="40"/>
      <c r="H194" s="40"/>
      <c r="I194" s="40"/>
      <c r="J194" s="40"/>
    </row>
    <row r="195" spans="1:10">
      <c r="A195" s="40"/>
      <c r="B195" s="40"/>
      <c r="C195" s="40"/>
      <c r="D195" s="40"/>
      <c r="E195" s="40"/>
      <c r="F195" s="40"/>
      <c r="G195" s="40"/>
      <c r="H195" s="40"/>
      <c r="I195" s="40"/>
      <c r="J195" s="40"/>
    </row>
    <row r="196" spans="1:10">
      <c r="A196" s="40"/>
      <c r="B196" s="40"/>
      <c r="C196" s="40"/>
      <c r="D196" s="40"/>
      <c r="E196" s="40"/>
      <c r="F196" s="40"/>
      <c r="G196" s="40"/>
      <c r="H196" s="40"/>
      <c r="I196" s="40"/>
      <c r="J196" s="40"/>
    </row>
    <row r="197" spans="1:10">
      <c r="A197" s="40"/>
      <c r="B197" s="40"/>
      <c r="C197" s="40"/>
      <c r="D197" s="40"/>
      <c r="E197" s="40"/>
      <c r="F197" s="40"/>
      <c r="G197" s="40"/>
      <c r="H197" s="40"/>
      <c r="I197" s="40"/>
      <c r="J197" s="40"/>
    </row>
    <row r="198" spans="1:10">
      <c r="A198" s="40"/>
      <c r="B198" s="40"/>
      <c r="C198" s="40"/>
      <c r="D198" s="40"/>
      <c r="E198" s="40"/>
      <c r="F198" s="40"/>
      <c r="G198" s="40"/>
      <c r="H198" s="40"/>
      <c r="I198" s="40"/>
      <c r="J198" s="40"/>
    </row>
    <row r="199" spans="1:10">
      <c r="A199" s="40"/>
      <c r="B199" s="40"/>
      <c r="C199" s="40"/>
      <c r="D199" s="40"/>
      <c r="E199" s="40"/>
      <c r="F199" s="40"/>
      <c r="G199" s="40"/>
      <c r="H199" s="40"/>
      <c r="I199" s="40"/>
      <c r="J199" s="40"/>
    </row>
    <row r="200" spans="1:10">
      <c r="A200" s="40"/>
      <c r="B200" s="40"/>
      <c r="C200" s="40"/>
      <c r="D200" s="40"/>
      <c r="E200" s="40"/>
      <c r="F200" s="40"/>
      <c r="G200" s="40"/>
      <c r="H200" s="40"/>
      <c r="I200" s="40"/>
      <c r="J200" s="40"/>
    </row>
    <row r="201" spans="1:10">
      <c r="A201" s="40"/>
      <c r="B201" s="40"/>
      <c r="C201" s="40"/>
      <c r="D201" s="40"/>
      <c r="E201" s="40"/>
      <c r="F201" s="40"/>
      <c r="G201" s="40"/>
      <c r="H201" s="40"/>
      <c r="I201" s="40"/>
      <c r="J201" s="40"/>
    </row>
    <row r="202" spans="1:10">
      <c r="A202" s="40"/>
      <c r="B202" s="40"/>
      <c r="C202" s="40"/>
      <c r="D202" s="40"/>
      <c r="E202" s="40"/>
      <c r="F202" s="40"/>
      <c r="G202" s="40"/>
      <c r="H202" s="40"/>
      <c r="I202" s="40"/>
      <c r="J202" s="40"/>
    </row>
    <row r="203" spans="1:10">
      <c r="A203" s="40"/>
      <c r="B203" s="40"/>
      <c r="C203" s="40"/>
      <c r="D203" s="40"/>
      <c r="E203" s="40"/>
      <c r="F203" s="40"/>
      <c r="G203" s="40"/>
      <c r="H203" s="40"/>
      <c r="I203" s="40"/>
      <c r="J203" s="40"/>
    </row>
    <row r="204" spans="1:10">
      <c r="A204" s="40"/>
      <c r="B204" s="40"/>
      <c r="C204" s="40"/>
      <c r="D204" s="40"/>
      <c r="E204" s="40"/>
      <c r="F204" s="40"/>
      <c r="G204" s="40"/>
      <c r="H204" s="40"/>
      <c r="I204" s="40"/>
      <c r="J204" s="40"/>
    </row>
    <row r="205" spans="1:10">
      <c r="A205" s="40"/>
      <c r="B205" s="40"/>
      <c r="C205" s="40"/>
      <c r="D205" s="40"/>
      <c r="E205" s="40"/>
      <c r="F205" s="40"/>
      <c r="G205" s="40"/>
      <c r="H205" s="40"/>
      <c r="I205" s="40"/>
      <c r="J205" s="40"/>
    </row>
    <row r="206" spans="1:10">
      <c r="A206" s="40"/>
      <c r="B206" s="40"/>
      <c r="C206" s="40"/>
      <c r="D206" s="40"/>
      <c r="E206" s="40"/>
      <c r="F206" s="40"/>
      <c r="G206" s="40"/>
      <c r="H206" s="40"/>
      <c r="I206" s="40"/>
      <c r="J206" s="40"/>
    </row>
    <row r="207" spans="1:10">
      <c r="A207" s="40"/>
      <c r="B207" s="40"/>
      <c r="C207" s="40"/>
      <c r="D207" s="40"/>
      <c r="E207" s="40"/>
      <c r="F207" s="40"/>
      <c r="G207" s="40"/>
      <c r="H207" s="40"/>
      <c r="I207" s="40"/>
      <c r="J207" s="40"/>
    </row>
    <row r="208" spans="1:10">
      <c r="A208" s="40"/>
      <c r="B208" s="40"/>
      <c r="C208" s="40"/>
      <c r="D208" s="40"/>
      <c r="E208" s="40"/>
      <c r="F208" s="40"/>
      <c r="G208" s="40"/>
      <c r="H208" s="40"/>
      <c r="I208" s="40"/>
      <c r="J208" s="40"/>
    </row>
    <row r="209" spans="1:10">
      <c r="A209" s="40"/>
      <c r="B209" s="40"/>
      <c r="C209" s="40"/>
      <c r="D209" s="40"/>
      <c r="E209" s="40"/>
      <c r="F209" s="40"/>
      <c r="G209" s="40"/>
      <c r="H209" s="40"/>
      <c r="I209" s="40"/>
      <c r="J209" s="40"/>
    </row>
    <row r="210" spans="1:10">
      <c r="A210" s="40"/>
      <c r="B210" s="40"/>
      <c r="C210" s="40"/>
      <c r="D210" s="40"/>
      <c r="E210" s="40"/>
      <c r="F210" s="40"/>
      <c r="G210" s="40"/>
      <c r="H210" s="40"/>
      <c r="I210" s="40"/>
      <c r="J210" s="40"/>
    </row>
    <row r="211" spans="1:10">
      <c r="A211" s="40"/>
      <c r="B211" s="40"/>
      <c r="C211" s="40"/>
      <c r="D211" s="40"/>
      <c r="E211" s="40"/>
      <c r="F211" s="40"/>
      <c r="G211" s="40"/>
      <c r="H211" s="40"/>
      <c r="I211" s="40"/>
      <c r="J211" s="40"/>
    </row>
    <row r="212" spans="1:10">
      <c r="A212" s="40"/>
      <c r="B212" s="40"/>
      <c r="C212" s="40"/>
      <c r="D212" s="40"/>
      <c r="E212" s="40"/>
      <c r="F212" s="40"/>
      <c r="G212" s="40"/>
      <c r="H212" s="40"/>
      <c r="I212" s="40"/>
      <c r="J212" s="40"/>
    </row>
    <row r="213" spans="1:10">
      <c r="A213" s="40"/>
      <c r="B213" s="40"/>
      <c r="C213" s="40"/>
      <c r="D213" s="40"/>
      <c r="E213" s="40"/>
      <c r="F213" s="40"/>
      <c r="G213" s="40"/>
      <c r="H213" s="40"/>
      <c r="I213" s="40"/>
      <c r="J213" s="40"/>
    </row>
    <row r="214" spans="1:10">
      <c r="A214" s="40"/>
      <c r="B214" s="40"/>
      <c r="C214" s="40"/>
      <c r="D214" s="40"/>
      <c r="E214" s="40"/>
      <c r="F214" s="40"/>
      <c r="G214" s="40"/>
      <c r="H214" s="40"/>
      <c r="I214" s="40"/>
      <c r="J214" s="40"/>
    </row>
    <row r="215" spans="1:10">
      <c r="A215" s="40"/>
      <c r="B215" s="40"/>
      <c r="C215" s="40"/>
      <c r="D215" s="40"/>
      <c r="E215" s="40"/>
      <c r="F215" s="40"/>
      <c r="G215" s="40"/>
      <c r="H215" s="40"/>
      <c r="I215" s="40"/>
      <c r="J215" s="40"/>
    </row>
    <row r="216" spans="1:10">
      <c r="A216" s="40"/>
      <c r="B216" s="40"/>
      <c r="C216" s="40"/>
      <c r="D216" s="40"/>
      <c r="E216" s="40"/>
      <c r="F216" s="40"/>
      <c r="G216" s="40"/>
      <c r="H216" s="40"/>
      <c r="I216" s="40"/>
      <c r="J216" s="40"/>
    </row>
    <row r="217" spans="1:10">
      <c r="A217" s="40"/>
      <c r="B217" s="40"/>
      <c r="C217" s="40"/>
      <c r="D217" s="40"/>
      <c r="E217" s="40"/>
      <c r="F217" s="40"/>
      <c r="G217" s="40"/>
      <c r="H217" s="40"/>
      <c r="I217" s="40"/>
      <c r="J217" s="40"/>
    </row>
    <row r="218" spans="1:10">
      <c r="A218" s="40"/>
      <c r="B218" s="40"/>
      <c r="C218" s="40"/>
      <c r="D218" s="40"/>
      <c r="E218" s="40"/>
      <c r="F218" s="40"/>
      <c r="G218" s="40"/>
      <c r="H218" s="40"/>
      <c r="I218" s="40"/>
      <c r="J218" s="40"/>
    </row>
    <row r="219" spans="1:10">
      <c r="A219" s="40"/>
      <c r="B219" s="40"/>
      <c r="C219" s="40"/>
      <c r="D219" s="40"/>
      <c r="E219" s="40"/>
      <c r="F219" s="40"/>
      <c r="G219" s="40"/>
      <c r="H219" s="40"/>
      <c r="I219" s="40"/>
      <c r="J219" s="40"/>
    </row>
    <row r="220" spans="1:10">
      <c r="A220" s="40"/>
      <c r="B220" s="40"/>
      <c r="C220" s="40"/>
      <c r="D220" s="40"/>
      <c r="E220" s="40"/>
      <c r="F220" s="40"/>
      <c r="G220" s="40"/>
      <c r="H220" s="40"/>
      <c r="I220" s="40"/>
      <c r="J220" s="40"/>
    </row>
    <row r="221" spans="1:10">
      <c r="A221" s="40"/>
      <c r="B221" s="40"/>
      <c r="C221" s="40"/>
      <c r="D221" s="40"/>
      <c r="E221" s="40"/>
      <c r="F221" s="40"/>
      <c r="G221" s="40"/>
      <c r="H221" s="40"/>
      <c r="I221" s="40"/>
      <c r="J221" s="40"/>
    </row>
    <row r="222" spans="1:10">
      <c r="A222" s="40"/>
      <c r="B222" s="40"/>
      <c r="C222" s="40"/>
      <c r="D222" s="40"/>
      <c r="E222" s="40"/>
      <c r="F222" s="40"/>
      <c r="G222" s="40"/>
      <c r="H222" s="40"/>
      <c r="I222" s="40"/>
      <c r="J222" s="40"/>
    </row>
    <row r="223" spans="1:10">
      <c r="A223" s="40"/>
      <c r="B223" s="40"/>
      <c r="C223" s="40"/>
      <c r="D223" s="40"/>
      <c r="E223" s="40"/>
      <c r="F223" s="40"/>
      <c r="G223" s="40"/>
      <c r="H223" s="40"/>
      <c r="I223" s="40"/>
      <c r="J223" s="40"/>
    </row>
    <row r="224" spans="1:10">
      <c r="A224" s="40"/>
      <c r="B224" s="40"/>
      <c r="C224" s="40"/>
      <c r="D224" s="40"/>
      <c r="E224" s="40"/>
      <c r="F224" s="40"/>
      <c r="G224" s="40"/>
      <c r="H224" s="40"/>
      <c r="I224" s="40"/>
      <c r="J224" s="40"/>
    </row>
    <row r="225" spans="1:10">
      <c r="A225" s="40"/>
      <c r="B225" s="40"/>
      <c r="C225" s="40"/>
      <c r="D225" s="40"/>
      <c r="E225" s="40"/>
      <c r="F225" s="40"/>
      <c r="G225" s="40"/>
      <c r="H225" s="40"/>
      <c r="I225" s="40"/>
      <c r="J225" s="40"/>
    </row>
    <row r="226" spans="1:10">
      <c r="A226" s="40"/>
      <c r="B226" s="40"/>
      <c r="C226" s="40"/>
      <c r="D226" s="40"/>
      <c r="E226" s="40"/>
      <c r="F226" s="40"/>
      <c r="G226" s="40"/>
      <c r="H226" s="40"/>
      <c r="I226" s="40"/>
      <c r="J226" s="40"/>
    </row>
    <row r="227" spans="1:10">
      <c r="A227" s="40"/>
      <c r="B227" s="40"/>
      <c r="C227" s="40"/>
      <c r="D227" s="40"/>
      <c r="E227" s="40"/>
      <c r="F227" s="40"/>
      <c r="G227" s="40"/>
      <c r="H227" s="40"/>
      <c r="I227" s="40"/>
      <c r="J227" s="40"/>
    </row>
    <row r="228" spans="1:10">
      <c r="A228" s="40"/>
      <c r="B228" s="40"/>
      <c r="C228" s="40"/>
      <c r="D228" s="40"/>
      <c r="E228" s="40"/>
      <c r="F228" s="40"/>
      <c r="G228" s="40"/>
      <c r="H228" s="40"/>
      <c r="I228" s="40"/>
      <c r="J228" s="40"/>
    </row>
    <row r="229" spans="1:10">
      <c r="A229" s="40"/>
      <c r="B229" s="40"/>
      <c r="C229" s="40"/>
      <c r="D229" s="40"/>
      <c r="E229" s="40"/>
      <c r="F229" s="40"/>
      <c r="G229" s="40"/>
      <c r="H229" s="40"/>
      <c r="I229" s="40"/>
      <c r="J229" s="40"/>
    </row>
    <row r="230" spans="1:10">
      <c r="A230" s="40"/>
      <c r="B230" s="40"/>
      <c r="C230" s="40"/>
      <c r="D230" s="40"/>
      <c r="E230" s="40"/>
      <c r="F230" s="40"/>
      <c r="G230" s="40"/>
      <c r="H230" s="40"/>
      <c r="I230" s="40"/>
      <c r="J230" s="40"/>
    </row>
    <row r="231" spans="1:10">
      <c r="A231" s="40"/>
      <c r="B231" s="40"/>
      <c r="C231" s="40"/>
      <c r="D231" s="40"/>
      <c r="E231" s="40"/>
      <c r="F231" s="40"/>
      <c r="G231" s="40"/>
      <c r="H231" s="40"/>
      <c r="I231" s="40"/>
      <c r="J231" s="40"/>
    </row>
    <row r="232" spans="1:10">
      <c r="A232" s="40"/>
      <c r="B232" s="40"/>
      <c r="C232" s="40"/>
      <c r="D232" s="40"/>
      <c r="E232" s="40"/>
      <c r="F232" s="40"/>
      <c r="G232" s="40"/>
      <c r="H232" s="40"/>
      <c r="I232" s="40"/>
      <c r="J232" s="40"/>
    </row>
    <row r="233" spans="1:10">
      <c r="A233" s="40"/>
      <c r="B233" s="40"/>
      <c r="C233" s="40"/>
      <c r="D233" s="40"/>
      <c r="E233" s="40"/>
      <c r="F233" s="40"/>
      <c r="G233" s="40"/>
      <c r="H233" s="40"/>
      <c r="I233" s="40"/>
      <c r="J233" s="40"/>
    </row>
    <row r="234" spans="1:10">
      <c r="A234" s="40"/>
      <c r="B234" s="40"/>
      <c r="C234" s="40"/>
      <c r="D234" s="40"/>
      <c r="E234" s="40"/>
      <c r="F234" s="40"/>
      <c r="G234" s="40"/>
      <c r="H234" s="40"/>
      <c r="I234" s="40"/>
      <c r="J234" s="40"/>
    </row>
    <row r="235" spans="1:10">
      <c r="A235" s="40"/>
      <c r="B235" s="40"/>
      <c r="C235" s="40"/>
      <c r="D235" s="40"/>
      <c r="E235" s="40"/>
      <c r="F235" s="40"/>
      <c r="G235" s="40"/>
      <c r="H235" s="40"/>
      <c r="I235" s="40"/>
      <c r="J235" s="40"/>
    </row>
    <row r="236" spans="1:10">
      <c r="A236" s="40"/>
      <c r="B236" s="40"/>
      <c r="C236" s="40"/>
      <c r="D236" s="40"/>
      <c r="E236" s="40"/>
      <c r="F236" s="40"/>
      <c r="G236" s="40"/>
      <c r="H236" s="40"/>
      <c r="I236" s="40"/>
      <c r="J236" s="40"/>
    </row>
    <row r="237" spans="1:10">
      <c r="A237" s="40"/>
      <c r="B237" s="40"/>
      <c r="C237" s="40"/>
      <c r="D237" s="40"/>
      <c r="E237" s="40"/>
      <c r="F237" s="40"/>
      <c r="G237" s="40"/>
      <c r="H237" s="40"/>
      <c r="I237" s="40"/>
      <c r="J237" s="40"/>
    </row>
    <row r="238" spans="1:10">
      <c r="A238" s="40"/>
      <c r="B238" s="40"/>
      <c r="C238" s="40"/>
      <c r="D238" s="40"/>
      <c r="E238" s="40"/>
      <c r="F238" s="40"/>
      <c r="G238" s="40"/>
      <c r="H238" s="40"/>
      <c r="I238" s="40"/>
      <c r="J238" s="40"/>
    </row>
    <row r="239" spans="1:10">
      <c r="A239" s="40"/>
      <c r="B239" s="40"/>
      <c r="C239" s="40"/>
      <c r="D239" s="40"/>
      <c r="E239" s="40"/>
      <c r="F239" s="40"/>
      <c r="G239" s="40"/>
      <c r="H239" s="40"/>
      <c r="I239" s="40"/>
      <c r="J239" s="40"/>
    </row>
    <row r="240" spans="1:10">
      <c r="A240" s="40"/>
      <c r="B240" s="40"/>
      <c r="C240" s="40"/>
      <c r="D240" s="40"/>
      <c r="E240" s="40"/>
      <c r="F240" s="40"/>
      <c r="G240" s="40"/>
      <c r="H240" s="40"/>
      <c r="I240" s="40"/>
      <c r="J240" s="40"/>
    </row>
    <row r="241" spans="1:10">
      <c r="A241" s="40"/>
      <c r="B241" s="40"/>
      <c r="C241" s="40"/>
      <c r="D241" s="40"/>
      <c r="E241" s="40"/>
      <c r="F241" s="40"/>
      <c r="G241" s="40"/>
      <c r="H241" s="40"/>
      <c r="I241" s="40"/>
      <c r="J241" s="40"/>
    </row>
    <row r="242" spans="1:10">
      <c r="A242" s="40"/>
      <c r="B242" s="40"/>
      <c r="C242" s="40"/>
      <c r="D242" s="40"/>
      <c r="E242" s="40"/>
      <c r="F242" s="40"/>
      <c r="G242" s="40"/>
      <c r="H242" s="40"/>
      <c r="I242" s="40"/>
      <c r="J242" s="40"/>
    </row>
    <row r="243" spans="1:10">
      <c r="A243" s="40"/>
      <c r="B243" s="40"/>
      <c r="C243" s="40"/>
      <c r="D243" s="40"/>
      <c r="E243" s="40"/>
      <c r="F243" s="40"/>
      <c r="G243" s="40"/>
      <c r="H243" s="40"/>
      <c r="I243" s="40"/>
      <c r="J243" s="40"/>
    </row>
    <row r="244" spans="1:10">
      <c r="A244" s="40"/>
      <c r="B244" s="40"/>
      <c r="C244" s="40"/>
      <c r="D244" s="40"/>
      <c r="E244" s="40"/>
      <c r="F244" s="40"/>
      <c r="G244" s="40"/>
      <c r="H244" s="40"/>
      <c r="I244" s="40"/>
      <c r="J244" s="40"/>
    </row>
    <row r="245" spans="1:10">
      <c r="A245" s="40"/>
      <c r="B245" s="40"/>
      <c r="C245" s="40"/>
      <c r="D245" s="40"/>
      <c r="E245" s="40"/>
      <c r="F245" s="40"/>
      <c r="G245" s="40"/>
      <c r="H245" s="40"/>
      <c r="I245" s="40"/>
      <c r="J245" s="40"/>
    </row>
    <row r="246" spans="1:10">
      <c r="A246" s="40"/>
      <c r="B246" s="40"/>
      <c r="C246" s="40"/>
      <c r="D246" s="40"/>
      <c r="E246" s="40"/>
      <c r="F246" s="40"/>
      <c r="G246" s="40"/>
      <c r="H246" s="40"/>
      <c r="I246" s="40"/>
      <c r="J246" s="40"/>
    </row>
    <row r="247" spans="1:10">
      <c r="A247" s="40"/>
      <c r="B247" s="40"/>
      <c r="C247" s="40"/>
      <c r="D247" s="40"/>
      <c r="E247" s="40"/>
      <c r="F247" s="40"/>
      <c r="G247" s="40"/>
      <c r="H247" s="40"/>
      <c r="I247" s="40"/>
      <c r="J247" s="40"/>
    </row>
    <row r="248" spans="1:10">
      <c r="A248" s="40"/>
      <c r="B248" s="40"/>
      <c r="C248" s="40"/>
      <c r="D248" s="40"/>
      <c r="E248" s="40"/>
      <c r="F248" s="40"/>
      <c r="G248" s="40"/>
      <c r="H248" s="40"/>
      <c r="I248" s="40"/>
      <c r="J248" s="40"/>
    </row>
    <row r="249" spans="1:10">
      <c r="A249" s="40"/>
      <c r="B249" s="40"/>
      <c r="C249" s="40"/>
      <c r="D249" s="40"/>
      <c r="E249" s="40"/>
      <c r="F249" s="40"/>
      <c r="G249" s="40"/>
      <c r="H249" s="40"/>
      <c r="I249" s="40"/>
      <c r="J249" s="40"/>
    </row>
    <row r="250" spans="1:10">
      <c r="A250" s="40"/>
      <c r="B250" s="40"/>
      <c r="C250" s="40"/>
      <c r="D250" s="40"/>
      <c r="E250" s="40"/>
      <c r="F250" s="40"/>
      <c r="G250" s="40"/>
      <c r="H250" s="40"/>
      <c r="I250" s="40"/>
      <c r="J250" s="40"/>
    </row>
    <row r="251" spans="1:10">
      <c r="A251" s="40"/>
      <c r="B251" s="40"/>
      <c r="C251" s="40"/>
      <c r="D251" s="40"/>
      <c r="E251" s="40"/>
      <c r="F251" s="40"/>
      <c r="G251" s="40"/>
      <c r="H251" s="40"/>
      <c r="I251" s="40"/>
      <c r="J251" s="40"/>
    </row>
    <row r="252" spans="1:10">
      <c r="A252" s="40"/>
      <c r="B252" s="40"/>
      <c r="C252" s="40"/>
      <c r="D252" s="40"/>
      <c r="E252" s="40"/>
      <c r="F252" s="40"/>
      <c r="G252" s="40"/>
      <c r="H252" s="40"/>
      <c r="I252" s="40"/>
      <c r="J252" s="40"/>
    </row>
    <row r="253" spans="1:10">
      <c r="A253" s="40"/>
      <c r="B253" s="40"/>
      <c r="C253" s="40"/>
      <c r="D253" s="40"/>
      <c r="E253" s="40"/>
      <c r="F253" s="40"/>
      <c r="G253" s="40"/>
      <c r="H253" s="40"/>
      <c r="I253" s="40"/>
      <c r="J253" s="40"/>
    </row>
    <row r="254" spans="1:10">
      <c r="A254" s="40"/>
      <c r="B254" s="40"/>
      <c r="C254" s="40"/>
      <c r="D254" s="40"/>
      <c r="E254" s="40"/>
      <c r="F254" s="40"/>
      <c r="G254" s="40"/>
      <c r="H254" s="40"/>
      <c r="I254" s="40"/>
      <c r="J254" s="40"/>
    </row>
    <row r="255" spans="1:10">
      <c r="A255" s="40"/>
      <c r="B255" s="40"/>
      <c r="C255" s="40"/>
      <c r="D255" s="40"/>
      <c r="E255" s="40"/>
      <c r="F255" s="40"/>
      <c r="G255" s="40"/>
      <c r="H255" s="40"/>
      <c r="I255" s="40"/>
      <c r="J255" s="40"/>
    </row>
    <row r="256" spans="1:10">
      <c r="A256" s="40"/>
      <c r="B256" s="40"/>
      <c r="C256" s="40"/>
      <c r="D256" s="40"/>
      <c r="E256" s="40"/>
      <c r="F256" s="40"/>
      <c r="G256" s="40"/>
      <c r="H256" s="40"/>
      <c r="I256" s="40"/>
      <c r="J256" s="40"/>
    </row>
    <row r="257" spans="1:10">
      <c r="A257" s="40"/>
      <c r="B257" s="40"/>
      <c r="C257" s="40"/>
      <c r="D257" s="40"/>
      <c r="E257" s="40"/>
      <c r="F257" s="40"/>
      <c r="G257" s="40"/>
      <c r="H257" s="40"/>
      <c r="I257" s="40"/>
      <c r="J257" s="40"/>
    </row>
    <row r="258" spans="1:10">
      <c r="A258" s="40"/>
      <c r="B258" s="40"/>
      <c r="C258" s="40"/>
      <c r="D258" s="40"/>
      <c r="E258" s="40"/>
      <c r="F258" s="40"/>
      <c r="G258" s="40"/>
      <c r="H258" s="40"/>
      <c r="I258" s="40"/>
      <c r="J258" s="40"/>
    </row>
    <row r="259" spans="1:10">
      <c r="A259" s="40"/>
      <c r="B259" s="40"/>
      <c r="C259" s="40"/>
      <c r="D259" s="40"/>
      <c r="E259" s="40"/>
      <c r="F259" s="40"/>
      <c r="G259" s="40"/>
      <c r="H259" s="40"/>
      <c r="I259" s="40"/>
      <c r="J259" s="40"/>
    </row>
    <row r="260" spans="1:10">
      <c r="A260" s="40"/>
      <c r="B260" s="40"/>
      <c r="C260" s="40"/>
      <c r="D260" s="40"/>
      <c r="E260" s="40"/>
      <c r="F260" s="40"/>
      <c r="G260" s="40"/>
      <c r="H260" s="40"/>
      <c r="I260" s="40"/>
      <c r="J260" s="40"/>
    </row>
    <row r="261" spans="1:10">
      <c r="A261" s="40"/>
      <c r="B261" s="40"/>
      <c r="C261" s="40"/>
      <c r="D261" s="40"/>
      <c r="E261" s="40"/>
      <c r="F261" s="40"/>
      <c r="G261" s="40"/>
      <c r="H261" s="40"/>
      <c r="I261" s="40"/>
      <c r="J261" s="40"/>
    </row>
    <row r="262" spans="1:10">
      <c r="A262" s="40"/>
      <c r="B262" s="40"/>
      <c r="C262" s="40"/>
      <c r="D262" s="40"/>
      <c r="E262" s="40"/>
      <c r="F262" s="40"/>
      <c r="G262" s="40"/>
      <c r="H262" s="40"/>
      <c r="I262" s="40"/>
      <c r="J262" s="40"/>
    </row>
    <row r="263" spans="1:10">
      <c r="A263" s="40"/>
      <c r="B263" s="40"/>
      <c r="C263" s="40"/>
      <c r="D263" s="40"/>
      <c r="E263" s="40"/>
      <c r="F263" s="40"/>
      <c r="G263" s="40"/>
      <c r="H263" s="40"/>
      <c r="I263" s="40"/>
      <c r="J263" s="40"/>
    </row>
    <row r="264" spans="1:10">
      <c r="A264" s="40"/>
      <c r="B264" s="40"/>
      <c r="C264" s="40"/>
      <c r="D264" s="40"/>
      <c r="E264" s="40"/>
      <c r="F264" s="40"/>
      <c r="G264" s="40"/>
      <c r="H264" s="40"/>
      <c r="I264" s="40"/>
      <c r="J264" s="40"/>
    </row>
    <row r="265" spans="1:10">
      <c r="A265" s="40"/>
      <c r="B265" s="40"/>
      <c r="C265" s="40"/>
      <c r="D265" s="40"/>
      <c r="E265" s="40"/>
      <c r="F265" s="40"/>
      <c r="G265" s="40"/>
      <c r="H265" s="40"/>
      <c r="I265" s="40"/>
      <c r="J265" s="40"/>
    </row>
    <row r="266" spans="1:10">
      <c r="A266" s="40"/>
      <c r="B266" s="40"/>
      <c r="C266" s="40"/>
      <c r="D266" s="40"/>
      <c r="E266" s="40"/>
      <c r="F266" s="40"/>
      <c r="G266" s="40"/>
      <c r="H266" s="40"/>
      <c r="I266" s="40"/>
      <c r="J266" s="40"/>
    </row>
    <row r="267" spans="1:10">
      <c r="A267" s="40"/>
      <c r="B267" s="40"/>
      <c r="C267" s="40"/>
      <c r="D267" s="40"/>
      <c r="E267" s="40"/>
      <c r="F267" s="40"/>
      <c r="G267" s="40"/>
      <c r="H267" s="40"/>
      <c r="I267" s="40"/>
      <c r="J267" s="40"/>
    </row>
    <row r="268" spans="1:10">
      <c r="A268" s="40"/>
      <c r="B268" s="40"/>
      <c r="C268" s="40"/>
      <c r="D268" s="40"/>
      <c r="E268" s="40"/>
      <c r="F268" s="40"/>
      <c r="G268" s="40"/>
      <c r="H268" s="40"/>
      <c r="I268" s="40"/>
      <c r="J268" s="40"/>
    </row>
    <row r="269" spans="1:10">
      <c r="A269" s="40"/>
      <c r="B269" s="40"/>
      <c r="C269" s="40"/>
      <c r="D269" s="40"/>
      <c r="E269" s="40"/>
      <c r="F269" s="40"/>
      <c r="G269" s="40"/>
      <c r="H269" s="40"/>
      <c r="I269" s="40"/>
      <c r="J269" s="40"/>
    </row>
    <row r="270" spans="1:10">
      <c r="A270" s="40"/>
      <c r="B270" s="40"/>
      <c r="C270" s="40"/>
      <c r="D270" s="40"/>
      <c r="E270" s="40"/>
      <c r="F270" s="40"/>
      <c r="G270" s="40"/>
      <c r="H270" s="40"/>
      <c r="I270" s="40"/>
      <c r="J270" s="40"/>
    </row>
    <row r="271" spans="1:10">
      <c r="A271" s="40"/>
      <c r="B271" s="40"/>
      <c r="C271" s="40"/>
      <c r="D271" s="40"/>
      <c r="E271" s="40"/>
      <c r="F271" s="40"/>
      <c r="G271" s="40"/>
      <c r="H271" s="40"/>
      <c r="I271" s="40"/>
      <c r="J271" s="40"/>
    </row>
    <row r="272" spans="1:10">
      <c r="A272" s="40"/>
      <c r="B272" s="40"/>
      <c r="C272" s="40"/>
      <c r="D272" s="40"/>
      <c r="E272" s="40"/>
      <c r="F272" s="40"/>
      <c r="G272" s="40"/>
      <c r="H272" s="40"/>
      <c r="I272" s="40"/>
      <c r="J272" s="40"/>
    </row>
    <row r="273" spans="1:10">
      <c r="A273" s="40"/>
      <c r="B273" s="40"/>
      <c r="C273" s="40"/>
      <c r="D273" s="40"/>
      <c r="E273" s="40"/>
      <c r="F273" s="40"/>
      <c r="G273" s="40"/>
      <c r="H273" s="40"/>
      <c r="I273" s="40"/>
      <c r="J273" s="40"/>
    </row>
    <row r="274" spans="1:10">
      <c r="A274" s="40"/>
      <c r="B274" s="40"/>
      <c r="C274" s="40"/>
      <c r="D274" s="40"/>
      <c r="E274" s="40"/>
      <c r="F274" s="40"/>
      <c r="G274" s="40"/>
      <c r="H274" s="40"/>
      <c r="I274" s="40"/>
      <c r="J274" s="40"/>
    </row>
    <row r="275" spans="1:10">
      <c r="A275" s="40"/>
      <c r="B275" s="40"/>
      <c r="C275" s="40"/>
      <c r="D275" s="40"/>
      <c r="E275" s="40"/>
      <c r="F275" s="40"/>
      <c r="G275" s="40"/>
      <c r="H275" s="40"/>
      <c r="I275" s="40"/>
      <c r="J275" s="40"/>
    </row>
    <row r="276" spans="1:10">
      <c r="A276" s="40"/>
      <c r="B276" s="40"/>
      <c r="C276" s="40"/>
      <c r="D276" s="40"/>
      <c r="E276" s="40"/>
      <c r="F276" s="40"/>
      <c r="G276" s="40"/>
      <c r="H276" s="40"/>
      <c r="I276" s="40"/>
      <c r="J276" s="40"/>
    </row>
    <row r="277" spans="1:10">
      <c r="A277" s="40"/>
      <c r="B277" s="40"/>
      <c r="C277" s="40"/>
      <c r="D277" s="40"/>
      <c r="E277" s="40"/>
      <c r="F277" s="40"/>
      <c r="G277" s="40"/>
      <c r="H277" s="40"/>
      <c r="I277" s="40"/>
      <c r="J277" s="40"/>
    </row>
    <row r="278" spans="1:10">
      <c r="A278" s="40"/>
      <c r="B278" s="40"/>
      <c r="C278" s="40"/>
      <c r="D278" s="40"/>
      <c r="E278" s="40"/>
      <c r="F278" s="40"/>
      <c r="G278" s="40"/>
      <c r="H278" s="40"/>
      <c r="I278" s="40"/>
      <c r="J278" s="40"/>
    </row>
    <row r="279" spans="1:10">
      <c r="A279" s="40"/>
      <c r="B279" s="40"/>
      <c r="C279" s="40"/>
      <c r="D279" s="40"/>
      <c r="E279" s="40"/>
      <c r="F279" s="40"/>
      <c r="G279" s="40"/>
      <c r="H279" s="40"/>
      <c r="I279" s="40"/>
      <c r="J279" s="40"/>
    </row>
    <row r="280" spans="1:10">
      <c r="A280" s="40"/>
      <c r="B280" s="40"/>
      <c r="C280" s="40"/>
      <c r="D280" s="40"/>
      <c r="E280" s="40"/>
      <c r="F280" s="40"/>
      <c r="G280" s="40"/>
      <c r="H280" s="40"/>
      <c r="I280" s="40"/>
      <c r="J280" s="40"/>
    </row>
    <row r="281" spans="1:10">
      <c r="A281" s="40"/>
      <c r="B281" s="40"/>
      <c r="C281" s="40"/>
      <c r="D281" s="40"/>
      <c r="E281" s="40"/>
      <c r="F281" s="40"/>
      <c r="G281" s="40"/>
      <c r="H281" s="40"/>
      <c r="I281" s="40"/>
      <c r="J281" s="40"/>
    </row>
    <row r="282" spans="1:10">
      <c r="A282" s="40"/>
      <c r="B282" s="40"/>
      <c r="C282" s="40"/>
      <c r="D282" s="40"/>
      <c r="E282" s="40"/>
      <c r="F282" s="40"/>
      <c r="G282" s="40"/>
      <c r="H282" s="40"/>
      <c r="I282" s="40"/>
      <c r="J282" s="40"/>
    </row>
    <row r="283" spans="1:10">
      <c r="A283" s="40"/>
      <c r="B283" s="40"/>
      <c r="C283" s="40"/>
      <c r="D283" s="40"/>
      <c r="E283" s="40"/>
      <c r="F283" s="40"/>
      <c r="G283" s="40"/>
      <c r="H283" s="40"/>
      <c r="I283" s="40"/>
      <c r="J283" s="40"/>
    </row>
    <row r="284" spans="1:10">
      <c r="A284" s="40"/>
      <c r="B284" s="40"/>
      <c r="C284" s="40"/>
      <c r="D284" s="40"/>
      <c r="E284" s="40"/>
      <c r="F284" s="40"/>
      <c r="G284" s="40"/>
      <c r="H284" s="40"/>
      <c r="I284" s="40"/>
      <c r="J284" s="40"/>
    </row>
    <row r="285" spans="1:10">
      <c r="A285" s="40"/>
      <c r="B285" s="40"/>
      <c r="C285" s="40"/>
      <c r="D285" s="40"/>
      <c r="E285" s="40"/>
      <c r="F285" s="40"/>
      <c r="G285" s="40"/>
      <c r="H285" s="40"/>
      <c r="I285" s="40"/>
      <c r="J285" s="40"/>
    </row>
    <row r="286" spans="1:10">
      <c r="A286" s="40"/>
      <c r="B286" s="40"/>
      <c r="C286" s="40"/>
      <c r="D286" s="40"/>
      <c r="E286" s="40"/>
      <c r="F286" s="40"/>
      <c r="G286" s="40"/>
      <c r="H286" s="40"/>
      <c r="I286" s="40"/>
      <c r="J286" s="40"/>
    </row>
    <row r="287" spans="1:10">
      <c r="A287" s="40"/>
      <c r="B287" s="40"/>
      <c r="C287" s="40"/>
      <c r="D287" s="40"/>
      <c r="E287" s="40"/>
      <c r="F287" s="40"/>
      <c r="G287" s="40"/>
      <c r="H287" s="40"/>
      <c r="I287" s="40"/>
      <c r="J287" s="40"/>
    </row>
    <row r="288" spans="1:10">
      <c r="A288" s="40"/>
      <c r="B288" s="40"/>
      <c r="C288" s="40"/>
      <c r="D288" s="40"/>
      <c r="E288" s="40"/>
      <c r="F288" s="40"/>
      <c r="G288" s="40"/>
      <c r="H288" s="40"/>
      <c r="I288" s="40"/>
      <c r="J288" s="40"/>
    </row>
    <row r="289" spans="1:10">
      <c r="A289" s="40"/>
      <c r="B289" s="40"/>
      <c r="C289" s="40"/>
      <c r="D289" s="40"/>
      <c r="E289" s="40"/>
      <c r="F289" s="40"/>
      <c r="G289" s="40"/>
      <c r="H289" s="40"/>
      <c r="I289" s="40"/>
      <c r="J289" s="40"/>
    </row>
    <row r="290" spans="1:10">
      <c r="A290" s="40"/>
      <c r="B290" s="40"/>
      <c r="C290" s="40"/>
      <c r="D290" s="40"/>
      <c r="E290" s="40"/>
      <c r="F290" s="40"/>
      <c r="G290" s="40"/>
      <c r="H290" s="40"/>
      <c r="I290" s="40"/>
      <c r="J290" s="40"/>
    </row>
    <row r="291" spans="1:10">
      <c r="A291" s="40"/>
      <c r="B291" s="40"/>
      <c r="C291" s="40"/>
      <c r="D291" s="40"/>
      <c r="E291" s="40"/>
      <c r="F291" s="40"/>
      <c r="G291" s="40"/>
      <c r="H291" s="40"/>
      <c r="I291" s="40"/>
      <c r="J291" s="40"/>
    </row>
    <row r="292" spans="1:10">
      <c r="A292" s="40"/>
      <c r="B292" s="40"/>
      <c r="C292" s="40"/>
      <c r="D292" s="40"/>
      <c r="E292" s="40"/>
      <c r="F292" s="40"/>
      <c r="G292" s="40"/>
      <c r="H292" s="40"/>
      <c r="I292" s="40"/>
      <c r="J292" s="40"/>
    </row>
    <row r="293" spans="1:10">
      <c r="A293" s="40"/>
      <c r="B293" s="40"/>
      <c r="C293" s="40"/>
      <c r="D293" s="40"/>
      <c r="E293" s="40"/>
      <c r="F293" s="40"/>
      <c r="G293" s="40"/>
      <c r="H293" s="40"/>
      <c r="I293" s="40"/>
      <c r="J293" s="40"/>
    </row>
    <row r="294" spans="1:10">
      <c r="A294" s="40"/>
      <c r="B294" s="40"/>
      <c r="C294" s="40"/>
      <c r="D294" s="40"/>
      <c r="E294" s="40"/>
      <c r="F294" s="40"/>
      <c r="G294" s="40"/>
      <c r="H294" s="40"/>
      <c r="I294" s="40"/>
      <c r="J294" s="40"/>
    </row>
    <row r="295" spans="1:10">
      <c r="A295" s="40"/>
      <c r="B295" s="40"/>
      <c r="C295" s="40"/>
      <c r="D295" s="40"/>
      <c r="E295" s="40"/>
      <c r="F295" s="40"/>
      <c r="G295" s="40"/>
      <c r="H295" s="40"/>
      <c r="I295" s="40"/>
      <c r="J295" s="40"/>
    </row>
    <row r="296" spans="1:10">
      <c r="A296" s="40"/>
      <c r="B296" s="40"/>
      <c r="C296" s="40"/>
      <c r="D296" s="40"/>
      <c r="E296" s="40"/>
      <c r="F296" s="40"/>
      <c r="G296" s="40"/>
      <c r="H296" s="40"/>
      <c r="I296" s="40"/>
      <c r="J296" s="40"/>
    </row>
    <row r="297" spans="1:10">
      <c r="A297" s="40"/>
      <c r="B297" s="40"/>
      <c r="C297" s="40"/>
      <c r="D297" s="40"/>
      <c r="E297" s="40"/>
      <c r="F297" s="40"/>
      <c r="G297" s="40"/>
      <c r="H297" s="40"/>
      <c r="I297" s="40"/>
      <c r="J297" s="40"/>
    </row>
    <row r="298" spans="1:10">
      <c r="A298" s="40"/>
      <c r="B298" s="40"/>
      <c r="C298" s="40"/>
      <c r="D298" s="40"/>
      <c r="E298" s="40"/>
      <c r="F298" s="40"/>
      <c r="G298" s="40"/>
      <c r="H298" s="40"/>
      <c r="I298" s="40"/>
      <c r="J298" s="40"/>
    </row>
    <row r="299" spans="1:10">
      <c r="A299" s="40"/>
      <c r="B299" s="40"/>
      <c r="C299" s="40"/>
      <c r="D299" s="40"/>
      <c r="E299" s="40"/>
      <c r="F299" s="40"/>
      <c r="G299" s="40"/>
      <c r="H299" s="40"/>
      <c r="I299" s="40"/>
      <c r="J299" s="40"/>
    </row>
    <row r="300" spans="1:10">
      <c r="A300" s="40"/>
      <c r="B300" s="40"/>
      <c r="C300" s="40"/>
      <c r="D300" s="40"/>
      <c r="E300" s="40"/>
      <c r="F300" s="40"/>
      <c r="G300" s="40"/>
      <c r="H300" s="40"/>
      <c r="I300" s="40"/>
      <c r="J300" s="40"/>
    </row>
    <row r="301" spans="1:10">
      <c r="A301" s="40"/>
      <c r="B301" s="40"/>
      <c r="C301" s="40"/>
      <c r="D301" s="40"/>
      <c r="E301" s="40"/>
      <c r="F301" s="40"/>
      <c r="G301" s="40"/>
      <c r="H301" s="40"/>
      <c r="I301" s="40"/>
      <c r="J301" s="40"/>
    </row>
    <row r="302" spans="1:10">
      <c r="A302" s="40"/>
      <c r="B302" s="40"/>
      <c r="C302" s="40"/>
      <c r="D302" s="40"/>
      <c r="E302" s="40"/>
      <c r="F302" s="40"/>
      <c r="G302" s="40"/>
      <c r="H302" s="40"/>
      <c r="I302" s="40"/>
      <c r="J302" s="40"/>
    </row>
    <row r="303" spans="1:10">
      <c r="A303" s="40"/>
      <c r="B303" s="40"/>
      <c r="C303" s="40"/>
      <c r="D303" s="40"/>
      <c r="E303" s="40"/>
      <c r="F303" s="40"/>
      <c r="G303" s="40"/>
      <c r="H303" s="40"/>
      <c r="I303" s="40"/>
      <c r="J303" s="40"/>
    </row>
    <row r="304" spans="1:10">
      <c r="A304" s="40"/>
      <c r="B304" s="40"/>
      <c r="C304" s="40"/>
      <c r="D304" s="40"/>
      <c r="E304" s="40"/>
      <c r="F304" s="40"/>
      <c r="G304" s="40"/>
      <c r="H304" s="40"/>
      <c r="I304" s="40"/>
      <c r="J304" s="40"/>
    </row>
    <row r="305" spans="1:10">
      <c r="A305" s="40"/>
      <c r="B305" s="40"/>
      <c r="C305" s="40"/>
      <c r="D305" s="40"/>
      <c r="E305" s="40"/>
      <c r="F305" s="40"/>
      <c r="G305" s="40"/>
      <c r="H305" s="40"/>
      <c r="I305" s="40"/>
      <c r="J305" s="40"/>
    </row>
    <row r="306" spans="1:10">
      <c r="A306" s="40"/>
      <c r="B306" s="40"/>
      <c r="C306" s="40"/>
      <c r="D306" s="40"/>
      <c r="E306" s="40"/>
      <c r="F306" s="40"/>
      <c r="G306" s="40"/>
      <c r="H306" s="40"/>
      <c r="I306" s="40"/>
      <c r="J306" s="40"/>
    </row>
    <row r="307" spans="1:10">
      <c r="A307" s="40"/>
      <c r="B307" s="40"/>
      <c r="C307" s="40"/>
      <c r="D307" s="40"/>
      <c r="E307" s="40"/>
      <c r="F307" s="40"/>
      <c r="G307" s="40"/>
      <c r="H307" s="40"/>
      <c r="I307" s="40"/>
      <c r="J307" s="40"/>
    </row>
    <row r="308" spans="1:10">
      <c r="A308" s="40"/>
      <c r="B308" s="40"/>
      <c r="C308" s="40"/>
      <c r="D308" s="40"/>
      <c r="E308" s="40"/>
      <c r="F308" s="40"/>
      <c r="G308" s="40"/>
      <c r="H308" s="40"/>
      <c r="I308" s="40"/>
      <c r="J308" s="40"/>
    </row>
    <row r="309" spans="1:10">
      <c r="A309" s="40"/>
      <c r="B309" s="40"/>
      <c r="C309" s="40"/>
      <c r="D309" s="40"/>
      <c r="E309" s="40"/>
      <c r="F309" s="40"/>
      <c r="G309" s="40"/>
      <c r="H309" s="40"/>
      <c r="I309" s="40"/>
      <c r="J309" s="40"/>
    </row>
    <row r="310" spans="1:10">
      <c r="A310" s="40"/>
      <c r="B310" s="40"/>
      <c r="C310" s="40"/>
      <c r="D310" s="40"/>
      <c r="E310" s="40"/>
      <c r="F310" s="40"/>
      <c r="G310" s="40"/>
      <c r="H310" s="40"/>
      <c r="I310" s="40"/>
      <c r="J310" s="40"/>
    </row>
    <row r="311" spans="1:10">
      <c r="A311" s="40"/>
      <c r="B311" s="40"/>
      <c r="C311" s="40"/>
      <c r="D311" s="40"/>
      <c r="E311" s="40"/>
      <c r="F311" s="40"/>
      <c r="G311" s="40"/>
      <c r="H311" s="40"/>
      <c r="I311" s="40"/>
      <c r="J311" s="40"/>
    </row>
    <row r="312" spans="1:10">
      <c r="A312" s="40"/>
      <c r="B312" s="40"/>
      <c r="C312" s="40"/>
      <c r="D312" s="40"/>
      <c r="E312" s="40"/>
      <c r="F312" s="40"/>
      <c r="G312" s="40"/>
      <c r="H312" s="40"/>
      <c r="I312" s="40"/>
      <c r="J312" s="40"/>
    </row>
    <row r="313" spans="1:10">
      <c r="A313" s="40"/>
      <c r="B313" s="40"/>
      <c r="C313" s="40"/>
      <c r="D313" s="40"/>
      <c r="E313" s="40"/>
      <c r="F313" s="40"/>
      <c r="G313" s="40"/>
      <c r="H313" s="40"/>
      <c r="I313" s="40"/>
      <c r="J313" s="40"/>
    </row>
    <row r="314" spans="1:10">
      <c r="A314" s="40"/>
      <c r="B314" s="40"/>
      <c r="C314" s="40"/>
      <c r="D314" s="40"/>
      <c r="E314" s="40"/>
      <c r="F314" s="40"/>
      <c r="G314" s="40"/>
      <c r="H314" s="40"/>
      <c r="I314" s="40"/>
      <c r="J314" s="40"/>
    </row>
    <row r="315" spans="1:10">
      <c r="A315" s="40"/>
      <c r="B315" s="40"/>
      <c r="C315" s="40"/>
      <c r="D315" s="40"/>
      <c r="E315" s="40"/>
      <c r="F315" s="40"/>
      <c r="G315" s="40"/>
      <c r="H315" s="40"/>
      <c r="I315" s="40"/>
      <c r="J315" s="40"/>
    </row>
    <row r="316" spans="1:10">
      <c r="A316" s="40"/>
      <c r="B316" s="40"/>
      <c r="C316" s="40"/>
      <c r="D316" s="40"/>
      <c r="E316" s="40"/>
      <c r="F316" s="40"/>
      <c r="G316" s="40"/>
      <c r="H316" s="40"/>
      <c r="I316" s="40"/>
      <c r="J316" s="40"/>
    </row>
    <row r="317" spans="1:10">
      <c r="A317" s="40"/>
      <c r="B317" s="40"/>
      <c r="C317" s="40"/>
      <c r="D317" s="40"/>
      <c r="E317" s="40"/>
      <c r="F317" s="40"/>
      <c r="G317" s="40"/>
      <c r="H317" s="40"/>
      <c r="I317" s="40"/>
      <c r="J317" s="40"/>
    </row>
    <row r="318" spans="1:10">
      <c r="A318" s="40"/>
      <c r="B318" s="40"/>
      <c r="C318" s="40"/>
      <c r="D318" s="40"/>
      <c r="E318" s="40"/>
      <c r="F318" s="40"/>
      <c r="G318" s="40"/>
      <c r="H318" s="40"/>
      <c r="I318" s="40"/>
      <c r="J318" s="40"/>
    </row>
    <row r="319" spans="1:10">
      <c r="A319" s="40"/>
      <c r="B319" s="40"/>
      <c r="C319" s="40"/>
      <c r="D319" s="40"/>
      <c r="E319" s="40"/>
      <c r="F319" s="40"/>
      <c r="G319" s="40"/>
      <c r="H319" s="40"/>
      <c r="I319" s="40"/>
      <c r="J319" s="40"/>
    </row>
    <row r="320" spans="1:10">
      <c r="A320" s="40"/>
      <c r="B320" s="40"/>
      <c r="C320" s="40"/>
      <c r="D320" s="40"/>
      <c r="E320" s="40"/>
      <c r="F320" s="40"/>
      <c r="G320" s="40"/>
      <c r="H320" s="40"/>
      <c r="I320" s="40"/>
      <c r="J320" s="40"/>
    </row>
    <row r="321" spans="1:10">
      <c r="A321" s="40"/>
      <c r="B321" s="40"/>
      <c r="C321" s="40"/>
      <c r="D321" s="40"/>
      <c r="E321" s="40"/>
      <c r="F321" s="40"/>
      <c r="G321" s="40"/>
      <c r="H321" s="40"/>
      <c r="I321" s="40"/>
      <c r="J321" s="40"/>
    </row>
    <row r="322" spans="1:10">
      <c r="A322" s="40"/>
      <c r="B322" s="40"/>
      <c r="C322" s="40"/>
      <c r="D322" s="40"/>
      <c r="E322" s="40"/>
      <c r="F322" s="40"/>
      <c r="G322" s="40"/>
      <c r="H322" s="40"/>
      <c r="I322" s="40"/>
      <c r="J322" s="40"/>
    </row>
    <row r="323" spans="1:10">
      <c r="A323" s="40"/>
      <c r="B323" s="40"/>
      <c r="C323" s="40"/>
      <c r="D323" s="40"/>
      <c r="E323" s="40"/>
      <c r="F323" s="40"/>
      <c r="G323" s="40"/>
      <c r="H323" s="40"/>
      <c r="I323" s="40"/>
      <c r="J323" s="40"/>
    </row>
    <row r="324" spans="1:10">
      <c r="A324" s="40"/>
      <c r="B324" s="40"/>
      <c r="C324" s="40"/>
      <c r="D324" s="40"/>
      <c r="E324" s="40"/>
      <c r="F324" s="40"/>
      <c r="G324" s="40"/>
      <c r="H324" s="40"/>
      <c r="I324" s="40"/>
      <c r="J324" s="40"/>
    </row>
    <row r="325" spans="1:10">
      <c r="A325" s="40"/>
      <c r="B325" s="40"/>
      <c r="C325" s="40"/>
      <c r="D325" s="40"/>
      <c r="E325" s="40"/>
      <c r="F325" s="40"/>
      <c r="G325" s="40"/>
      <c r="H325" s="40"/>
      <c r="I325" s="40"/>
      <c r="J325" s="40"/>
    </row>
    <row r="326" spans="1:10">
      <c r="A326" s="40"/>
      <c r="B326" s="40"/>
      <c r="C326" s="40"/>
      <c r="D326" s="40"/>
      <c r="E326" s="40"/>
      <c r="F326" s="40"/>
      <c r="G326" s="40"/>
      <c r="H326" s="40"/>
      <c r="I326" s="40"/>
      <c r="J326" s="40"/>
    </row>
    <row r="327" spans="1:10">
      <c r="A327" s="40"/>
      <c r="B327" s="40"/>
      <c r="C327" s="40"/>
      <c r="D327" s="40"/>
      <c r="E327" s="40"/>
      <c r="F327" s="40"/>
      <c r="G327" s="40"/>
      <c r="H327" s="40"/>
      <c r="I327" s="40"/>
      <c r="J327" s="40"/>
    </row>
    <row r="328" spans="1:10">
      <c r="A328" s="40"/>
      <c r="B328" s="40"/>
      <c r="C328" s="40"/>
      <c r="D328" s="40"/>
      <c r="E328" s="40"/>
      <c r="F328" s="40"/>
      <c r="G328" s="40"/>
      <c r="H328" s="40"/>
      <c r="I328" s="40"/>
      <c r="J328" s="40"/>
    </row>
    <row r="329" spans="1:10">
      <c r="A329" s="40"/>
      <c r="B329" s="40"/>
      <c r="C329" s="40"/>
      <c r="D329" s="40"/>
      <c r="E329" s="40"/>
      <c r="F329" s="40"/>
      <c r="G329" s="40"/>
      <c r="H329" s="40"/>
      <c r="I329" s="40"/>
      <c r="J329" s="40"/>
    </row>
    <row r="330" spans="1:10">
      <c r="A330" s="40"/>
      <c r="B330" s="40"/>
      <c r="C330" s="40"/>
      <c r="D330" s="40"/>
      <c r="E330" s="40"/>
      <c r="F330" s="40"/>
      <c r="G330" s="40"/>
      <c r="H330" s="40"/>
      <c r="I330" s="40"/>
      <c r="J330" s="40"/>
    </row>
    <row r="331" spans="1:10">
      <c r="A331" s="40"/>
      <c r="B331" s="40"/>
      <c r="C331" s="40"/>
      <c r="D331" s="40"/>
      <c r="E331" s="40"/>
      <c r="F331" s="40"/>
      <c r="G331" s="40"/>
      <c r="H331" s="40"/>
      <c r="I331" s="40"/>
      <c r="J331" s="40"/>
    </row>
    <row r="332" spans="1:10">
      <c r="A332" s="40"/>
      <c r="B332" s="40"/>
      <c r="C332" s="40"/>
      <c r="D332" s="40"/>
      <c r="E332" s="40"/>
      <c r="F332" s="40"/>
      <c r="G332" s="40"/>
      <c r="H332" s="40"/>
      <c r="I332" s="40"/>
      <c r="J332" s="40"/>
    </row>
    <row r="333" spans="1:10">
      <c r="A333" s="40"/>
      <c r="B333" s="40"/>
      <c r="C333" s="40"/>
      <c r="D333" s="40"/>
      <c r="E333" s="40"/>
      <c r="F333" s="40"/>
      <c r="G333" s="40"/>
      <c r="H333" s="40"/>
      <c r="I333" s="40"/>
      <c r="J333" s="40"/>
    </row>
    <row r="334" spans="1:10">
      <c r="A334" s="40"/>
      <c r="B334" s="40"/>
      <c r="C334" s="40"/>
      <c r="D334" s="40"/>
      <c r="E334" s="40"/>
      <c r="F334" s="40"/>
      <c r="G334" s="40"/>
      <c r="H334" s="40"/>
      <c r="I334" s="40"/>
      <c r="J334" s="40"/>
    </row>
    <row r="335" spans="1:10">
      <c r="A335" s="40"/>
      <c r="B335" s="40"/>
      <c r="C335" s="40"/>
      <c r="D335" s="40"/>
      <c r="E335" s="40"/>
      <c r="F335" s="40"/>
      <c r="G335" s="40"/>
      <c r="H335" s="40"/>
      <c r="I335" s="40"/>
      <c r="J335" s="40"/>
    </row>
    <row r="336" spans="1:10">
      <c r="A336" s="40"/>
      <c r="B336" s="40"/>
      <c r="C336" s="40"/>
      <c r="D336" s="40"/>
      <c r="E336" s="40"/>
      <c r="F336" s="40"/>
      <c r="G336" s="40"/>
      <c r="H336" s="40"/>
      <c r="I336" s="40"/>
      <c r="J336" s="40"/>
    </row>
    <row r="337" spans="1:10">
      <c r="A337" s="40"/>
      <c r="B337" s="40"/>
      <c r="C337" s="40"/>
      <c r="D337" s="40"/>
      <c r="E337" s="40"/>
      <c r="F337" s="40"/>
      <c r="G337" s="40"/>
      <c r="H337" s="40"/>
      <c r="I337" s="40"/>
      <c r="J337" s="40"/>
    </row>
    <row r="338" spans="1:10">
      <c r="A338" s="40"/>
      <c r="B338" s="40"/>
      <c r="C338" s="40"/>
      <c r="D338" s="40"/>
      <c r="E338" s="40"/>
      <c r="F338" s="40"/>
      <c r="G338" s="40"/>
      <c r="H338" s="40"/>
      <c r="I338" s="40"/>
      <c r="J338" s="40"/>
    </row>
    <row r="339" spans="1:10">
      <c r="A339" s="40"/>
      <c r="B339" s="40"/>
      <c r="C339" s="40"/>
      <c r="D339" s="40"/>
      <c r="E339" s="40"/>
      <c r="F339" s="40"/>
      <c r="G339" s="40"/>
      <c r="H339" s="40"/>
      <c r="I339" s="40"/>
      <c r="J339" s="40"/>
    </row>
    <row r="340" spans="1:10">
      <c r="A340" s="40"/>
      <c r="B340" s="40"/>
      <c r="C340" s="40"/>
      <c r="D340" s="40"/>
      <c r="E340" s="40"/>
      <c r="F340" s="40"/>
      <c r="G340" s="40"/>
      <c r="H340" s="40"/>
      <c r="I340" s="40"/>
      <c r="J340" s="40"/>
    </row>
    <row r="341" spans="1:10">
      <c r="A341" s="40"/>
      <c r="B341" s="40"/>
      <c r="C341" s="40"/>
      <c r="D341" s="40"/>
      <c r="E341" s="40"/>
      <c r="F341" s="40"/>
      <c r="G341" s="40"/>
      <c r="H341" s="40"/>
      <c r="I341" s="40"/>
      <c r="J341" s="40"/>
    </row>
    <row r="342" spans="1:10">
      <c r="A342" s="40"/>
      <c r="B342" s="40"/>
      <c r="C342" s="40"/>
      <c r="D342" s="40"/>
      <c r="E342" s="40"/>
      <c r="F342" s="40"/>
      <c r="G342" s="40"/>
      <c r="H342" s="40"/>
      <c r="I342" s="40"/>
      <c r="J342" s="40"/>
    </row>
    <row r="343" spans="1:10">
      <c r="A343" s="40"/>
      <c r="B343" s="40"/>
      <c r="C343" s="40"/>
      <c r="D343" s="40"/>
      <c r="E343" s="40"/>
      <c r="F343" s="40"/>
      <c r="G343" s="40"/>
      <c r="H343" s="40"/>
      <c r="I343" s="40"/>
      <c r="J343" s="40"/>
    </row>
    <row r="344" spans="1:10">
      <c r="A344" s="40"/>
      <c r="B344" s="40"/>
      <c r="C344" s="40"/>
      <c r="D344" s="40"/>
      <c r="E344" s="40"/>
      <c r="F344" s="40"/>
      <c r="G344" s="40"/>
      <c r="H344" s="40"/>
      <c r="I344" s="40"/>
      <c r="J344" s="40"/>
    </row>
    <row r="345" spans="1:10">
      <c r="A345" s="40"/>
      <c r="B345" s="40"/>
      <c r="C345" s="40"/>
      <c r="D345" s="40"/>
      <c r="E345" s="40"/>
      <c r="F345" s="40"/>
      <c r="G345" s="40"/>
      <c r="H345" s="40"/>
      <c r="I345" s="40"/>
      <c r="J345" s="40"/>
    </row>
    <row r="346" spans="1:10">
      <c r="A346" s="40"/>
      <c r="B346" s="40"/>
      <c r="C346" s="40"/>
      <c r="D346" s="40"/>
      <c r="E346" s="40"/>
      <c r="F346" s="40"/>
      <c r="G346" s="40"/>
      <c r="H346" s="40"/>
      <c r="I346" s="40"/>
      <c r="J346" s="40"/>
    </row>
    <row r="347" spans="1:10">
      <c r="A347" s="40"/>
      <c r="B347" s="40"/>
      <c r="C347" s="40"/>
      <c r="D347" s="40"/>
      <c r="E347" s="40"/>
      <c r="F347" s="40"/>
      <c r="G347" s="40"/>
      <c r="H347" s="40"/>
      <c r="I347" s="40"/>
      <c r="J347" s="40"/>
    </row>
    <row r="348" spans="1:10">
      <c r="A348" s="40"/>
      <c r="B348" s="40"/>
      <c r="C348" s="40"/>
      <c r="D348" s="40"/>
      <c r="E348" s="40"/>
      <c r="F348" s="40"/>
      <c r="G348" s="40"/>
      <c r="H348" s="40"/>
      <c r="I348" s="40"/>
      <c r="J348" s="40"/>
    </row>
    <row r="349" spans="1:10">
      <c r="A349" s="40"/>
      <c r="B349" s="40"/>
      <c r="C349" s="40"/>
      <c r="D349" s="40"/>
      <c r="E349" s="40"/>
      <c r="F349" s="40"/>
      <c r="G349" s="40"/>
      <c r="H349" s="40"/>
      <c r="I349" s="40"/>
      <c r="J349" s="40"/>
    </row>
    <row r="350" spans="1:10">
      <c r="A350" s="40"/>
      <c r="B350" s="40"/>
      <c r="C350" s="40"/>
      <c r="D350" s="40"/>
      <c r="E350" s="40"/>
      <c r="F350" s="40"/>
      <c r="G350" s="40"/>
      <c r="H350" s="40"/>
      <c r="I350" s="40"/>
      <c r="J350" s="40"/>
    </row>
    <row r="351" spans="1:10">
      <c r="A351" s="40"/>
      <c r="B351" s="40"/>
      <c r="C351" s="40"/>
      <c r="D351" s="40"/>
      <c r="E351" s="40"/>
      <c r="F351" s="40"/>
      <c r="G351" s="40"/>
      <c r="H351" s="40"/>
      <c r="I351" s="40"/>
      <c r="J351" s="40"/>
    </row>
    <row r="352" spans="1:10">
      <c r="A352" s="40"/>
      <c r="B352" s="40"/>
      <c r="C352" s="40"/>
      <c r="D352" s="40"/>
      <c r="E352" s="40"/>
      <c r="F352" s="40"/>
      <c r="G352" s="40"/>
      <c r="H352" s="40"/>
      <c r="I352" s="40"/>
      <c r="J352" s="40"/>
    </row>
    <row r="353" spans="1:10">
      <c r="A353" s="40"/>
      <c r="B353" s="40"/>
      <c r="C353" s="40"/>
      <c r="D353" s="40"/>
      <c r="E353" s="40"/>
      <c r="F353" s="40"/>
      <c r="G353" s="40"/>
      <c r="H353" s="40"/>
      <c r="I353" s="40"/>
      <c r="J353" s="40"/>
    </row>
    <row r="354" spans="1:10">
      <c r="A354" s="40"/>
      <c r="B354" s="40"/>
      <c r="C354" s="40"/>
      <c r="D354" s="40"/>
      <c r="E354" s="40"/>
      <c r="F354" s="40"/>
      <c r="G354" s="40"/>
      <c r="H354" s="40"/>
      <c r="I354" s="40"/>
      <c r="J354" s="40"/>
    </row>
    <row r="355" spans="1:10">
      <c r="A355" s="40"/>
      <c r="B355" s="40"/>
      <c r="C355" s="40"/>
      <c r="D355" s="40"/>
      <c r="E355" s="40"/>
      <c r="F355" s="40"/>
      <c r="G355" s="40"/>
      <c r="H355" s="40"/>
      <c r="I355" s="40"/>
      <c r="J355" s="40"/>
    </row>
    <row r="356" spans="1:10">
      <c r="A356" s="40"/>
      <c r="B356" s="40"/>
      <c r="C356" s="40"/>
      <c r="D356" s="40"/>
      <c r="E356" s="40"/>
      <c r="F356" s="40"/>
      <c r="G356" s="40"/>
      <c r="H356" s="40"/>
      <c r="I356" s="40"/>
      <c r="J356" s="40"/>
    </row>
    <row r="357" spans="1:10">
      <c r="A357" s="40"/>
      <c r="B357" s="40"/>
      <c r="C357" s="40"/>
      <c r="D357" s="40"/>
      <c r="E357" s="40"/>
      <c r="F357" s="40"/>
      <c r="G357" s="40"/>
      <c r="H357" s="40"/>
      <c r="I357" s="40"/>
      <c r="J357" s="40"/>
    </row>
    <row r="358" spans="1:10">
      <c r="A358" s="40"/>
      <c r="B358" s="40"/>
      <c r="C358" s="40"/>
      <c r="D358" s="40"/>
      <c r="E358" s="40"/>
      <c r="F358" s="40"/>
      <c r="G358" s="40"/>
      <c r="H358" s="40"/>
      <c r="I358" s="40"/>
      <c r="J358" s="40"/>
    </row>
    <row r="359" spans="1:10">
      <c r="A359" s="40"/>
      <c r="B359" s="40"/>
      <c r="C359" s="40"/>
      <c r="D359" s="40"/>
      <c r="E359" s="40"/>
      <c r="F359" s="40"/>
      <c r="G359" s="40"/>
      <c r="H359" s="40"/>
      <c r="I359" s="40"/>
      <c r="J359" s="40"/>
    </row>
    <row r="360" spans="1:10">
      <c r="A360" s="40"/>
      <c r="B360" s="40"/>
      <c r="C360" s="40"/>
      <c r="D360" s="40"/>
      <c r="E360" s="40"/>
      <c r="F360" s="40"/>
      <c r="G360" s="40"/>
      <c r="H360" s="40"/>
      <c r="I360" s="40"/>
      <c r="J360" s="40"/>
    </row>
    <row r="361" spans="1:10">
      <c r="A361" s="40"/>
      <c r="B361" s="40"/>
      <c r="C361" s="40"/>
      <c r="D361" s="40"/>
      <c r="E361" s="40"/>
      <c r="F361" s="40"/>
      <c r="G361" s="40"/>
      <c r="H361" s="40"/>
      <c r="I361" s="40"/>
      <c r="J361" s="40"/>
    </row>
    <row r="362" spans="1:10">
      <c r="A362" s="40"/>
      <c r="B362" s="40"/>
      <c r="C362" s="40"/>
      <c r="D362" s="40"/>
      <c r="E362" s="40"/>
      <c r="F362" s="40"/>
      <c r="G362" s="40"/>
      <c r="H362" s="40"/>
      <c r="I362" s="40"/>
      <c r="J362" s="40"/>
    </row>
    <row r="363" spans="1:10">
      <c r="A363" s="40"/>
      <c r="B363" s="40"/>
      <c r="C363" s="40"/>
      <c r="D363" s="40"/>
      <c r="E363" s="40"/>
      <c r="F363" s="40"/>
      <c r="G363" s="40"/>
      <c r="H363" s="40"/>
      <c r="I363" s="40"/>
      <c r="J363" s="40"/>
    </row>
    <row r="364" spans="1:10">
      <c r="A364" s="40"/>
      <c r="B364" s="40"/>
      <c r="C364" s="40"/>
      <c r="D364" s="40"/>
      <c r="E364" s="40"/>
      <c r="F364" s="40"/>
      <c r="G364" s="40"/>
      <c r="H364" s="40"/>
      <c r="I364" s="40"/>
      <c r="J364" s="40"/>
    </row>
    <row r="365" spans="1:10">
      <c r="A365" s="40"/>
      <c r="B365" s="40"/>
      <c r="C365" s="40"/>
      <c r="D365" s="40"/>
      <c r="E365" s="40"/>
      <c r="F365" s="40"/>
      <c r="G365" s="40"/>
      <c r="H365" s="40"/>
      <c r="I365" s="40"/>
      <c r="J365" s="40"/>
    </row>
    <row r="366" spans="1:10">
      <c r="A366" s="40"/>
      <c r="B366" s="40"/>
      <c r="C366" s="40"/>
      <c r="D366" s="40"/>
      <c r="E366" s="40"/>
      <c r="F366" s="40"/>
      <c r="G366" s="40"/>
      <c r="H366" s="40"/>
      <c r="I366" s="40"/>
      <c r="J366" s="40"/>
    </row>
    <row r="367" spans="1:10">
      <c r="A367" s="40"/>
      <c r="B367" s="40"/>
      <c r="C367" s="40"/>
      <c r="D367" s="40"/>
      <c r="E367" s="40"/>
      <c r="F367" s="40"/>
      <c r="G367" s="40"/>
      <c r="H367" s="40"/>
      <c r="I367" s="40"/>
      <c r="J367" s="40"/>
    </row>
    <row r="368" spans="1:10">
      <c r="A368" s="40"/>
      <c r="B368" s="40"/>
      <c r="C368" s="40"/>
      <c r="D368" s="40"/>
      <c r="E368" s="40"/>
      <c r="F368" s="40"/>
      <c r="G368" s="40"/>
      <c r="H368" s="40"/>
      <c r="I368" s="40"/>
      <c r="J368" s="40"/>
    </row>
    <row r="369" spans="1:10">
      <c r="A369" s="40"/>
      <c r="B369" s="40"/>
      <c r="C369" s="40"/>
      <c r="D369" s="40"/>
      <c r="E369" s="40"/>
      <c r="F369" s="40"/>
      <c r="G369" s="40"/>
      <c r="H369" s="40"/>
      <c r="I369" s="40"/>
      <c r="J369" s="40"/>
    </row>
    <row r="370" spans="1:10">
      <c r="A370" s="40"/>
      <c r="B370" s="40"/>
      <c r="C370" s="40"/>
      <c r="D370" s="40"/>
      <c r="E370" s="40"/>
      <c r="F370" s="40"/>
      <c r="G370" s="40"/>
      <c r="H370" s="40"/>
      <c r="I370" s="40"/>
      <c r="J370" s="40"/>
    </row>
    <row r="371" spans="1:10">
      <c r="A371" s="40"/>
      <c r="B371" s="40"/>
      <c r="C371" s="40"/>
      <c r="D371" s="40"/>
      <c r="E371" s="40"/>
      <c r="F371" s="40"/>
      <c r="G371" s="40"/>
      <c r="H371" s="40"/>
      <c r="I371" s="40"/>
      <c r="J371" s="40"/>
    </row>
    <row r="372" spans="1:10">
      <c r="A372" s="40"/>
      <c r="B372" s="40"/>
      <c r="C372" s="40"/>
      <c r="D372" s="40"/>
      <c r="E372" s="40"/>
      <c r="F372" s="40"/>
      <c r="G372" s="40"/>
      <c r="H372" s="40"/>
      <c r="I372" s="40"/>
      <c r="J372" s="40"/>
    </row>
    <row r="373" spans="1:10">
      <c r="A373" s="40"/>
      <c r="B373" s="40"/>
      <c r="C373" s="40"/>
      <c r="D373" s="40"/>
      <c r="E373" s="40"/>
      <c r="F373" s="40"/>
      <c r="G373" s="40"/>
      <c r="H373" s="40"/>
      <c r="I373" s="40"/>
      <c r="J373" s="40"/>
    </row>
    <row r="374" spans="1:10">
      <c r="A374" s="40"/>
      <c r="B374" s="40"/>
      <c r="C374" s="40"/>
      <c r="D374" s="40"/>
      <c r="E374" s="40"/>
      <c r="F374" s="40"/>
      <c r="G374" s="40"/>
      <c r="H374" s="40"/>
      <c r="I374" s="40"/>
      <c r="J374" s="40"/>
    </row>
    <row r="375" spans="1:10">
      <c r="A375" s="40"/>
      <c r="B375" s="40"/>
      <c r="C375" s="40"/>
      <c r="D375" s="40"/>
      <c r="E375" s="40"/>
      <c r="F375" s="40"/>
      <c r="G375" s="40"/>
      <c r="H375" s="40"/>
      <c r="I375" s="40"/>
      <c r="J375" s="40"/>
    </row>
    <row r="376" spans="1:10">
      <c r="A376" s="40"/>
      <c r="B376" s="40"/>
      <c r="C376" s="40"/>
      <c r="D376" s="40"/>
      <c r="E376" s="40"/>
      <c r="F376" s="40"/>
      <c r="G376" s="40"/>
      <c r="H376" s="40"/>
      <c r="I376" s="40"/>
      <c r="J376" s="40"/>
    </row>
    <row r="377" spans="1:10">
      <c r="A377" s="40"/>
      <c r="B377" s="40"/>
      <c r="C377" s="40"/>
      <c r="D377" s="40"/>
      <c r="E377" s="40"/>
      <c r="F377" s="40"/>
      <c r="G377" s="40"/>
      <c r="H377" s="40"/>
      <c r="I377" s="40"/>
      <c r="J377" s="40"/>
    </row>
    <row r="378" spans="1:10">
      <c r="A378" s="40"/>
      <c r="B378" s="40"/>
      <c r="C378" s="40"/>
      <c r="D378" s="40"/>
      <c r="E378" s="40"/>
      <c r="F378" s="40"/>
      <c r="G378" s="40"/>
      <c r="H378" s="40"/>
      <c r="I378" s="40"/>
      <c r="J378" s="40"/>
    </row>
    <row r="379" spans="1:10">
      <c r="A379" s="40"/>
      <c r="B379" s="40"/>
      <c r="C379" s="40"/>
      <c r="D379" s="40"/>
      <c r="E379" s="40"/>
      <c r="F379" s="40"/>
      <c r="G379" s="40"/>
      <c r="H379" s="40"/>
      <c r="I379" s="40"/>
      <c r="J379" s="40"/>
    </row>
    <row r="380" spans="1:10">
      <c r="A380" s="40"/>
      <c r="B380" s="40"/>
      <c r="C380" s="40"/>
      <c r="D380" s="40"/>
      <c r="E380" s="40"/>
      <c r="F380" s="40"/>
      <c r="G380" s="40"/>
      <c r="H380" s="40"/>
      <c r="I380" s="40"/>
      <c r="J380" s="40"/>
    </row>
    <row r="381" spans="1:10">
      <c r="A381" s="40"/>
      <c r="B381" s="40"/>
      <c r="C381" s="40"/>
      <c r="D381" s="40"/>
      <c r="E381" s="40"/>
      <c r="F381" s="40"/>
      <c r="G381" s="40"/>
      <c r="H381" s="40"/>
      <c r="I381" s="40"/>
      <c r="J381" s="40"/>
    </row>
    <row r="382" spans="1:10">
      <c r="A382" s="40"/>
      <c r="B382" s="40"/>
      <c r="C382" s="40"/>
      <c r="D382" s="40"/>
      <c r="E382" s="40"/>
      <c r="F382" s="40"/>
      <c r="G382" s="40"/>
      <c r="H382" s="40"/>
      <c r="I382" s="40"/>
      <c r="J382" s="40"/>
    </row>
    <row r="383" spans="1:10">
      <c r="A383" s="40"/>
      <c r="B383" s="40"/>
      <c r="C383" s="40"/>
      <c r="D383" s="40"/>
      <c r="E383" s="40"/>
      <c r="F383" s="40"/>
      <c r="G383" s="40"/>
      <c r="H383" s="40"/>
      <c r="I383" s="40"/>
      <c r="J383" s="40"/>
    </row>
    <row r="384" spans="1:10">
      <c r="A384" s="40"/>
      <c r="B384" s="40"/>
      <c r="C384" s="40"/>
      <c r="D384" s="40"/>
      <c r="E384" s="40"/>
      <c r="F384" s="40"/>
      <c r="G384" s="40"/>
      <c r="H384" s="40"/>
      <c r="I384" s="40"/>
      <c r="J384" s="40"/>
    </row>
    <row r="385" spans="1:10">
      <c r="A385" s="40"/>
      <c r="B385" s="40"/>
      <c r="C385" s="40"/>
      <c r="D385" s="40"/>
      <c r="E385" s="40"/>
      <c r="F385" s="40"/>
      <c r="G385" s="40"/>
      <c r="H385" s="40"/>
      <c r="I385" s="40"/>
      <c r="J385" s="40"/>
    </row>
    <row r="386" spans="1:10">
      <c r="A386" s="40"/>
      <c r="B386" s="40"/>
      <c r="C386" s="40"/>
      <c r="D386" s="40"/>
      <c r="E386" s="40"/>
      <c r="F386" s="40"/>
      <c r="G386" s="40"/>
      <c r="H386" s="40"/>
      <c r="I386" s="40"/>
      <c r="J386" s="40"/>
    </row>
    <row r="387" spans="1:10">
      <c r="A387" s="40"/>
      <c r="B387" s="40"/>
      <c r="C387" s="40"/>
      <c r="D387" s="40"/>
      <c r="E387" s="40"/>
      <c r="F387" s="40"/>
      <c r="G387" s="40"/>
      <c r="H387" s="40"/>
      <c r="I387" s="40"/>
      <c r="J387" s="40"/>
    </row>
    <row r="388" spans="1:10">
      <c r="A388" s="40"/>
      <c r="B388" s="40"/>
      <c r="C388" s="40"/>
      <c r="D388" s="40"/>
      <c r="E388" s="40"/>
      <c r="F388" s="40"/>
      <c r="G388" s="40"/>
      <c r="H388" s="40"/>
      <c r="I388" s="40"/>
      <c r="J388" s="40"/>
    </row>
    <row r="389" spans="1:10">
      <c r="A389" s="40"/>
      <c r="B389" s="40"/>
      <c r="C389" s="40"/>
      <c r="D389" s="40"/>
      <c r="E389" s="40"/>
      <c r="F389" s="40"/>
      <c r="G389" s="40"/>
      <c r="H389" s="40"/>
      <c r="I389" s="40"/>
      <c r="J389" s="40"/>
    </row>
    <row r="390" spans="1:10">
      <c r="A390" s="40"/>
      <c r="B390" s="40"/>
      <c r="C390" s="40"/>
      <c r="D390" s="40"/>
      <c r="E390" s="40"/>
      <c r="F390" s="40"/>
      <c r="G390" s="40"/>
      <c r="H390" s="40"/>
      <c r="I390" s="40"/>
      <c r="J390" s="40"/>
    </row>
    <row r="391" spans="1:10">
      <c r="A391" s="40"/>
      <c r="B391" s="40"/>
      <c r="C391" s="40"/>
      <c r="D391" s="40"/>
      <c r="E391" s="40"/>
      <c r="F391" s="40"/>
      <c r="G391" s="40"/>
      <c r="H391" s="40"/>
      <c r="I391" s="40"/>
      <c r="J391" s="40"/>
    </row>
    <row r="392" spans="1:10">
      <c r="A392" s="40"/>
      <c r="B392" s="40"/>
      <c r="C392" s="40"/>
      <c r="D392" s="40"/>
      <c r="E392" s="40"/>
      <c r="F392" s="40"/>
      <c r="G392" s="40"/>
      <c r="H392" s="40"/>
      <c r="I392" s="40"/>
      <c r="J392" s="40"/>
    </row>
    <row r="393" spans="1:10">
      <c r="A393" s="40"/>
      <c r="B393" s="40"/>
      <c r="C393" s="40"/>
      <c r="D393" s="40"/>
      <c r="E393" s="40"/>
      <c r="F393" s="40"/>
      <c r="G393" s="40"/>
      <c r="H393" s="40"/>
      <c r="I393" s="40"/>
      <c r="J393" s="40"/>
    </row>
    <row r="394" spans="1:10">
      <c r="A394" s="40"/>
      <c r="B394" s="40"/>
      <c r="C394" s="40"/>
      <c r="D394" s="40"/>
      <c r="E394" s="40"/>
      <c r="F394" s="40"/>
      <c r="G394" s="40"/>
      <c r="H394" s="40"/>
      <c r="I394" s="40"/>
      <c r="J394" s="40"/>
    </row>
    <row r="395" spans="1:10">
      <c r="A395" s="40"/>
      <c r="B395" s="40"/>
      <c r="C395" s="40"/>
      <c r="D395" s="40"/>
      <c r="E395" s="40"/>
      <c r="F395" s="40"/>
      <c r="G395" s="40"/>
      <c r="H395" s="40"/>
      <c r="I395" s="40"/>
      <c r="J395" s="40"/>
    </row>
    <row r="396" spans="1:10">
      <c r="A396" s="40"/>
      <c r="B396" s="40"/>
      <c r="C396" s="40"/>
      <c r="D396" s="40"/>
      <c r="E396" s="40"/>
      <c r="F396" s="40"/>
      <c r="G396" s="40"/>
      <c r="H396" s="40"/>
      <c r="I396" s="40"/>
      <c r="J396" s="40"/>
    </row>
    <row r="397" spans="1:10">
      <c r="A397" s="40"/>
      <c r="B397" s="40"/>
      <c r="C397" s="40"/>
      <c r="D397" s="40"/>
      <c r="E397" s="40"/>
      <c r="F397" s="40"/>
      <c r="G397" s="40"/>
      <c r="H397" s="40"/>
      <c r="I397" s="40"/>
      <c r="J397" s="40"/>
    </row>
    <row r="398" spans="1:10">
      <c r="A398" s="40"/>
      <c r="B398" s="40"/>
      <c r="C398" s="40"/>
      <c r="D398" s="40"/>
      <c r="E398" s="40"/>
      <c r="F398" s="40"/>
      <c r="G398" s="40"/>
      <c r="H398" s="40"/>
      <c r="I398" s="40"/>
      <c r="J398" s="40"/>
    </row>
    <row r="399" spans="1:10">
      <c r="A399" s="40"/>
      <c r="B399" s="40"/>
      <c r="C399" s="40"/>
      <c r="D399" s="40"/>
      <c r="E399" s="40"/>
      <c r="F399" s="40"/>
      <c r="G399" s="40"/>
      <c r="H399" s="40"/>
      <c r="I399" s="40"/>
      <c r="J399" s="40"/>
    </row>
    <row r="400" spans="1:10">
      <c r="A400" s="40"/>
      <c r="B400" s="40"/>
      <c r="C400" s="40"/>
      <c r="D400" s="40"/>
      <c r="E400" s="40"/>
      <c r="F400" s="40"/>
      <c r="G400" s="40"/>
      <c r="H400" s="40"/>
      <c r="I400" s="40"/>
      <c r="J400" s="40"/>
    </row>
    <row r="401" spans="1:10">
      <c r="A401" s="40"/>
      <c r="B401" s="40"/>
      <c r="C401" s="40"/>
      <c r="D401" s="40"/>
      <c r="E401" s="40"/>
      <c r="F401" s="40"/>
      <c r="G401" s="40"/>
      <c r="H401" s="40"/>
      <c r="I401" s="40"/>
      <c r="J401" s="40"/>
    </row>
    <row r="402" spans="1:10">
      <c r="A402" s="40"/>
      <c r="B402" s="40"/>
      <c r="C402" s="40"/>
      <c r="D402" s="40"/>
      <c r="E402" s="40"/>
      <c r="F402" s="40"/>
      <c r="G402" s="40"/>
      <c r="H402" s="40"/>
      <c r="I402" s="40"/>
      <c r="J402" s="40"/>
    </row>
    <row r="403" spans="1:10">
      <c r="A403" s="40"/>
      <c r="B403" s="40"/>
      <c r="C403" s="40"/>
      <c r="D403" s="40"/>
      <c r="E403" s="40"/>
      <c r="F403" s="40"/>
      <c r="G403" s="40"/>
      <c r="H403" s="40"/>
      <c r="I403" s="40"/>
      <c r="J403" s="40"/>
    </row>
    <row r="404" spans="1:10">
      <c r="A404" s="40"/>
      <c r="B404" s="40"/>
      <c r="C404" s="40"/>
      <c r="D404" s="40"/>
      <c r="E404" s="40"/>
      <c r="F404" s="40"/>
      <c r="G404" s="40"/>
      <c r="H404" s="40"/>
      <c r="I404" s="40"/>
      <c r="J404" s="40"/>
    </row>
    <row r="405" spans="1:10">
      <c r="A405" s="40"/>
      <c r="B405" s="40"/>
      <c r="C405" s="40"/>
      <c r="D405" s="40"/>
      <c r="E405" s="40"/>
      <c r="F405" s="40"/>
      <c r="G405" s="40"/>
      <c r="H405" s="40"/>
      <c r="I405" s="40"/>
      <c r="J405" s="40"/>
    </row>
    <row r="406" spans="1:10">
      <c r="A406" s="40"/>
      <c r="B406" s="40"/>
      <c r="C406" s="40"/>
      <c r="D406" s="40"/>
      <c r="E406" s="40"/>
      <c r="F406" s="40"/>
      <c r="G406" s="40"/>
      <c r="H406" s="40"/>
      <c r="I406" s="40"/>
      <c r="J406" s="40"/>
    </row>
    <row r="407" spans="1:10">
      <c r="A407" s="40"/>
      <c r="B407" s="40"/>
      <c r="C407" s="40"/>
      <c r="D407" s="40"/>
      <c r="E407" s="40"/>
      <c r="F407" s="40"/>
      <c r="G407" s="40"/>
      <c r="H407" s="40"/>
      <c r="I407" s="40"/>
      <c r="J407" s="40"/>
    </row>
    <row r="408" spans="1:10">
      <c r="A408" s="40"/>
      <c r="B408" s="40"/>
      <c r="C408" s="40"/>
      <c r="D408" s="40"/>
      <c r="E408" s="40"/>
      <c r="F408" s="40"/>
      <c r="G408" s="40"/>
      <c r="H408" s="40"/>
      <c r="I408" s="40"/>
      <c r="J408" s="40"/>
    </row>
    <row r="409" spans="1:10">
      <c r="A409" s="40"/>
      <c r="B409" s="40"/>
      <c r="C409" s="40"/>
      <c r="D409" s="40"/>
      <c r="E409" s="40"/>
      <c r="F409" s="40"/>
      <c r="G409" s="40"/>
      <c r="H409" s="40"/>
      <c r="I409" s="40"/>
      <c r="J409" s="40"/>
    </row>
    <row r="410" spans="1:10">
      <c r="A410" s="40"/>
      <c r="B410" s="40"/>
      <c r="C410" s="40"/>
      <c r="D410" s="40"/>
      <c r="E410" s="40"/>
      <c r="F410" s="40"/>
      <c r="G410" s="40"/>
      <c r="H410" s="40"/>
      <c r="I410" s="40"/>
      <c r="J410" s="40"/>
    </row>
    <row r="411" spans="1:10">
      <c r="A411" s="40"/>
      <c r="B411" s="40"/>
      <c r="C411" s="40"/>
      <c r="D411" s="40"/>
      <c r="E411" s="40"/>
      <c r="F411" s="40"/>
      <c r="G411" s="40"/>
      <c r="H411" s="40"/>
      <c r="I411" s="40"/>
      <c r="J411" s="40"/>
    </row>
    <row r="412" spans="1:10">
      <c r="A412" s="40"/>
      <c r="B412" s="40"/>
      <c r="C412" s="40"/>
      <c r="D412" s="40"/>
      <c r="E412" s="40"/>
      <c r="F412" s="40"/>
      <c r="G412" s="40"/>
      <c r="H412" s="40"/>
      <c r="I412" s="40"/>
      <c r="J412" s="40"/>
    </row>
    <row r="413" spans="1:10">
      <c r="A413" s="40"/>
      <c r="B413" s="40"/>
      <c r="C413" s="40"/>
      <c r="D413" s="40"/>
      <c r="E413" s="40"/>
      <c r="F413" s="40"/>
      <c r="G413" s="40"/>
      <c r="H413" s="40"/>
      <c r="I413" s="40"/>
      <c r="J413" s="40"/>
    </row>
    <row r="414" spans="1:10">
      <c r="A414" s="40"/>
      <c r="B414" s="40"/>
      <c r="C414" s="40"/>
      <c r="D414" s="40"/>
      <c r="E414" s="40"/>
      <c r="F414" s="40"/>
      <c r="G414" s="40"/>
      <c r="H414" s="40"/>
      <c r="I414" s="40"/>
      <c r="J414" s="40"/>
    </row>
    <row r="415" spans="1:10">
      <c r="A415" s="40"/>
      <c r="B415" s="40"/>
      <c r="C415" s="40"/>
      <c r="D415" s="40"/>
      <c r="E415" s="40"/>
      <c r="F415" s="40"/>
      <c r="G415" s="40"/>
      <c r="H415" s="40"/>
      <c r="I415" s="40"/>
      <c r="J415" s="40"/>
    </row>
    <row r="416" spans="1:10">
      <c r="A416" s="40"/>
      <c r="B416" s="40"/>
      <c r="C416" s="40"/>
      <c r="D416" s="40"/>
      <c r="E416" s="40"/>
      <c r="F416" s="40"/>
      <c r="G416" s="40"/>
      <c r="H416" s="40"/>
      <c r="I416" s="40"/>
      <c r="J416" s="40"/>
    </row>
    <row r="417" spans="1:10">
      <c r="A417" s="40"/>
      <c r="B417" s="40"/>
      <c r="C417" s="40"/>
      <c r="D417" s="40"/>
      <c r="E417" s="40"/>
      <c r="F417" s="40"/>
      <c r="G417" s="40"/>
      <c r="H417" s="40"/>
      <c r="I417" s="40"/>
      <c r="J417" s="40"/>
    </row>
    <row r="418" spans="1:10">
      <c r="A418" s="40"/>
      <c r="B418" s="40"/>
      <c r="C418" s="40"/>
      <c r="D418" s="40"/>
      <c r="E418" s="40"/>
      <c r="F418" s="40"/>
      <c r="G418" s="40"/>
      <c r="H418" s="40"/>
      <c r="I418" s="40"/>
      <c r="J418" s="40"/>
    </row>
    <row r="419" spans="1:10">
      <c r="A419" s="40"/>
      <c r="B419" s="40"/>
      <c r="C419" s="40"/>
      <c r="D419" s="40"/>
      <c r="E419" s="40"/>
      <c r="F419" s="40"/>
      <c r="G419" s="40"/>
      <c r="H419" s="40"/>
      <c r="I419" s="40"/>
      <c r="J419" s="40"/>
    </row>
    <row r="420" spans="1:10">
      <c r="A420" s="40"/>
      <c r="B420" s="40"/>
      <c r="C420" s="40"/>
      <c r="D420" s="40"/>
      <c r="E420" s="40"/>
      <c r="F420" s="40"/>
      <c r="G420" s="40"/>
      <c r="H420" s="40"/>
      <c r="I420" s="40"/>
      <c r="J420" s="40"/>
    </row>
    <row r="421" spans="1:10">
      <c r="A421" s="40"/>
      <c r="B421" s="40"/>
      <c r="C421" s="40"/>
      <c r="D421" s="40"/>
      <c r="E421" s="40"/>
      <c r="F421" s="40"/>
      <c r="G421" s="40"/>
      <c r="H421" s="40"/>
      <c r="I421" s="40"/>
      <c r="J421" s="40"/>
    </row>
    <row r="422" spans="1:10">
      <c r="A422" s="40"/>
      <c r="B422" s="40"/>
      <c r="C422" s="40"/>
      <c r="D422" s="40"/>
      <c r="E422" s="40"/>
      <c r="F422" s="40"/>
      <c r="G422" s="40"/>
      <c r="H422" s="40"/>
      <c r="I422" s="40"/>
      <c r="J422" s="40"/>
    </row>
    <row r="423" spans="1:10">
      <c r="A423" s="40"/>
      <c r="B423" s="40"/>
      <c r="C423" s="40"/>
      <c r="D423" s="40"/>
      <c r="E423" s="40"/>
      <c r="F423" s="40"/>
      <c r="G423" s="40"/>
      <c r="H423" s="40"/>
      <c r="I423" s="40"/>
      <c r="J423" s="40"/>
    </row>
    <row r="424" spans="1:10">
      <c r="A424" s="40"/>
      <c r="B424" s="40"/>
      <c r="C424" s="40"/>
      <c r="D424" s="40"/>
      <c r="E424" s="40"/>
      <c r="F424" s="40"/>
      <c r="G424" s="40"/>
      <c r="H424" s="40"/>
      <c r="I424" s="40"/>
      <c r="J424" s="40"/>
    </row>
    <row r="425" spans="1:10">
      <c r="A425" s="40"/>
      <c r="B425" s="40"/>
      <c r="C425" s="40"/>
      <c r="D425" s="40"/>
      <c r="E425" s="40"/>
      <c r="F425" s="40"/>
      <c r="G425" s="40"/>
      <c r="H425" s="40"/>
      <c r="I425" s="40"/>
      <c r="J425" s="40"/>
    </row>
    <row r="426" spans="1:10">
      <c r="A426" s="40"/>
      <c r="B426" s="40"/>
      <c r="C426" s="40"/>
      <c r="D426" s="40"/>
      <c r="E426" s="40"/>
      <c r="F426" s="40"/>
      <c r="G426" s="40"/>
      <c r="H426" s="40"/>
      <c r="I426" s="40"/>
      <c r="J426" s="40"/>
    </row>
    <row r="427" spans="1:10">
      <c r="A427" s="40"/>
      <c r="B427" s="40"/>
      <c r="C427" s="40"/>
      <c r="D427" s="40"/>
      <c r="E427" s="40"/>
      <c r="F427" s="40"/>
      <c r="G427" s="40"/>
      <c r="H427" s="40"/>
      <c r="I427" s="40"/>
      <c r="J427" s="40"/>
    </row>
    <row r="428" spans="1:10">
      <c r="A428" s="40"/>
      <c r="B428" s="40"/>
      <c r="C428" s="40"/>
      <c r="D428" s="40"/>
      <c r="E428" s="40"/>
      <c r="F428" s="40"/>
      <c r="G428" s="40"/>
      <c r="H428" s="40"/>
      <c r="I428" s="40"/>
      <c r="J428" s="40"/>
    </row>
    <row r="429" spans="1:10">
      <c r="A429" s="40"/>
      <c r="B429" s="40"/>
      <c r="C429" s="40"/>
      <c r="D429" s="40"/>
      <c r="E429" s="40"/>
      <c r="F429" s="40"/>
      <c r="G429" s="40"/>
      <c r="H429" s="40"/>
      <c r="I429" s="40"/>
      <c r="J429" s="40"/>
    </row>
    <row r="430" spans="1:10">
      <c r="A430" s="40"/>
      <c r="B430" s="40"/>
      <c r="C430" s="40"/>
      <c r="D430" s="40"/>
      <c r="E430" s="40"/>
      <c r="F430" s="40"/>
      <c r="G430" s="40"/>
      <c r="H430" s="40"/>
      <c r="I430" s="40"/>
      <c r="J430" s="40"/>
    </row>
    <row r="431" spans="1:10">
      <c r="A431" s="40"/>
      <c r="B431" s="40"/>
      <c r="C431" s="40"/>
      <c r="D431" s="40"/>
      <c r="E431" s="40"/>
      <c r="F431" s="40"/>
      <c r="G431" s="40"/>
      <c r="H431" s="40"/>
      <c r="I431" s="40"/>
      <c r="J431" s="40"/>
    </row>
    <row r="432" spans="1:10">
      <c r="A432" s="40"/>
      <c r="B432" s="40"/>
      <c r="C432" s="40"/>
      <c r="D432" s="40"/>
      <c r="E432" s="40"/>
      <c r="F432" s="40"/>
      <c r="G432" s="40"/>
      <c r="H432" s="40"/>
      <c r="I432" s="40"/>
      <c r="J432" s="40"/>
    </row>
    <row r="433" spans="1:10">
      <c r="A433" s="40"/>
      <c r="B433" s="40"/>
      <c r="C433" s="40"/>
      <c r="D433" s="40"/>
      <c r="E433" s="40"/>
      <c r="F433" s="40"/>
      <c r="G433" s="40"/>
      <c r="H433" s="40"/>
      <c r="I433" s="40"/>
      <c r="J433" s="40"/>
    </row>
    <row r="434" spans="1:10">
      <c r="A434" s="40"/>
      <c r="B434" s="40"/>
      <c r="C434" s="40"/>
      <c r="D434" s="40"/>
      <c r="E434" s="40"/>
      <c r="F434" s="40"/>
      <c r="G434" s="40"/>
      <c r="H434" s="40"/>
      <c r="I434" s="40"/>
      <c r="J434" s="40"/>
    </row>
    <row r="435" spans="1:10">
      <c r="A435" s="40"/>
      <c r="B435" s="40"/>
      <c r="C435" s="40"/>
      <c r="D435" s="40"/>
      <c r="E435" s="40"/>
      <c r="F435" s="40"/>
      <c r="G435" s="40"/>
      <c r="H435" s="40"/>
      <c r="I435" s="40"/>
      <c r="J435" s="40"/>
    </row>
    <row r="436" spans="1:10">
      <c r="A436" s="40"/>
      <c r="B436" s="40"/>
      <c r="C436" s="40"/>
      <c r="D436" s="40"/>
      <c r="E436" s="40"/>
      <c r="F436" s="40"/>
      <c r="G436" s="40"/>
      <c r="H436" s="40"/>
      <c r="I436" s="40"/>
      <c r="J436" s="40"/>
    </row>
    <row r="437" spans="1:10">
      <c r="A437" s="40"/>
      <c r="B437" s="40"/>
      <c r="C437" s="40"/>
      <c r="D437" s="40"/>
      <c r="E437" s="40"/>
      <c r="F437" s="40"/>
      <c r="G437" s="40"/>
      <c r="H437" s="40"/>
      <c r="I437" s="40"/>
      <c r="J437" s="40"/>
    </row>
    <row r="438" spans="1:10">
      <c r="A438" s="40"/>
      <c r="B438" s="40"/>
      <c r="C438" s="40"/>
      <c r="D438" s="40"/>
      <c r="E438" s="40"/>
      <c r="F438" s="40"/>
      <c r="G438" s="40"/>
      <c r="H438" s="40"/>
      <c r="I438" s="40"/>
      <c r="J438" s="40"/>
    </row>
    <row r="439" spans="1:10">
      <c r="A439" s="40"/>
      <c r="B439" s="40"/>
      <c r="C439" s="40"/>
      <c r="D439" s="40"/>
      <c r="E439" s="40"/>
      <c r="F439" s="40"/>
      <c r="G439" s="40"/>
      <c r="H439" s="40"/>
      <c r="I439" s="40"/>
      <c r="J439" s="40"/>
    </row>
    <row r="440" spans="1:10">
      <c r="A440" s="40"/>
      <c r="B440" s="40"/>
      <c r="C440" s="40"/>
      <c r="D440" s="40"/>
      <c r="E440" s="40"/>
      <c r="F440" s="40"/>
      <c r="G440" s="40"/>
      <c r="H440" s="40"/>
      <c r="I440" s="40"/>
      <c r="J440" s="40"/>
    </row>
    <row r="441" spans="1:10">
      <c r="A441" s="40"/>
      <c r="B441" s="40"/>
      <c r="C441" s="40"/>
      <c r="D441" s="40"/>
      <c r="E441" s="40"/>
      <c r="F441" s="40"/>
      <c r="G441" s="40"/>
      <c r="H441" s="40"/>
      <c r="I441" s="40"/>
      <c r="J441" s="40"/>
    </row>
    <row r="442" spans="1:10">
      <c r="A442" s="40"/>
      <c r="B442" s="40"/>
      <c r="C442" s="40"/>
      <c r="D442" s="40"/>
      <c r="E442" s="40"/>
      <c r="F442" s="40"/>
      <c r="G442" s="40"/>
      <c r="H442" s="40"/>
      <c r="I442" s="40"/>
      <c r="J442" s="40"/>
    </row>
    <row r="443" spans="1:10">
      <c r="A443" s="40"/>
      <c r="B443" s="40"/>
      <c r="C443" s="40"/>
      <c r="D443" s="40"/>
      <c r="E443" s="40"/>
      <c r="F443" s="40"/>
      <c r="G443" s="40"/>
      <c r="H443" s="40"/>
      <c r="I443" s="40"/>
      <c r="J443" s="40"/>
    </row>
    <row r="444" spans="1:10">
      <c r="A444" s="40"/>
      <c r="B444" s="40"/>
      <c r="C444" s="40"/>
      <c r="D444" s="40"/>
      <c r="E444" s="40"/>
      <c r="F444" s="40"/>
      <c r="G444" s="40"/>
      <c r="H444" s="40"/>
      <c r="I444" s="40"/>
      <c r="J444" s="40"/>
    </row>
    <row r="445" spans="1:10">
      <c r="A445" s="40"/>
      <c r="B445" s="40"/>
      <c r="C445" s="40"/>
      <c r="D445" s="40"/>
      <c r="E445" s="40"/>
      <c r="F445" s="40"/>
      <c r="G445" s="40"/>
      <c r="H445" s="40"/>
      <c r="I445" s="40"/>
      <c r="J445" s="40"/>
    </row>
    <row r="446" spans="1:10">
      <c r="A446" s="40"/>
      <c r="B446" s="40"/>
      <c r="C446" s="40"/>
      <c r="D446" s="40"/>
      <c r="E446" s="40"/>
      <c r="F446" s="40"/>
      <c r="G446" s="40"/>
      <c r="H446" s="40"/>
      <c r="I446" s="40"/>
      <c r="J446" s="40"/>
    </row>
    <row r="447" spans="1:10">
      <c r="A447" s="40"/>
      <c r="B447" s="40"/>
      <c r="C447" s="40"/>
      <c r="D447" s="40"/>
      <c r="E447" s="40"/>
      <c r="F447" s="40"/>
      <c r="G447" s="40"/>
      <c r="H447" s="40"/>
      <c r="I447" s="40"/>
      <c r="J447" s="40"/>
    </row>
    <row r="448" spans="1:10">
      <c r="A448" s="40"/>
      <c r="B448" s="40"/>
      <c r="C448" s="40"/>
      <c r="D448" s="40"/>
      <c r="E448" s="40"/>
      <c r="F448" s="40"/>
      <c r="G448" s="40"/>
      <c r="H448" s="40"/>
      <c r="I448" s="40"/>
      <c r="J448" s="40"/>
    </row>
    <row r="449" spans="1:10">
      <c r="A449" s="40"/>
      <c r="B449" s="40"/>
      <c r="C449" s="40"/>
      <c r="D449" s="40"/>
      <c r="E449" s="40"/>
      <c r="F449" s="40"/>
      <c r="G449" s="40"/>
      <c r="H449" s="40"/>
      <c r="I449" s="40"/>
      <c r="J449" s="40"/>
    </row>
    <row r="450" spans="1:10">
      <c r="A450" s="40"/>
      <c r="B450" s="40"/>
      <c r="C450" s="40"/>
      <c r="D450" s="40"/>
      <c r="E450" s="40"/>
      <c r="F450" s="40"/>
      <c r="G450" s="40"/>
      <c r="H450" s="40"/>
      <c r="I450" s="40"/>
      <c r="J450" s="40"/>
    </row>
    <row r="451" spans="1:10">
      <c r="A451" s="40"/>
      <c r="B451" s="40"/>
      <c r="C451" s="40"/>
      <c r="D451" s="40"/>
      <c r="E451" s="40"/>
      <c r="F451" s="40"/>
      <c r="G451" s="40"/>
      <c r="H451" s="40"/>
      <c r="I451" s="40"/>
      <c r="J451" s="40"/>
    </row>
    <row r="452" spans="1:10">
      <c r="A452" s="40"/>
      <c r="B452" s="40"/>
      <c r="C452" s="40"/>
      <c r="D452" s="40"/>
      <c r="E452" s="40"/>
      <c r="F452" s="40"/>
      <c r="G452" s="40"/>
      <c r="H452" s="40"/>
      <c r="I452" s="40"/>
      <c r="J452" s="40"/>
    </row>
    <row r="453" spans="1:10">
      <c r="A453" s="40"/>
      <c r="B453" s="40"/>
      <c r="C453" s="40"/>
      <c r="D453" s="40"/>
      <c r="E453" s="40"/>
      <c r="F453" s="40"/>
      <c r="G453" s="40"/>
      <c r="H453" s="40"/>
      <c r="I453" s="40"/>
      <c r="J453" s="40"/>
    </row>
    <row r="454" spans="1:10">
      <c r="A454" s="40"/>
      <c r="B454" s="40"/>
      <c r="C454" s="40"/>
      <c r="D454" s="40"/>
      <c r="E454" s="40"/>
      <c r="F454" s="40"/>
      <c r="G454" s="40"/>
      <c r="H454" s="40"/>
      <c r="I454" s="40"/>
      <c r="J454" s="40"/>
    </row>
    <row r="455" spans="1:10">
      <c r="A455" s="40"/>
      <c r="B455" s="40"/>
      <c r="C455" s="40"/>
      <c r="D455" s="40"/>
      <c r="E455" s="40"/>
      <c r="F455" s="40"/>
      <c r="G455" s="40"/>
      <c r="H455" s="40"/>
      <c r="I455" s="40"/>
      <c r="J455" s="40"/>
    </row>
    <row r="456" spans="1:10">
      <c r="A456" s="40"/>
      <c r="B456" s="40"/>
      <c r="C456" s="40"/>
      <c r="D456" s="40"/>
      <c r="E456" s="40"/>
      <c r="F456" s="40"/>
      <c r="G456" s="40"/>
      <c r="H456" s="40"/>
      <c r="I456" s="40"/>
      <c r="J456" s="40"/>
    </row>
    <row r="457" spans="1:10">
      <c r="A457" s="40"/>
      <c r="B457" s="40"/>
      <c r="C457" s="40"/>
      <c r="D457" s="40"/>
      <c r="E457" s="40"/>
      <c r="F457" s="40"/>
      <c r="G457" s="40"/>
      <c r="H457" s="40"/>
      <c r="I457" s="40"/>
      <c r="J457" s="40"/>
    </row>
    <row r="458" spans="1:10">
      <c r="A458" s="40"/>
      <c r="B458" s="40"/>
      <c r="C458" s="40"/>
      <c r="D458" s="40"/>
      <c r="E458" s="40"/>
      <c r="F458" s="40"/>
      <c r="G458" s="40"/>
      <c r="H458" s="40"/>
      <c r="I458" s="40"/>
      <c r="J458" s="40"/>
    </row>
    <row r="459" spans="1:10">
      <c r="A459" s="40"/>
      <c r="B459" s="40"/>
      <c r="C459" s="40"/>
      <c r="D459" s="40"/>
      <c r="E459" s="40"/>
      <c r="F459" s="40"/>
      <c r="G459" s="40"/>
      <c r="H459" s="40"/>
      <c r="I459" s="40"/>
      <c r="J459" s="40"/>
    </row>
    <row r="460" spans="1:10">
      <c r="A460" s="40"/>
      <c r="B460" s="40"/>
      <c r="C460" s="40"/>
      <c r="D460" s="40"/>
      <c r="E460" s="40"/>
      <c r="F460" s="40"/>
      <c r="G460" s="40"/>
      <c r="H460" s="40"/>
      <c r="I460" s="40"/>
      <c r="J460" s="40"/>
    </row>
    <row r="461" spans="1:10">
      <c r="A461" s="40"/>
      <c r="B461" s="40"/>
      <c r="C461" s="40"/>
      <c r="D461" s="40"/>
      <c r="E461" s="40"/>
      <c r="F461" s="40"/>
      <c r="G461" s="40"/>
      <c r="H461" s="40"/>
      <c r="I461" s="40"/>
      <c r="J461" s="40"/>
    </row>
    <row r="462" spans="1:10">
      <c r="A462" s="40"/>
      <c r="B462" s="40"/>
      <c r="C462" s="40"/>
      <c r="D462" s="40"/>
      <c r="E462" s="40"/>
      <c r="F462" s="40"/>
      <c r="G462" s="40"/>
      <c r="H462" s="40"/>
      <c r="I462" s="40"/>
      <c r="J462" s="40"/>
    </row>
    <row r="463" spans="1:10">
      <c r="A463" s="40"/>
      <c r="B463" s="40"/>
      <c r="C463" s="40"/>
      <c r="D463" s="40"/>
      <c r="E463" s="40"/>
      <c r="F463" s="40"/>
      <c r="G463" s="40"/>
      <c r="H463" s="40"/>
      <c r="I463" s="40"/>
      <c r="J463" s="40"/>
    </row>
    <row r="464" spans="1:10">
      <c r="A464" s="40"/>
      <c r="B464" s="40"/>
      <c r="C464" s="40"/>
      <c r="D464" s="40"/>
      <c r="E464" s="40"/>
      <c r="F464" s="40"/>
      <c r="G464" s="40"/>
      <c r="H464" s="40"/>
      <c r="I464" s="40"/>
      <c r="J464" s="40"/>
    </row>
    <row r="465" spans="1:10">
      <c r="A465" s="40"/>
      <c r="B465" s="40"/>
      <c r="C465" s="40"/>
      <c r="D465" s="40"/>
      <c r="E465" s="40"/>
      <c r="F465" s="40"/>
      <c r="G465" s="40"/>
      <c r="H465" s="40"/>
      <c r="I465" s="40"/>
      <c r="J465" s="40"/>
    </row>
    <row r="466" spans="1:10">
      <c r="A466" s="40"/>
      <c r="B466" s="40"/>
      <c r="C466" s="40"/>
      <c r="D466" s="40"/>
      <c r="E466" s="40"/>
      <c r="F466" s="40"/>
      <c r="G466" s="40"/>
      <c r="H466" s="40"/>
      <c r="I466" s="40"/>
      <c r="J466" s="40"/>
    </row>
    <row r="467" spans="1:10">
      <c r="A467" s="40"/>
      <c r="B467" s="40"/>
      <c r="C467" s="40"/>
      <c r="D467" s="40"/>
      <c r="E467" s="40"/>
      <c r="F467" s="40"/>
      <c r="G467" s="40"/>
      <c r="H467" s="40"/>
      <c r="I467" s="40"/>
      <c r="J467" s="40"/>
    </row>
    <row r="468" spans="1:10">
      <c r="A468" s="40"/>
      <c r="B468" s="40"/>
      <c r="C468" s="40"/>
      <c r="D468" s="40"/>
      <c r="E468" s="40"/>
      <c r="F468" s="40"/>
      <c r="G468" s="40"/>
      <c r="H468" s="40"/>
      <c r="I468" s="40"/>
      <c r="J468" s="40"/>
    </row>
    <row r="469" spans="1:10">
      <c r="A469" s="40"/>
      <c r="B469" s="40"/>
      <c r="C469" s="40"/>
      <c r="D469" s="40"/>
      <c r="E469" s="40"/>
      <c r="F469" s="40"/>
      <c r="G469" s="40"/>
      <c r="H469" s="40"/>
      <c r="I469" s="40"/>
      <c r="J469" s="40"/>
    </row>
    <row r="470" spans="1:10">
      <c r="A470" s="40"/>
      <c r="B470" s="40"/>
      <c r="C470" s="40"/>
      <c r="D470" s="40"/>
      <c r="E470" s="40"/>
      <c r="F470" s="40"/>
      <c r="G470" s="40"/>
      <c r="H470" s="40"/>
      <c r="I470" s="40"/>
      <c r="J470" s="40"/>
    </row>
    <row r="471" spans="1:10">
      <c r="A471" s="40"/>
      <c r="B471" s="40"/>
      <c r="C471" s="40"/>
      <c r="D471" s="40"/>
      <c r="E471" s="40"/>
      <c r="F471" s="40"/>
      <c r="G471" s="40"/>
      <c r="H471" s="40"/>
      <c r="I471" s="40"/>
      <c r="J471" s="40"/>
    </row>
    <row r="472" spans="1:10">
      <c r="A472" s="40"/>
      <c r="B472" s="40"/>
      <c r="C472" s="40"/>
      <c r="D472" s="40"/>
      <c r="E472" s="40"/>
      <c r="F472" s="40"/>
      <c r="G472" s="40"/>
      <c r="H472" s="40"/>
      <c r="I472" s="40"/>
      <c r="J472" s="40"/>
    </row>
    <row r="473" spans="1:10">
      <c r="A473" s="40"/>
      <c r="B473" s="40"/>
      <c r="C473" s="40"/>
      <c r="D473" s="40"/>
      <c r="E473" s="40"/>
      <c r="F473" s="40"/>
      <c r="G473" s="40"/>
      <c r="H473" s="40"/>
      <c r="I473" s="40"/>
      <c r="J473" s="40"/>
    </row>
    <row r="474" spans="1:10">
      <c r="A474" s="40"/>
      <c r="B474" s="40"/>
      <c r="C474" s="40"/>
      <c r="D474" s="40"/>
      <c r="E474" s="40"/>
      <c r="F474" s="40"/>
      <c r="G474" s="40"/>
      <c r="H474" s="40"/>
      <c r="I474" s="40"/>
      <c r="J474" s="40"/>
    </row>
    <row r="475" spans="1:10">
      <c r="A475" s="40"/>
      <c r="B475" s="40"/>
      <c r="C475" s="40"/>
      <c r="D475" s="40"/>
      <c r="E475" s="40"/>
      <c r="F475" s="40"/>
      <c r="G475" s="40"/>
      <c r="H475" s="40"/>
      <c r="I475" s="40"/>
      <c r="J475" s="40"/>
    </row>
    <row r="476" spans="1:10">
      <c r="A476" s="40"/>
      <c r="B476" s="40"/>
      <c r="C476" s="40"/>
      <c r="D476" s="40"/>
      <c r="E476" s="40"/>
      <c r="F476" s="40"/>
      <c r="G476" s="40"/>
      <c r="H476" s="40"/>
      <c r="I476" s="40"/>
      <c r="J476" s="40"/>
    </row>
    <row r="477" spans="1:10">
      <c r="A477" s="40"/>
      <c r="B477" s="40"/>
      <c r="C477" s="40"/>
      <c r="D477" s="40"/>
      <c r="E477" s="40"/>
      <c r="F477" s="40"/>
      <c r="G477" s="40"/>
      <c r="H477" s="40"/>
      <c r="I477" s="40"/>
      <c r="J477" s="40"/>
    </row>
    <row r="478" spans="1:10">
      <c r="A478" s="40"/>
      <c r="B478" s="40"/>
      <c r="C478" s="40"/>
      <c r="D478" s="40"/>
      <c r="E478" s="40"/>
      <c r="F478" s="40"/>
      <c r="G478" s="40"/>
      <c r="H478" s="40"/>
      <c r="I478" s="40"/>
      <c r="J478" s="40"/>
    </row>
    <row r="479" spans="1:10">
      <c r="A479" s="40"/>
      <c r="B479" s="40"/>
      <c r="C479" s="40"/>
      <c r="D479" s="40"/>
      <c r="E479" s="40"/>
      <c r="F479" s="40"/>
      <c r="G479" s="40"/>
      <c r="H479" s="40"/>
      <c r="I479" s="40"/>
      <c r="J479" s="40"/>
    </row>
    <row r="480" spans="1:10">
      <c r="A480" s="40"/>
      <c r="B480" s="40"/>
      <c r="C480" s="40"/>
      <c r="D480" s="40"/>
      <c r="E480" s="40"/>
      <c r="F480" s="40"/>
      <c r="G480" s="40"/>
      <c r="H480" s="40"/>
      <c r="I480" s="40"/>
      <c r="J480" s="40"/>
    </row>
    <row r="481" spans="1:10">
      <c r="A481" s="40"/>
      <c r="B481" s="40"/>
      <c r="C481" s="40"/>
      <c r="D481" s="40"/>
      <c r="E481" s="40"/>
      <c r="F481" s="40"/>
      <c r="G481" s="40"/>
      <c r="H481" s="40"/>
      <c r="I481" s="40"/>
      <c r="J481" s="40"/>
    </row>
    <row r="482" spans="1:10">
      <c r="A482" s="40"/>
      <c r="B482" s="40"/>
      <c r="C482" s="40"/>
      <c r="D482" s="40"/>
      <c r="E482" s="40"/>
      <c r="F482" s="40"/>
      <c r="G482" s="40"/>
      <c r="H482" s="40"/>
      <c r="I482" s="40"/>
      <c r="J482" s="40"/>
    </row>
    <row r="483" spans="1:10">
      <c r="A483" s="40"/>
      <c r="B483" s="40"/>
      <c r="C483" s="40"/>
      <c r="D483" s="40"/>
      <c r="E483" s="40"/>
      <c r="F483" s="40"/>
      <c r="G483" s="40"/>
      <c r="H483" s="40"/>
      <c r="I483" s="40"/>
      <c r="J483" s="40"/>
    </row>
    <row r="484" spans="1:10">
      <c r="A484" s="40"/>
      <c r="B484" s="40"/>
      <c r="C484" s="40"/>
      <c r="D484" s="40"/>
      <c r="E484" s="40"/>
      <c r="F484" s="40"/>
      <c r="G484" s="40"/>
      <c r="H484" s="40"/>
      <c r="I484" s="40"/>
      <c r="J484" s="40"/>
    </row>
    <row r="485" spans="1:10">
      <c r="A485" s="40"/>
      <c r="B485" s="40"/>
      <c r="C485" s="40"/>
      <c r="D485" s="40"/>
      <c r="E485" s="40"/>
      <c r="F485" s="40"/>
      <c r="G485" s="40"/>
      <c r="H485" s="40"/>
      <c r="I485" s="40"/>
      <c r="J485" s="40"/>
    </row>
    <row r="486" spans="1:10">
      <c r="A486" s="40"/>
      <c r="B486" s="40"/>
      <c r="C486" s="40"/>
      <c r="D486" s="40"/>
      <c r="E486" s="40"/>
      <c r="F486" s="40"/>
      <c r="G486" s="40"/>
      <c r="H486" s="40"/>
      <c r="I486" s="40"/>
      <c r="J486" s="40"/>
    </row>
    <row r="487" spans="1:10">
      <c r="A487" s="40"/>
      <c r="B487" s="40"/>
      <c r="C487" s="40"/>
      <c r="D487" s="40"/>
      <c r="E487" s="40"/>
      <c r="F487" s="40"/>
      <c r="G487" s="40"/>
      <c r="H487" s="40"/>
      <c r="I487" s="40"/>
      <c r="J487" s="40"/>
    </row>
    <row r="488" spans="1:10">
      <c r="A488" s="40"/>
      <c r="B488" s="40"/>
      <c r="C488" s="40"/>
      <c r="D488" s="40"/>
      <c r="E488" s="40"/>
      <c r="F488" s="40"/>
      <c r="G488" s="40"/>
      <c r="H488" s="40"/>
      <c r="I488" s="40"/>
      <c r="J488" s="40"/>
    </row>
    <row r="489" spans="1:10">
      <c r="A489" s="40"/>
      <c r="B489" s="40"/>
      <c r="C489" s="40"/>
      <c r="D489" s="40"/>
      <c r="E489" s="40"/>
      <c r="F489" s="40"/>
      <c r="G489" s="40"/>
      <c r="H489" s="40"/>
      <c r="I489" s="40"/>
      <c r="J489" s="40"/>
    </row>
    <row r="490" spans="1:10">
      <c r="A490" s="40"/>
      <c r="B490" s="40"/>
      <c r="C490" s="40"/>
      <c r="D490" s="40"/>
      <c r="E490" s="40"/>
      <c r="F490" s="40"/>
      <c r="G490" s="40"/>
      <c r="H490" s="40"/>
      <c r="I490" s="40"/>
      <c r="J490" s="40"/>
    </row>
    <row r="491" spans="1:10">
      <c r="A491" s="40"/>
      <c r="B491" s="40"/>
      <c r="C491" s="40"/>
      <c r="D491" s="40"/>
      <c r="E491" s="40"/>
      <c r="F491" s="40"/>
      <c r="G491" s="40"/>
      <c r="H491" s="40"/>
      <c r="I491" s="40"/>
      <c r="J491" s="40"/>
    </row>
    <row r="492" spans="1:10">
      <c r="A492" s="40"/>
      <c r="B492" s="40"/>
      <c r="C492" s="40"/>
      <c r="D492" s="40"/>
      <c r="E492" s="40"/>
      <c r="F492" s="40"/>
      <c r="G492" s="40"/>
      <c r="H492" s="40"/>
      <c r="I492" s="40"/>
      <c r="J492" s="40"/>
    </row>
    <row r="493" spans="1:10">
      <c r="A493" s="40"/>
      <c r="B493" s="40"/>
      <c r="C493" s="40"/>
      <c r="D493" s="40"/>
      <c r="E493" s="40"/>
      <c r="F493" s="40"/>
      <c r="G493" s="40"/>
      <c r="H493" s="40"/>
      <c r="I493" s="40"/>
      <c r="J493" s="40"/>
    </row>
    <row r="494" spans="1:10">
      <c r="A494" s="40"/>
      <c r="B494" s="40"/>
      <c r="C494" s="40"/>
      <c r="D494" s="40"/>
      <c r="E494" s="40"/>
      <c r="F494" s="40"/>
      <c r="G494" s="40"/>
      <c r="H494" s="40"/>
      <c r="I494" s="40"/>
      <c r="J494" s="40"/>
    </row>
    <row r="495" spans="1:10">
      <c r="A495" s="40"/>
      <c r="B495" s="40"/>
      <c r="C495" s="40"/>
      <c r="D495" s="40"/>
      <c r="E495" s="40"/>
      <c r="F495" s="40"/>
      <c r="G495" s="40"/>
      <c r="H495" s="40"/>
      <c r="I495" s="40"/>
      <c r="J495" s="40"/>
    </row>
    <row r="496" spans="1:10">
      <c r="A496" s="40"/>
      <c r="B496" s="40"/>
      <c r="C496" s="40"/>
      <c r="D496" s="40"/>
      <c r="E496" s="40"/>
      <c r="F496" s="40"/>
      <c r="G496" s="40"/>
      <c r="H496" s="40"/>
      <c r="I496" s="40"/>
      <c r="J496" s="40"/>
    </row>
    <row r="497" spans="1:10">
      <c r="A497" s="40"/>
      <c r="B497" s="40"/>
      <c r="C497" s="40"/>
      <c r="D497" s="40"/>
      <c r="E497" s="40"/>
      <c r="F497" s="40"/>
      <c r="G497" s="40"/>
      <c r="H497" s="40"/>
      <c r="I497" s="40"/>
      <c r="J497" s="40"/>
    </row>
    <row r="498" spans="1:10">
      <c r="A498" s="40"/>
      <c r="B498" s="40"/>
      <c r="C498" s="40"/>
      <c r="D498" s="40"/>
      <c r="E498" s="40"/>
      <c r="F498" s="40"/>
      <c r="G498" s="40"/>
      <c r="H498" s="40"/>
      <c r="I498" s="40"/>
      <c r="J498" s="40"/>
    </row>
    <row r="499" spans="1:10">
      <c r="A499" s="40"/>
      <c r="B499" s="40"/>
      <c r="C499" s="40"/>
      <c r="D499" s="40"/>
      <c r="E499" s="40"/>
      <c r="F499" s="40"/>
      <c r="G499" s="40"/>
      <c r="H499" s="40"/>
      <c r="I499" s="40"/>
      <c r="J499" s="40"/>
    </row>
    <row r="500" spans="1:10">
      <c r="A500" s="40"/>
      <c r="B500" s="40"/>
      <c r="C500" s="40"/>
      <c r="D500" s="40"/>
      <c r="E500" s="40"/>
      <c r="F500" s="40"/>
      <c r="G500" s="40"/>
      <c r="H500" s="40"/>
      <c r="I500" s="40"/>
      <c r="J500" s="40"/>
    </row>
    <row r="501" spans="1:10">
      <c r="A501" s="40"/>
      <c r="B501" s="40"/>
      <c r="C501" s="40"/>
      <c r="D501" s="40"/>
      <c r="E501" s="40"/>
      <c r="F501" s="40"/>
      <c r="G501" s="40"/>
      <c r="H501" s="40"/>
      <c r="I501" s="40"/>
      <c r="J501" s="40"/>
    </row>
    <row r="502" spans="1:10">
      <c r="A502" s="40"/>
      <c r="B502" s="40"/>
      <c r="C502" s="40"/>
      <c r="D502" s="40"/>
      <c r="E502" s="40"/>
      <c r="F502" s="40"/>
      <c r="G502" s="40"/>
      <c r="H502" s="40"/>
      <c r="I502" s="40"/>
      <c r="J502" s="40"/>
    </row>
    <row r="503" spans="1:10">
      <c r="A503" s="40"/>
      <c r="B503" s="40"/>
      <c r="C503" s="40"/>
      <c r="D503" s="40"/>
      <c r="E503" s="40"/>
      <c r="F503" s="40"/>
      <c r="G503" s="40"/>
      <c r="H503" s="40"/>
      <c r="I503" s="40"/>
      <c r="J503" s="40"/>
    </row>
    <row r="504" spans="1:10">
      <c r="A504" s="40"/>
      <c r="B504" s="40"/>
      <c r="C504" s="40"/>
      <c r="D504" s="40"/>
      <c r="E504" s="40"/>
      <c r="F504" s="40"/>
      <c r="G504" s="40"/>
      <c r="H504" s="40"/>
      <c r="I504" s="40"/>
      <c r="J504" s="40"/>
    </row>
    <row r="505" spans="1:10">
      <c r="A505" s="40"/>
      <c r="B505" s="40"/>
      <c r="C505" s="40"/>
      <c r="D505" s="40"/>
      <c r="E505" s="40"/>
      <c r="F505" s="40"/>
      <c r="G505" s="40"/>
      <c r="H505" s="40"/>
      <c r="I505" s="40"/>
      <c r="J505" s="40"/>
    </row>
    <row r="506" spans="1:10">
      <c r="A506" s="40"/>
      <c r="B506" s="40"/>
      <c r="C506" s="40"/>
      <c r="D506" s="40"/>
      <c r="E506" s="40"/>
      <c r="F506" s="40"/>
      <c r="G506" s="40"/>
      <c r="H506" s="40"/>
      <c r="I506" s="40"/>
      <c r="J506" s="40"/>
    </row>
    <row r="507" spans="1:10">
      <c r="A507" s="40"/>
      <c r="B507" s="40"/>
      <c r="C507" s="40"/>
      <c r="D507" s="40"/>
      <c r="E507" s="40"/>
      <c r="F507" s="40"/>
      <c r="G507" s="40"/>
      <c r="H507" s="40"/>
      <c r="I507" s="40"/>
      <c r="J507" s="40"/>
    </row>
    <row r="508" spans="1:10">
      <c r="A508" s="40"/>
      <c r="B508" s="40"/>
      <c r="C508" s="40"/>
      <c r="D508" s="40"/>
      <c r="E508" s="40"/>
      <c r="F508" s="40"/>
      <c r="G508" s="40"/>
      <c r="H508" s="40"/>
      <c r="I508" s="40"/>
      <c r="J508" s="40"/>
    </row>
    <row r="509" spans="1:10">
      <c r="A509" s="40"/>
      <c r="B509" s="40"/>
      <c r="C509" s="40"/>
      <c r="D509" s="40"/>
      <c r="E509" s="40"/>
      <c r="F509" s="40"/>
      <c r="G509" s="40"/>
      <c r="H509" s="40"/>
      <c r="I509" s="40"/>
      <c r="J509" s="40"/>
    </row>
    <row r="510" spans="1:10">
      <c r="A510" s="40"/>
      <c r="B510" s="40"/>
      <c r="C510" s="40"/>
      <c r="D510" s="40"/>
      <c r="E510" s="40"/>
      <c r="F510" s="40"/>
      <c r="G510" s="40"/>
      <c r="H510" s="40"/>
      <c r="I510" s="40"/>
      <c r="J510" s="40"/>
    </row>
    <row r="511" spans="1:10">
      <c r="A511" s="40"/>
      <c r="B511" s="40"/>
      <c r="C511" s="40"/>
      <c r="D511" s="40"/>
      <c r="E511" s="40"/>
      <c r="F511" s="40"/>
      <c r="G511" s="40"/>
      <c r="H511" s="40"/>
      <c r="I511" s="40"/>
      <c r="J511" s="40"/>
    </row>
    <row r="512" spans="1:10">
      <c r="A512" s="40"/>
      <c r="B512" s="40"/>
      <c r="C512" s="40"/>
      <c r="D512" s="40"/>
      <c r="E512" s="40"/>
      <c r="F512" s="40"/>
      <c r="G512" s="40"/>
      <c r="H512" s="40"/>
      <c r="I512" s="40"/>
      <c r="J512" s="40"/>
    </row>
    <row r="513" spans="1:10">
      <c r="A513" s="40"/>
      <c r="B513" s="40"/>
      <c r="C513" s="40"/>
      <c r="D513" s="40"/>
      <c r="E513" s="40"/>
      <c r="F513" s="40"/>
      <c r="G513" s="40"/>
      <c r="H513" s="40"/>
      <c r="I513" s="40"/>
      <c r="J513" s="40"/>
    </row>
    <row r="514" spans="1:10">
      <c r="A514" s="40"/>
      <c r="B514" s="40"/>
      <c r="C514" s="40"/>
      <c r="D514" s="40"/>
      <c r="E514" s="40"/>
      <c r="F514" s="40"/>
      <c r="G514" s="40"/>
      <c r="H514" s="40"/>
      <c r="I514" s="40"/>
      <c r="J514" s="40"/>
    </row>
    <row r="515" spans="1:10">
      <c r="A515" s="40"/>
      <c r="B515" s="40"/>
      <c r="C515" s="40"/>
      <c r="D515" s="40"/>
      <c r="E515" s="40"/>
      <c r="F515" s="40"/>
      <c r="G515" s="40"/>
      <c r="H515" s="40"/>
      <c r="I515" s="40"/>
      <c r="J515" s="40"/>
    </row>
    <row r="516" spans="1:10">
      <c r="A516" s="40"/>
      <c r="B516" s="40"/>
      <c r="C516" s="40"/>
      <c r="D516" s="40"/>
      <c r="E516" s="40"/>
      <c r="F516" s="40"/>
      <c r="G516" s="40"/>
      <c r="H516" s="40"/>
      <c r="I516" s="40"/>
      <c r="J516" s="40"/>
    </row>
    <row r="517" spans="1:10">
      <c r="A517" s="40"/>
      <c r="B517" s="40"/>
      <c r="C517" s="40"/>
      <c r="D517" s="40"/>
      <c r="E517" s="40"/>
      <c r="F517" s="40"/>
      <c r="G517" s="40"/>
      <c r="H517" s="40"/>
      <c r="I517" s="40"/>
      <c r="J517" s="40"/>
    </row>
    <row r="518" spans="1:10">
      <c r="A518" s="40"/>
      <c r="B518" s="40"/>
      <c r="C518" s="40"/>
      <c r="D518" s="40"/>
      <c r="E518" s="40"/>
      <c r="F518" s="40"/>
      <c r="G518" s="40"/>
      <c r="H518" s="40"/>
      <c r="I518" s="40"/>
      <c r="J518" s="40"/>
    </row>
    <row r="519" spans="1:10">
      <c r="A519" s="40"/>
      <c r="B519" s="40"/>
      <c r="C519" s="40"/>
      <c r="D519" s="40"/>
      <c r="E519" s="40"/>
      <c r="F519" s="40"/>
      <c r="G519" s="40"/>
      <c r="H519" s="40"/>
      <c r="I519" s="40"/>
      <c r="J519" s="40"/>
    </row>
    <row r="520" spans="1:10">
      <c r="A520" s="40"/>
      <c r="B520" s="40"/>
      <c r="C520" s="40"/>
      <c r="D520" s="40"/>
      <c r="E520" s="40"/>
      <c r="F520" s="40"/>
      <c r="G520" s="40"/>
      <c r="H520" s="40"/>
      <c r="I520" s="40"/>
      <c r="J520" s="40"/>
    </row>
    <row r="521" spans="1:10">
      <c r="A521" s="40"/>
      <c r="B521" s="40"/>
      <c r="C521" s="40"/>
      <c r="D521" s="40"/>
      <c r="E521" s="40"/>
      <c r="F521" s="40"/>
      <c r="G521" s="40"/>
      <c r="H521" s="40"/>
      <c r="I521" s="40"/>
      <c r="J521" s="40"/>
    </row>
    <row r="522" spans="1:10">
      <c r="A522" s="40"/>
      <c r="B522" s="40"/>
      <c r="C522" s="40"/>
      <c r="D522" s="40"/>
      <c r="E522" s="40"/>
      <c r="F522" s="40"/>
      <c r="G522" s="40"/>
      <c r="H522" s="40"/>
      <c r="I522" s="40"/>
      <c r="J522" s="40"/>
    </row>
    <row r="523" spans="1:10">
      <c r="A523" s="40"/>
      <c r="B523" s="40"/>
      <c r="C523" s="40"/>
      <c r="D523" s="40"/>
      <c r="E523" s="40"/>
      <c r="F523" s="40"/>
      <c r="G523" s="40"/>
      <c r="H523" s="40"/>
      <c r="I523" s="40"/>
      <c r="J523" s="40"/>
    </row>
    <row r="524" spans="1:10">
      <c r="A524" s="40"/>
      <c r="B524" s="40"/>
      <c r="C524" s="40"/>
      <c r="D524" s="40"/>
      <c r="E524" s="40"/>
      <c r="F524" s="40"/>
      <c r="G524" s="40"/>
      <c r="H524" s="40"/>
      <c r="I524" s="40"/>
      <c r="J524" s="40"/>
    </row>
    <row r="525" spans="1:10">
      <c r="A525" s="40"/>
      <c r="B525" s="40"/>
      <c r="C525" s="40"/>
      <c r="D525" s="40"/>
      <c r="E525" s="40"/>
      <c r="F525" s="40"/>
      <c r="G525" s="40"/>
      <c r="H525" s="40"/>
      <c r="I525" s="40"/>
      <c r="J525" s="40"/>
    </row>
    <row r="526" spans="1:10">
      <c r="A526" s="40"/>
      <c r="B526" s="40"/>
      <c r="C526" s="40"/>
      <c r="D526" s="40"/>
      <c r="E526" s="40"/>
      <c r="F526" s="40"/>
      <c r="G526" s="40"/>
      <c r="H526" s="40"/>
      <c r="I526" s="40"/>
      <c r="J526" s="40"/>
    </row>
    <row r="527" spans="1:10">
      <c r="A527" s="40"/>
      <c r="B527" s="40"/>
      <c r="C527" s="40"/>
      <c r="D527" s="40"/>
      <c r="E527" s="40"/>
      <c r="F527" s="40"/>
      <c r="G527" s="40"/>
      <c r="H527" s="40"/>
      <c r="I527" s="40"/>
      <c r="J527" s="40"/>
    </row>
    <row r="528" spans="1:10">
      <c r="A528" s="40"/>
      <c r="B528" s="40"/>
      <c r="C528" s="40"/>
      <c r="D528" s="40"/>
      <c r="E528" s="40"/>
      <c r="F528" s="40"/>
      <c r="G528" s="40"/>
      <c r="H528" s="40"/>
      <c r="I528" s="40"/>
      <c r="J528" s="40"/>
    </row>
    <row r="529" spans="1:10">
      <c r="A529" s="40"/>
      <c r="B529" s="40"/>
      <c r="C529" s="40"/>
      <c r="D529" s="40"/>
      <c r="E529" s="40"/>
      <c r="F529" s="40"/>
      <c r="G529" s="40"/>
      <c r="H529" s="40"/>
      <c r="I529" s="40"/>
      <c r="J529" s="40"/>
    </row>
    <row r="530" spans="1:10">
      <c r="A530" s="40"/>
      <c r="B530" s="40"/>
      <c r="C530" s="40"/>
      <c r="D530" s="40"/>
      <c r="E530" s="40"/>
      <c r="F530" s="40"/>
      <c r="G530" s="40"/>
      <c r="H530" s="40"/>
      <c r="I530" s="40"/>
      <c r="J530" s="40"/>
    </row>
    <row r="531" spans="1:10">
      <c r="A531" s="40"/>
      <c r="B531" s="40"/>
      <c r="C531" s="40"/>
      <c r="D531" s="40"/>
      <c r="E531" s="40"/>
      <c r="F531" s="40"/>
      <c r="G531" s="40"/>
      <c r="H531" s="40"/>
      <c r="I531" s="40"/>
      <c r="J531" s="40"/>
    </row>
    <row r="532" spans="1:10">
      <c r="A532" s="40"/>
      <c r="B532" s="40"/>
      <c r="C532" s="40"/>
      <c r="D532" s="40"/>
      <c r="E532" s="40"/>
      <c r="F532" s="40"/>
      <c r="G532" s="40"/>
      <c r="H532" s="40"/>
      <c r="I532" s="40"/>
      <c r="J532" s="40"/>
    </row>
    <row r="533" spans="1:10">
      <c r="A533" s="40"/>
      <c r="B533" s="40"/>
      <c r="C533" s="40"/>
      <c r="D533" s="40"/>
      <c r="E533" s="40"/>
      <c r="F533" s="40"/>
      <c r="G533" s="40"/>
      <c r="H533" s="40"/>
      <c r="I533" s="40"/>
      <c r="J533" s="40"/>
    </row>
    <row r="534" spans="1:10">
      <c r="A534" s="40"/>
      <c r="B534" s="40"/>
      <c r="C534" s="40"/>
      <c r="D534" s="40"/>
      <c r="E534" s="40"/>
      <c r="F534" s="40"/>
      <c r="G534" s="40"/>
      <c r="H534" s="40"/>
      <c r="I534" s="40"/>
      <c r="J534" s="40"/>
    </row>
    <row r="535" spans="1:10">
      <c r="A535" s="40"/>
      <c r="B535" s="40"/>
      <c r="C535" s="40"/>
      <c r="D535" s="40"/>
      <c r="E535" s="40"/>
      <c r="F535" s="40"/>
      <c r="G535" s="40"/>
      <c r="H535" s="40"/>
      <c r="I535" s="40"/>
      <c r="J535" s="40"/>
    </row>
    <row r="536" spans="1:10">
      <c r="A536" s="40"/>
      <c r="B536" s="40"/>
      <c r="C536" s="40"/>
      <c r="D536" s="40"/>
      <c r="E536" s="40"/>
      <c r="F536" s="40"/>
      <c r="G536" s="40"/>
      <c r="H536" s="40"/>
      <c r="I536" s="40"/>
      <c r="J536" s="40"/>
    </row>
    <row r="537" spans="1:10">
      <c r="A537" s="40"/>
      <c r="B537" s="40"/>
      <c r="C537" s="40"/>
      <c r="D537" s="40"/>
      <c r="E537" s="40"/>
      <c r="F537" s="40"/>
      <c r="G537" s="40"/>
      <c r="H537" s="40"/>
      <c r="I537" s="40"/>
      <c r="J537" s="40"/>
    </row>
    <row r="538" spans="1:10">
      <c r="A538" s="40"/>
      <c r="B538" s="40"/>
      <c r="C538" s="40"/>
      <c r="D538" s="40"/>
      <c r="E538" s="40"/>
      <c r="F538" s="40"/>
      <c r="G538" s="40"/>
      <c r="H538" s="40"/>
      <c r="I538" s="40"/>
      <c r="J538" s="40"/>
    </row>
    <row r="539" spans="1:10">
      <c r="A539" s="40"/>
      <c r="B539" s="40"/>
      <c r="C539" s="40"/>
      <c r="D539" s="40"/>
      <c r="E539" s="40"/>
      <c r="F539" s="40"/>
      <c r="G539" s="40"/>
      <c r="H539" s="40"/>
      <c r="I539" s="40"/>
      <c r="J539" s="40"/>
    </row>
    <row r="540" spans="1:10">
      <c r="A540" s="40"/>
      <c r="B540" s="40"/>
      <c r="C540" s="40"/>
      <c r="D540" s="40"/>
      <c r="E540" s="40"/>
      <c r="F540" s="40"/>
      <c r="G540" s="40"/>
      <c r="H540" s="40"/>
      <c r="I540" s="40"/>
      <c r="J540" s="40"/>
    </row>
    <row r="541" spans="1:10">
      <c r="A541" s="40"/>
      <c r="B541" s="40"/>
      <c r="C541" s="40"/>
      <c r="D541" s="40"/>
      <c r="E541" s="40"/>
      <c r="F541" s="40"/>
      <c r="G541" s="40"/>
      <c r="H541" s="40"/>
      <c r="I541" s="40"/>
      <c r="J541" s="40"/>
    </row>
    <row r="542" spans="1:10">
      <c r="A542" s="40"/>
      <c r="B542" s="40"/>
      <c r="C542" s="40"/>
      <c r="D542" s="40"/>
      <c r="E542" s="40"/>
      <c r="F542" s="40"/>
      <c r="G542" s="40"/>
      <c r="H542" s="40"/>
      <c r="I542" s="40"/>
      <c r="J542" s="40"/>
    </row>
    <row r="543" spans="1:10">
      <c r="A543" s="40"/>
      <c r="B543" s="40"/>
      <c r="C543" s="40"/>
      <c r="D543" s="40"/>
      <c r="E543" s="40"/>
      <c r="F543" s="40"/>
      <c r="G543" s="40"/>
      <c r="H543" s="40"/>
      <c r="I543" s="40"/>
      <c r="J543" s="40"/>
    </row>
    <row r="544" spans="1:10">
      <c r="A544" s="40"/>
      <c r="B544" s="40"/>
      <c r="C544" s="40"/>
      <c r="D544" s="40"/>
      <c r="E544" s="40"/>
      <c r="F544" s="40"/>
      <c r="G544" s="40"/>
      <c r="H544" s="40"/>
      <c r="I544" s="40"/>
      <c r="J544" s="40"/>
    </row>
    <row r="545" spans="1:10">
      <c r="A545" s="40"/>
      <c r="B545" s="40"/>
      <c r="C545" s="40"/>
      <c r="D545" s="40"/>
      <c r="E545" s="40"/>
      <c r="F545" s="40"/>
      <c r="G545" s="40"/>
      <c r="H545" s="40"/>
      <c r="I545" s="40"/>
      <c r="J545" s="40"/>
    </row>
    <row r="546" spans="1:10">
      <c r="A546" s="40"/>
      <c r="B546" s="40"/>
      <c r="C546" s="40"/>
      <c r="D546" s="40"/>
      <c r="E546" s="40"/>
      <c r="F546" s="40"/>
      <c r="G546" s="40"/>
      <c r="H546" s="40"/>
      <c r="I546" s="40"/>
      <c r="J546" s="40"/>
    </row>
    <row r="547" spans="1:10">
      <c r="A547" s="40"/>
      <c r="B547" s="40"/>
      <c r="C547" s="40"/>
      <c r="D547" s="40"/>
      <c r="E547" s="40"/>
      <c r="F547" s="40"/>
      <c r="G547" s="40"/>
      <c r="H547" s="40"/>
      <c r="I547" s="40"/>
      <c r="J547" s="40"/>
    </row>
    <row r="548" spans="1:10">
      <c r="A548" s="40"/>
      <c r="B548" s="40"/>
      <c r="C548" s="40"/>
      <c r="D548" s="40"/>
      <c r="E548" s="40"/>
      <c r="F548" s="40"/>
      <c r="G548" s="40"/>
      <c r="H548" s="40"/>
      <c r="I548" s="40"/>
      <c r="J548" s="40"/>
    </row>
    <row r="549" spans="1:10">
      <c r="A549" s="40"/>
      <c r="B549" s="40"/>
      <c r="C549" s="40"/>
      <c r="D549" s="40"/>
      <c r="E549" s="40"/>
      <c r="F549" s="40"/>
      <c r="G549" s="40"/>
      <c r="H549" s="40"/>
      <c r="I549" s="40"/>
      <c r="J549" s="40"/>
    </row>
    <row r="550" spans="1:10">
      <c r="A550" s="40"/>
      <c r="B550" s="40"/>
      <c r="C550" s="40"/>
      <c r="D550" s="40"/>
      <c r="E550" s="40"/>
      <c r="F550" s="40"/>
      <c r="G550" s="40"/>
      <c r="H550" s="40"/>
      <c r="I550" s="40"/>
      <c r="J550" s="40"/>
    </row>
    <row r="551" spans="1:10">
      <c r="A551" s="40"/>
      <c r="B551" s="40"/>
      <c r="C551" s="40"/>
      <c r="D551" s="40"/>
      <c r="E551" s="40"/>
      <c r="F551" s="40"/>
      <c r="G551" s="40"/>
      <c r="H551" s="40"/>
      <c r="I551" s="40"/>
      <c r="J551" s="40"/>
    </row>
    <row r="552" spans="1:10">
      <c r="A552" s="40"/>
      <c r="B552" s="40"/>
      <c r="C552" s="40"/>
      <c r="D552" s="40"/>
      <c r="E552" s="40"/>
      <c r="F552" s="40"/>
      <c r="G552" s="40"/>
      <c r="H552" s="40"/>
      <c r="I552" s="40"/>
      <c r="J552" s="40"/>
    </row>
    <row r="553" spans="1:10">
      <c r="A553" s="40"/>
      <c r="B553" s="40"/>
      <c r="C553" s="40"/>
      <c r="D553" s="40"/>
      <c r="E553" s="40"/>
      <c r="F553" s="40"/>
      <c r="G553" s="40"/>
      <c r="H553" s="40"/>
      <c r="I553" s="40"/>
      <c r="J553" s="40"/>
    </row>
    <row r="554" spans="1:10">
      <c r="A554" s="40"/>
      <c r="B554" s="40"/>
      <c r="C554" s="40"/>
      <c r="D554" s="40"/>
      <c r="E554" s="40"/>
      <c r="F554" s="40"/>
      <c r="G554" s="40"/>
      <c r="H554" s="40"/>
      <c r="I554" s="40"/>
      <c r="J554" s="40"/>
    </row>
    <row r="555" spans="1:10">
      <c r="A555" s="40"/>
      <c r="B555" s="40"/>
      <c r="C555" s="40"/>
      <c r="D555" s="40"/>
      <c r="E555" s="40"/>
      <c r="F555" s="40"/>
      <c r="G555" s="40"/>
      <c r="H555" s="40"/>
      <c r="I555" s="40"/>
      <c r="J555" s="40"/>
    </row>
    <row r="556" spans="1:10">
      <c r="A556" s="40"/>
      <c r="B556" s="40"/>
      <c r="C556" s="40"/>
      <c r="D556" s="40"/>
      <c r="E556" s="40"/>
      <c r="F556" s="40"/>
      <c r="G556" s="40"/>
      <c r="H556" s="40"/>
      <c r="I556" s="40"/>
      <c r="J556" s="40"/>
    </row>
    <row r="557" spans="1:10">
      <c r="A557" s="40"/>
      <c r="B557" s="40"/>
      <c r="C557" s="40"/>
      <c r="D557" s="40"/>
      <c r="E557" s="40"/>
      <c r="F557" s="40"/>
      <c r="G557" s="40"/>
      <c r="H557" s="40"/>
      <c r="I557" s="40"/>
      <c r="J557" s="40"/>
    </row>
    <row r="558" spans="1:10">
      <c r="A558" s="40"/>
      <c r="B558" s="40"/>
      <c r="C558" s="40"/>
      <c r="D558" s="40"/>
      <c r="E558" s="40"/>
      <c r="F558" s="40"/>
      <c r="G558" s="40"/>
      <c r="H558" s="40"/>
      <c r="I558" s="40"/>
      <c r="J558" s="40"/>
    </row>
    <row r="559" spans="1:10">
      <c r="A559" s="40"/>
      <c r="B559" s="40"/>
      <c r="C559" s="40"/>
      <c r="D559" s="40"/>
      <c r="E559" s="40"/>
      <c r="F559" s="40"/>
      <c r="G559" s="40"/>
      <c r="H559" s="40"/>
      <c r="I559" s="40"/>
      <c r="J559" s="40"/>
    </row>
    <row r="560" spans="1:10">
      <c r="A560" s="40"/>
      <c r="B560" s="40"/>
      <c r="C560" s="40"/>
      <c r="D560" s="40"/>
      <c r="E560" s="40"/>
      <c r="F560" s="40"/>
      <c r="G560" s="40"/>
      <c r="H560" s="40"/>
      <c r="I560" s="40"/>
      <c r="J560" s="40"/>
    </row>
    <row r="561" spans="1:10">
      <c r="A561" s="40"/>
      <c r="B561" s="40"/>
      <c r="C561" s="40"/>
      <c r="D561" s="40"/>
      <c r="E561" s="40"/>
      <c r="F561" s="40"/>
      <c r="G561" s="40"/>
      <c r="H561" s="40"/>
      <c r="I561" s="40"/>
      <c r="J561" s="40"/>
    </row>
    <row r="562" spans="1:10">
      <c r="A562" s="40"/>
      <c r="B562" s="40"/>
      <c r="C562" s="40"/>
      <c r="D562" s="40"/>
      <c r="E562" s="40"/>
      <c r="F562" s="40"/>
      <c r="G562" s="40"/>
      <c r="H562" s="40"/>
      <c r="I562" s="40"/>
      <c r="J562" s="40"/>
    </row>
    <row r="563" spans="1:10">
      <c r="A563" s="40"/>
      <c r="B563" s="40"/>
      <c r="C563" s="40"/>
      <c r="D563" s="40"/>
      <c r="E563" s="40"/>
      <c r="F563" s="40"/>
      <c r="G563" s="40"/>
      <c r="H563" s="40"/>
      <c r="I563" s="40"/>
      <c r="J563" s="40"/>
    </row>
    <row r="564" spans="1:10">
      <c r="A564" s="40"/>
      <c r="B564" s="40"/>
      <c r="C564" s="40"/>
      <c r="D564" s="40"/>
      <c r="E564" s="40"/>
      <c r="F564" s="40"/>
      <c r="G564" s="40"/>
      <c r="H564" s="40"/>
      <c r="I564" s="40"/>
      <c r="J564" s="40"/>
    </row>
    <row r="565" spans="1:10">
      <c r="A565" s="40"/>
      <c r="B565" s="40"/>
      <c r="C565" s="40"/>
      <c r="D565" s="40"/>
      <c r="E565" s="40"/>
      <c r="F565" s="40"/>
      <c r="G565" s="40"/>
      <c r="H565" s="40"/>
      <c r="I565" s="40"/>
      <c r="J565" s="40"/>
    </row>
    <row r="566" spans="1:10">
      <c r="A566" s="40"/>
      <c r="B566" s="40"/>
      <c r="C566" s="40"/>
      <c r="D566" s="40"/>
      <c r="E566" s="40"/>
      <c r="F566" s="40"/>
      <c r="G566" s="40"/>
      <c r="H566" s="40"/>
      <c r="I566" s="40"/>
      <c r="J566" s="40"/>
    </row>
    <row r="567" spans="1:10">
      <c r="A567" s="40"/>
      <c r="B567" s="40"/>
      <c r="C567" s="40"/>
      <c r="D567" s="40"/>
      <c r="E567" s="40"/>
      <c r="F567" s="40"/>
      <c r="G567" s="40"/>
      <c r="H567" s="40"/>
      <c r="I567" s="40"/>
      <c r="J567" s="40"/>
    </row>
    <row r="568" spans="1:10">
      <c r="A568" s="40"/>
      <c r="B568" s="40"/>
      <c r="C568" s="40"/>
      <c r="D568" s="40"/>
      <c r="E568" s="40"/>
      <c r="F568" s="40"/>
      <c r="G568" s="40"/>
      <c r="H568" s="40"/>
      <c r="I568" s="40"/>
      <c r="J568" s="40"/>
    </row>
    <row r="569" spans="1:10">
      <c r="A569" s="40"/>
      <c r="B569" s="40"/>
      <c r="C569" s="40"/>
      <c r="D569" s="40"/>
      <c r="E569" s="40"/>
      <c r="F569" s="40"/>
      <c r="G569" s="40"/>
      <c r="H569" s="40"/>
      <c r="I569" s="40"/>
      <c r="J569" s="40"/>
    </row>
    <row r="570" spans="1:10">
      <c r="A570" s="40"/>
      <c r="B570" s="40"/>
      <c r="C570" s="40"/>
      <c r="D570" s="40"/>
      <c r="E570" s="40"/>
      <c r="F570" s="40"/>
      <c r="G570" s="40"/>
      <c r="H570" s="40"/>
      <c r="I570" s="40"/>
      <c r="J570" s="40"/>
    </row>
    <row r="571" spans="1:10">
      <c r="A571" s="40"/>
      <c r="B571" s="40"/>
      <c r="C571" s="40"/>
      <c r="D571" s="40"/>
      <c r="E571" s="40"/>
      <c r="F571" s="40"/>
      <c r="G571" s="40"/>
      <c r="H571" s="40"/>
      <c r="I571" s="40"/>
      <c r="J571" s="40"/>
    </row>
    <row r="572" spans="1:10">
      <c r="A572" s="40"/>
      <c r="B572" s="40"/>
      <c r="C572" s="40"/>
      <c r="D572" s="40"/>
      <c r="E572" s="40"/>
      <c r="F572" s="40"/>
      <c r="G572" s="40"/>
      <c r="H572" s="40"/>
      <c r="I572" s="40"/>
      <c r="J572" s="40"/>
    </row>
    <row r="573" spans="1:10">
      <c r="A573" s="40"/>
      <c r="B573" s="40"/>
      <c r="C573" s="40"/>
      <c r="D573" s="40"/>
      <c r="E573" s="40"/>
      <c r="F573" s="40"/>
      <c r="G573" s="40"/>
      <c r="H573" s="40"/>
      <c r="I573" s="40"/>
      <c r="J573" s="40"/>
    </row>
    <row r="574" spans="1:10">
      <c r="A574" s="40"/>
      <c r="B574" s="40"/>
      <c r="C574" s="40"/>
      <c r="D574" s="40"/>
      <c r="E574" s="40"/>
      <c r="F574" s="40"/>
      <c r="G574" s="40"/>
      <c r="H574" s="40"/>
      <c r="I574" s="40"/>
      <c r="J574" s="40"/>
    </row>
    <row r="575" spans="1:10">
      <c r="A575" s="40"/>
      <c r="B575" s="40"/>
      <c r="C575" s="40"/>
      <c r="D575" s="40"/>
      <c r="E575" s="40"/>
      <c r="F575" s="40"/>
      <c r="G575" s="40"/>
      <c r="H575" s="40"/>
      <c r="I575" s="40"/>
      <c r="J575" s="40"/>
    </row>
    <row r="576" spans="1:10">
      <c r="A576" s="40"/>
      <c r="B576" s="40"/>
      <c r="C576" s="40"/>
      <c r="D576" s="40"/>
      <c r="E576" s="40"/>
      <c r="F576" s="40"/>
      <c r="G576" s="40"/>
      <c r="H576" s="40"/>
      <c r="I576" s="40"/>
      <c r="J576" s="40"/>
    </row>
    <row r="577" spans="1:10">
      <c r="A577" s="40"/>
      <c r="B577" s="40"/>
      <c r="C577" s="40"/>
      <c r="D577" s="40"/>
      <c r="E577" s="40"/>
      <c r="F577" s="40"/>
      <c r="G577" s="40"/>
      <c r="H577" s="40"/>
      <c r="I577" s="40"/>
      <c r="J577" s="40"/>
    </row>
    <row r="578" spans="1:10">
      <c r="A578" s="40"/>
      <c r="B578" s="40"/>
      <c r="C578" s="40"/>
      <c r="D578" s="40"/>
      <c r="E578" s="40"/>
      <c r="F578" s="40"/>
      <c r="G578" s="40"/>
      <c r="H578" s="40"/>
      <c r="I578" s="40"/>
      <c r="J578" s="40"/>
    </row>
    <row r="579" spans="1:10">
      <c r="A579" s="40"/>
      <c r="B579" s="40"/>
      <c r="C579" s="40"/>
      <c r="D579" s="40"/>
      <c r="E579" s="40"/>
      <c r="F579" s="40"/>
      <c r="G579" s="40"/>
      <c r="H579" s="40"/>
      <c r="I579" s="40"/>
      <c r="J579" s="40"/>
    </row>
    <row r="580" spans="1:10">
      <c r="A580" s="40"/>
      <c r="B580" s="40"/>
      <c r="C580" s="40"/>
      <c r="D580" s="40"/>
      <c r="E580" s="40"/>
      <c r="F580" s="40"/>
      <c r="G580" s="40"/>
      <c r="H580" s="40"/>
      <c r="I580" s="40"/>
      <c r="J580" s="40"/>
    </row>
    <row r="581" spans="1:10">
      <c r="A581" s="40"/>
      <c r="B581" s="40"/>
      <c r="C581" s="40"/>
      <c r="D581" s="40"/>
      <c r="E581" s="40"/>
      <c r="F581" s="40"/>
      <c r="G581" s="40"/>
      <c r="H581" s="40"/>
      <c r="I581" s="40"/>
      <c r="J581" s="40"/>
    </row>
    <row r="582" spans="1:10">
      <c r="A582" s="40"/>
      <c r="B582" s="40"/>
      <c r="C582" s="40"/>
      <c r="D582" s="40"/>
      <c r="E582" s="40"/>
      <c r="F582" s="40"/>
      <c r="G582" s="40"/>
      <c r="H582" s="40"/>
      <c r="I582" s="40"/>
      <c r="J582" s="40"/>
    </row>
    <row r="583" spans="1:10">
      <c r="A583" s="40"/>
      <c r="B583" s="40"/>
      <c r="C583" s="40"/>
      <c r="D583" s="40"/>
      <c r="E583" s="40"/>
      <c r="F583" s="40"/>
      <c r="G583" s="40"/>
      <c r="H583" s="40"/>
      <c r="I583" s="40"/>
      <c r="J583" s="40"/>
    </row>
    <row r="584" spans="1:10">
      <c r="A584" s="40"/>
      <c r="B584" s="40"/>
      <c r="C584" s="40"/>
      <c r="D584" s="40"/>
      <c r="E584" s="40"/>
      <c r="F584" s="40"/>
      <c r="G584" s="40"/>
      <c r="H584" s="40"/>
      <c r="I584" s="40"/>
      <c r="J584" s="40"/>
    </row>
    <row r="585" spans="1:10">
      <c r="A585" s="40"/>
      <c r="B585" s="40"/>
      <c r="C585" s="40"/>
      <c r="D585" s="40"/>
      <c r="E585" s="40"/>
      <c r="F585" s="40"/>
      <c r="G585" s="40"/>
      <c r="H585" s="40"/>
      <c r="I585" s="40"/>
      <c r="J585" s="40"/>
    </row>
    <row r="586" spans="1:10">
      <c r="A586" s="40"/>
      <c r="B586" s="40"/>
      <c r="C586" s="40"/>
      <c r="D586" s="40"/>
      <c r="E586" s="40"/>
      <c r="F586" s="40"/>
      <c r="G586" s="40"/>
      <c r="H586" s="40"/>
      <c r="I586" s="40"/>
      <c r="J586" s="40"/>
    </row>
    <row r="587" spans="1:10">
      <c r="A587" s="40"/>
      <c r="B587" s="40"/>
      <c r="C587" s="40"/>
      <c r="D587" s="40"/>
      <c r="E587" s="40"/>
      <c r="F587" s="40"/>
      <c r="G587" s="40"/>
      <c r="H587" s="40"/>
      <c r="I587" s="40"/>
      <c r="J587" s="40"/>
    </row>
    <row r="588" spans="1:10">
      <c r="A588" s="40"/>
      <c r="B588" s="40"/>
      <c r="C588" s="40"/>
      <c r="D588" s="40"/>
      <c r="E588" s="40"/>
      <c r="F588" s="40"/>
      <c r="G588" s="40"/>
      <c r="H588" s="40"/>
      <c r="I588" s="40"/>
      <c r="J588" s="40"/>
    </row>
    <row r="589" spans="1:10">
      <c r="A589" s="40"/>
      <c r="B589" s="40"/>
      <c r="C589" s="40"/>
      <c r="D589" s="40"/>
      <c r="E589" s="40"/>
      <c r="F589" s="40"/>
      <c r="G589" s="40"/>
      <c r="H589" s="40"/>
      <c r="I589" s="40"/>
      <c r="J589" s="40"/>
    </row>
    <row r="590" spans="1:10">
      <c r="A590" s="40"/>
      <c r="B590" s="40"/>
      <c r="C590" s="40"/>
      <c r="D590" s="40"/>
      <c r="E590" s="40"/>
      <c r="F590" s="40"/>
      <c r="G590" s="40"/>
      <c r="H590" s="40"/>
      <c r="I590" s="40"/>
      <c r="J590" s="40"/>
    </row>
    <row r="591" spans="1:10">
      <c r="A591" s="40"/>
      <c r="B591" s="40"/>
      <c r="C591" s="40"/>
      <c r="D591" s="40"/>
      <c r="E591" s="40"/>
      <c r="F591" s="40"/>
      <c r="G591" s="40"/>
      <c r="H591" s="40"/>
      <c r="I591" s="40"/>
      <c r="J591" s="40"/>
    </row>
    <row r="592" spans="1:10">
      <c r="A592" s="40"/>
      <c r="B592" s="40"/>
      <c r="C592" s="40"/>
      <c r="D592" s="40"/>
      <c r="E592" s="40"/>
      <c r="F592" s="40"/>
      <c r="G592" s="40"/>
      <c r="H592" s="40"/>
      <c r="I592" s="40"/>
      <c r="J592" s="40"/>
    </row>
    <row r="593" spans="1:10">
      <c r="A593" s="40"/>
      <c r="B593" s="40"/>
      <c r="C593" s="40"/>
      <c r="D593" s="40"/>
      <c r="E593" s="40"/>
      <c r="F593" s="40"/>
      <c r="G593" s="40"/>
      <c r="H593" s="40"/>
      <c r="I593" s="40"/>
      <c r="J593" s="40"/>
    </row>
    <row r="594" spans="1:10">
      <c r="A594" s="40"/>
      <c r="B594" s="40"/>
      <c r="C594" s="40"/>
      <c r="D594" s="40"/>
      <c r="E594" s="40"/>
      <c r="F594" s="40"/>
      <c r="G594" s="40"/>
      <c r="H594" s="40"/>
      <c r="I594" s="40"/>
      <c r="J594" s="40"/>
    </row>
    <row r="595" spans="1:10">
      <c r="A595" s="40"/>
      <c r="B595" s="40"/>
      <c r="C595" s="40"/>
      <c r="D595" s="40"/>
      <c r="E595" s="40"/>
      <c r="F595" s="40"/>
      <c r="G595" s="40"/>
      <c r="H595" s="40"/>
      <c r="I595" s="40"/>
      <c r="J595" s="40"/>
    </row>
    <row r="596" spans="1:10">
      <c r="A596" s="40"/>
      <c r="B596" s="40"/>
      <c r="C596" s="40"/>
      <c r="D596" s="40"/>
      <c r="E596" s="40"/>
      <c r="F596" s="40"/>
      <c r="G596" s="40"/>
      <c r="H596" s="40"/>
      <c r="I596" s="40"/>
      <c r="J596" s="40"/>
    </row>
    <row r="597" spans="1:10">
      <c r="A597" s="40"/>
      <c r="B597" s="40"/>
      <c r="C597" s="40"/>
      <c r="D597" s="40"/>
      <c r="E597" s="40"/>
      <c r="F597" s="40"/>
      <c r="G597" s="40"/>
      <c r="H597" s="40"/>
      <c r="I597" s="40"/>
      <c r="J597" s="40"/>
    </row>
    <row r="598" spans="1:10">
      <c r="A598" s="40"/>
      <c r="B598" s="40"/>
      <c r="C598" s="40"/>
      <c r="D598" s="40"/>
      <c r="E598" s="40"/>
      <c r="F598" s="40"/>
      <c r="G598" s="40"/>
      <c r="H598" s="40"/>
      <c r="I598" s="40"/>
      <c r="J598" s="40"/>
    </row>
    <row r="599" spans="1:10">
      <c r="A599" s="40"/>
      <c r="B599" s="40"/>
      <c r="C599" s="40"/>
      <c r="D599" s="40"/>
      <c r="E599" s="40"/>
      <c r="F599" s="40"/>
      <c r="G599" s="40"/>
      <c r="H599" s="40"/>
      <c r="I599" s="40"/>
      <c r="J599" s="40"/>
    </row>
    <row r="600" spans="1:10">
      <c r="A600" s="40"/>
      <c r="B600" s="40"/>
      <c r="C600" s="40"/>
      <c r="D600" s="40"/>
      <c r="E600" s="40"/>
      <c r="F600" s="40"/>
      <c r="G600" s="40"/>
      <c r="H600" s="40"/>
      <c r="I600" s="40"/>
      <c r="J600" s="40"/>
    </row>
    <row r="601" spans="1:10">
      <c r="A601" s="40"/>
      <c r="B601" s="40"/>
      <c r="C601" s="40"/>
      <c r="D601" s="40"/>
      <c r="E601" s="40"/>
      <c r="F601" s="40"/>
      <c r="G601" s="40"/>
      <c r="H601" s="40"/>
      <c r="I601" s="40"/>
      <c r="J601" s="40"/>
    </row>
    <row r="602" spans="1:10">
      <c r="A602" s="40"/>
      <c r="B602" s="40"/>
      <c r="C602" s="40"/>
      <c r="D602" s="40"/>
      <c r="E602" s="40"/>
      <c r="F602" s="40"/>
      <c r="G602" s="40"/>
      <c r="H602" s="40"/>
      <c r="I602" s="40"/>
      <c r="J602" s="40"/>
    </row>
    <row r="603" spans="1:10">
      <c r="A603" s="40"/>
      <c r="B603" s="40"/>
      <c r="C603" s="40"/>
      <c r="D603" s="40"/>
      <c r="E603" s="40"/>
      <c r="F603" s="40"/>
      <c r="G603" s="40"/>
      <c r="H603" s="40"/>
      <c r="I603" s="40"/>
      <c r="J603" s="40"/>
    </row>
    <row r="604" spans="1:10">
      <c r="A604" s="40"/>
      <c r="B604" s="40"/>
      <c r="C604" s="40"/>
      <c r="D604" s="40"/>
      <c r="E604" s="40"/>
      <c r="F604" s="40"/>
      <c r="G604" s="40"/>
      <c r="H604" s="40"/>
      <c r="I604" s="40"/>
      <c r="J604" s="40"/>
    </row>
    <row r="605" spans="1:10">
      <c r="A605" s="40"/>
      <c r="B605" s="40"/>
      <c r="C605" s="40"/>
      <c r="D605" s="40"/>
      <c r="E605" s="40"/>
      <c r="F605" s="40"/>
      <c r="G605" s="40"/>
      <c r="H605" s="40"/>
      <c r="I605" s="40"/>
      <c r="J605" s="40"/>
    </row>
    <row r="606" spans="1:10">
      <c r="A606" s="40"/>
      <c r="B606" s="40"/>
      <c r="C606" s="40"/>
      <c r="D606" s="40"/>
      <c r="E606" s="40"/>
      <c r="F606" s="40"/>
      <c r="G606" s="40"/>
      <c r="H606" s="40"/>
      <c r="I606" s="40"/>
      <c r="J606" s="40"/>
    </row>
    <row r="607" spans="1:10">
      <c r="A607" s="40"/>
      <c r="B607" s="40"/>
      <c r="C607" s="40"/>
      <c r="D607" s="40"/>
      <c r="E607" s="40"/>
      <c r="F607" s="40"/>
      <c r="G607" s="40"/>
      <c r="H607" s="40"/>
      <c r="I607" s="40"/>
      <c r="J607" s="40"/>
    </row>
    <row r="608" spans="1:10">
      <c r="A608" s="40"/>
      <c r="B608" s="40"/>
      <c r="C608" s="40"/>
      <c r="D608" s="40"/>
      <c r="E608" s="40"/>
      <c r="F608" s="40"/>
      <c r="G608" s="40"/>
      <c r="H608" s="40"/>
      <c r="I608" s="40"/>
      <c r="J608" s="40"/>
    </row>
    <row r="609" spans="1:10">
      <c r="A609" s="40"/>
      <c r="B609" s="40"/>
      <c r="C609" s="40"/>
      <c r="D609" s="40"/>
      <c r="E609" s="40"/>
      <c r="F609" s="40"/>
      <c r="G609" s="40"/>
      <c r="H609" s="40"/>
      <c r="I609" s="40"/>
      <c r="J609" s="40"/>
    </row>
    <row r="610" spans="1:10">
      <c r="A610" s="40"/>
      <c r="B610" s="40"/>
      <c r="C610" s="40"/>
      <c r="D610" s="40"/>
      <c r="E610" s="40"/>
      <c r="F610" s="40"/>
      <c r="G610" s="40"/>
      <c r="H610" s="40"/>
      <c r="I610" s="40"/>
      <c r="J610" s="40"/>
    </row>
    <row r="611" spans="1:10">
      <c r="A611" s="40"/>
      <c r="B611" s="40"/>
      <c r="C611" s="40"/>
      <c r="D611" s="40"/>
      <c r="E611" s="40"/>
      <c r="F611" s="40"/>
      <c r="G611" s="40"/>
      <c r="H611" s="40"/>
      <c r="I611" s="40"/>
      <c r="J611" s="40"/>
    </row>
    <row r="612" spans="1:10">
      <c r="A612" s="40"/>
      <c r="B612" s="40"/>
      <c r="C612" s="40"/>
      <c r="D612" s="40"/>
      <c r="E612" s="40"/>
      <c r="F612" s="40"/>
      <c r="G612" s="40"/>
      <c r="H612" s="40"/>
      <c r="I612" s="40"/>
      <c r="J612" s="40"/>
    </row>
    <row r="613" spans="1:10">
      <c r="A613" s="40"/>
      <c r="B613" s="40"/>
      <c r="C613" s="40"/>
      <c r="D613" s="40"/>
      <c r="E613" s="40"/>
      <c r="F613" s="40"/>
      <c r="G613" s="40"/>
      <c r="H613" s="40"/>
      <c r="I613" s="40"/>
      <c r="J613" s="40"/>
    </row>
    <row r="614" spans="1:10">
      <c r="A614" s="40"/>
      <c r="B614" s="40"/>
      <c r="C614" s="40"/>
      <c r="D614" s="40"/>
      <c r="E614" s="40"/>
      <c r="F614" s="40"/>
      <c r="G614" s="40"/>
      <c r="H614" s="40"/>
      <c r="I614" s="40"/>
      <c r="J614" s="40"/>
    </row>
    <row r="615" spans="1:10">
      <c r="A615" s="40"/>
      <c r="B615" s="40"/>
      <c r="C615" s="40"/>
      <c r="D615" s="40"/>
      <c r="E615" s="40"/>
      <c r="F615" s="40"/>
      <c r="G615" s="40"/>
      <c r="H615" s="40"/>
      <c r="I615" s="40"/>
      <c r="J615" s="40"/>
    </row>
    <row r="616" spans="1:10">
      <c r="A616" s="40"/>
      <c r="B616" s="40"/>
      <c r="C616" s="40"/>
      <c r="D616" s="40"/>
      <c r="E616" s="40"/>
      <c r="F616" s="40"/>
      <c r="G616" s="40"/>
      <c r="H616" s="40"/>
      <c r="I616" s="40"/>
      <c r="J616" s="40"/>
    </row>
    <row r="617" spans="1:10">
      <c r="A617" s="40"/>
      <c r="B617" s="40"/>
      <c r="C617" s="40"/>
      <c r="D617" s="40"/>
      <c r="E617" s="40"/>
      <c r="F617" s="40"/>
      <c r="G617" s="40"/>
      <c r="H617" s="40"/>
      <c r="I617" s="40"/>
      <c r="J617" s="40"/>
    </row>
    <row r="618" spans="1:10">
      <c r="A618" s="40"/>
      <c r="B618" s="40"/>
      <c r="C618" s="40"/>
      <c r="D618" s="40"/>
      <c r="E618" s="40"/>
      <c r="F618" s="40"/>
      <c r="G618" s="40"/>
      <c r="H618" s="40"/>
      <c r="I618" s="40"/>
      <c r="J618" s="40"/>
    </row>
    <row r="619" spans="1:10">
      <c r="A619" s="40"/>
      <c r="B619" s="40"/>
      <c r="C619" s="40"/>
      <c r="D619" s="40"/>
      <c r="E619" s="40"/>
      <c r="F619" s="40"/>
      <c r="G619" s="40"/>
      <c r="H619" s="40"/>
      <c r="I619" s="40"/>
      <c r="J619" s="40"/>
    </row>
    <row r="620" spans="1:10">
      <c r="A620" s="40"/>
      <c r="B620" s="40"/>
      <c r="C620" s="40"/>
      <c r="D620" s="40"/>
      <c r="E620" s="40"/>
      <c r="F620" s="40"/>
      <c r="G620" s="40"/>
      <c r="H620" s="40"/>
      <c r="I620" s="40"/>
      <c r="J620" s="40"/>
    </row>
    <row r="621" spans="1:10">
      <c r="A621" s="40"/>
      <c r="B621" s="40"/>
      <c r="C621" s="40"/>
      <c r="D621" s="40"/>
      <c r="E621" s="40"/>
      <c r="F621" s="40"/>
      <c r="G621" s="40"/>
      <c r="H621" s="40"/>
      <c r="I621" s="40"/>
      <c r="J621" s="40"/>
    </row>
    <row r="622" spans="1:10">
      <c r="A622" s="40"/>
      <c r="B622" s="40"/>
      <c r="C622" s="40"/>
      <c r="D622" s="40"/>
      <c r="E622" s="40"/>
      <c r="F622" s="40"/>
      <c r="G622" s="40"/>
      <c r="H622" s="40"/>
      <c r="I622" s="40"/>
      <c r="J622" s="40"/>
    </row>
    <row r="623" spans="1:10">
      <c r="A623" s="40"/>
      <c r="B623" s="40"/>
      <c r="C623" s="40"/>
      <c r="D623" s="40"/>
      <c r="E623" s="40"/>
      <c r="F623" s="40"/>
      <c r="G623" s="40"/>
      <c r="H623" s="40"/>
      <c r="I623" s="40"/>
      <c r="J623" s="40"/>
    </row>
    <row r="624" spans="1:10">
      <c r="A624" s="40"/>
      <c r="B624" s="40"/>
      <c r="C624" s="40"/>
      <c r="D624" s="40"/>
      <c r="E624" s="40"/>
      <c r="F624" s="40"/>
      <c r="G624" s="40"/>
      <c r="H624" s="40"/>
      <c r="I624" s="40"/>
      <c r="J624" s="40"/>
    </row>
    <row r="625" spans="1:10">
      <c r="A625" s="40"/>
      <c r="B625" s="40"/>
      <c r="C625" s="40"/>
      <c r="D625" s="40"/>
      <c r="E625" s="40"/>
      <c r="F625" s="40"/>
      <c r="G625" s="40"/>
      <c r="H625" s="40"/>
      <c r="I625" s="40"/>
      <c r="J625" s="40"/>
    </row>
    <row r="626" spans="1:10">
      <c r="A626" s="40"/>
      <c r="B626" s="40"/>
      <c r="C626" s="40"/>
      <c r="D626" s="40"/>
      <c r="E626" s="40"/>
      <c r="F626" s="40"/>
      <c r="G626" s="40"/>
      <c r="H626" s="40"/>
      <c r="I626" s="40"/>
      <c r="J626" s="40"/>
    </row>
    <row r="627" spans="1:10">
      <c r="A627" s="40"/>
      <c r="B627" s="40"/>
      <c r="C627" s="40"/>
      <c r="D627" s="40"/>
      <c r="E627" s="40"/>
      <c r="F627" s="40"/>
      <c r="G627" s="40"/>
      <c r="H627" s="40"/>
      <c r="I627" s="40"/>
      <c r="J627" s="40"/>
    </row>
    <row r="628" spans="1:10">
      <c r="A628" s="40"/>
      <c r="B628" s="40"/>
      <c r="C628" s="40"/>
      <c r="D628" s="40"/>
      <c r="E628" s="40"/>
      <c r="F628" s="40"/>
      <c r="G628" s="40"/>
      <c r="H628" s="40"/>
      <c r="I628" s="40"/>
      <c r="J628" s="40"/>
    </row>
    <row r="629" spans="1:10">
      <c r="A629" s="40"/>
      <c r="B629" s="40"/>
      <c r="C629" s="40"/>
      <c r="D629" s="40"/>
      <c r="E629" s="40"/>
      <c r="F629" s="40"/>
      <c r="G629" s="40"/>
      <c r="H629" s="40"/>
      <c r="I629" s="40"/>
      <c r="J629" s="40"/>
    </row>
    <row r="630" spans="1:10">
      <c r="A630" s="40"/>
      <c r="B630" s="40"/>
      <c r="C630" s="40"/>
      <c r="D630" s="40"/>
      <c r="E630" s="40"/>
      <c r="F630" s="40"/>
      <c r="G630" s="40"/>
      <c r="H630" s="40"/>
      <c r="I630" s="40"/>
      <c r="J630" s="40"/>
    </row>
    <row r="631" spans="1:10">
      <c r="A631" s="40"/>
      <c r="B631" s="40"/>
      <c r="C631" s="40"/>
      <c r="D631" s="40"/>
      <c r="E631" s="40"/>
      <c r="F631" s="40"/>
      <c r="G631" s="40"/>
      <c r="H631" s="40"/>
      <c r="I631" s="40"/>
      <c r="J631" s="40"/>
    </row>
    <row r="632" spans="1:10">
      <c r="A632" s="40"/>
      <c r="B632" s="40"/>
      <c r="C632" s="40"/>
      <c r="D632" s="40"/>
      <c r="E632" s="40"/>
      <c r="F632" s="40"/>
      <c r="G632" s="40"/>
      <c r="H632" s="40"/>
      <c r="I632" s="40"/>
      <c r="J632" s="40"/>
    </row>
    <row r="633" spans="1:10">
      <c r="A633" s="40"/>
      <c r="B633" s="40"/>
      <c r="C633" s="40"/>
      <c r="D633" s="40"/>
      <c r="E633" s="40"/>
      <c r="F633" s="40"/>
      <c r="G633" s="40"/>
      <c r="H633" s="40"/>
      <c r="I633" s="40"/>
      <c r="J633" s="40"/>
    </row>
    <row r="634" spans="1:10">
      <c r="A634" s="40"/>
      <c r="B634" s="40"/>
      <c r="C634" s="40"/>
      <c r="D634" s="40"/>
      <c r="E634" s="40"/>
      <c r="F634" s="40"/>
      <c r="G634" s="40"/>
      <c r="H634" s="40"/>
      <c r="I634" s="40"/>
      <c r="J634" s="40"/>
    </row>
    <row r="635" spans="1:10">
      <c r="A635" s="40"/>
      <c r="B635" s="40"/>
      <c r="C635" s="40"/>
      <c r="D635" s="40"/>
      <c r="E635" s="40"/>
      <c r="F635" s="40"/>
      <c r="G635" s="40"/>
      <c r="H635" s="40"/>
      <c r="I635" s="40"/>
      <c r="J635" s="40"/>
    </row>
    <row r="636" spans="1:10">
      <c r="A636" s="40"/>
      <c r="B636" s="40"/>
      <c r="C636" s="40"/>
      <c r="D636" s="40"/>
      <c r="E636" s="40"/>
      <c r="F636" s="40"/>
      <c r="G636" s="40"/>
      <c r="H636" s="40"/>
      <c r="I636" s="40"/>
      <c r="J636" s="40"/>
    </row>
    <row r="637" spans="1:10">
      <c r="A637" s="40"/>
      <c r="B637" s="40"/>
      <c r="C637" s="40"/>
      <c r="D637" s="40"/>
      <c r="E637" s="40"/>
      <c r="F637" s="40"/>
      <c r="G637" s="40"/>
      <c r="H637" s="40"/>
      <c r="I637" s="40"/>
      <c r="J637" s="40"/>
    </row>
    <row r="638" spans="1:10">
      <c r="A638" s="40"/>
      <c r="B638" s="40"/>
      <c r="C638" s="40"/>
      <c r="D638" s="40"/>
      <c r="E638" s="40"/>
      <c r="F638" s="40"/>
      <c r="G638" s="40"/>
      <c r="H638" s="40"/>
      <c r="I638" s="40"/>
      <c r="J638" s="40"/>
    </row>
    <row r="639" spans="1:10">
      <c r="A639" s="40"/>
      <c r="B639" s="40"/>
      <c r="C639" s="40"/>
      <c r="D639" s="40"/>
      <c r="E639" s="40"/>
      <c r="F639" s="40"/>
      <c r="G639" s="40"/>
      <c r="H639" s="40"/>
      <c r="I639" s="40"/>
      <c r="J639" s="40"/>
    </row>
    <row r="640" spans="1:10">
      <c r="A640" s="40"/>
      <c r="B640" s="40"/>
      <c r="C640" s="40"/>
      <c r="D640" s="40"/>
      <c r="E640" s="40"/>
      <c r="F640" s="40"/>
      <c r="G640" s="40"/>
      <c r="H640" s="40"/>
      <c r="I640" s="40"/>
      <c r="J640" s="40"/>
    </row>
    <row r="641" spans="1:10">
      <c r="A641" s="40"/>
      <c r="B641" s="40"/>
      <c r="C641" s="40"/>
      <c r="D641" s="40"/>
      <c r="E641" s="40"/>
      <c r="F641" s="40"/>
      <c r="G641" s="40"/>
      <c r="H641" s="40"/>
      <c r="I641" s="40"/>
      <c r="J641" s="40"/>
    </row>
    <row r="642" spans="1:10">
      <c r="A642" s="40"/>
      <c r="B642" s="40"/>
      <c r="C642" s="40"/>
      <c r="D642" s="40"/>
      <c r="E642" s="40"/>
      <c r="F642" s="40"/>
      <c r="G642" s="40"/>
      <c r="H642" s="40"/>
      <c r="I642" s="40"/>
      <c r="J642" s="40"/>
    </row>
    <row r="643" spans="1:10">
      <c r="A643" s="40"/>
      <c r="B643" s="40"/>
      <c r="C643" s="40"/>
      <c r="D643" s="40"/>
      <c r="E643" s="40"/>
      <c r="F643" s="40"/>
      <c r="G643" s="40"/>
      <c r="H643" s="40"/>
      <c r="I643" s="40"/>
      <c r="J643" s="40"/>
    </row>
    <row r="644" spans="1:10">
      <c r="A644" s="40"/>
      <c r="B644" s="40"/>
      <c r="C644" s="40"/>
      <c r="D644" s="40"/>
      <c r="E644" s="40"/>
      <c r="F644" s="40"/>
      <c r="G644" s="40"/>
      <c r="H644" s="40"/>
      <c r="I644" s="40"/>
      <c r="J644" s="40"/>
    </row>
    <row r="645" spans="1:10">
      <c r="A645" s="40"/>
      <c r="B645" s="40"/>
      <c r="C645" s="40"/>
      <c r="D645" s="40"/>
      <c r="E645" s="40"/>
      <c r="F645" s="40"/>
      <c r="G645" s="40"/>
      <c r="H645" s="40"/>
      <c r="I645" s="40"/>
      <c r="J645" s="40"/>
    </row>
    <row r="646" spans="1:10">
      <c r="A646" s="40"/>
      <c r="B646" s="40"/>
      <c r="C646" s="40"/>
      <c r="D646" s="40"/>
      <c r="E646" s="40"/>
      <c r="F646" s="40"/>
      <c r="G646" s="40"/>
      <c r="H646" s="40"/>
      <c r="I646" s="40"/>
      <c r="J646" s="40"/>
    </row>
    <row r="647" spans="1:10">
      <c r="A647" s="40"/>
      <c r="B647" s="40"/>
      <c r="C647" s="40"/>
      <c r="D647" s="40"/>
      <c r="E647" s="40"/>
      <c r="F647" s="40"/>
      <c r="G647" s="40"/>
      <c r="H647" s="40"/>
      <c r="I647" s="40"/>
      <c r="J647" s="40"/>
    </row>
    <row r="648" spans="1:10">
      <c r="A648" s="40"/>
      <c r="B648" s="40"/>
      <c r="C648" s="40"/>
      <c r="D648" s="40"/>
      <c r="E648" s="40"/>
      <c r="F648" s="40"/>
      <c r="G648" s="40"/>
      <c r="H648" s="40"/>
      <c r="I648" s="40"/>
      <c r="J648" s="40"/>
    </row>
    <row r="649" spans="1:10">
      <c r="A649" s="40"/>
      <c r="B649" s="40"/>
      <c r="C649" s="40"/>
      <c r="D649" s="40"/>
      <c r="E649" s="40"/>
      <c r="F649" s="40"/>
      <c r="G649" s="40"/>
      <c r="H649" s="40"/>
      <c r="I649" s="40"/>
      <c r="J649" s="40"/>
    </row>
    <row r="650" spans="1:10">
      <c r="A650" s="40"/>
      <c r="B650" s="40"/>
      <c r="C650" s="40"/>
      <c r="D650" s="40"/>
      <c r="E650" s="40"/>
      <c r="F650" s="40"/>
      <c r="G650" s="40"/>
      <c r="H650" s="40"/>
      <c r="I650" s="40"/>
      <c r="J650" s="40"/>
    </row>
    <row r="651" spans="1:10">
      <c r="A651" s="40"/>
      <c r="B651" s="40"/>
      <c r="C651" s="40"/>
      <c r="D651" s="40"/>
      <c r="E651" s="40"/>
      <c r="F651" s="40"/>
      <c r="G651" s="40"/>
      <c r="H651" s="40"/>
      <c r="I651" s="40"/>
      <c r="J651" s="40"/>
    </row>
    <row r="652" spans="1:10">
      <c r="A652" s="40"/>
      <c r="B652" s="40"/>
      <c r="C652" s="40"/>
      <c r="D652" s="40"/>
      <c r="E652" s="40"/>
      <c r="F652" s="40"/>
      <c r="G652" s="40"/>
      <c r="H652" s="40"/>
      <c r="I652" s="40"/>
      <c r="J652" s="40"/>
    </row>
    <row r="653" spans="1:10">
      <c r="A653" s="40"/>
      <c r="B653" s="40"/>
      <c r="C653" s="40"/>
      <c r="D653" s="40"/>
      <c r="E653" s="40"/>
      <c r="F653" s="40"/>
      <c r="G653" s="40"/>
      <c r="H653" s="40"/>
      <c r="I653" s="40"/>
      <c r="J653" s="40"/>
    </row>
    <row r="654" spans="1:10">
      <c r="A654" s="40"/>
      <c r="B654" s="40"/>
      <c r="C654" s="40"/>
      <c r="D654" s="40"/>
      <c r="E654" s="40"/>
      <c r="F654" s="40"/>
      <c r="G654" s="40"/>
      <c r="H654" s="40"/>
      <c r="I654" s="40"/>
      <c r="J654" s="40"/>
    </row>
    <row r="655" spans="1:10">
      <c r="A655" s="40"/>
      <c r="B655" s="40"/>
      <c r="C655" s="40"/>
      <c r="D655" s="40"/>
      <c r="E655" s="40"/>
      <c r="F655" s="40"/>
      <c r="G655" s="40"/>
      <c r="H655" s="40"/>
      <c r="I655" s="40"/>
      <c r="J655" s="40"/>
    </row>
    <row r="656" spans="1:10">
      <c r="A656" s="40"/>
      <c r="B656" s="40"/>
      <c r="C656" s="40"/>
      <c r="D656" s="40"/>
      <c r="E656" s="40"/>
      <c r="F656" s="40"/>
      <c r="G656" s="40"/>
      <c r="H656" s="40"/>
      <c r="I656" s="40"/>
      <c r="J656" s="40"/>
    </row>
    <row r="657" spans="1:10">
      <c r="A657" s="40"/>
      <c r="B657" s="40"/>
      <c r="C657" s="40"/>
      <c r="D657" s="40"/>
      <c r="E657" s="40"/>
      <c r="F657" s="40"/>
      <c r="G657" s="40"/>
      <c r="H657" s="40"/>
      <c r="I657" s="40"/>
      <c r="J657" s="40"/>
    </row>
    <row r="658" spans="1:10">
      <c r="A658" s="40"/>
      <c r="B658" s="40"/>
      <c r="C658" s="40"/>
      <c r="D658" s="40"/>
      <c r="E658" s="40"/>
      <c r="F658" s="40"/>
      <c r="G658" s="40"/>
      <c r="H658" s="40"/>
      <c r="I658" s="40"/>
      <c r="J658" s="40"/>
    </row>
  </sheetData>
  <sortState ref="D13:D54">
    <sortCondition ref="D13:D54"/>
  </sortState>
  <mergeCells count="1">
    <mergeCell ref="A1:I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zoomScaleNormal="100" workbookViewId="0">
      <pane ySplit="6" topLeftCell="A13" activePane="bottomLeft" state="frozen"/>
      <selection pane="bottomLeft" activeCell="B45" sqref="B45"/>
    </sheetView>
    <sheetView workbookViewId="1">
      <pane ySplit="6" topLeftCell="A7" activePane="bottomLeft" state="frozen"/>
      <selection pane="bottomLeft" activeCell="E11" sqref="E11"/>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73" t="s">
        <v>906</v>
      </c>
      <c r="B1" s="1074"/>
      <c r="C1" s="1074"/>
      <c r="D1" s="1074"/>
      <c r="E1" s="1074"/>
      <c r="F1" s="1074"/>
      <c r="G1" s="1074"/>
      <c r="H1" s="1215"/>
      <c r="I1" s="323"/>
      <c r="J1" s="524"/>
      <c r="K1" s="525" t="s">
        <v>803</v>
      </c>
      <c r="L1" s="322">
        <f>SUM(G7:G49)</f>
        <v>294.5</v>
      </c>
      <c r="M1" s="323" t="s">
        <v>114</v>
      </c>
    </row>
    <row r="2" spans="1:26" ht="18">
      <c r="A2" s="1076"/>
      <c r="B2" s="1077"/>
      <c r="C2" s="1077"/>
      <c r="D2" s="1077"/>
      <c r="E2" s="1077"/>
      <c r="F2" s="1077"/>
      <c r="G2" s="1077"/>
      <c r="H2" s="1216"/>
      <c r="J2" s="391"/>
      <c r="K2" s="526" t="s">
        <v>694</v>
      </c>
      <c r="L2" s="322">
        <f>SUM(H7:H49)</f>
        <v>158.63068181818184</v>
      </c>
      <c r="M2" s="323" t="s">
        <v>644</v>
      </c>
    </row>
    <row r="3" spans="1:26" ht="16.5" thickBot="1">
      <c r="A3" s="1079"/>
      <c r="B3" s="1080"/>
      <c r="C3" s="1080"/>
      <c r="D3" s="1080"/>
      <c r="E3" s="1080"/>
      <c r="F3" s="1080"/>
      <c r="G3" s="1080"/>
      <c r="H3" s="1217"/>
      <c r="I3" s="109"/>
      <c r="L3" s="315"/>
      <c r="M3" s="315"/>
      <c r="N3" s="316"/>
      <c r="O3" s="315"/>
      <c r="P3" s="315"/>
      <c r="Q3" s="315"/>
      <c r="R3" s="315"/>
      <c r="S3" s="315"/>
      <c r="T3" s="315"/>
      <c r="U3" s="315"/>
      <c r="V3" s="315"/>
      <c r="W3" s="315"/>
      <c r="X3" s="315"/>
      <c r="Y3" s="315"/>
      <c r="Z3" s="315"/>
    </row>
    <row r="4" spans="1:26" ht="15.75" customHeight="1">
      <c r="A4" s="60"/>
      <c r="B4" s="62"/>
      <c r="C4" s="61" t="s">
        <v>234</v>
      </c>
      <c r="D4" s="62"/>
      <c r="E4" s="65"/>
      <c r="F4" s="61"/>
      <c r="G4" s="62"/>
      <c r="H4" s="266"/>
      <c r="I4" s="318" t="s">
        <v>641</v>
      </c>
      <c r="J4" s="318" t="s">
        <v>641</v>
      </c>
      <c r="K4" s="318" t="s">
        <v>641</v>
      </c>
      <c r="L4" s="110"/>
      <c r="N4" s="36"/>
      <c r="O4" s="108"/>
      <c r="U4" s="108"/>
      <c r="Y4" s="108"/>
    </row>
    <row r="5" spans="1:26" ht="15.75">
      <c r="A5" s="66" t="s">
        <v>210</v>
      </c>
      <c r="B5" s="67"/>
      <c r="C5" s="67" t="s">
        <v>166</v>
      </c>
      <c r="D5" s="67"/>
      <c r="E5" s="67"/>
      <c r="F5" s="67" t="s">
        <v>213</v>
      </c>
      <c r="G5" s="67" t="s">
        <v>214</v>
      </c>
      <c r="H5" s="267" t="s">
        <v>571</v>
      </c>
      <c r="I5" s="317" t="s">
        <v>642</v>
      </c>
      <c r="J5" s="317" t="s">
        <v>642</v>
      </c>
      <c r="K5" s="317" t="s">
        <v>642</v>
      </c>
      <c r="L5" s="110"/>
      <c r="M5" s="320"/>
      <c r="N5" s="36"/>
      <c r="O5" s="108"/>
      <c r="Q5" s="320"/>
      <c r="U5" s="43"/>
      <c r="Y5" s="108"/>
    </row>
    <row r="6" spans="1:26" ht="16.5" thickBot="1">
      <c r="A6" s="69" t="s">
        <v>211</v>
      </c>
      <c r="B6" s="70" t="s">
        <v>165</v>
      </c>
      <c r="C6" s="71" t="s">
        <v>167</v>
      </c>
      <c r="D6" s="70" t="s">
        <v>168</v>
      </c>
      <c r="E6" s="70" t="s">
        <v>169</v>
      </c>
      <c r="F6" s="71" t="s">
        <v>170</v>
      </c>
      <c r="G6" s="71" t="s">
        <v>171</v>
      </c>
      <c r="H6" s="268" t="s">
        <v>624</v>
      </c>
      <c r="I6" s="318" t="s">
        <v>639</v>
      </c>
      <c r="J6" s="319" t="s">
        <v>640</v>
      </c>
      <c r="K6" s="319" t="s">
        <v>691</v>
      </c>
      <c r="L6" s="110"/>
      <c r="N6" s="36"/>
      <c r="O6" s="108"/>
      <c r="P6" s="169"/>
      <c r="Q6" s="321"/>
      <c r="R6" s="169"/>
      <c r="X6" s="169"/>
      <c r="Y6" s="321"/>
      <c r="Z6" s="169"/>
    </row>
    <row r="7" spans="1:26" ht="15.75" thickTop="1">
      <c r="A7" s="606">
        <v>1</v>
      </c>
      <c r="B7" s="798">
        <v>20234</v>
      </c>
      <c r="C7" s="799">
        <v>0.63680555555555551</v>
      </c>
      <c r="D7" s="800" t="s">
        <v>148</v>
      </c>
      <c r="E7" s="801" t="s">
        <v>153</v>
      </c>
      <c r="F7" s="802">
        <v>1100</v>
      </c>
      <c r="G7" s="802">
        <v>17</v>
      </c>
      <c r="H7" s="803">
        <f>+(F7/1760)*G7</f>
        <v>10.625</v>
      </c>
      <c r="I7" s="169">
        <f>LN(F7)</f>
        <v>7.0030654587864616</v>
      </c>
      <c r="J7" s="169">
        <f>LN(G7)</f>
        <v>2.8332133440562162</v>
      </c>
      <c r="K7" s="169">
        <f>LN(H7)</f>
        <v>2.3632097148104805</v>
      </c>
    </row>
    <row r="8" spans="1:26">
      <c r="A8" s="606">
        <f>+A7+1</f>
        <v>2</v>
      </c>
      <c r="B8" s="608">
        <v>20234</v>
      </c>
      <c r="C8" s="613">
        <v>0.64930555555555558</v>
      </c>
      <c r="D8" s="607" t="s">
        <v>143</v>
      </c>
      <c r="E8" s="611" t="s">
        <v>153</v>
      </c>
      <c r="F8" s="612">
        <v>1100</v>
      </c>
      <c r="G8" s="612">
        <v>17.5</v>
      </c>
      <c r="H8" s="804">
        <f>+(F8/1760)*G8</f>
        <v>10.9375</v>
      </c>
      <c r="I8" s="169">
        <f t="shared" ref="I8:J40" si="0">LN(F8)</f>
        <v>7.0030654587864616</v>
      </c>
      <c r="J8" s="169">
        <f t="shared" si="0"/>
        <v>2.8622008809294686</v>
      </c>
      <c r="K8" s="169">
        <f t="shared" ref="K8:K40" si="1">LN(H8)</f>
        <v>2.3921972516837329</v>
      </c>
    </row>
    <row r="9" spans="1:26">
      <c r="A9" s="616">
        <f t="shared" ref="A9:A49" si="2">+A8+1</f>
        <v>3</v>
      </c>
      <c r="B9" s="618">
        <v>25675</v>
      </c>
      <c r="C9" s="604">
        <v>0.94444444444444453</v>
      </c>
      <c r="D9" s="617" t="s">
        <v>145</v>
      </c>
      <c r="E9" s="620" t="s">
        <v>153</v>
      </c>
      <c r="F9" s="621">
        <v>75</v>
      </c>
      <c r="G9" s="621">
        <v>20</v>
      </c>
      <c r="H9" s="794">
        <f t="shared" ref="H9:H40" si="3">+(F9/1760)*G9</f>
        <v>0.85227272727272718</v>
      </c>
      <c r="I9" s="169">
        <f t="shared" si="0"/>
        <v>4.3174881135363101</v>
      </c>
      <c r="J9" s="169">
        <f t="shared" si="0"/>
        <v>2.9957322735539909</v>
      </c>
      <c r="K9" s="169">
        <f t="shared" si="1"/>
        <v>-0.15984870094189613</v>
      </c>
    </row>
    <row r="10" spans="1:26">
      <c r="A10" s="616">
        <f t="shared" si="2"/>
        <v>4</v>
      </c>
      <c r="B10" s="618">
        <v>25675</v>
      </c>
      <c r="C10" s="604">
        <v>0.99097222222222225</v>
      </c>
      <c r="D10" s="617" t="s">
        <v>147</v>
      </c>
      <c r="E10" s="620" t="s">
        <v>153</v>
      </c>
      <c r="F10" s="621">
        <v>880</v>
      </c>
      <c r="G10" s="621">
        <v>12</v>
      </c>
      <c r="H10" s="794">
        <f t="shared" si="3"/>
        <v>6</v>
      </c>
      <c r="I10" s="169">
        <f t="shared" si="0"/>
        <v>6.7799219074722519</v>
      </c>
      <c r="J10" s="169">
        <f t="shared" si="0"/>
        <v>2.4849066497880004</v>
      </c>
      <c r="K10" s="169">
        <f t="shared" si="1"/>
        <v>1.791759469228055</v>
      </c>
    </row>
    <row r="11" spans="1:26">
      <c r="A11" s="616">
        <f t="shared" si="2"/>
        <v>5</v>
      </c>
      <c r="B11" s="618">
        <v>25676</v>
      </c>
      <c r="C11" s="604">
        <v>1.7361111111111112E-2</v>
      </c>
      <c r="D11" s="617" t="s">
        <v>142</v>
      </c>
      <c r="E11" s="620" t="s">
        <v>153</v>
      </c>
      <c r="F11" s="621">
        <v>880</v>
      </c>
      <c r="G11" s="621">
        <v>20</v>
      </c>
      <c r="H11" s="794">
        <f t="shared" si="3"/>
        <v>10</v>
      </c>
      <c r="I11" s="169">
        <f t="shared" si="0"/>
        <v>6.7799219074722519</v>
      </c>
      <c r="J11" s="169">
        <f t="shared" si="0"/>
        <v>2.9957322735539909</v>
      </c>
      <c r="K11" s="169">
        <f t="shared" si="1"/>
        <v>2.3025850929940459</v>
      </c>
    </row>
    <row r="12" spans="1:26">
      <c r="A12" s="616">
        <f t="shared" si="2"/>
        <v>6</v>
      </c>
      <c r="B12" s="618">
        <v>25676</v>
      </c>
      <c r="C12" s="604">
        <v>7.5694444444444439E-2</v>
      </c>
      <c r="D12" s="617" t="s">
        <v>147</v>
      </c>
      <c r="E12" s="620" t="s">
        <v>153</v>
      </c>
      <c r="F12" s="621">
        <v>880</v>
      </c>
      <c r="G12" s="621">
        <v>5</v>
      </c>
      <c r="H12" s="794">
        <f t="shared" si="3"/>
        <v>2.5</v>
      </c>
      <c r="I12" s="169">
        <f t="shared" si="0"/>
        <v>6.7799219074722519</v>
      </c>
      <c r="J12" s="169">
        <f t="shared" si="0"/>
        <v>1.6094379124341003</v>
      </c>
      <c r="K12" s="169">
        <f t="shared" si="1"/>
        <v>0.91629073187415511</v>
      </c>
    </row>
    <row r="13" spans="1:26">
      <c r="A13" s="616">
        <f t="shared" si="2"/>
        <v>7</v>
      </c>
      <c r="B13" s="618">
        <v>25676</v>
      </c>
      <c r="C13" s="604">
        <v>8.4027777777777771E-2</v>
      </c>
      <c r="D13" s="617" t="s">
        <v>147</v>
      </c>
      <c r="E13" s="620" t="s">
        <v>153</v>
      </c>
      <c r="F13" s="621">
        <v>880</v>
      </c>
      <c r="G13" s="621">
        <v>5</v>
      </c>
      <c r="H13" s="794">
        <f t="shared" si="3"/>
        <v>2.5</v>
      </c>
      <c r="I13" s="169">
        <f t="shared" si="0"/>
        <v>6.7799219074722519</v>
      </c>
      <c r="J13" s="169">
        <f t="shared" si="0"/>
        <v>1.6094379124341003</v>
      </c>
      <c r="K13" s="169">
        <f t="shared" si="1"/>
        <v>0.91629073187415511</v>
      </c>
    </row>
    <row r="14" spans="1:26">
      <c r="A14" s="616">
        <f t="shared" si="2"/>
        <v>8</v>
      </c>
      <c r="B14" s="618">
        <v>25676</v>
      </c>
      <c r="C14" s="604">
        <v>8.9583333333333334E-2</v>
      </c>
      <c r="D14" s="617" t="s">
        <v>147</v>
      </c>
      <c r="E14" s="620" t="s">
        <v>153</v>
      </c>
      <c r="F14" s="621">
        <v>880</v>
      </c>
      <c r="G14" s="621">
        <v>17</v>
      </c>
      <c r="H14" s="794">
        <f t="shared" si="3"/>
        <v>8.5</v>
      </c>
      <c r="I14" s="169">
        <f t="shared" si="0"/>
        <v>6.7799219074722519</v>
      </c>
      <c r="J14" s="169">
        <f t="shared" si="0"/>
        <v>2.8332133440562162</v>
      </c>
      <c r="K14" s="169">
        <f t="shared" si="1"/>
        <v>2.1400661634962708</v>
      </c>
    </row>
    <row r="15" spans="1:26">
      <c r="A15" s="616">
        <f t="shared" si="2"/>
        <v>9</v>
      </c>
      <c r="B15" s="618">
        <v>25676</v>
      </c>
      <c r="C15" s="604">
        <v>0.11319444444444444</v>
      </c>
      <c r="D15" s="617" t="s">
        <v>142</v>
      </c>
      <c r="E15" s="620" t="s">
        <v>153</v>
      </c>
      <c r="F15" s="621">
        <v>880</v>
      </c>
      <c r="G15" s="621">
        <v>6</v>
      </c>
      <c r="H15" s="794">
        <f t="shared" si="3"/>
        <v>3</v>
      </c>
      <c r="I15" s="169">
        <f t="shared" si="0"/>
        <v>6.7799219074722519</v>
      </c>
      <c r="J15" s="169">
        <f t="shared" si="0"/>
        <v>1.791759469228055</v>
      </c>
      <c r="K15" s="169">
        <f t="shared" si="1"/>
        <v>1.0986122886681098</v>
      </c>
    </row>
    <row r="16" spans="1:26">
      <c r="A16" s="616">
        <f t="shared" si="2"/>
        <v>10</v>
      </c>
      <c r="B16" s="618">
        <v>26093</v>
      </c>
      <c r="C16" s="604">
        <v>0.70833333333333337</v>
      </c>
      <c r="D16" s="617" t="s">
        <v>130</v>
      </c>
      <c r="E16" s="620" t="s">
        <v>153</v>
      </c>
      <c r="F16" s="621">
        <v>1320</v>
      </c>
      <c r="G16" s="621">
        <v>5.9</v>
      </c>
      <c r="H16" s="794">
        <f t="shared" si="3"/>
        <v>4.4250000000000007</v>
      </c>
      <c r="I16" s="169">
        <f t="shared" si="0"/>
        <v>7.1853870155804165</v>
      </c>
      <c r="J16" s="169">
        <f t="shared" si="0"/>
        <v>1.7749523509116738</v>
      </c>
      <c r="K16" s="169">
        <f t="shared" si="1"/>
        <v>1.487270278459893</v>
      </c>
    </row>
    <row r="17" spans="1:11">
      <c r="A17" s="616">
        <f t="shared" si="2"/>
        <v>11</v>
      </c>
      <c r="B17" s="618">
        <v>26093</v>
      </c>
      <c r="C17" s="604">
        <v>0.86805555555555547</v>
      </c>
      <c r="D17" s="617" t="s">
        <v>131</v>
      </c>
      <c r="E17" s="620" t="s">
        <v>153</v>
      </c>
      <c r="F17" s="621">
        <v>1760</v>
      </c>
      <c r="G17" s="621">
        <v>15.9</v>
      </c>
      <c r="H17" s="794">
        <f t="shared" si="3"/>
        <v>15.9</v>
      </c>
      <c r="I17" s="169">
        <f t="shared" si="0"/>
        <v>7.4730690880321973</v>
      </c>
      <c r="J17" s="169">
        <f t="shared" si="0"/>
        <v>2.7663191092261861</v>
      </c>
      <c r="K17" s="169">
        <f t="shared" si="1"/>
        <v>2.7663191092261861</v>
      </c>
    </row>
    <row r="18" spans="1:11">
      <c r="A18" s="616">
        <f t="shared" si="2"/>
        <v>12</v>
      </c>
      <c r="B18" s="618">
        <v>28263</v>
      </c>
      <c r="C18" s="604">
        <v>0.53472222222222221</v>
      </c>
      <c r="D18" s="617" t="s">
        <v>126</v>
      </c>
      <c r="E18" s="620" t="s">
        <v>153</v>
      </c>
      <c r="F18" s="621">
        <v>440</v>
      </c>
      <c r="G18" s="621">
        <v>29.3</v>
      </c>
      <c r="H18" s="794">
        <f t="shared" si="3"/>
        <v>7.3250000000000002</v>
      </c>
      <c r="I18" s="169">
        <f t="shared" si="0"/>
        <v>6.0867747269123065</v>
      </c>
      <c r="J18" s="169">
        <f t="shared" si="0"/>
        <v>3.3775875160230218</v>
      </c>
      <c r="K18" s="169">
        <f t="shared" si="1"/>
        <v>1.991293154903131</v>
      </c>
    </row>
    <row r="19" spans="1:11">
      <c r="A19" s="616">
        <f t="shared" si="2"/>
        <v>13</v>
      </c>
      <c r="B19" s="618">
        <v>30028</v>
      </c>
      <c r="C19" s="604">
        <v>0.99652777777777779</v>
      </c>
      <c r="D19" s="617" t="s">
        <v>135</v>
      </c>
      <c r="E19" s="620" t="s">
        <v>153</v>
      </c>
      <c r="F19" s="621">
        <v>880</v>
      </c>
      <c r="G19" s="621">
        <v>5.9</v>
      </c>
      <c r="H19" s="794">
        <f t="shared" si="3"/>
        <v>2.95</v>
      </c>
      <c r="I19" s="169">
        <f t="shared" si="0"/>
        <v>6.7799219074722519</v>
      </c>
      <c r="J19" s="169">
        <f t="shared" si="0"/>
        <v>1.7749523509116738</v>
      </c>
      <c r="K19" s="169">
        <f t="shared" si="1"/>
        <v>1.0818051703517284</v>
      </c>
    </row>
    <row r="20" spans="1:11">
      <c r="A20" s="616">
        <f t="shared" si="2"/>
        <v>14</v>
      </c>
      <c r="B20" s="618">
        <v>30029</v>
      </c>
      <c r="C20" s="604">
        <v>6.9444444444444447E-4</v>
      </c>
      <c r="D20" s="617" t="s">
        <v>131</v>
      </c>
      <c r="E20" s="620" t="s">
        <v>153</v>
      </c>
      <c r="F20" s="621">
        <v>880</v>
      </c>
      <c r="G20" s="621">
        <v>48</v>
      </c>
      <c r="H20" s="794">
        <f t="shared" si="3"/>
        <v>24</v>
      </c>
      <c r="I20" s="169">
        <f t="shared" si="0"/>
        <v>6.7799219074722519</v>
      </c>
      <c r="J20" s="169">
        <f t="shared" si="0"/>
        <v>3.8712010109078911</v>
      </c>
      <c r="K20" s="169">
        <f t="shared" si="1"/>
        <v>3.1780538303479458</v>
      </c>
    </row>
    <row r="21" spans="1:11">
      <c r="A21" s="616">
        <f t="shared" si="2"/>
        <v>15</v>
      </c>
      <c r="B21" s="618">
        <v>30029</v>
      </c>
      <c r="C21" s="604">
        <v>3.4722222222222224E-2</v>
      </c>
      <c r="D21" s="617" t="s">
        <v>132</v>
      </c>
      <c r="E21" s="620" t="s">
        <v>153</v>
      </c>
      <c r="F21" s="621">
        <v>880</v>
      </c>
      <c r="G21" s="621">
        <v>5</v>
      </c>
      <c r="H21" s="794">
        <f t="shared" si="3"/>
        <v>2.5</v>
      </c>
      <c r="I21" s="169">
        <f t="shared" si="0"/>
        <v>6.7799219074722519</v>
      </c>
      <c r="J21" s="169">
        <f t="shared" si="0"/>
        <v>1.6094379124341003</v>
      </c>
      <c r="K21" s="169">
        <f t="shared" si="1"/>
        <v>0.91629073187415511</v>
      </c>
    </row>
    <row r="22" spans="1:11">
      <c r="A22" s="616">
        <f t="shared" si="2"/>
        <v>16</v>
      </c>
      <c r="B22" s="618">
        <v>33782</v>
      </c>
      <c r="C22" s="604">
        <v>0.7715277777777777</v>
      </c>
      <c r="D22" s="617" t="s">
        <v>135</v>
      </c>
      <c r="E22" s="620" t="s">
        <v>153</v>
      </c>
      <c r="F22" s="621">
        <v>1583</v>
      </c>
      <c r="G22" s="621">
        <v>10</v>
      </c>
      <c r="H22" s="794">
        <f t="shared" si="3"/>
        <v>8.9943181818181817</v>
      </c>
      <c r="I22" s="169">
        <f t="shared" si="0"/>
        <v>7.3670770598810122</v>
      </c>
      <c r="J22" s="169">
        <f t="shared" si="0"/>
        <v>2.3025850929940459</v>
      </c>
      <c r="K22" s="169">
        <f t="shared" si="1"/>
        <v>2.1965930648428604</v>
      </c>
    </row>
    <row r="23" spans="1:11">
      <c r="A23" s="616">
        <f t="shared" si="2"/>
        <v>17</v>
      </c>
      <c r="B23" s="618">
        <v>33782</v>
      </c>
      <c r="C23" s="604">
        <v>0.78819444444444453</v>
      </c>
      <c r="D23" s="617" t="s">
        <v>136</v>
      </c>
      <c r="E23" s="620" t="s">
        <v>153</v>
      </c>
      <c r="F23" s="621">
        <v>1583</v>
      </c>
      <c r="G23" s="621">
        <v>3</v>
      </c>
      <c r="H23" s="794">
        <f t="shared" si="3"/>
        <v>2.6982954545454545</v>
      </c>
      <c r="I23" s="169">
        <f t="shared" si="0"/>
        <v>7.3670770598810122</v>
      </c>
      <c r="J23" s="169">
        <f t="shared" si="0"/>
        <v>1.0986122886681098</v>
      </c>
      <c r="K23" s="169">
        <f t="shared" si="1"/>
        <v>0.99262026051692431</v>
      </c>
    </row>
    <row r="24" spans="1:11">
      <c r="A24" s="616">
        <f t="shared" si="2"/>
        <v>18</v>
      </c>
      <c r="B24" s="618">
        <v>33782</v>
      </c>
      <c r="C24" s="604">
        <v>0.79861111111111116</v>
      </c>
      <c r="D24" s="617" t="s">
        <v>141</v>
      </c>
      <c r="E24" s="620" t="s">
        <v>153</v>
      </c>
      <c r="F24" s="621">
        <v>1583</v>
      </c>
      <c r="G24" s="621">
        <v>5</v>
      </c>
      <c r="H24" s="794">
        <f t="shared" si="3"/>
        <v>4.4971590909090908</v>
      </c>
      <c r="I24" s="169">
        <f t="shared" si="0"/>
        <v>7.3670770598810122</v>
      </c>
      <c r="J24" s="169">
        <f t="shared" si="0"/>
        <v>1.6094379124341003</v>
      </c>
      <c r="K24" s="169">
        <f t="shared" si="1"/>
        <v>1.503445884282915</v>
      </c>
    </row>
    <row r="25" spans="1:11">
      <c r="A25" s="616">
        <f t="shared" si="2"/>
        <v>19</v>
      </c>
      <c r="B25" s="618">
        <v>34858</v>
      </c>
      <c r="C25" s="604">
        <v>0.64652777777777781</v>
      </c>
      <c r="D25" s="617" t="s">
        <v>142</v>
      </c>
      <c r="E25" s="620" t="s">
        <v>153</v>
      </c>
      <c r="F25" s="621">
        <v>200</v>
      </c>
      <c r="G25" s="621">
        <v>3</v>
      </c>
      <c r="H25" s="794">
        <f t="shared" si="3"/>
        <v>0.34090909090909088</v>
      </c>
      <c r="I25" s="169">
        <f t="shared" si="0"/>
        <v>5.2983173665480363</v>
      </c>
      <c r="J25" s="169">
        <f t="shared" si="0"/>
        <v>1.0986122886681098</v>
      </c>
      <c r="K25" s="169">
        <f t="shared" si="1"/>
        <v>-1.0761394328160512</v>
      </c>
    </row>
    <row r="26" spans="1:11">
      <c r="A26" s="616">
        <f t="shared" si="2"/>
        <v>20</v>
      </c>
      <c r="B26" s="618">
        <v>34858</v>
      </c>
      <c r="C26" s="604">
        <v>0.73263888888888884</v>
      </c>
      <c r="D26" s="617" t="s">
        <v>142</v>
      </c>
      <c r="E26" s="620" t="s">
        <v>153</v>
      </c>
      <c r="F26" s="621">
        <v>600</v>
      </c>
      <c r="G26" s="621">
        <v>5</v>
      </c>
      <c r="H26" s="794">
        <f t="shared" si="3"/>
        <v>1.7045454545454544</v>
      </c>
      <c r="I26" s="169">
        <f t="shared" si="0"/>
        <v>6.3969296552161463</v>
      </c>
      <c r="J26" s="169">
        <f t="shared" si="0"/>
        <v>1.6094379124341003</v>
      </c>
      <c r="K26" s="169">
        <f t="shared" si="1"/>
        <v>0.53329847961804921</v>
      </c>
    </row>
    <row r="27" spans="1:11">
      <c r="A27" s="616">
        <f t="shared" si="2"/>
        <v>21</v>
      </c>
      <c r="B27" s="618">
        <v>34858</v>
      </c>
      <c r="C27" s="604">
        <v>0.74652777777777779</v>
      </c>
      <c r="D27" s="617" t="s">
        <v>143</v>
      </c>
      <c r="E27" s="620" t="s">
        <v>153</v>
      </c>
      <c r="F27" s="621">
        <v>800</v>
      </c>
      <c r="G27" s="621">
        <v>24</v>
      </c>
      <c r="H27" s="794">
        <f t="shared" si="3"/>
        <v>10.909090909090908</v>
      </c>
      <c r="I27" s="169">
        <f t="shared" si="0"/>
        <v>6.6846117276679271</v>
      </c>
      <c r="J27" s="169">
        <f t="shared" si="0"/>
        <v>3.1780538303479458</v>
      </c>
      <c r="K27" s="169">
        <f t="shared" si="1"/>
        <v>2.3895964699836756</v>
      </c>
    </row>
    <row r="28" spans="1:11">
      <c r="A28" s="616">
        <f t="shared" si="2"/>
        <v>22</v>
      </c>
      <c r="B28" s="618">
        <v>34858</v>
      </c>
      <c r="C28" s="604">
        <v>0.78125</v>
      </c>
      <c r="D28" s="617" t="s">
        <v>143</v>
      </c>
      <c r="E28" s="620" t="s">
        <v>153</v>
      </c>
      <c r="F28" s="621">
        <v>2200</v>
      </c>
      <c r="G28" s="621">
        <v>10</v>
      </c>
      <c r="H28" s="794">
        <f t="shared" si="3"/>
        <v>12.5</v>
      </c>
      <c r="I28" s="169">
        <f t="shared" si="0"/>
        <v>7.696212639346407</v>
      </c>
      <c r="J28" s="169">
        <f t="shared" si="0"/>
        <v>2.3025850929940459</v>
      </c>
      <c r="K28" s="169">
        <f t="shared" si="1"/>
        <v>2.5257286443082556</v>
      </c>
    </row>
    <row r="29" spans="1:11">
      <c r="A29" s="616">
        <f t="shared" si="2"/>
        <v>23</v>
      </c>
      <c r="B29" s="618">
        <v>34858</v>
      </c>
      <c r="C29" s="604">
        <v>0.80208333333333337</v>
      </c>
      <c r="D29" s="617" t="s">
        <v>138</v>
      </c>
      <c r="E29" s="620" t="s">
        <v>153</v>
      </c>
      <c r="F29" s="621">
        <v>1750</v>
      </c>
      <c r="G29" s="621">
        <v>5</v>
      </c>
      <c r="H29" s="794">
        <f t="shared" si="3"/>
        <v>4.9715909090909092</v>
      </c>
      <c r="I29" s="169">
        <f t="shared" si="0"/>
        <v>7.4673710669175595</v>
      </c>
      <c r="J29" s="169">
        <f t="shared" si="0"/>
        <v>1.6094379124341003</v>
      </c>
      <c r="K29" s="169">
        <f t="shared" si="1"/>
        <v>1.6037398913194627</v>
      </c>
    </row>
    <row r="30" spans="1:11">
      <c r="A30" s="616">
        <f t="shared" si="2"/>
        <v>24</v>
      </c>
      <c r="B30" s="102"/>
      <c r="C30" s="102"/>
      <c r="D30" s="102"/>
      <c r="E30" s="868" t="s">
        <v>218</v>
      </c>
      <c r="F30" s="102"/>
      <c r="G30" s="102"/>
      <c r="H30" s="265">
        <f t="shared" si="3"/>
        <v>0</v>
      </c>
      <c r="I30" s="169" t="e">
        <f t="shared" si="0"/>
        <v>#NUM!</v>
      </c>
      <c r="J30" s="169" t="e">
        <f t="shared" si="0"/>
        <v>#NUM!</v>
      </c>
      <c r="K30" s="169" t="e">
        <f t="shared" si="1"/>
        <v>#NUM!</v>
      </c>
    </row>
    <row r="31" spans="1:11">
      <c r="A31" s="616">
        <f t="shared" si="2"/>
        <v>25</v>
      </c>
      <c r="B31" s="102"/>
      <c r="C31" s="102"/>
      <c r="D31" s="102"/>
      <c r="E31" s="868" t="s">
        <v>218</v>
      </c>
      <c r="F31" s="102"/>
      <c r="G31" s="102"/>
      <c r="H31" s="265">
        <f t="shared" si="3"/>
        <v>0</v>
      </c>
      <c r="I31" s="169" t="e">
        <f t="shared" si="0"/>
        <v>#NUM!</v>
      </c>
      <c r="J31" s="169" t="e">
        <f t="shared" si="0"/>
        <v>#NUM!</v>
      </c>
      <c r="K31" s="169" t="e">
        <f t="shared" si="1"/>
        <v>#NUM!</v>
      </c>
    </row>
    <row r="32" spans="1:11">
      <c r="A32" s="616">
        <f t="shared" si="2"/>
        <v>26</v>
      </c>
      <c r="B32" s="102"/>
      <c r="C32" s="102"/>
      <c r="D32" s="102"/>
      <c r="E32" s="868" t="s">
        <v>218</v>
      </c>
      <c r="F32" s="102"/>
      <c r="G32" s="102"/>
      <c r="H32" s="265">
        <f t="shared" si="3"/>
        <v>0</v>
      </c>
      <c r="I32" s="169" t="e">
        <f t="shared" si="0"/>
        <v>#NUM!</v>
      </c>
      <c r="J32" s="169" t="e">
        <f t="shared" si="0"/>
        <v>#NUM!</v>
      </c>
      <c r="K32" s="169" t="e">
        <f t="shared" si="1"/>
        <v>#NUM!</v>
      </c>
    </row>
    <row r="33" spans="1:12">
      <c r="A33" s="616">
        <f t="shared" si="2"/>
        <v>27</v>
      </c>
      <c r="B33" s="102"/>
      <c r="C33" s="102"/>
      <c r="D33" s="102"/>
      <c r="E33" s="868" t="s">
        <v>218</v>
      </c>
      <c r="F33" s="102"/>
      <c r="G33" s="102"/>
      <c r="H33" s="265">
        <f t="shared" si="3"/>
        <v>0</v>
      </c>
      <c r="I33" s="169" t="e">
        <f t="shared" si="0"/>
        <v>#NUM!</v>
      </c>
      <c r="J33" s="169" t="e">
        <f t="shared" si="0"/>
        <v>#NUM!</v>
      </c>
      <c r="K33" s="169" t="e">
        <f t="shared" si="1"/>
        <v>#NUM!</v>
      </c>
    </row>
    <row r="34" spans="1:12">
      <c r="A34" s="616">
        <f t="shared" si="2"/>
        <v>28</v>
      </c>
      <c r="B34" s="102"/>
      <c r="C34" s="102"/>
      <c r="D34" s="102"/>
      <c r="E34" s="868" t="s">
        <v>218</v>
      </c>
      <c r="F34" s="102"/>
      <c r="G34" s="102"/>
      <c r="H34" s="265">
        <f t="shared" si="3"/>
        <v>0</v>
      </c>
      <c r="I34" s="169" t="e">
        <f t="shared" si="0"/>
        <v>#NUM!</v>
      </c>
      <c r="J34" s="169" t="e">
        <f t="shared" si="0"/>
        <v>#NUM!</v>
      </c>
      <c r="K34" s="169" t="e">
        <f t="shared" si="1"/>
        <v>#NUM!</v>
      </c>
    </row>
    <row r="35" spans="1:12">
      <c r="A35" s="616">
        <f t="shared" si="2"/>
        <v>29</v>
      </c>
      <c r="B35" s="102"/>
      <c r="C35" s="102"/>
      <c r="D35" s="102"/>
      <c r="E35" s="868" t="s">
        <v>218</v>
      </c>
      <c r="F35" s="102"/>
      <c r="G35" s="102"/>
      <c r="H35" s="265">
        <f t="shared" si="3"/>
        <v>0</v>
      </c>
      <c r="I35" s="169" t="e">
        <f t="shared" si="0"/>
        <v>#NUM!</v>
      </c>
      <c r="J35" s="169" t="e">
        <f t="shared" si="0"/>
        <v>#NUM!</v>
      </c>
      <c r="K35" s="169" t="e">
        <f t="shared" si="1"/>
        <v>#NUM!</v>
      </c>
    </row>
    <row r="36" spans="1:12">
      <c r="A36" s="616">
        <f t="shared" si="2"/>
        <v>30</v>
      </c>
      <c r="B36" s="102"/>
      <c r="C36" s="102"/>
      <c r="D36" s="102"/>
      <c r="E36" s="868" t="s">
        <v>218</v>
      </c>
      <c r="F36" s="102"/>
      <c r="G36" s="102"/>
      <c r="H36" s="265">
        <f t="shared" si="3"/>
        <v>0</v>
      </c>
      <c r="I36" s="169" t="e">
        <f t="shared" si="0"/>
        <v>#NUM!</v>
      </c>
      <c r="J36" s="169" t="e">
        <f t="shared" si="0"/>
        <v>#NUM!</v>
      </c>
      <c r="K36" s="169" t="e">
        <f t="shared" si="1"/>
        <v>#NUM!</v>
      </c>
    </row>
    <row r="37" spans="1:12">
      <c r="A37" s="616">
        <f t="shared" si="2"/>
        <v>31</v>
      </c>
      <c r="B37" s="102"/>
      <c r="C37" s="102"/>
      <c r="D37" s="102"/>
      <c r="E37" s="868" t="s">
        <v>218</v>
      </c>
      <c r="F37" s="102"/>
      <c r="G37" s="102"/>
      <c r="H37" s="265">
        <f t="shared" si="3"/>
        <v>0</v>
      </c>
      <c r="I37" s="169" t="e">
        <f t="shared" si="0"/>
        <v>#NUM!</v>
      </c>
      <c r="J37" s="169" t="e">
        <f t="shared" si="0"/>
        <v>#NUM!</v>
      </c>
      <c r="K37" s="169" t="e">
        <f t="shared" si="1"/>
        <v>#NUM!</v>
      </c>
    </row>
    <row r="38" spans="1:12">
      <c r="A38" s="616">
        <f t="shared" si="2"/>
        <v>32</v>
      </c>
      <c r="B38" s="102"/>
      <c r="C38" s="102"/>
      <c r="D38" s="102"/>
      <c r="E38" s="868" t="s">
        <v>218</v>
      </c>
      <c r="F38" s="102"/>
      <c r="G38" s="102"/>
      <c r="H38" s="265">
        <f t="shared" si="3"/>
        <v>0</v>
      </c>
      <c r="I38" s="169" t="e">
        <f t="shared" si="0"/>
        <v>#NUM!</v>
      </c>
      <c r="J38" s="169" t="e">
        <f t="shared" si="0"/>
        <v>#NUM!</v>
      </c>
      <c r="K38" s="169" t="e">
        <f t="shared" si="1"/>
        <v>#NUM!</v>
      </c>
    </row>
    <row r="39" spans="1:12">
      <c r="A39" s="616">
        <f t="shared" si="2"/>
        <v>33</v>
      </c>
      <c r="B39" s="102"/>
      <c r="C39" s="102"/>
      <c r="D39" s="102"/>
      <c r="E39" s="868" t="s">
        <v>218</v>
      </c>
      <c r="F39" s="102"/>
      <c r="G39" s="102"/>
      <c r="H39" s="265">
        <f t="shared" si="3"/>
        <v>0</v>
      </c>
      <c r="I39" s="169" t="e">
        <f t="shared" si="0"/>
        <v>#NUM!</v>
      </c>
      <c r="J39" s="169" t="e">
        <f t="shared" si="0"/>
        <v>#NUM!</v>
      </c>
      <c r="K39" s="169" t="e">
        <f t="shared" si="1"/>
        <v>#NUM!</v>
      </c>
    </row>
    <row r="40" spans="1:12">
      <c r="A40" s="616">
        <f t="shared" si="2"/>
        <v>34</v>
      </c>
      <c r="B40" s="102"/>
      <c r="C40" s="102"/>
      <c r="D40" s="102"/>
      <c r="E40" s="868" t="s">
        <v>218</v>
      </c>
      <c r="F40" s="102"/>
      <c r="G40" s="102"/>
      <c r="H40" s="265">
        <f t="shared" si="3"/>
        <v>0</v>
      </c>
      <c r="I40" s="169" t="e">
        <f t="shared" si="0"/>
        <v>#NUM!</v>
      </c>
      <c r="J40" s="169" t="e">
        <f t="shared" si="0"/>
        <v>#NUM!</v>
      </c>
      <c r="K40" s="169" t="e">
        <f t="shared" si="1"/>
        <v>#NUM!</v>
      </c>
    </row>
    <row r="41" spans="1:12">
      <c r="A41" s="616">
        <f t="shared" si="2"/>
        <v>35</v>
      </c>
      <c r="B41" s="102"/>
      <c r="C41" s="102"/>
      <c r="D41" s="102"/>
      <c r="E41" s="868" t="s">
        <v>218</v>
      </c>
      <c r="F41" s="102"/>
      <c r="G41" s="102"/>
      <c r="H41" s="265">
        <f t="shared" ref="H41:H47" si="4">+(F41/1760)*G41</f>
        <v>0</v>
      </c>
      <c r="I41" s="169" t="e">
        <f t="shared" ref="I41:I47" si="5">LN(F41)</f>
        <v>#NUM!</v>
      </c>
      <c r="J41" s="169" t="e">
        <f t="shared" ref="J41:J47" si="6">LN(G41)</f>
        <v>#NUM!</v>
      </c>
      <c r="K41" s="169" t="e">
        <f t="shared" ref="K41:K47" si="7">LN(H41)</f>
        <v>#NUM!</v>
      </c>
    </row>
    <row r="42" spans="1:12">
      <c r="A42" s="616">
        <f t="shared" si="2"/>
        <v>36</v>
      </c>
      <c r="B42" s="102"/>
      <c r="C42" s="102"/>
      <c r="D42" s="102"/>
      <c r="E42" s="868" t="s">
        <v>218</v>
      </c>
      <c r="F42" s="102"/>
      <c r="G42" s="102"/>
      <c r="H42" s="265">
        <f t="shared" si="4"/>
        <v>0</v>
      </c>
      <c r="I42" s="169" t="e">
        <f t="shared" si="5"/>
        <v>#NUM!</v>
      </c>
      <c r="J42" s="169" t="e">
        <f t="shared" si="6"/>
        <v>#NUM!</v>
      </c>
      <c r="K42" s="169" t="e">
        <f t="shared" si="7"/>
        <v>#NUM!</v>
      </c>
      <c r="L42" s="32"/>
    </row>
    <row r="43" spans="1:12">
      <c r="A43" s="616">
        <f t="shared" si="2"/>
        <v>37</v>
      </c>
      <c r="B43" s="102"/>
      <c r="C43" s="102"/>
      <c r="D43" s="102"/>
      <c r="E43" s="868" t="s">
        <v>218</v>
      </c>
      <c r="F43" s="102"/>
      <c r="G43" s="102"/>
      <c r="H43" s="265">
        <f t="shared" si="4"/>
        <v>0</v>
      </c>
      <c r="I43" s="169" t="e">
        <f t="shared" si="5"/>
        <v>#NUM!</v>
      </c>
      <c r="J43" s="169" t="e">
        <f t="shared" si="6"/>
        <v>#NUM!</v>
      </c>
      <c r="K43" s="169" t="e">
        <f t="shared" si="7"/>
        <v>#NUM!</v>
      </c>
      <c r="L43" s="32"/>
    </row>
    <row r="44" spans="1:12">
      <c r="A44" s="616">
        <f t="shared" si="2"/>
        <v>38</v>
      </c>
      <c r="B44" s="102"/>
      <c r="C44" s="102"/>
      <c r="D44" s="102"/>
      <c r="E44" s="868" t="s">
        <v>218</v>
      </c>
      <c r="F44" s="102"/>
      <c r="G44" s="102"/>
      <c r="H44" s="265">
        <f t="shared" si="4"/>
        <v>0</v>
      </c>
      <c r="I44" s="169" t="e">
        <f t="shared" si="5"/>
        <v>#NUM!</v>
      </c>
      <c r="J44" s="169" t="e">
        <f t="shared" si="6"/>
        <v>#NUM!</v>
      </c>
      <c r="K44" s="169" t="e">
        <f t="shared" si="7"/>
        <v>#NUM!</v>
      </c>
      <c r="L44" s="389"/>
    </row>
    <row r="45" spans="1:12">
      <c r="A45" s="616">
        <f t="shared" si="2"/>
        <v>39</v>
      </c>
      <c r="B45" s="102"/>
      <c r="C45" s="102"/>
      <c r="D45" s="102"/>
      <c r="E45" s="868" t="s">
        <v>218</v>
      </c>
      <c r="F45" s="102"/>
      <c r="G45" s="102"/>
      <c r="H45" s="265">
        <f t="shared" si="4"/>
        <v>0</v>
      </c>
      <c r="I45" s="169" t="e">
        <f t="shared" si="5"/>
        <v>#NUM!</v>
      </c>
      <c r="J45" s="169" t="e">
        <f t="shared" si="6"/>
        <v>#NUM!</v>
      </c>
      <c r="K45" s="169" t="e">
        <f t="shared" si="7"/>
        <v>#NUM!</v>
      </c>
      <c r="L45" s="32"/>
    </row>
    <row r="46" spans="1:12">
      <c r="A46" s="616">
        <f t="shared" si="2"/>
        <v>40</v>
      </c>
      <c r="B46" s="102"/>
      <c r="C46" s="102"/>
      <c r="D46" s="102"/>
      <c r="E46" s="868" t="s">
        <v>218</v>
      </c>
      <c r="F46" s="102"/>
      <c r="G46" s="102"/>
      <c r="H46" s="265">
        <f t="shared" si="4"/>
        <v>0</v>
      </c>
      <c r="I46" s="169" t="e">
        <f t="shared" si="5"/>
        <v>#NUM!</v>
      </c>
      <c r="J46" s="169" t="e">
        <f t="shared" si="6"/>
        <v>#NUM!</v>
      </c>
      <c r="K46" s="169" t="e">
        <f t="shared" si="7"/>
        <v>#NUM!</v>
      </c>
      <c r="L46" s="32"/>
    </row>
    <row r="47" spans="1:12">
      <c r="A47" s="616">
        <f t="shared" si="2"/>
        <v>41</v>
      </c>
      <c r="B47" s="102"/>
      <c r="C47" s="102"/>
      <c r="D47" s="102"/>
      <c r="E47" s="868" t="s">
        <v>218</v>
      </c>
      <c r="F47" s="102"/>
      <c r="G47" s="102"/>
      <c r="H47" s="265">
        <f t="shared" si="4"/>
        <v>0</v>
      </c>
      <c r="I47" s="169" t="e">
        <f t="shared" si="5"/>
        <v>#NUM!</v>
      </c>
      <c r="J47" s="169" t="e">
        <f t="shared" si="6"/>
        <v>#NUM!</v>
      </c>
      <c r="K47" s="169" t="e">
        <f t="shared" si="7"/>
        <v>#NUM!</v>
      </c>
    </row>
    <row r="48" spans="1:12">
      <c r="A48" s="616">
        <f t="shared" si="2"/>
        <v>42</v>
      </c>
      <c r="B48" s="102"/>
      <c r="C48" s="102"/>
      <c r="D48" s="102"/>
      <c r="E48" s="868" t="s">
        <v>218</v>
      </c>
      <c r="F48" s="102"/>
      <c r="G48" s="102"/>
      <c r="H48" s="265">
        <f>+(F48/1760)*G48</f>
        <v>0</v>
      </c>
      <c r="I48" s="169" t="e">
        <f t="shared" ref="I48:K49" si="8">LN(F48)</f>
        <v>#NUM!</v>
      </c>
      <c r="J48" s="169" t="e">
        <f t="shared" si="8"/>
        <v>#NUM!</v>
      </c>
      <c r="K48" s="169" t="e">
        <f t="shared" si="8"/>
        <v>#NUM!</v>
      </c>
    </row>
    <row r="49" spans="1:11">
      <c r="A49" s="616">
        <f t="shared" si="2"/>
        <v>43</v>
      </c>
      <c r="B49" s="102"/>
      <c r="C49" s="102"/>
      <c r="D49" s="102"/>
      <c r="E49" s="868" t="s">
        <v>218</v>
      </c>
      <c r="F49" s="102"/>
      <c r="G49" s="102"/>
      <c r="H49" s="265">
        <f>+(F49/1760)*G49</f>
        <v>0</v>
      </c>
      <c r="I49" s="169" t="e">
        <f t="shared" si="8"/>
        <v>#NUM!</v>
      </c>
      <c r="J49" s="169" t="e">
        <f t="shared" si="8"/>
        <v>#NUM!</v>
      </c>
      <c r="K49" s="169" t="e">
        <f t="shared" si="8"/>
        <v>#NUM!</v>
      </c>
    </row>
  </sheetData>
  <customSheetViews>
    <customSheetView guid="{CFA9FB8A-52FF-44B9-AE70-27339693E196}" scale="90" topLeftCell="C1">
      <pane ySplit="6" topLeftCell="A7" activePane="bottomLeft" state="frozen"/>
      <selection pane="bottomLeft" activeCell="K2" sqref="K2"/>
      <pageMargins left="0.75" right="0.75" top="1" bottom="1" header="0.5" footer="0.5"/>
      <pageSetup orientation="portrait" r:id="rId1"/>
      <headerFooter alignWithMargins="0"/>
    </customSheetView>
  </customSheetViews>
  <mergeCells count="1">
    <mergeCell ref="A1:H3"/>
  </mergeCells>
  <phoneticPr fontId="18" type="noConversion"/>
  <dataValidations count="1">
    <dataValidation type="list" allowBlank="1" showInputMessage="1" showErrorMessage="1" sqref="D30:D49">
      <formula1>counties</formula1>
    </dataValidation>
  </dataValidations>
  <printOptions horizontalCentered="1"/>
  <pageMargins left="0.75" right="0.75" top="1.25" bottom="0.5" header="0.5" footer="0"/>
  <pageSetup scale="74" firstPageNumber="170" orientation="landscape" useFirstPageNumber="1" r:id="rId2"/>
  <headerFooter scaleWithDoc="0">
    <oddFooter>&amp;CPage &amp;P of 172</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8"/>
  <sheetViews>
    <sheetView workbookViewId="0">
      <pane ySplit="11" topLeftCell="A12" activePane="bottomLeft" state="frozen"/>
      <selection pane="bottomLeft" activeCell="L2" sqref="L2"/>
    </sheetView>
    <sheetView workbookViewId="1">
      <pane ySplit="11" topLeftCell="A12" activePane="bottomLeft" state="frozen"/>
      <selection pane="bottomLeft" activeCell="D14" sqref="D14"/>
    </sheetView>
  </sheetViews>
  <sheetFormatPr defaultRowHeight="15"/>
  <cols>
    <col min="5" max="5" width="8.109375" customWidth="1"/>
    <col min="11" max="11" width="7.88671875" bestFit="1" customWidth="1"/>
  </cols>
  <sheetData>
    <row r="1" spans="1:16" s="918" customFormat="1" ht="30" customHeight="1" thickTop="1" thickBot="1">
      <c r="A1" s="1212" t="s">
        <v>1279</v>
      </c>
      <c r="B1" s="1213"/>
      <c r="C1" s="1213"/>
      <c r="D1" s="1213"/>
      <c r="E1" s="1213"/>
      <c r="F1" s="1213"/>
      <c r="G1" s="1213"/>
      <c r="H1" s="1213"/>
      <c r="I1" s="1214"/>
    </row>
    <row r="2" spans="1:16" s="918" customFormat="1" ht="16.5" thickTop="1">
      <c r="A2" s="987"/>
      <c r="B2" s="842"/>
      <c r="C2" s="842" t="s">
        <v>213</v>
      </c>
      <c r="D2" s="842" t="s">
        <v>214</v>
      </c>
      <c r="E2" s="842" t="s">
        <v>571</v>
      </c>
      <c r="F2" s="36"/>
      <c r="G2" s="36"/>
      <c r="H2" s="36"/>
      <c r="I2" s="988"/>
    </row>
    <row r="3" spans="1:16" s="918" customFormat="1">
      <c r="A3" s="987"/>
      <c r="B3" s="40" t="s">
        <v>1030</v>
      </c>
      <c r="C3" s="40">
        <f>COUNT(G12:G60)</f>
        <v>23</v>
      </c>
      <c r="D3" s="40">
        <f>COUNT(H12:H60)</f>
        <v>23</v>
      </c>
      <c r="E3" s="40">
        <f>COUNT(I12:I60)</f>
        <v>23</v>
      </c>
      <c r="F3" s="36"/>
      <c r="G3" s="36"/>
      <c r="H3" s="36"/>
      <c r="I3" s="988"/>
    </row>
    <row r="4" spans="1:16" s="918" customFormat="1">
      <c r="A4" s="987"/>
      <c r="B4" s="40">
        <v>0.05</v>
      </c>
      <c r="C4" s="872">
        <f>EXP(INDEX(G12:G34,C3*$B$4)+(INDEX(G12:G34,C3*$B$4+1)-INDEX(G12:G34,C3*$B$4))*(C3*$B$4-INT(C3*$B$4)))</f>
        <v>86.887354295125235</v>
      </c>
      <c r="D4" s="872">
        <f>EXP(INDEX(H12:H34,D3*$B$4)+(INDEX(H12:H34,D3*$B$4+1)-INDEX(H12:H34,D3*$B$4))*(D3*$B$4-INT(D3*$B$4)))</f>
        <v>3.0000000000000004</v>
      </c>
      <c r="E4" s="872">
        <f>EXP(INDEX(I12:I34,E3*$B$4)+(INDEX(I12:I34,E3*$B$4+1)-INDEX(I12:I34,E3*$B$4))*(E3*$B$4-INT(E3*$B$4)))</f>
        <v>0.39113761553283583</v>
      </c>
      <c r="F4" s="36"/>
      <c r="G4" s="36"/>
      <c r="H4" s="36"/>
      <c r="I4" s="988"/>
    </row>
    <row r="5" spans="1:16" s="918" customFormat="1">
      <c r="A5" s="987"/>
      <c r="B5" s="40" t="s">
        <v>1031</v>
      </c>
      <c r="C5" s="872">
        <f>EXP(MODE(G12:G34))</f>
        <v>879.99999999999977</v>
      </c>
      <c r="D5" s="872">
        <f>EXP(MODE(H12:H34))</f>
        <v>4.9999999999999991</v>
      </c>
      <c r="E5" s="872">
        <f>EXP(MODE(I12:I34))</f>
        <v>2.5</v>
      </c>
      <c r="F5" s="36"/>
      <c r="G5" s="36"/>
      <c r="H5" s="36"/>
      <c r="I5" s="988"/>
    </row>
    <row r="6" spans="1:16" s="918" customFormat="1">
      <c r="A6" s="987"/>
      <c r="B6" s="40" t="s">
        <v>1032</v>
      </c>
      <c r="C6" s="872">
        <f>EXP(MEDIAN(G12:G34))</f>
        <v>879.99999999999977</v>
      </c>
      <c r="D6" s="872">
        <f>EXP(MEDIAN(H12:H34))</f>
        <v>10.000000000000002</v>
      </c>
      <c r="E6" s="872">
        <f>EXP(MEDIAN(I12:I34))</f>
        <v>4.9715909090909092</v>
      </c>
      <c r="F6" s="36"/>
      <c r="G6" s="36"/>
      <c r="H6" s="36"/>
      <c r="I6" s="988"/>
    </row>
    <row r="7" spans="1:16" s="918" customFormat="1">
      <c r="A7" s="987"/>
      <c r="B7" s="40" t="s">
        <v>1033</v>
      </c>
      <c r="C7" s="872">
        <f>EXP(AVERAGE(G12:G34))</f>
        <v>872.17684111549693</v>
      </c>
      <c r="D7" s="872">
        <f>EXP(AVERAGE(H12:H34))</f>
        <v>9.5909449521003634</v>
      </c>
      <c r="E7" s="872">
        <f>EXP(AVERAGE(I12:I34))</f>
        <v>4.7528409497929012</v>
      </c>
      <c r="F7" s="36"/>
      <c r="G7" s="36"/>
      <c r="H7" s="36"/>
      <c r="I7" s="988"/>
    </row>
    <row r="8" spans="1:16" s="918" customFormat="1">
      <c r="A8" s="987"/>
      <c r="B8" s="40" t="s">
        <v>158</v>
      </c>
      <c r="C8" s="872">
        <f>AVERAGE(B12:B34)</f>
        <v>1044.0869565217392</v>
      </c>
      <c r="D8" s="872">
        <f>AVERAGE(C12:C34)</f>
        <v>12.804347826086957</v>
      </c>
      <c r="E8" s="872">
        <f>AVERAGE(D12:D34)</f>
        <v>6.8969861660079053</v>
      </c>
      <c r="F8" s="36"/>
      <c r="G8" s="36"/>
      <c r="H8" s="36"/>
      <c r="I8" s="988"/>
    </row>
    <row r="9" spans="1:16" s="918" customFormat="1">
      <c r="A9" s="987"/>
      <c r="B9" s="40">
        <v>0.95</v>
      </c>
      <c r="C9" s="872">
        <f>EXP(INDEX(G12:G34,C3*$B$9)+(INDEX(G12:G34,C3*$B$9+1)-INDEX(G12:G34,C3*$B$9))*(C3*$B$9-INT(C3*$B$9)))</f>
        <v>1758.4963650980274</v>
      </c>
      <c r="D9" s="872">
        <f>EXP(INDEX(H12:H34,D3*$B$9)+(INDEX(H12:H34,D3*$B$9+1)-INDEX(H12:H34,D3*$B$9))*(D3*$B$9-INT(D3*$B$9)))</f>
        <v>28.436043083544863</v>
      </c>
      <c r="E9" s="872">
        <f>EXP(INDEX(I12:I34,E3*$B$9)+(INDEX(I12:I34,E3*$B$9+1)-INDEX(I12:I34,E3*$B$9))*(E3*$B$9-INT(E3*$B$9)))</f>
        <v>15.336422263328876</v>
      </c>
      <c r="F9" s="36"/>
      <c r="G9" s="36"/>
      <c r="H9" s="36"/>
      <c r="I9" s="988"/>
    </row>
    <row r="10" spans="1:16" s="918" customFormat="1" ht="15.75" thickBot="1">
      <c r="A10" s="987"/>
      <c r="B10" s="36"/>
      <c r="C10" s="36"/>
      <c r="D10" s="36"/>
      <c r="E10" s="36"/>
      <c r="F10" s="36"/>
      <c r="G10" s="36"/>
      <c r="H10" s="36"/>
      <c r="I10" s="988"/>
    </row>
    <row r="11" spans="1:16" s="315" customFormat="1" ht="17.25" thickTop="1" thickBot="1">
      <c r="A11" s="989" t="s">
        <v>1024</v>
      </c>
      <c r="B11" s="989" t="s">
        <v>213</v>
      </c>
      <c r="C11" s="989" t="s">
        <v>214</v>
      </c>
      <c r="D11" s="989" t="s">
        <v>571</v>
      </c>
      <c r="E11" s="990" t="s">
        <v>1025</v>
      </c>
      <c r="F11" s="989" t="s">
        <v>1026</v>
      </c>
      <c r="G11" s="989" t="s">
        <v>1027</v>
      </c>
      <c r="H11" s="989" t="s">
        <v>1028</v>
      </c>
      <c r="I11" s="989" t="s">
        <v>1029</v>
      </c>
      <c r="J11" s="842"/>
      <c r="O11" s="842"/>
      <c r="P11" s="842"/>
    </row>
    <row r="12" spans="1:16" ht="15.75" thickTop="1">
      <c r="A12" s="40">
        <v>1</v>
      </c>
      <c r="B12" s="40">
        <v>75</v>
      </c>
      <c r="C12" s="40">
        <v>3</v>
      </c>
      <c r="D12" s="40">
        <v>0.34090909090909088</v>
      </c>
      <c r="E12" s="40">
        <f>(A12-0.5)/23</f>
        <v>2.1739130434782608E-2</v>
      </c>
      <c r="F12" s="40">
        <f t="shared" ref="F12:F32" si="0">NORMSINV(E12)</f>
        <v>-2.0190862005831423</v>
      </c>
      <c r="G12" s="40">
        <f t="shared" ref="G12:I21" si="1">LN(B12)</f>
        <v>4.3174881135363101</v>
      </c>
      <c r="H12" s="40">
        <f t="shared" si="1"/>
        <v>1.0986122886681098</v>
      </c>
      <c r="I12" s="40">
        <f t="shared" si="1"/>
        <v>-1.0761394328160512</v>
      </c>
      <c r="J12" s="40"/>
      <c r="O12" s="40"/>
      <c r="P12" s="40"/>
    </row>
    <row r="13" spans="1:16">
      <c r="A13" s="40">
        <v>2</v>
      </c>
      <c r="B13" s="40">
        <v>200</v>
      </c>
      <c r="C13" s="40">
        <v>3</v>
      </c>
      <c r="D13" s="40">
        <v>0.85227272727272718</v>
      </c>
      <c r="E13" s="40">
        <f t="shared" ref="E13:E34" si="2">(A13-0.5)/23</f>
        <v>6.5217391304347824E-2</v>
      </c>
      <c r="F13" s="40">
        <f t="shared" si="0"/>
        <v>-1.5123895860676801</v>
      </c>
      <c r="G13" s="40">
        <f t="shared" si="1"/>
        <v>5.2983173665480363</v>
      </c>
      <c r="H13" s="40">
        <f t="shared" si="1"/>
        <v>1.0986122886681098</v>
      </c>
      <c r="I13" s="40">
        <f t="shared" si="1"/>
        <v>-0.15984870094189613</v>
      </c>
      <c r="J13" s="40"/>
      <c r="O13" s="40"/>
      <c r="P13" s="40"/>
    </row>
    <row r="14" spans="1:16">
      <c r="A14" s="40">
        <v>3</v>
      </c>
      <c r="B14" s="40">
        <v>440</v>
      </c>
      <c r="C14" s="40">
        <v>5</v>
      </c>
      <c r="D14" s="40">
        <v>1.7045454545454544</v>
      </c>
      <c r="E14" s="40">
        <f t="shared" si="2"/>
        <v>0.10869565217391304</v>
      </c>
      <c r="F14" s="40">
        <f t="shared" si="0"/>
        <v>-1.2334945619686917</v>
      </c>
      <c r="G14" s="40">
        <f t="shared" si="1"/>
        <v>6.0867747269123065</v>
      </c>
      <c r="H14" s="40">
        <f t="shared" si="1"/>
        <v>1.6094379124341003</v>
      </c>
      <c r="I14" s="40">
        <f t="shared" si="1"/>
        <v>0.53329847961804921</v>
      </c>
      <c r="J14" s="40"/>
      <c r="O14" s="40"/>
      <c r="P14" s="40"/>
    </row>
    <row r="15" spans="1:16">
      <c r="A15" s="40">
        <v>4</v>
      </c>
      <c r="B15" s="40">
        <v>600</v>
      </c>
      <c r="C15" s="40">
        <v>5</v>
      </c>
      <c r="D15" s="40">
        <v>2.5</v>
      </c>
      <c r="E15" s="40">
        <f t="shared" si="2"/>
        <v>0.15217391304347827</v>
      </c>
      <c r="F15" s="40">
        <f t="shared" si="0"/>
        <v>-1.0271542729149992</v>
      </c>
      <c r="G15" s="40">
        <f t="shared" si="1"/>
        <v>6.3969296552161463</v>
      </c>
      <c r="H15" s="40">
        <f t="shared" si="1"/>
        <v>1.6094379124341003</v>
      </c>
      <c r="I15" s="40">
        <f t="shared" si="1"/>
        <v>0.91629073187415511</v>
      </c>
      <c r="J15" s="40"/>
      <c r="O15" s="40"/>
      <c r="P15" s="40"/>
    </row>
    <row r="16" spans="1:16">
      <c r="A16" s="40">
        <v>5</v>
      </c>
      <c r="B16" s="40">
        <v>800</v>
      </c>
      <c r="C16" s="40">
        <v>5</v>
      </c>
      <c r="D16" s="40">
        <v>2.5</v>
      </c>
      <c r="E16" s="40">
        <f t="shared" si="2"/>
        <v>0.19565217391304349</v>
      </c>
      <c r="F16" s="40">
        <f t="shared" si="0"/>
        <v>-0.85725432022117776</v>
      </c>
      <c r="G16" s="40">
        <f t="shared" si="1"/>
        <v>6.6846117276679271</v>
      </c>
      <c r="H16" s="40">
        <f t="shared" si="1"/>
        <v>1.6094379124341003</v>
      </c>
      <c r="I16" s="40">
        <f t="shared" si="1"/>
        <v>0.91629073187415511</v>
      </c>
      <c r="J16" s="40"/>
      <c r="O16" s="40"/>
      <c r="P16" s="40"/>
    </row>
    <row r="17" spans="1:16">
      <c r="A17" s="40">
        <v>6</v>
      </c>
      <c r="B17" s="40">
        <v>880</v>
      </c>
      <c r="C17" s="40">
        <v>5</v>
      </c>
      <c r="D17" s="40">
        <v>2.5</v>
      </c>
      <c r="E17" s="40">
        <f t="shared" si="2"/>
        <v>0.2391304347826087</v>
      </c>
      <c r="F17" s="40">
        <f t="shared" si="0"/>
        <v>-0.70910250340902359</v>
      </c>
      <c r="G17" s="40">
        <f t="shared" si="1"/>
        <v>6.7799219074722519</v>
      </c>
      <c r="H17" s="40">
        <f t="shared" si="1"/>
        <v>1.6094379124341003</v>
      </c>
      <c r="I17" s="40">
        <f t="shared" si="1"/>
        <v>0.91629073187415511</v>
      </c>
      <c r="J17" s="40"/>
      <c r="O17" s="40"/>
      <c r="P17" s="40"/>
    </row>
    <row r="18" spans="1:16">
      <c r="A18" s="40">
        <v>7</v>
      </c>
      <c r="B18" s="40">
        <v>880</v>
      </c>
      <c r="C18" s="40">
        <v>5</v>
      </c>
      <c r="D18" s="40">
        <v>2.6982954545454545</v>
      </c>
      <c r="E18" s="40">
        <f t="shared" si="2"/>
        <v>0.28260869565217389</v>
      </c>
      <c r="F18" s="40">
        <f t="shared" si="0"/>
        <v>-0.5751092812784383</v>
      </c>
      <c r="G18" s="40">
        <f t="shared" si="1"/>
        <v>6.7799219074722519</v>
      </c>
      <c r="H18" s="40">
        <f t="shared" si="1"/>
        <v>1.6094379124341003</v>
      </c>
      <c r="I18" s="40">
        <f t="shared" si="1"/>
        <v>0.99262026051692431</v>
      </c>
      <c r="J18" s="40"/>
      <c r="O18" s="40"/>
      <c r="P18" s="40"/>
    </row>
    <row r="19" spans="1:16">
      <c r="A19" s="40">
        <v>8</v>
      </c>
      <c r="B19" s="40">
        <v>880</v>
      </c>
      <c r="C19" s="40">
        <v>5</v>
      </c>
      <c r="D19" s="40">
        <v>2.95</v>
      </c>
      <c r="E19" s="40">
        <f t="shared" si="2"/>
        <v>0.32608695652173914</v>
      </c>
      <c r="F19" s="40">
        <f t="shared" si="0"/>
        <v>-0.4507442126153593</v>
      </c>
      <c r="G19" s="40">
        <f t="shared" si="1"/>
        <v>6.7799219074722519</v>
      </c>
      <c r="H19" s="40">
        <f t="shared" si="1"/>
        <v>1.6094379124341003</v>
      </c>
      <c r="I19" s="40">
        <f t="shared" si="1"/>
        <v>1.0818051703517284</v>
      </c>
      <c r="J19" s="40"/>
      <c r="M19" s="40"/>
      <c r="N19" s="40"/>
      <c r="O19" s="40"/>
      <c r="P19" s="40"/>
    </row>
    <row r="20" spans="1:16">
      <c r="A20" s="40">
        <v>9</v>
      </c>
      <c r="B20" s="40">
        <v>880</v>
      </c>
      <c r="C20" s="40">
        <v>5.9</v>
      </c>
      <c r="D20" s="40">
        <v>3</v>
      </c>
      <c r="E20" s="40">
        <f t="shared" si="2"/>
        <v>0.36956521739130432</v>
      </c>
      <c r="F20" s="40">
        <f t="shared" si="0"/>
        <v>-0.33300509819729662</v>
      </c>
      <c r="G20" s="40">
        <f t="shared" si="1"/>
        <v>6.7799219074722519</v>
      </c>
      <c r="H20" s="40">
        <f t="shared" si="1"/>
        <v>1.7749523509116738</v>
      </c>
      <c r="I20" s="40">
        <f t="shared" si="1"/>
        <v>1.0986122886681098</v>
      </c>
      <c r="J20" s="40"/>
      <c r="M20" s="40"/>
      <c r="N20" s="40"/>
      <c r="O20" s="40"/>
      <c r="P20" s="40"/>
    </row>
    <row r="21" spans="1:16">
      <c r="A21" s="40">
        <v>10</v>
      </c>
      <c r="B21" s="40">
        <v>880</v>
      </c>
      <c r="C21" s="40">
        <v>5.9</v>
      </c>
      <c r="D21" s="40">
        <v>4.4249999999999998</v>
      </c>
      <c r="E21" s="40">
        <f t="shared" si="2"/>
        <v>0.41304347826086957</v>
      </c>
      <c r="F21" s="40">
        <f t="shared" si="0"/>
        <v>-0.21972291581857983</v>
      </c>
      <c r="G21" s="40">
        <f t="shared" si="1"/>
        <v>6.7799219074722519</v>
      </c>
      <c r="H21" s="40">
        <f t="shared" si="1"/>
        <v>1.7749523509116738</v>
      </c>
      <c r="I21" s="40">
        <f t="shared" si="1"/>
        <v>1.4872702784598928</v>
      </c>
      <c r="J21" s="40"/>
      <c r="M21" s="40"/>
      <c r="N21" s="40"/>
      <c r="O21" s="40"/>
      <c r="P21" s="40"/>
    </row>
    <row r="22" spans="1:16">
      <c r="A22" s="40">
        <v>11</v>
      </c>
      <c r="B22" s="40">
        <v>880</v>
      </c>
      <c r="C22" s="40">
        <v>6</v>
      </c>
      <c r="D22" s="40">
        <v>4.4971590909090908</v>
      </c>
      <c r="E22" s="40">
        <f t="shared" si="2"/>
        <v>0.45652173913043476</v>
      </c>
      <c r="F22" s="40">
        <f t="shared" si="0"/>
        <v>-0.10920048169143172</v>
      </c>
      <c r="G22" s="40">
        <f t="shared" ref="G22:G34" si="3">LN(B22)</f>
        <v>6.7799219074722519</v>
      </c>
      <c r="H22" s="40">
        <f t="shared" ref="H22:H34" si="4">LN(C22)</f>
        <v>1.791759469228055</v>
      </c>
      <c r="I22" s="40">
        <f t="shared" ref="I22:I34" si="5">LN(D22)</f>
        <v>1.503445884282915</v>
      </c>
      <c r="J22" s="40"/>
      <c r="M22" s="40"/>
      <c r="N22" s="40"/>
      <c r="O22" s="40"/>
      <c r="P22" s="40"/>
    </row>
    <row r="23" spans="1:16">
      <c r="A23" s="40">
        <v>12</v>
      </c>
      <c r="B23" s="40">
        <v>880</v>
      </c>
      <c r="C23" s="40">
        <v>10</v>
      </c>
      <c r="D23" s="40">
        <v>4.9715909090909092</v>
      </c>
      <c r="E23" s="40">
        <f t="shared" si="2"/>
        <v>0.5</v>
      </c>
      <c r="F23" s="40">
        <f t="shared" si="0"/>
        <v>0</v>
      </c>
      <c r="G23" s="40">
        <f t="shared" si="3"/>
        <v>6.7799219074722519</v>
      </c>
      <c r="H23" s="40">
        <f t="shared" si="4"/>
        <v>2.3025850929940459</v>
      </c>
      <c r="I23" s="40">
        <f t="shared" si="5"/>
        <v>1.6037398913194627</v>
      </c>
      <c r="J23" s="40"/>
      <c r="M23" s="40"/>
      <c r="N23" s="40"/>
      <c r="O23" s="40"/>
      <c r="P23" s="40"/>
    </row>
    <row r="24" spans="1:16">
      <c r="A24" s="40">
        <v>13</v>
      </c>
      <c r="B24" s="40">
        <v>880</v>
      </c>
      <c r="C24" s="40">
        <v>10</v>
      </c>
      <c r="D24" s="40">
        <v>6</v>
      </c>
      <c r="E24" s="40">
        <f t="shared" si="2"/>
        <v>0.54347826086956519</v>
      </c>
      <c r="F24" s="40">
        <f t="shared" si="0"/>
        <v>0.10920048169143155</v>
      </c>
      <c r="G24" s="40">
        <f t="shared" si="3"/>
        <v>6.7799219074722519</v>
      </c>
      <c r="H24" s="40">
        <f t="shared" si="4"/>
        <v>2.3025850929940459</v>
      </c>
      <c r="I24" s="40">
        <f t="shared" si="5"/>
        <v>1.791759469228055</v>
      </c>
      <c r="J24" s="40"/>
      <c r="M24" s="40"/>
      <c r="N24" s="40"/>
      <c r="O24" s="40"/>
      <c r="P24" s="40"/>
    </row>
    <row r="25" spans="1:16">
      <c r="A25" s="40">
        <v>14</v>
      </c>
      <c r="B25" s="40">
        <v>880</v>
      </c>
      <c r="C25" s="40">
        <v>12</v>
      </c>
      <c r="D25" s="40">
        <v>7.3250000000000002</v>
      </c>
      <c r="E25" s="40">
        <f t="shared" si="2"/>
        <v>0.58695652173913049</v>
      </c>
      <c r="F25" s="40">
        <f t="shared" si="0"/>
        <v>0.21972291581858003</v>
      </c>
      <c r="G25" s="40">
        <f t="shared" si="3"/>
        <v>6.7799219074722519</v>
      </c>
      <c r="H25" s="40">
        <f t="shared" si="4"/>
        <v>2.4849066497880004</v>
      </c>
      <c r="I25" s="40">
        <f t="shared" si="5"/>
        <v>1.991293154903131</v>
      </c>
      <c r="J25" s="40"/>
      <c r="M25" s="40"/>
      <c r="N25" s="40"/>
      <c r="O25" s="40"/>
      <c r="P25" s="40"/>
    </row>
    <row r="26" spans="1:16">
      <c r="A26" s="40">
        <v>15</v>
      </c>
      <c r="B26" s="40">
        <v>1100</v>
      </c>
      <c r="C26" s="40">
        <v>15.9</v>
      </c>
      <c r="D26" s="40">
        <v>8.5</v>
      </c>
      <c r="E26" s="40">
        <f t="shared" si="2"/>
        <v>0.63043478260869568</v>
      </c>
      <c r="F26" s="40">
        <f t="shared" si="0"/>
        <v>0.33300509819729662</v>
      </c>
      <c r="G26" s="40">
        <f t="shared" si="3"/>
        <v>7.0030654587864616</v>
      </c>
      <c r="H26" s="40">
        <f t="shared" si="4"/>
        <v>2.7663191092261861</v>
      </c>
      <c r="I26" s="40">
        <f t="shared" si="5"/>
        <v>2.1400661634962708</v>
      </c>
      <c r="J26" s="40"/>
      <c r="M26" s="40"/>
      <c r="N26" s="40"/>
      <c r="O26" s="40"/>
      <c r="P26" s="40"/>
    </row>
    <row r="27" spans="1:16">
      <c r="A27" s="40">
        <v>16</v>
      </c>
      <c r="B27" s="40">
        <v>1100</v>
      </c>
      <c r="C27" s="40">
        <v>17</v>
      </c>
      <c r="D27" s="40">
        <v>8.9943181818181817</v>
      </c>
      <c r="E27" s="40">
        <f t="shared" si="2"/>
        <v>0.67391304347826086</v>
      </c>
      <c r="F27" s="40">
        <f t="shared" si="0"/>
        <v>0.4507442126153593</v>
      </c>
      <c r="G27" s="40">
        <f t="shared" si="3"/>
        <v>7.0030654587864616</v>
      </c>
      <c r="H27" s="40">
        <f t="shared" si="4"/>
        <v>2.8332133440562162</v>
      </c>
      <c r="I27" s="40">
        <f t="shared" si="5"/>
        <v>2.1965930648428604</v>
      </c>
      <c r="J27" s="40"/>
      <c r="M27" s="40"/>
      <c r="N27" s="40"/>
      <c r="O27" s="40"/>
      <c r="P27" s="40"/>
    </row>
    <row r="28" spans="1:16">
      <c r="A28" s="40">
        <v>17</v>
      </c>
      <c r="B28" s="40">
        <v>1320</v>
      </c>
      <c r="C28" s="40">
        <v>17</v>
      </c>
      <c r="D28" s="40">
        <v>10</v>
      </c>
      <c r="E28" s="40">
        <f t="shared" si="2"/>
        <v>0.71739130434782605</v>
      </c>
      <c r="F28" s="40">
        <f t="shared" si="0"/>
        <v>0.57510928127843797</v>
      </c>
      <c r="G28" s="40">
        <f t="shared" si="3"/>
        <v>7.1853870155804165</v>
      </c>
      <c r="H28" s="40">
        <f t="shared" si="4"/>
        <v>2.8332133440562162</v>
      </c>
      <c r="I28" s="40">
        <f t="shared" si="5"/>
        <v>2.3025850929940459</v>
      </c>
      <c r="J28" s="40"/>
      <c r="M28" s="40"/>
      <c r="N28" s="40"/>
      <c r="O28" s="40"/>
      <c r="P28" s="40"/>
    </row>
    <row r="29" spans="1:16">
      <c r="A29" s="40">
        <v>18</v>
      </c>
      <c r="B29" s="40">
        <v>1583</v>
      </c>
      <c r="C29" s="40">
        <v>17.5</v>
      </c>
      <c r="D29" s="40">
        <v>10.625</v>
      </c>
      <c r="E29" s="40">
        <f t="shared" si="2"/>
        <v>0.76086956521739135</v>
      </c>
      <c r="F29" s="40">
        <f t="shared" si="0"/>
        <v>0.70910250340902437</v>
      </c>
      <c r="G29" s="40">
        <f t="shared" si="3"/>
        <v>7.3670770598810122</v>
      </c>
      <c r="H29" s="40">
        <f t="shared" si="4"/>
        <v>2.8622008809294686</v>
      </c>
      <c r="I29" s="40">
        <f t="shared" si="5"/>
        <v>2.3632097148104805</v>
      </c>
      <c r="J29" s="40"/>
      <c r="M29" s="40"/>
      <c r="N29" s="40"/>
      <c r="O29" s="40"/>
      <c r="P29" s="40"/>
    </row>
    <row r="30" spans="1:16">
      <c r="A30" s="40">
        <v>19</v>
      </c>
      <c r="B30" s="40">
        <v>1583</v>
      </c>
      <c r="C30" s="40">
        <v>20</v>
      </c>
      <c r="D30" s="40">
        <v>10.909090909090908</v>
      </c>
      <c r="E30" s="40">
        <f t="shared" si="2"/>
        <v>0.80434782608695654</v>
      </c>
      <c r="F30" s="40">
        <f t="shared" si="0"/>
        <v>0.85725432022117776</v>
      </c>
      <c r="G30" s="40">
        <f t="shared" si="3"/>
        <v>7.3670770598810122</v>
      </c>
      <c r="H30" s="40">
        <f t="shared" si="4"/>
        <v>2.9957322735539909</v>
      </c>
      <c r="I30" s="40">
        <f t="shared" si="5"/>
        <v>2.3895964699836756</v>
      </c>
      <c r="J30" s="40"/>
      <c r="M30" s="40"/>
      <c r="N30" s="40"/>
      <c r="O30" s="40"/>
      <c r="P30" s="40"/>
    </row>
    <row r="31" spans="1:16">
      <c r="A31" s="40">
        <v>20</v>
      </c>
      <c r="B31" s="40">
        <v>1583</v>
      </c>
      <c r="C31" s="40">
        <v>20</v>
      </c>
      <c r="D31" s="40">
        <v>10.9375</v>
      </c>
      <c r="E31" s="40">
        <f t="shared" si="2"/>
        <v>0.84782608695652173</v>
      </c>
      <c r="F31" s="40">
        <f t="shared" si="0"/>
        <v>1.0271542729149992</v>
      </c>
      <c r="G31" s="40">
        <f t="shared" si="3"/>
        <v>7.3670770598810122</v>
      </c>
      <c r="H31" s="40">
        <f t="shared" si="4"/>
        <v>2.9957322735539909</v>
      </c>
      <c r="I31" s="40">
        <f t="shared" si="5"/>
        <v>2.3921972516837329</v>
      </c>
      <c r="J31" s="40"/>
    </row>
    <row r="32" spans="1:16">
      <c r="A32" s="40">
        <v>21</v>
      </c>
      <c r="B32" s="40">
        <v>1750</v>
      </c>
      <c r="C32" s="40">
        <v>24</v>
      </c>
      <c r="D32" s="40">
        <v>12.5</v>
      </c>
      <c r="E32" s="40">
        <f t="shared" si="2"/>
        <v>0.89130434782608692</v>
      </c>
      <c r="F32" s="40">
        <f t="shared" si="0"/>
        <v>1.233494561968691</v>
      </c>
      <c r="G32" s="40">
        <f t="shared" si="3"/>
        <v>7.4673710669175595</v>
      </c>
      <c r="H32" s="40">
        <f t="shared" si="4"/>
        <v>3.1780538303479458</v>
      </c>
      <c r="I32" s="40">
        <f t="shared" si="5"/>
        <v>2.5257286443082556</v>
      </c>
      <c r="J32" s="40"/>
      <c r="M32" s="835"/>
    </row>
    <row r="33" spans="1:16">
      <c r="A33" s="40">
        <v>22</v>
      </c>
      <c r="B33" s="40">
        <v>1760</v>
      </c>
      <c r="C33" s="40">
        <v>29.3</v>
      </c>
      <c r="D33" s="40">
        <v>15.9</v>
      </c>
      <c r="E33" s="40">
        <f t="shared" si="2"/>
        <v>0.93478260869565222</v>
      </c>
      <c r="F33" s="40">
        <f>NORMSINV(E33)</f>
        <v>1.5123895860676808</v>
      </c>
      <c r="G33" s="40">
        <f t="shared" si="3"/>
        <v>7.4730690880321973</v>
      </c>
      <c r="H33" s="40">
        <f t="shared" si="4"/>
        <v>3.3775875160230218</v>
      </c>
      <c r="I33" s="40">
        <f t="shared" si="5"/>
        <v>2.7663191092261861</v>
      </c>
      <c r="J33" s="40"/>
    </row>
    <row r="34" spans="1:16">
      <c r="A34" s="40">
        <v>23</v>
      </c>
      <c r="B34" s="40">
        <v>2200</v>
      </c>
      <c r="C34" s="40">
        <v>48</v>
      </c>
      <c r="D34" s="40">
        <v>24</v>
      </c>
      <c r="E34" s="40">
        <f t="shared" si="2"/>
        <v>0.97826086956521741</v>
      </c>
      <c r="F34" s="40">
        <f>NORMSINV(E34)</f>
        <v>2.0190862005831423</v>
      </c>
      <c r="G34" s="40">
        <f t="shared" si="3"/>
        <v>7.696212639346407</v>
      </c>
      <c r="H34" s="40">
        <f t="shared" si="4"/>
        <v>3.8712010109078911</v>
      </c>
      <c r="I34" s="40">
        <f t="shared" si="5"/>
        <v>3.1780538303479458</v>
      </c>
      <c r="J34" s="40"/>
      <c r="K34" s="40"/>
      <c r="N34" s="40"/>
      <c r="O34" s="40"/>
      <c r="P34" s="40"/>
    </row>
    <row r="35" spans="1:16">
      <c r="A35" s="872"/>
      <c r="B35" s="872"/>
      <c r="C35" s="872"/>
      <c r="D35" s="872"/>
      <c r="E35" s="872"/>
      <c r="F35" s="872"/>
      <c r="G35" s="872"/>
      <c r="H35" s="872"/>
      <c r="I35" s="872"/>
      <c r="J35" s="40"/>
      <c r="K35" s="40"/>
      <c r="N35" s="40"/>
      <c r="O35" s="40"/>
      <c r="P35" s="40"/>
    </row>
    <row r="36" spans="1:16">
      <c r="A36" s="872"/>
      <c r="B36" s="872"/>
      <c r="C36" s="872"/>
      <c r="D36" s="872"/>
      <c r="E36" s="872"/>
      <c r="F36" s="872"/>
      <c r="G36" s="872"/>
      <c r="H36" s="872"/>
      <c r="I36" s="872"/>
      <c r="J36" s="40"/>
      <c r="K36" s="40"/>
      <c r="N36" s="40"/>
      <c r="O36" s="40"/>
      <c r="P36" s="40"/>
    </row>
    <row r="37" spans="1:16">
      <c r="A37" s="872"/>
      <c r="B37" s="872"/>
      <c r="C37" s="872"/>
      <c r="D37" s="872"/>
      <c r="E37" s="872"/>
      <c r="F37" s="872"/>
      <c r="G37" s="872"/>
      <c r="H37" s="872"/>
      <c r="I37" s="872"/>
      <c r="J37" s="40"/>
      <c r="K37" s="40"/>
      <c r="N37" s="40"/>
      <c r="O37" s="40"/>
      <c r="P37" s="40"/>
    </row>
    <row r="38" spans="1:16">
      <c r="A38" s="872"/>
      <c r="B38" s="872"/>
      <c r="C38" s="872"/>
      <c r="D38" s="872"/>
      <c r="E38" s="872"/>
      <c r="F38" s="872"/>
      <c r="G38" s="872"/>
      <c r="H38" s="872"/>
      <c r="I38" s="872"/>
      <c r="J38" s="40"/>
      <c r="K38" s="40"/>
      <c r="N38" s="40"/>
      <c r="O38" s="40"/>
      <c r="P38" s="40"/>
    </row>
    <row r="39" spans="1:16">
      <c r="A39" s="872"/>
      <c r="B39" s="872"/>
      <c r="C39" s="872"/>
      <c r="D39" s="872"/>
      <c r="E39" s="872"/>
      <c r="F39" s="872"/>
      <c r="G39" s="872"/>
      <c r="H39" s="872"/>
      <c r="I39" s="872"/>
      <c r="J39" s="40"/>
      <c r="K39" s="40"/>
      <c r="N39" s="40"/>
      <c r="O39" s="40"/>
      <c r="P39" s="40"/>
    </row>
    <row r="40" spans="1:16">
      <c r="A40" s="872"/>
      <c r="B40" s="872"/>
      <c r="C40" s="872"/>
      <c r="D40" s="872"/>
      <c r="E40" s="872"/>
      <c r="F40" s="872"/>
      <c r="G40" s="872"/>
      <c r="H40" s="872"/>
      <c r="I40" s="872"/>
      <c r="J40" s="40"/>
      <c r="K40" s="40"/>
      <c r="N40" s="40"/>
      <c r="O40" s="40"/>
      <c r="P40" s="40"/>
    </row>
    <row r="41" spans="1:16">
      <c r="A41" s="872"/>
      <c r="B41" s="872"/>
      <c r="C41" s="872"/>
      <c r="D41" s="872"/>
      <c r="E41" s="872"/>
      <c r="F41" s="872"/>
      <c r="G41" s="872"/>
      <c r="H41" s="872"/>
      <c r="I41" s="872"/>
      <c r="J41" s="40"/>
      <c r="K41" s="40"/>
      <c r="N41" s="40"/>
      <c r="O41" s="40"/>
      <c r="P41" s="40"/>
    </row>
    <row r="42" spans="1:16">
      <c r="A42" s="872"/>
      <c r="B42" s="872"/>
      <c r="C42" s="872"/>
      <c r="D42" s="872"/>
      <c r="E42" s="872"/>
      <c r="F42" s="872"/>
      <c r="G42" s="872"/>
      <c r="H42" s="872"/>
      <c r="I42" s="872"/>
      <c r="J42" s="40"/>
      <c r="K42" s="40"/>
      <c r="N42" s="40"/>
      <c r="O42" s="40"/>
      <c r="P42" s="40"/>
    </row>
    <row r="43" spans="1:16">
      <c r="A43" s="872"/>
      <c r="B43" s="872"/>
      <c r="C43" s="872"/>
      <c r="D43" s="872"/>
      <c r="E43" s="872"/>
      <c r="F43" s="872"/>
      <c r="G43" s="872"/>
      <c r="H43" s="872"/>
      <c r="I43" s="872"/>
      <c r="J43" s="40"/>
      <c r="K43" s="40"/>
      <c r="N43" s="40"/>
      <c r="O43" s="40"/>
      <c r="P43" s="40"/>
    </row>
    <row r="44" spans="1:16">
      <c r="A44" s="872"/>
      <c r="B44" s="872"/>
      <c r="C44" s="872"/>
      <c r="D44" s="872"/>
      <c r="E44" s="872"/>
      <c r="F44" s="872"/>
      <c r="G44" s="872"/>
      <c r="H44" s="872"/>
      <c r="I44" s="872"/>
      <c r="J44" s="40"/>
      <c r="K44" s="40"/>
      <c r="N44" s="40"/>
      <c r="O44" s="40"/>
      <c r="P44" s="40"/>
    </row>
    <row r="45" spans="1:16">
      <c r="A45" s="872"/>
      <c r="B45" s="872"/>
      <c r="C45" s="872"/>
      <c r="D45" s="872"/>
      <c r="E45" s="872"/>
      <c r="F45" s="872"/>
      <c r="G45" s="872"/>
      <c r="H45" s="872"/>
      <c r="I45" s="872"/>
      <c r="J45" s="40"/>
      <c r="K45" s="40"/>
      <c r="N45" s="40"/>
      <c r="O45" s="40"/>
      <c r="P45" s="40"/>
    </row>
    <row r="46" spans="1:16">
      <c r="A46" s="872"/>
      <c r="B46" s="872"/>
      <c r="C46" s="872"/>
      <c r="D46" s="872"/>
      <c r="E46" s="872"/>
      <c r="F46" s="872"/>
      <c r="G46" s="872"/>
      <c r="H46" s="872"/>
      <c r="I46" s="872"/>
      <c r="J46" s="40"/>
      <c r="K46" s="40"/>
      <c r="N46" s="40"/>
      <c r="O46" s="40"/>
      <c r="P46" s="40"/>
    </row>
    <row r="47" spans="1:16">
      <c r="A47" s="872"/>
      <c r="B47" s="872"/>
      <c r="C47" s="872"/>
      <c r="D47" s="872"/>
      <c r="E47" s="872"/>
      <c r="F47" s="872"/>
      <c r="G47" s="872"/>
      <c r="H47" s="872"/>
      <c r="I47" s="872"/>
      <c r="J47" s="40"/>
      <c r="K47" s="40"/>
      <c r="N47" s="40"/>
      <c r="O47" s="40"/>
      <c r="P47" s="40"/>
    </row>
    <row r="48" spans="1:16">
      <c r="A48" s="872"/>
      <c r="B48" s="872"/>
      <c r="C48" s="872"/>
      <c r="D48" s="872"/>
      <c r="E48" s="872"/>
      <c r="F48" s="872"/>
      <c r="G48" s="872"/>
      <c r="H48" s="872"/>
      <c r="I48" s="872"/>
      <c r="J48" s="40"/>
      <c r="K48" s="40"/>
      <c r="N48" s="40"/>
      <c r="O48" s="40"/>
      <c r="P48" s="40"/>
    </row>
    <row r="49" spans="1:16">
      <c r="A49" s="872"/>
      <c r="B49" s="872"/>
      <c r="C49" s="872"/>
      <c r="D49" s="872"/>
      <c r="E49" s="872"/>
      <c r="F49" s="872"/>
      <c r="G49" s="872"/>
      <c r="H49" s="872"/>
      <c r="I49" s="872"/>
      <c r="J49" s="40"/>
      <c r="K49" s="40"/>
      <c r="N49" s="40"/>
      <c r="O49" s="40"/>
      <c r="P49" s="40"/>
    </row>
    <row r="50" spans="1:16">
      <c r="A50" s="872"/>
      <c r="B50" s="872"/>
      <c r="C50" s="872"/>
      <c r="D50" s="872"/>
      <c r="E50" s="872"/>
      <c r="F50" s="872"/>
      <c r="G50" s="872"/>
      <c r="H50" s="872"/>
      <c r="I50" s="872"/>
      <c r="J50" s="40"/>
      <c r="K50" s="40"/>
      <c r="N50" s="40"/>
      <c r="O50" s="40"/>
      <c r="P50" s="40"/>
    </row>
    <row r="51" spans="1:16">
      <c r="A51" s="872"/>
      <c r="B51" s="872"/>
      <c r="C51" s="872"/>
      <c r="D51" s="872"/>
      <c r="E51" s="872"/>
      <c r="F51" s="872"/>
      <c r="G51" s="872"/>
      <c r="H51" s="872"/>
      <c r="I51" s="872"/>
      <c r="J51" s="40"/>
      <c r="K51" s="40"/>
      <c r="N51" s="40"/>
      <c r="O51" s="40"/>
      <c r="P51" s="40"/>
    </row>
    <row r="52" spans="1:16">
      <c r="A52" s="872"/>
      <c r="B52" s="872"/>
      <c r="C52" s="872"/>
      <c r="D52" s="872"/>
      <c r="E52" s="872"/>
      <c r="F52" s="872"/>
      <c r="G52" s="872"/>
      <c r="H52" s="872"/>
      <c r="I52" s="872"/>
      <c r="J52" s="40"/>
      <c r="K52" s="40"/>
      <c r="N52" s="40"/>
      <c r="O52" s="40"/>
      <c r="P52" s="40"/>
    </row>
    <row r="53" spans="1:16">
      <c r="A53" s="872"/>
      <c r="B53" s="872"/>
      <c r="C53" s="872"/>
      <c r="D53" s="872"/>
      <c r="E53" s="872"/>
      <c r="F53" s="872"/>
      <c r="G53" s="872"/>
      <c r="H53" s="872"/>
      <c r="I53" s="872"/>
      <c r="J53" s="40"/>
    </row>
    <row r="54" spans="1:16">
      <c r="A54" s="872"/>
      <c r="B54" s="872"/>
      <c r="C54" s="872"/>
      <c r="D54" s="872"/>
      <c r="E54" s="872"/>
      <c r="F54" s="872"/>
      <c r="G54" s="872"/>
      <c r="H54" s="872"/>
      <c r="I54" s="872"/>
      <c r="J54" s="40"/>
    </row>
    <row r="55" spans="1:16">
      <c r="A55" s="872"/>
      <c r="B55" s="872"/>
      <c r="C55" s="872"/>
      <c r="D55" s="872"/>
      <c r="E55" s="872"/>
      <c r="F55" s="872"/>
      <c r="G55" s="872"/>
      <c r="H55" s="872"/>
      <c r="I55" s="872"/>
      <c r="J55" s="40"/>
    </row>
    <row r="56" spans="1:16">
      <c r="A56" s="872"/>
      <c r="B56" s="872"/>
      <c r="C56" s="872"/>
      <c r="D56" s="872"/>
      <c r="E56" s="872"/>
      <c r="F56" s="872"/>
      <c r="G56" s="872"/>
      <c r="H56" s="872"/>
      <c r="I56" s="872"/>
      <c r="J56" s="40"/>
    </row>
    <row r="57" spans="1:16">
      <c r="A57" s="872"/>
      <c r="B57" s="872"/>
      <c r="C57" s="872"/>
      <c r="D57" s="872"/>
      <c r="E57" s="872"/>
      <c r="F57" s="872"/>
      <c r="G57" s="872"/>
      <c r="H57" s="872"/>
      <c r="I57" s="872"/>
      <c r="J57" s="40"/>
    </row>
    <row r="58" spans="1:16">
      <c r="A58" s="872"/>
      <c r="B58" s="872"/>
      <c r="C58" s="872"/>
      <c r="D58" s="872"/>
      <c r="E58" s="872"/>
      <c r="F58" s="872"/>
      <c r="G58" s="872"/>
      <c r="H58" s="872"/>
      <c r="I58" s="872"/>
      <c r="J58" s="40"/>
    </row>
    <row r="59" spans="1:16">
      <c r="A59" s="872"/>
      <c r="B59" s="872"/>
      <c r="C59" s="872"/>
      <c r="D59" s="872"/>
      <c r="E59" s="872"/>
      <c r="F59" s="872"/>
      <c r="G59" s="872"/>
      <c r="H59" s="872"/>
      <c r="I59" s="872"/>
      <c r="J59" s="40"/>
    </row>
    <row r="60" spans="1:16">
      <c r="A60" s="872"/>
      <c r="B60" s="872"/>
      <c r="C60" s="872"/>
      <c r="D60" s="872"/>
      <c r="E60" s="872"/>
      <c r="F60" s="872"/>
      <c r="G60" s="872"/>
      <c r="H60" s="872"/>
      <c r="I60" s="872"/>
      <c r="J60" s="40"/>
    </row>
    <row r="61" spans="1:16">
      <c r="A61" s="40"/>
      <c r="B61" s="40"/>
      <c r="C61" s="40"/>
      <c r="D61" s="40"/>
      <c r="E61" s="40"/>
      <c r="F61" s="40"/>
      <c r="G61" s="40"/>
      <c r="H61" s="40"/>
      <c r="I61" s="40"/>
      <c r="J61" s="40"/>
    </row>
    <row r="62" spans="1:16">
      <c r="A62" s="40"/>
      <c r="B62" s="40"/>
      <c r="C62" s="40"/>
      <c r="D62" s="40"/>
      <c r="E62" s="40"/>
      <c r="F62" s="40"/>
      <c r="G62" s="40"/>
      <c r="H62" s="40"/>
      <c r="I62" s="40"/>
      <c r="J62" s="40"/>
    </row>
    <row r="63" spans="1:16">
      <c r="A63" s="40"/>
      <c r="B63" s="40"/>
      <c r="C63" s="40"/>
      <c r="D63" s="40"/>
      <c r="E63" s="40"/>
      <c r="F63" s="40"/>
      <c r="G63" s="40"/>
      <c r="H63" s="40"/>
      <c r="I63" s="40"/>
      <c r="J63" s="40"/>
    </row>
    <row r="64" spans="1:16">
      <c r="A64" s="40"/>
      <c r="B64" s="40"/>
      <c r="C64" s="40"/>
      <c r="D64" s="40"/>
      <c r="E64" s="40"/>
      <c r="F64" s="40"/>
      <c r="G64" s="40"/>
      <c r="H64" s="40"/>
      <c r="I64" s="40"/>
      <c r="J64" s="40"/>
    </row>
    <row r="65" spans="1:10">
      <c r="A65" s="40"/>
      <c r="B65" s="40"/>
      <c r="C65" s="40"/>
      <c r="D65" s="40"/>
      <c r="E65" s="40"/>
      <c r="F65" s="40"/>
      <c r="G65" s="40"/>
      <c r="H65" s="40"/>
      <c r="I65" s="40"/>
      <c r="J65" s="40"/>
    </row>
    <row r="66" spans="1:10">
      <c r="A66" s="40"/>
      <c r="B66" s="40"/>
      <c r="C66" s="40"/>
      <c r="D66" s="40"/>
      <c r="E66" s="40"/>
      <c r="F66" s="40"/>
      <c r="G66" s="40"/>
      <c r="H66" s="40"/>
      <c r="I66" s="40"/>
      <c r="J66" s="40"/>
    </row>
    <row r="67" spans="1:10">
      <c r="A67" s="40"/>
      <c r="B67" s="40"/>
      <c r="C67" s="40"/>
      <c r="D67" s="40"/>
      <c r="E67" s="40"/>
      <c r="F67" s="40"/>
      <c r="G67" s="40"/>
      <c r="H67" s="40"/>
      <c r="I67" s="40"/>
      <c r="J67" s="40"/>
    </row>
    <row r="68" spans="1:10">
      <c r="A68" s="40"/>
      <c r="B68" s="40"/>
      <c r="C68" s="40"/>
      <c r="D68" s="40"/>
      <c r="E68" s="40"/>
      <c r="F68" s="40"/>
      <c r="G68" s="40"/>
      <c r="H68" s="40"/>
      <c r="I68" s="40"/>
      <c r="J68" s="40"/>
    </row>
    <row r="69" spans="1:10">
      <c r="A69" s="40"/>
      <c r="B69" s="40"/>
      <c r="C69" s="40"/>
      <c r="D69" s="40"/>
      <c r="E69" s="40"/>
      <c r="F69" s="40"/>
      <c r="G69" s="40"/>
      <c r="H69" s="40"/>
      <c r="I69" s="40"/>
      <c r="J69" s="40"/>
    </row>
    <row r="70" spans="1:10">
      <c r="A70" s="40"/>
      <c r="B70" s="40"/>
      <c r="C70" s="40"/>
      <c r="D70" s="40"/>
      <c r="E70" s="40"/>
      <c r="F70" s="40"/>
      <c r="G70" s="40"/>
      <c r="H70" s="40"/>
      <c r="I70" s="40"/>
      <c r="J70" s="40"/>
    </row>
    <row r="71" spans="1:10">
      <c r="A71" s="40"/>
      <c r="B71" s="40"/>
      <c r="C71" s="40"/>
      <c r="D71" s="40"/>
      <c r="E71" s="40"/>
      <c r="F71" s="40"/>
      <c r="G71" s="40"/>
      <c r="H71" s="40"/>
      <c r="I71" s="40"/>
      <c r="J71" s="40"/>
    </row>
    <row r="72" spans="1:10">
      <c r="A72" s="40"/>
      <c r="B72" s="40"/>
      <c r="C72" s="40"/>
      <c r="D72" s="40"/>
      <c r="E72" s="40"/>
      <c r="F72" s="40"/>
      <c r="G72" s="40"/>
      <c r="H72" s="40"/>
      <c r="I72" s="40"/>
      <c r="J72" s="40"/>
    </row>
    <row r="73" spans="1:10">
      <c r="A73" s="40"/>
      <c r="B73" s="40"/>
      <c r="C73" s="40"/>
      <c r="D73" s="40"/>
      <c r="E73" s="40"/>
      <c r="F73" s="40"/>
      <c r="G73" s="40"/>
      <c r="H73" s="40"/>
      <c r="I73" s="40"/>
      <c r="J73" s="40"/>
    </row>
    <row r="74" spans="1:10">
      <c r="A74" s="40"/>
      <c r="B74" s="40"/>
      <c r="C74" s="40"/>
      <c r="D74" s="40"/>
      <c r="E74" s="40"/>
      <c r="F74" s="40"/>
      <c r="G74" s="40"/>
      <c r="H74" s="40"/>
      <c r="I74" s="40"/>
      <c r="J74" s="40"/>
    </row>
    <row r="75" spans="1:10">
      <c r="A75" s="40"/>
      <c r="B75" s="40"/>
      <c r="C75" s="40"/>
      <c r="D75" s="40"/>
      <c r="E75" s="40"/>
      <c r="F75" s="40"/>
      <c r="G75" s="40"/>
      <c r="H75" s="40"/>
      <c r="I75" s="40"/>
      <c r="J75" s="40"/>
    </row>
    <row r="76" spans="1:10">
      <c r="A76" s="40"/>
      <c r="B76" s="40"/>
      <c r="C76" s="40"/>
      <c r="D76" s="40"/>
      <c r="E76" s="40"/>
      <c r="F76" s="40"/>
      <c r="G76" s="40"/>
      <c r="H76" s="40"/>
      <c r="I76" s="40"/>
      <c r="J76" s="40"/>
    </row>
    <row r="77" spans="1:10">
      <c r="A77" s="40"/>
      <c r="B77" s="40"/>
      <c r="C77" s="40"/>
      <c r="D77" s="40"/>
      <c r="E77" s="40"/>
      <c r="F77" s="40"/>
      <c r="G77" s="40"/>
      <c r="H77" s="40"/>
      <c r="I77" s="40"/>
      <c r="J77" s="40"/>
    </row>
    <row r="78" spans="1:10">
      <c r="A78" s="40"/>
      <c r="B78" s="40"/>
      <c r="C78" s="40"/>
      <c r="D78" s="40"/>
      <c r="E78" s="40"/>
      <c r="F78" s="40"/>
      <c r="G78" s="40"/>
      <c r="H78" s="40"/>
      <c r="I78" s="40"/>
      <c r="J78" s="40"/>
    </row>
    <row r="79" spans="1:10">
      <c r="A79" s="40"/>
      <c r="B79" s="40"/>
      <c r="C79" s="40"/>
      <c r="D79" s="40"/>
      <c r="E79" s="40"/>
      <c r="F79" s="40"/>
      <c r="G79" s="40"/>
      <c r="H79" s="40"/>
      <c r="I79" s="40"/>
      <c r="J79" s="40"/>
    </row>
    <row r="80" spans="1:10">
      <c r="A80" s="40"/>
      <c r="B80" s="40"/>
      <c r="C80" s="40"/>
      <c r="D80" s="40"/>
      <c r="E80" s="40"/>
      <c r="F80" s="40"/>
      <c r="G80" s="40"/>
      <c r="H80" s="40"/>
      <c r="I80" s="40"/>
      <c r="J80" s="40"/>
    </row>
    <row r="81" spans="1:10">
      <c r="A81" s="40"/>
      <c r="B81" s="40"/>
      <c r="C81" s="40"/>
      <c r="D81" s="40"/>
      <c r="E81" s="40"/>
      <c r="F81" s="40"/>
      <c r="G81" s="40"/>
      <c r="H81" s="40"/>
      <c r="I81" s="40"/>
      <c r="J81" s="40"/>
    </row>
    <row r="82" spans="1:10">
      <c r="A82" s="40"/>
      <c r="B82" s="40"/>
      <c r="C82" s="40"/>
      <c r="D82" s="40"/>
      <c r="E82" s="40"/>
      <c r="F82" s="40"/>
      <c r="G82" s="40"/>
      <c r="H82" s="40"/>
      <c r="I82" s="40"/>
      <c r="J82" s="40"/>
    </row>
    <row r="83" spans="1:10">
      <c r="A83" s="40"/>
      <c r="B83" s="40"/>
      <c r="C83" s="40"/>
      <c r="D83" s="40"/>
      <c r="E83" s="40"/>
      <c r="F83" s="40"/>
      <c r="G83" s="40"/>
      <c r="H83" s="40"/>
      <c r="I83" s="40"/>
      <c r="J83" s="40"/>
    </row>
    <row r="84" spans="1:10">
      <c r="A84" s="40"/>
      <c r="B84" s="40"/>
      <c r="C84" s="40"/>
      <c r="D84" s="40"/>
      <c r="E84" s="40"/>
      <c r="F84" s="40"/>
      <c r="G84" s="40"/>
      <c r="H84" s="40"/>
      <c r="I84" s="40"/>
      <c r="J84" s="40"/>
    </row>
    <row r="85" spans="1:10">
      <c r="A85" s="40"/>
      <c r="B85" s="40"/>
      <c r="C85" s="40"/>
      <c r="D85" s="40"/>
      <c r="E85" s="40"/>
      <c r="F85" s="40"/>
      <c r="G85" s="40"/>
      <c r="H85" s="40"/>
      <c r="I85" s="40"/>
      <c r="J85" s="40"/>
    </row>
    <row r="86" spans="1:10">
      <c r="A86" s="40"/>
      <c r="B86" s="40"/>
      <c r="C86" s="40"/>
      <c r="D86" s="40"/>
      <c r="E86" s="40"/>
      <c r="F86" s="40"/>
      <c r="G86" s="40"/>
      <c r="H86" s="40"/>
      <c r="I86" s="40"/>
      <c r="J86" s="40"/>
    </row>
    <row r="87" spans="1:10">
      <c r="A87" s="40"/>
      <c r="B87" s="40"/>
      <c r="C87" s="40"/>
      <c r="D87" s="40"/>
      <c r="E87" s="40"/>
      <c r="F87" s="40"/>
      <c r="G87" s="40"/>
      <c r="H87" s="40"/>
      <c r="I87" s="40"/>
      <c r="J87" s="40"/>
    </row>
    <row r="88" spans="1:10">
      <c r="A88" s="40"/>
      <c r="B88" s="40"/>
      <c r="C88" s="40"/>
      <c r="D88" s="40"/>
      <c r="E88" s="40"/>
      <c r="F88" s="40"/>
      <c r="G88" s="40"/>
      <c r="H88" s="40"/>
      <c r="I88" s="40"/>
      <c r="J88" s="40"/>
    </row>
    <row r="89" spans="1:10">
      <c r="A89" s="40"/>
      <c r="B89" s="40"/>
      <c r="C89" s="40"/>
      <c r="D89" s="40"/>
      <c r="E89" s="40"/>
      <c r="F89" s="40"/>
      <c r="G89" s="40"/>
      <c r="H89" s="40"/>
      <c r="I89" s="40"/>
      <c r="J89" s="40"/>
    </row>
    <row r="90" spans="1:10">
      <c r="A90" s="40"/>
      <c r="B90" s="40"/>
      <c r="C90" s="40"/>
      <c r="D90" s="40"/>
      <c r="E90" s="40"/>
      <c r="F90" s="40"/>
      <c r="G90" s="40"/>
      <c r="H90" s="40"/>
      <c r="I90" s="40"/>
      <c r="J90" s="40"/>
    </row>
    <row r="91" spans="1:10">
      <c r="A91" s="40"/>
      <c r="B91" s="40"/>
      <c r="C91" s="40"/>
      <c r="D91" s="40"/>
      <c r="E91" s="40"/>
      <c r="F91" s="40"/>
      <c r="G91" s="40"/>
      <c r="H91" s="40"/>
      <c r="I91" s="40"/>
      <c r="J91" s="40"/>
    </row>
    <row r="92" spans="1:10">
      <c r="A92" s="40"/>
      <c r="B92" s="40"/>
      <c r="C92" s="40"/>
      <c r="D92" s="40"/>
      <c r="E92" s="40"/>
      <c r="F92" s="40"/>
      <c r="G92" s="40"/>
      <c r="H92" s="40"/>
      <c r="I92" s="40"/>
      <c r="J92" s="40"/>
    </row>
    <row r="93" spans="1:10">
      <c r="A93" s="40"/>
      <c r="B93" s="40"/>
      <c r="C93" s="40"/>
      <c r="D93" s="40"/>
      <c r="E93" s="40"/>
      <c r="F93" s="40"/>
      <c r="G93" s="40"/>
      <c r="H93" s="40"/>
      <c r="I93" s="40"/>
      <c r="J93" s="40"/>
    </row>
    <row r="94" spans="1:10">
      <c r="A94" s="40"/>
      <c r="B94" s="40"/>
      <c r="C94" s="40"/>
      <c r="D94" s="40"/>
      <c r="E94" s="40"/>
      <c r="F94" s="40"/>
      <c r="G94" s="40"/>
      <c r="H94" s="40"/>
      <c r="I94" s="40"/>
      <c r="J94" s="40"/>
    </row>
    <row r="95" spans="1:10">
      <c r="A95" s="40"/>
      <c r="B95" s="40"/>
      <c r="C95" s="40"/>
      <c r="D95" s="40"/>
      <c r="E95" s="40"/>
      <c r="F95" s="40"/>
      <c r="G95" s="40"/>
      <c r="H95" s="40"/>
      <c r="I95" s="40"/>
      <c r="J95" s="40"/>
    </row>
    <row r="96" spans="1:10">
      <c r="A96" s="40"/>
      <c r="B96" s="40"/>
      <c r="C96" s="40"/>
      <c r="D96" s="40"/>
      <c r="E96" s="40"/>
      <c r="F96" s="40"/>
      <c r="G96" s="40"/>
      <c r="H96" s="40"/>
      <c r="I96" s="40"/>
      <c r="J96" s="40"/>
    </row>
    <row r="97" spans="1:10">
      <c r="A97" s="40"/>
      <c r="B97" s="40"/>
      <c r="C97" s="40"/>
      <c r="D97" s="40"/>
      <c r="E97" s="40"/>
      <c r="F97" s="40"/>
      <c r="G97" s="40"/>
      <c r="H97" s="40"/>
      <c r="I97" s="40"/>
      <c r="J97" s="40"/>
    </row>
    <row r="98" spans="1:10">
      <c r="A98" s="40"/>
      <c r="B98" s="40"/>
      <c r="C98" s="40"/>
      <c r="D98" s="40"/>
      <c r="E98" s="40"/>
      <c r="F98" s="40"/>
      <c r="G98" s="40"/>
      <c r="H98" s="40"/>
      <c r="I98" s="40"/>
      <c r="J98" s="40"/>
    </row>
    <row r="99" spans="1:10">
      <c r="A99" s="40"/>
      <c r="B99" s="40"/>
      <c r="C99" s="40"/>
      <c r="D99" s="40"/>
      <c r="E99" s="40"/>
      <c r="F99" s="40"/>
      <c r="G99" s="40"/>
      <c r="H99" s="40"/>
      <c r="I99" s="40"/>
      <c r="J99" s="40"/>
    </row>
    <row r="100" spans="1:10">
      <c r="A100" s="40"/>
      <c r="B100" s="40"/>
      <c r="C100" s="40"/>
      <c r="D100" s="40"/>
      <c r="E100" s="40"/>
      <c r="F100" s="40"/>
      <c r="G100" s="40"/>
      <c r="H100" s="40"/>
      <c r="I100" s="40"/>
      <c r="J100" s="40"/>
    </row>
    <row r="101" spans="1:10">
      <c r="A101" s="40"/>
      <c r="B101" s="40"/>
      <c r="C101" s="40"/>
      <c r="D101" s="40"/>
      <c r="E101" s="40"/>
      <c r="F101" s="40"/>
      <c r="G101" s="40"/>
      <c r="H101" s="40"/>
      <c r="I101" s="40"/>
      <c r="J101" s="40"/>
    </row>
    <row r="102" spans="1:10">
      <c r="A102" s="40"/>
      <c r="B102" s="40"/>
      <c r="C102" s="40"/>
      <c r="D102" s="40"/>
      <c r="E102" s="40"/>
      <c r="F102" s="40"/>
      <c r="G102" s="40"/>
      <c r="H102" s="40"/>
      <c r="I102" s="40"/>
      <c r="J102" s="40"/>
    </row>
    <row r="103" spans="1:10">
      <c r="A103" s="40"/>
      <c r="B103" s="40"/>
      <c r="C103" s="40"/>
      <c r="D103" s="40"/>
      <c r="E103" s="40"/>
      <c r="F103" s="40"/>
      <c r="G103" s="40"/>
      <c r="H103" s="40"/>
      <c r="I103" s="40"/>
      <c r="J103" s="40"/>
    </row>
    <row r="104" spans="1:10">
      <c r="A104" s="40"/>
      <c r="B104" s="40"/>
      <c r="C104" s="40"/>
      <c r="D104" s="40"/>
      <c r="E104" s="40"/>
      <c r="F104" s="40"/>
      <c r="G104" s="40"/>
      <c r="H104" s="40"/>
      <c r="I104" s="40"/>
      <c r="J104" s="40"/>
    </row>
    <row r="105" spans="1:10">
      <c r="A105" s="40"/>
      <c r="B105" s="40"/>
      <c r="C105" s="40"/>
      <c r="D105" s="40"/>
      <c r="E105" s="40"/>
      <c r="F105" s="40"/>
      <c r="G105" s="40"/>
      <c r="H105" s="40"/>
      <c r="I105" s="40"/>
      <c r="J105" s="40"/>
    </row>
    <row r="106" spans="1:10">
      <c r="A106" s="40"/>
      <c r="B106" s="40"/>
      <c r="C106" s="40"/>
      <c r="D106" s="40"/>
      <c r="E106" s="40"/>
      <c r="F106" s="40"/>
      <c r="G106" s="40"/>
      <c r="H106" s="40"/>
      <c r="I106" s="40"/>
      <c r="J106" s="40"/>
    </row>
    <row r="107" spans="1:10">
      <c r="A107" s="40"/>
      <c r="B107" s="40"/>
      <c r="C107" s="40"/>
      <c r="D107" s="40"/>
      <c r="E107" s="40"/>
      <c r="F107" s="40"/>
      <c r="G107" s="40"/>
      <c r="H107" s="40"/>
      <c r="I107" s="40"/>
      <c r="J107" s="40"/>
    </row>
    <row r="108" spans="1:10">
      <c r="A108" s="40"/>
      <c r="B108" s="40"/>
      <c r="C108" s="40"/>
      <c r="D108" s="40"/>
      <c r="E108" s="40"/>
      <c r="F108" s="40"/>
      <c r="G108" s="40"/>
      <c r="H108" s="40"/>
      <c r="I108" s="40"/>
      <c r="J108" s="40"/>
    </row>
    <row r="109" spans="1:10">
      <c r="A109" s="40"/>
      <c r="B109" s="40"/>
      <c r="C109" s="40"/>
      <c r="D109" s="40"/>
      <c r="E109" s="40"/>
      <c r="F109" s="40"/>
      <c r="G109" s="40"/>
      <c r="H109" s="40"/>
      <c r="I109" s="40"/>
      <c r="J109" s="40"/>
    </row>
    <row r="110" spans="1:10">
      <c r="A110" s="40"/>
      <c r="B110" s="40"/>
      <c r="C110" s="40"/>
      <c r="D110" s="40"/>
      <c r="E110" s="40"/>
      <c r="F110" s="40"/>
      <c r="G110" s="40"/>
      <c r="H110" s="40"/>
      <c r="I110" s="40"/>
      <c r="J110" s="40"/>
    </row>
    <row r="111" spans="1:10">
      <c r="A111" s="40"/>
      <c r="B111" s="40"/>
      <c r="C111" s="40"/>
      <c r="D111" s="40"/>
      <c r="E111" s="40"/>
      <c r="F111" s="40"/>
      <c r="G111" s="40"/>
      <c r="H111" s="40"/>
      <c r="I111" s="40"/>
      <c r="J111" s="40"/>
    </row>
    <row r="112" spans="1:10">
      <c r="A112" s="40"/>
      <c r="B112" s="40"/>
      <c r="C112" s="40"/>
      <c r="D112" s="40"/>
      <c r="E112" s="40"/>
      <c r="F112" s="40"/>
      <c r="G112" s="40"/>
      <c r="H112" s="40"/>
      <c r="I112" s="40"/>
      <c r="J112" s="40"/>
    </row>
    <row r="113" spans="1:10">
      <c r="A113" s="40"/>
      <c r="B113" s="40"/>
      <c r="C113" s="40"/>
      <c r="D113" s="40"/>
      <c r="E113" s="40"/>
      <c r="F113" s="40"/>
      <c r="G113" s="40"/>
      <c r="H113" s="40"/>
      <c r="I113" s="40"/>
      <c r="J113" s="40"/>
    </row>
    <row r="114" spans="1:10">
      <c r="A114" s="40"/>
      <c r="B114" s="40"/>
      <c r="C114" s="40"/>
      <c r="D114" s="40"/>
      <c r="E114" s="40"/>
      <c r="F114" s="40"/>
      <c r="G114" s="40"/>
      <c r="H114" s="40"/>
      <c r="I114" s="40"/>
      <c r="J114" s="40"/>
    </row>
    <row r="115" spans="1:10">
      <c r="A115" s="40"/>
      <c r="B115" s="40"/>
      <c r="C115" s="40"/>
      <c r="D115" s="40"/>
      <c r="E115" s="40"/>
      <c r="F115" s="40"/>
      <c r="G115" s="40"/>
      <c r="H115" s="40"/>
      <c r="I115" s="40"/>
      <c r="J115" s="40"/>
    </row>
    <row r="116" spans="1:10">
      <c r="A116" s="40"/>
      <c r="B116" s="40"/>
      <c r="C116" s="40"/>
      <c r="D116" s="40"/>
      <c r="E116" s="40"/>
      <c r="F116" s="40"/>
      <c r="G116" s="40"/>
      <c r="H116" s="40"/>
      <c r="I116" s="40"/>
      <c r="J116" s="40"/>
    </row>
    <row r="117" spans="1:10">
      <c r="A117" s="40"/>
      <c r="B117" s="40"/>
      <c r="C117" s="40"/>
      <c r="D117" s="40"/>
      <c r="E117" s="40"/>
      <c r="F117" s="40"/>
      <c r="G117" s="40"/>
      <c r="H117" s="40"/>
      <c r="I117" s="40"/>
      <c r="J117" s="40"/>
    </row>
    <row r="118" spans="1:10">
      <c r="A118" s="40"/>
      <c r="B118" s="40"/>
      <c r="C118" s="40"/>
      <c r="D118" s="40"/>
      <c r="E118" s="40"/>
      <c r="F118" s="40"/>
      <c r="G118" s="40"/>
      <c r="H118" s="40"/>
      <c r="I118" s="40"/>
      <c r="J118" s="40"/>
    </row>
    <row r="119" spans="1:10">
      <c r="A119" s="40"/>
      <c r="B119" s="40"/>
      <c r="C119" s="40"/>
      <c r="D119" s="40"/>
      <c r="E119" s="40"/>
      <c r="F119" s="40"/>
      <c r="G119" s="40"/>
      <c r="H119" s="40"/>
      <c r="I119" s="40"/>
      <c r="J119" s="40"/>
    </row>
    <row r="120" spans="1:10">
      <c r="A120" s="40"/>
      <c r="B120" s="40"/>
      <c r="C120" s="40"/>
      <c r="D120" s="40"/>
      <c r="E120" s="40"/>
      <c r="F120" s="40"/>
      <c r="G120" s="40"/>
      <c r="H120" s="40"/>
      <c r="I120" s="40"/>
      <c r="J120" s="40"/>
    </row>
    <row r="121" spans="1:10">
      <c r="A121" s="40"/>
      <c r="B121" s="40"/>
      <c r="C121" s="40"/>
      <c r="D121" s="40"/>
      <c r="E121" s="40"/>
      <c r="F121" s="40"/>
      <c r="G121" s="40"/>
      <c r="H121" s="40"/>
      <c r="I121" s="40"/>
      <c r="J121" s="40"/>
    </row>
    <row r="122" spans="1:10">
      <c r="A122" s="40"/>
      <c r="B122" s="40"/>
      <c r="C122" s="40"/>
      <c r="D122" s="40"/>
      <c r="E122" s="40"/>
      <c r="F122" s="40"/>
      <c r="G122" s="40"/>
      <c r="H122" s="40"/>
      <c r="I122" s="40"/>
      <c r="J122" s="40"/>
    </row>
    <row r="123" spans="1:10">
      <c r="A123" s="40"/>
      <c r="B123" s="40"/>
      <c r="C123" s="40"/>
      <c r="D123" s="40"/>
      <c r="E123" s="40"/>
      <c r="F123" s="40"/>
      <c r="G123" s="40"/>
      <c r="H123" s="40"/>
      <c r="I123" s="40"/>
      <c r="J123" s="40"/>
    </row>
    <row r="124" spans="1:10">
      <c r="A124" s="40"/>
      <c r="B124" s="40"/>
      <c r="C124" s="40"/>
      <c r="D124" s="40"/>
      <c r="E124" s="40"/>
      <c r="F124" s="40"/>
      <c r="G124" s="40"/>
      <c r="H124" s="40"/>
      <c r="I124" s="40"/>
      <c r="J124" s="40"/>
    </row>
    <row r="125" spans="1:10">
      <c r="A125" s="40"/>
      <c r="B125" s="40"/>
      <c r="C125" s="40"/>
      <c r="D125" s="40"/>
      <c r="E125" s="40"/>
      <c r="F125" s="40"/>
      <c r="G125" s="40"/>
      <c r="H125" s="40"/>
      <c r="I125" s="40"/>
      <c r="J125" s="40"/>
    </row>
    <row r="126" spans="1:10">
      <c r="A126" s="40"/>
      <c r="B126" s="40"/>
      <c r="C126" s="40"/>
      <c r="D126" s="40"/>
      <c r="E126" s="40"/>
      <c r="F126" s="40"/>
      <c r="G126" s="40"/>
      <c r="H126" s="40"/>
      <c r="I126" s="40"/>
      <c r="J126" s="40"/>
    </row>
    <row r="127" spans="1:10">
      <c r="A127" s="40"/>
      <c r="B127" s="40"/>
      <c r="C127" s="40"/>
      <c r="D127" s="40"/>
      <c r="E127" s="40"/>
      <c r="F127" s="40"/>
      <c r="G127" s="40"/>
      <c r="H127" s="40"/>
      <c r="I127" s="40"/>
      <c r="J127" s="40"/>
    </row>
    <row r="128" spans="1:10">
      <c r="A128" s="40"/>
      <c r="B128" s="40"/>
      <c r="C128" s="40"/>
      <c r="D128" s="40"/>
      <c r="E128" s="40"/>
      <c r="F128" s="40"/>
      <c r="G128" s="40"/>
      <c r="H128" s="40"/>
      <c r="I128" s="40"/>
      <c r="J128" s="40"/>
    </row>
    <row r="129" spans="1:10">
      <c r="A129" s="40"/>
      <c r="B129" s="40"/>
      <c r="C129" s="40"/>
      <c r="D129" s="40"/>
      <c r="E129" s="40"/>
      <c r="F129" s="40"/>
      <c r="G129" s="40"/>
      <c r="H129" s="40"/>
      <c r="I129" s="40"/>
      <c r="J129" s="40"/>
    </row>
    <row r="130" spans="1:10">
      <c r="A130" s="40"/>
      <c r="B130" s="40"/>
      <c r="C130" s="40"/>
      <c r="D130" s="40"/>
      <c r="E130" s="40"/>
      <c r="F130" s="40"/>
      <c r="G130" s="40"/>
      <c r="H130" s="40"/>
      <c r="I130" s="40"/>
      <c r="J130" s="40"/>
    </row>
    <row r="131" spans="1:10">
      <c r="A131" s="40"/>
      <c r="B131" s="40"/>
      <c r="C131" s="40"/>
      <c r="D131" s="40"/>
      <c r="E131" s="40"/>
      <c r="F131" s="40"/>
      <c r="G131" s="40"/>
      <c r="H131" s="40"/>
      <c r="I131" s="40"/>
      <c r="J131" s="40"/>
    </row>
    <row r="132" spans="1:10">
      <c r="A132" s="40"/>
      <c r="B132" s="40"/>
      <c r="C132" s="40"/>
      <c r="D132" s="40"/>
      <c r="E132" s="40"/>
      <c r="F132" s="40"/>
      <c r="G132" s="40"/>
      <c r="H132" s="40"/>
      <c r="I132" s="40"/>
      <c r="J132" s="40"/>
    </row>
    <row r="133" spans="1:10">
      <c r="A133" s="40"/>
      <c r="B133" s="40"/>
      <c r="C133" s="40"/>
      <c r="D133" s="40"/>
      <c r="E133" s="40"/>
      <c r="F133" s="40"/>
      <c r="G133" s="40"/>
      <c r="H133" s="40"/>
      <c r="I133" s="40"/>
      <c r="J133" s="40"/>
    </row>
    <row r="134" spans="1:10">
      <c r="A134" s="40"/>
      <c r="B134" s="40"/>
      <c r="C134" s="40"/>
      <c r="D134" s="40"/>
      <c r="E134" s="40"/>
      <c r="F134" s="40"/>
      <c r="G134" s="40"/>
      <c r="H134" s="40"/>
      <c r="I134" s="40"/>
      <c r="J134" s="40"/>
    </row>
    <row r="135" spans="1:10">
      <c r="A135" s="40"/>
      <c r="B135" s="40"/>
      <c r="C135" s="40"/>
      <c r="D135" s="40"/>
      <c r="E135" s="40"/>
      <c r="F135" s="40"/>
      <c r="G135" s="40"/>
      <c r="H135" s="40"/>
      <c r="I135" s="40"/>
      <c r="J135" s="40"/>
    </row>
    <row r="136" spans="1:10">
      <c r="A136" s="40"/>
      <c r="B136" s="40"/>
      <c r="C136" s="40"/>
      <c r="D136" s="40"/>
      <c r="E136" s="40"/>
      <c r="F136" s="40"/>
      <c r="G136" s="40"/>
      <c r="H136" s="40"/>
      <c r="I136" s="40"/>
      <c r="J136" s="40"/>
    </row>
    <row r="137" spans="1:10">
      <c r="A137" s="40"/>
      <c r="B137" s="40"/>
      <c r="C137" s="40"/>
      <c r="D137" s="40"/>
      <c r="E137" s="40"/>
      <c r="F137" s="40"/>
      <c r="G137" s="40"/>
      <c r="H137" s="40"/>
      <c r="I137" s="40"/>
      <c r="J137" s="40"/>
    </row>
    <row r="138" spans="1:10">
      <c r="A138" s="40"/>
      <c r="B138" s="40"/>
      <c r="C138" s="40"/>
      <c r="D138" s="40"/>
      <c r="E138" s="40"/>
      <c r="F138" s="40"/>
      <c r="G138" s="40"/>
      <c r="H138" s="40"/>
      <c r="I138" s="40"/>
      <c r="J138" s="40"/>
    </row>
    <row r="139" spans="1:10">
      <c r="A139" s="40"/>
      <c r="B139" s="40"/>
      <c r="C139" s="40"/>
      <c r="D139" s="40"/>
      <c r="E139" s="40"/>
      <c r="F139" s="40"/>
      <c r="G139" s="40"/>
      <c r="H139" s="40"/>
      <c r="I139" s="40"/>
      <c r="J139" s="40"/>
    </row>
    <row r="140" spans="1:10">
      <c r="A140" s="40"/>
      <c r="B140" s="40"/>
      <c r="C140" s="40"/>
      <c r="D140" s="40"/>
      <c r="E140" s="40"/>
      <c r="F140" s="40"/>
      <c r="G140" s="40"/>
      <c r="H140" s="40"/>
      <c r="I140" s="40"/>
      <c r="J140" s="40"/>
    </row>
    <row r="141" spans="1:10">
      <c r="A141" s="40"/>
      <c r="B141" s="40"/>
      <c r="C141" s="40"/>
      <c r="D141" s="40"/>
      <c r="E141" s="40"/>
      <c r="F141" s="40"/>
      <c r="G141" s="40"/>
      <c r="H141" s="40"/>
      <c r="I141" s="40"/>
      <c r="J141" s="40"/>
    </row>
    <row r="142" spans="1:10">
      <c r="A142" s="40"/>
      <c r="B142" s="40"/>
      <c r="C142" s="40"/>
      <c r="D142" s="40"/>
      <c r="E142" s="40"/>
      <c r="F142" s="40"/>
      <c r="G142" s="40"/>
      <c r="H142" s="40"/>
      <c r="I142" s="40"/>
      <c r="J142" s="40"/>
    </row>
    <row r="143" spans="1:10">
      <c r="A143" s="40"/>
      <c r="B143" s="40"/>
      <c r="C143" s="40"/>
      <c r="D143" s="40"/>
      <c r="E143" s="40"/>
      <c r="F143" s="40"/>
      <c r="G143" s="40"/>
      <c r="H143" s="40"/>
      <c r="I143" s="40"/>
      <c r="J143" s="40"/>
    </row>
    <row r="144" spans="1:10">
      <c r="A144" s="40"/>
      <c r="B144" s="40"/>
      <c r="C144" s="40"/>
      <c r="D144" s="40"/>
      <c r="E144" s="40"/>
      <c r="F144" s="40"/>
      <c r="G144" s="40"/>
      <c r="H144" s="40"/>
      <c r="I144" s="40"/>
      <c r="J144" s="40"/>
    </row>
    <row r="145" spans="1:10">
      <c r="A145" s="40"/>
      <c r="B145" s="40"/>
      <c r="C145" s="40"/>
      <c r="D145" s="40"/>
      <c r="E145" s="40"/>
      <c r="F145" s="40"/>
      <c r="G145" s="40"/>
      <c r="H145" s="40"/>
      <c r="I145" s="40"/>
      <c r="J145" s="40"/>
    </row>
    <row r="146" spans="1:10">
      <c r="A146" s="40"/>
      <c r="B146" s="40"/>
      <c r="C146" s="40"/>
      <c r="D146" s="40"/>
      <c r="E146" s="40"/>
      <c r="F146" s="40"/>
      <c r="G146" s="40"/>
      <c r="H146" s="40"/>
      <c r="I146" s="40"/>
      <c r="J146" s="40"/>
    </row>
    <row r="147" spans="1:10">
      <c r="A147" s="40"/>
      <c r="B147" s="40"/>
      <c r="C147" s="40"/>
      <c r="D147" s="40"/>
      <c r="E147" s="40"/>
      <c r="F147" s="40"/>
      <c r="G147" s="40"/>
      <c r="H147" s="40"/>
      <c r="I147" s="40"/>
      <c r="J147" s="40"/>
    </row>
    <row r="148" spans="1:10">
      <c r="A148" s="40"/>
      <c r="B148" s="40"/>
      <c r="C148" s="40"/>
      <c r="D148" s="40"/>
      <c r="E148" s="40"/>
      <c r="F148" s="40"/>
      <c r="G148" s="40"/>
      <c r="H148" s="40"/>
      <c r="I148" s="40"/>
      <c r="J148" s="40"/>
    </row>
    <row r="149" spans="1:10">
      <c r="A149" s="40"/>
      <c r="B149" s="40"/>
      <c r="C149" s="40"/>
      <c r="D149" s="40"/>
      <c r="E149" s="40"/>
      <c r="F149" s="40"/>
      <c r="G149" s="40"/>
      <c r="H149" s="40"/>
      <c r="I149" s="40"/>
      <c r="J149" s="40"/>
    </row>
    <row r="150" spans="1:10">
      <c r="A150" s="40"/>
      <c r="B150" s="40"/>
      <c r="C150" s="40"/>
      <c r="D150" s="40"/>
      <c r="E150" s="40"/>
      <c r="F150" s="40"/>
      <c r="G150" s="40"/>
      <c r="H150" s="40"/>
      <c r="I150" s="40"/>
      <c r="J150" s="40"/>
    </row>
    <row r="151" spans="1:10">
      <c r="A151" s="40"/>
      <c r="B151" s="40"/>
      <c r="C151" s="40"/>
      <c r="D151" s="40"/>
      <c r="E151" s="40"/>
      <c r="F151" s="40"/>
      <c r="G151" s="40"/>
      <c r="H151" s="40"/>
      <c r="I151" s="40"/>
      <c r="J151" s="40"/>
    </row>
    <row r="152" spans="1:10">
      <c r="A152" s="40"/>
      <c r="B152" s="40"/>
      <c r="C152" s="40"/>
      <c r="D152" s="40"/>
      <c r="E152" s="40"/>
      <c r="F152" s="40"/>
      <c r="G152" s="40"/>
      <c r="H152" s="40"/>
      <c r="I152" s="40"/>
      <c r="J152" s="40"/>
    </row>
    <row r="153" spans="1:10">
      <c r="A153" s="40"/>
      <c r="B153" s="40"/>
      <c r="C153" s="40"/>
      <c r="D153" s="40"/>
      <c r="E153" s="40"/>
      <c r="F153" s="40"/>
      <c r="G153" s="40"/>
      <c r="H153" s="40"/>
      <c r="I153" s="40"/>
      <c r="J153" s="40"/>
    </row>
    <row r="154" spans="1:10">
      <c r="A154" s="40"/>
      <c r="B154" s="40"/>
      <c r="C154" s="40"/>
      <c r="D154" s="40"/>
      <c r="E154" s="40"/>
      <c r="F154" s="40"/>
      <c r="G154" s="40"/>
      <c r="H154" s="40"/>
      <c r="I154" s="40"/>
      <c r="J154" s="40"/>
    </row>
    <row r="155" spans="1:10">
      <c r="A155" s="40"/>
      <c r="B155" s="40"/>
      <c r="C155" s="40"/>
      <c r="D155" s="40"/>
      <c r="E155" s="40"/>
      <c r="F155" s="40"/>
      <c r="G155" s="40"/>
      <c r="H155" s="40"/>
      <c r="I155" s="40"/>
      <c r="J155" s="40"/>
    </row>
    <row r="156" spans="1:10">
      <c r="A156" s="40"/>
      <c r="B156" s="40"/>
      <c r="C156" s="40"/>
      <c r="D156" s="40"/>
      <c r="E156" s="40"/>
      <c r="F156" s="40"/>
      <c r="G156" s="40"/>
      <c r="H156" s="40"/>
      <c r="I156" s="40"/>
      <c r="J156" s="40"/>
    </row>
    <row r="157" spans="1:10">
      <c r="A157" s="40"/>
      <c r="B157" s="40"/>
      <c r="C157" s="40"/>
      <c r="D157" s="40"/>
      <c r="E157" s="40"/>
      <c r="F157" s="40"/>
      <c r="G157" s="40"/>
      <c r="H157" s="40"/>
      <c r="I157" s="40"/>
      <c r="J157" s="40"/>
    </row>
    <row r="158" spans="1:10">
      <c r="A158" s="40"/>
      <c r="B158" s="40"/>
      <c r="C158" s="40"/>
      <c r="D158" s="40"/>
      <c r="E158" s="40"/>
      <c r="F158" s="40"/>
      <c r="G158" s="40"/>
      <c r="H158" s="40"/>
      <c r="I158" s="40"/>
      <c r="J158" s="40"/>
    </row>
    <row r="159" spans="1:10">
      <c r="A159" s="40"/>
      <c r="B159" s="40"/>
      <c r="C159" s="40"/>
      <c r="D159" s="40"/>
      <c r="E159" s="40"/>
      <c r="F159" s="40"/>
      <c r="G159" s="40"/>
      <c r="H159" s="40"/>
      <c r="I159" s="40"/>
      <c r="J159" s="40"/>
    </row>
    <row r="160" spans="1:10">
      <c r="A160" s="40"/>
      <c r="B160" s="40"/>
      <c r="C160" s="40"/>
      <c r="D160" s="40"/>
      <c r="E160" s="40"/>
      <c r="F160" s="40"/>
      <c r="G160" s="40"/>
      <c r="H160" s="40"/>
      <c r="I160" s="40"/>
      <c r="J160" s="40"/>
    </row>
    <row r="161" spans="1:10">
      <c r="A161" s="40"/>
      <c r="B161" s="40"/>
      <c r="C161" s="40"/>
      <c r="D161" s="40"/>
      <c r="E161" s="40"/>
      <c r="F161" s="40"/>
      <c r="G161" s="40"/>
      <c r="H161" s="40"/>
      <c r="I161" s="40"/>
      <c r="J161" s="40"/>
    </row>
    <row r="162" spans="1:10">
      <c r="A162" s="40"/>
      <c r="B162" s="40"/>
      <c r="C162" s="40"/>
      <c r="D162" s="40"/>
      <c r="E162" s="40"/>
      <c r="F162" s="40"/>
      <c r="G162" s="40"/>
      <c r="H162" s="40"/>
      <c r="I162" s="40"/>
      <c r="J162" s="40"/>
    </row>
    <row r="163" spans="1:10">
      <c r="A163" s="40"/>
      <c r="B163" s="40"/>
      <c r="C163" s="40"/>
      <c r="D163" s="40"/>
      <c r="E163" s="40"/>
      <c r="F163" s="40"/>
      <c r="G163" s="40"/>
      <c r="H163" s="40"/>
      <c r="I163" s="40"/>
      <c r="J163" s="40"/>
    </row>
    <row r="164" spans="1:10">
      <c r="A164" s="40"/>
      <c r="B164" s="40"/>
      <c r="C164" s="40"/>
      <c r="D164" s="40"/>
      <c r="E164" s="40"/>
      <c r="F164" s="40"/>
      <c r="G164" s="40"/>
      <c r="H164" s="40"/>
      <c r="I164" s="40"/>
      <c r="J164" s="40"/>
    </row>
    <row r="165" spans="1:10">
      <c r="A165" s="40"/>
      <c r="B165" s="40"/>
      <c r="C165" s="40"/>
      <c r="D165" s="40"/>
      <c r="E165" s="40"/>
      <c r="F165" s="40"/>
      <c r="G165" s="40"/>
      <c r="H165" s="40"/>
      <c r="I165" s="40"/>
      <c r="J165" s="40"/>
    </row>
    <row r="166" spans="1:10">
      <c r="A166" s="40"/>
      <c r="B166" s="40"/>
      <c r="C166" s="40"/>
      <c r="D166" s="40"/>
      <c r="E166" s="40"/>
      <c r="F166" s="40"/>
      <c r="G166" s="40"/>
      <c r="H166" s="40"/>
      <c r="I166" s="40"/>
      <c r="J166" s="40"/>
    </row>
    <row r="167" spans="1:10">
      <c r="A167" s="40"/>
      <c r="B167" s="40"/>
      <c r="C167" s="40"/>
      <c r="D167" s="40"/>
      <c r="E167" s="40"/>
      <c r="F167" s="40"/>
      <c r="G167" s="40"/>
      <c r="H167" s="40"/>
      <c r="I167" s="40"/>
      <c r="J167" s="40"/>
    </row>
    <row r="168" spans="1:10">
      <c r="A168" s="40"/>
      <c r="B168" s="40"/>
      <c r="C168" s="40"/>
      <c r="D168" s="40"/>
      <c r="E168" s="40"/>
      <c r="F168" s="40"/>
      <c r="G168" s="40"/>
      <c r="H168" s="40"/>
      <c r="I168" s="40"/>
      <c r="J168" s="40"/>
    </row>
    <row r="169" spans="1:10">
      <c r="A169" s="40"/>
      <c r="B169" s="40"/>
      <c r="C169" s="40"/>
      <c r="D169" s="40"/>
      <c r="E169" s="40"/>
      <c r="F169" s="40"/>
      <c r="G169" s="40"/>
      <c r="H169" s="40"/>
      <c r="I169" s="40"/>
      <c r="J169" s="40"/>
    </row>
    <row r="170" spans="1:10">
      <c r="A170" s="40"/>
      <c r="B170" s="40"/>
      <c r="C170" s="40"/>
      <c r="D170" s="40"/>
      <c r="E170" s="40"/>
      <c r="F170" s="40"/>
      <c r="G170" s="40"/>
      <c r="H170" s="40"/>
      <c r="I170" s="40"/>
      <c r="J170" s="40"/>
    </row>
    <row r="171" spans="1:10">
      <c r="A171" s="40"/>
      <c r="B171" s="40"/>
      <c r="C171" s="40"/>
      <c r="D171" s="40"/>
      <c r="E171" s="40"/>
      <c r="F171" s="40"/>
      <c r="G171" s="40"/>
      <c r="H171" s="40"/>
      <c r="I171" s="40"/>
      <c r="J171" s="40"/>
    </row>
    <row r="172" spans="1:10">
      <c r="A172" s="40"/>
      <c r="B172" s="40"/>
      <c r="C172" s="40"/>
      <c r="D172" s="40"/>
      <c r="E172" s="40"/>
      <c r="F172" s="40"/>
      <c r="G172" s="40"/>
      <c r="H172" s="40"/>
      <c r="I172" s="40"/>
      <c r="J172" s="40"/>
    </row>
    <row r="173" spans="1:10">
      <c r="A173" s="40"/>
      <c r="B173" s="40"/>
      <c r="C173" s="40"/>
      <c r="D173" s="40"/>
      <c r="E173" s="40"/>
      <c r="F173" s="40"/>
      <c r="G173" s="40"/>
      <c r="H173" s="40"/>
      <c r="I173" s="40"/>
      <c r="J173" s="40"/>
    </row>
    <row r="174" spans="1:10">
      <c r="A174" s="40"/>
      <c r="B174" s="40"/>
      <c r="C174" s="40"/>
      <c r="D174" s="40"/>
      <c r="E174" s="40"/>
      <c r="F174" s="40"/>
      <c r="G174" s="40"/>
      <c r="H174" s="40"/>
      <c r="I174" s="40"/>
      <c r="J174" s="40"/>
    </row>
    <row r="175" spans="1:10">
      <c r="A175" s="40"/>
      <c r="B175" s="40"/>
      <c r="C175" s="40"/>
      <c r="D175" s="40"/>
      <c r="E175" s="40"/>
      <c r="F175" s="40"/>
      <c r="G175" s="40"/>
      <c r="H175" s="40"/>
      <c r="I175" s="40"/>
      <c r="J175" s="40"/>
    </row>
    <row r="176" spans="1:10">
      <c r="A176" s="40"/>
      <c r="B176" s="40"/>
      <c r="C176" s="40"/>
      <c r="D176" s="40"/>
      <c r="E176" s="40"/>
      <c r="F176" s="40"/>
      <c r="G176" s="40"/>
      <c r="H176" s="40"/>
      <c r="I176" s="40"/>
      <c r="J176" s="40"/>
    </row>
    <row r="177" spans="1:10">
      <c r="A177" s="40"/>
      <c r="B177" s="40"/>
      <c r="C177" s="40"/>
      <c r="D177" s="40"/>
      <c r="E177" s="40"/>
      <c r="F177" s="40"/>
      <c r="G177" s="40"/>
      <c r="H177" s="40"/>
      <c r="I177" s="40"/>
      <c r="J177" s="40"/>
    </row>
    <row r="178" spans="1:10">
      <c r="A178" s="40"/>
      <c r="B178" s="40"/>
      <c r="C178" s="40"/>
      <c r="D178" s="40"/>
      <c r="E178" s="40"/>
      <c r="F178" s="40"/>
      <c r="G178" s="40"/>
      <c r="H178" s="40"/>
      <c r="I178" s="40"/>
      <c r="J178" s="40"/>
    </row>
    <row r="179" spans="1:10">
      <c r="A179" s="40"/>
      <c r="B179" s="40"/>
      <c r="C179" s="40"/>
      <c r="D179" s="40"/>
      <c r="E179" s="40"/>
      <c r="F179" s="40"/>
      <c r="G179" s="40"/>
      <c r="H179" s="40"/>
      <c r="I179" s="40"/>
      <c r="J179" s="40"/>
    </row>
    <row r="180" spans="1:10">
      <c r="A180" s="40"/>
      <c r="B180" s="40"/>
      <c r="C180" s="40"/>
      <c r="D180" s="40"/>
      <c r="E180" s="40"/>
      <c r="F180" s="40"/>
      <c r="G180" s="40"/>
      <c r="H180" s="40"/>
      <c r="I180" s="40"/>
      <c r="J180" s="40"/>
    </row>
    <row r="181" spans="1:10">
      <c r="A181" s="40"/>
      <c r="B181" s="40"/>
      <c r="C181" s="40"/>
      <c r="D181" s="40"/>
      <c r="E181" s="40"/>
      <c r="F181" s="40"/>
      <c r="G181" s="40"/>
      <c r="H181" s="40"/>
      <c r="I181" s="40"/>
      <c r="J181" s="40"/>
    </row>
    <row r="182" spans="1:10">
      <c r="A182" s="40"/>
      <c r="B182" s="40"/>
      <c r="C182" s="40"/>
      <c r="D182" s="40"/>
      <c r="E182" s="40"/>
      <c r="F182" s="40"/>
      <c r="G182" s="40"/>
      <c r="H182" s="40"/>
      <c r="I182" s="40"/>
      <c r="J182" s="40"/>
    </row>
    <row r="183" spans="1:10">
      <c r="A183" s="40"/>
      <c r="B183" s="40"/>
      <c r="C183" s="40"/>
      <c r="D183" s="40"/>
      <c r="E183" s="40"/>
      <c r="F183" s="40"/>
      <c r="G183" s="40"/>
      <c r="H183" s="40"/>
      <c r="I183" s="40"/>
      <c r="J183" s="40"/>
    </row>
    <row r="184" spans="1:10">
      <c r="A184" s="40"/>
      <c r="B184" s="40"/>
      <c r="C184" s="40"/>
      <c r="D184" s="40"/>
      <c r="E184" s="40"/>
      <c r="F184" s="40"/>
      <c r="G184" s="40"/>
      <c r="H184" s="40"/>
      <c r="I184" s="40"/>
      <c r="J184" s="40"/>
    </row>
    <row r="185" spans="1:10">
      <c r="A185" s="40"/>
      <c r="B185" s="40"/>
      <c r="C185" s="40"/>
      <c r="D185" s="40"/>
      <c r="E185" s="40"/>
      <c r="F185" s="40"/>
      <c r="G185" s="40"/>
      <c r="H185" s="40"/>
      <c r="I185" s="40"/>
      <c r="J185" s="40"/>
    </row>
    <row r="186" spans="1:10">
      <c r="A186" s="40"/>
      <c r="B186" s="40"/>
      <c r="C186" s="40"/>
      <c r="D186" s="40"/>
      <c r="E186" s="40"/>
      <c r="F186" s="40"/>
      <c r="G186" s="40"/>
      <c r="H186" s="40"/>
      <c r="I186" s="40"/>
      <c r="J186" s="40"/>
    </row>
    <row r="187" spans="1:10">
      <c r="A187" s="40"/>
      <c r="B187" s="40"/>
      <c r="C187" s="40"/>
      <c r="D187" s="40"/>
      <c r="E187" s="40"/>
      <c r="F187" s="40"/>
      <c r="G187" s="40"/>
      <c r="H187" s="40"/>
      <c r="I187" s="40"/>
      <c r="J187" s="40"/>
    </row>
    <row r="188" spans="1:10">
      <c r="A188" s="40"/>
      <c r="B188" s="40"/>
      <c r="C188" s="40"/>
      <c r="D188" s="40"/>
      <c r="E188" s="40"/>
      <c r="F188" s="40"/>
      <c r="G188" s="40"/>
      <c r="H188" s="40"/>
      <c r="I188" s="40"/>
      <c r="J188" s="40"/>
    </row>
    <row r="189" spans="1:10">
      <c r="A189" s="40"/>
      <c r="B189" s="40"/>
      <c r="C189" s="40"/>
      <c r="D189" s="40"/>
      <c r="E189" s="40"/>
      <c r="F189" s="40"/>
      <c r="G189" s="40"/>
      <c r="H189" s="40"/>
      <c r="I189" s="40"/>
      <c r="J189" s="40"/>
    </row>
    <row r="190" spans="1:10">
      <c r="A190" s="40"/>
      <c r="B190" s="40"/>
      <c r="C190" s="40"/>
      <c r="D190" s="40"/>
      <c r="E190" s="40"/>
      <c r="F190" s="40"/>
      <c r="G190" s="40"/>
      <c r="H190" s="40"/>
      <c r="I190" s="40"/>
      <c r="J190" s="40"/>
    </row>
    <row r="191" spans="1:10">
      <c r="A191" s="40"/>
      <c r="B191" s="40"/>
      <c r="C191" s="40"/>
      <c r="D191" s="40"/>
      <c r="E191" s="40"/>
      <c r="F191" s="40"/>
      <c r="G191" s="40"/>
      <c r="H191" s="40"/>
      <c r="I191" s="40"/>
      <c r="J191" s="40"/>
    </row>
    <row r="192" spans="1:10">
      <c r="A192" s="40"/>
      <c r="B192" s="40"/>
      <c r="C192" s="40"/>
      <c r="D192" s="40"/>
      <c r="E192" s="40"/>
      <c r="F192" s="40"/>
      <c r="G192" s="40"/>
      <c r="H192" s="40"/>
      <c r="I192" s="40"/>
      <c r="J192" s="40"/>
    </row>
    <row r="193" spans="1:10">
      <c r="A193" s="40"/>
      <c r="B193" s="40"/>
      <c r="C193" s="40"/>
      <c r="D193" s="40"/>
      <c r="E193" s="40"/>
      <c r="F193" s="40"/>
      <c r="G193" s="40"/>
      <c r="H193" s="40"/>
      <c r="I193" s="40"/>
      <c r="J193" s="40"/>
    </row>
    <row r="194" spans="1:10">
      <c r="A194" s="40"/>
      <c r="B194" s="40"/>
      <c r="C194" s="40"/>
      <c r="D194" s="40"/>
      <c r="E194" s="40"/>
      <c r="F194" s="40"/>
      <c r="G194" s="40"/>
      <c r="H194" s="40"/>
      <c r="I194" s="40"/>
      <c r="J194" s="40"/>
    </row>
    <row r="195" spans="1:10">
      <c r="A195" s="40"/>
      <c r="B195" s="40"/>
      <c r="C195" s="40"/>
      <c r="D195" s="40"/>
      <c r="E195" s="40"/>
      <c r="F195" s="40"/>
      <c r="G195" s="40"/>
      <c r="H195" s="40"/>
      <c r="I195" s="40"/>
      <c r="J195" s="40"/>
    </row>
    <row r="196" spans="1:10">
      <c r="A196" s="40"/>
      <c r="B196" s="40"/>
      <c r="C196" s="40"/>
      <c r="D196" s="40"/>
      <c r="E196" s="40"/>
      <c r="F196" s="40"/>
      <c r="G196" s="40"/>
      <c r="H196" s="40"/>
      <c r="I196" s="40"/>
      <c r="J196" s="40"/>
    </row>
    <row r="197" spans="1:10">
      <c r="A197" s="40"/>
      <c r="B197" s="40"/>
      <c r="C197" s="40"/>
      <c r="D197" s="40"/>
      <c r="E197" s="40"/>
      <c r="F197" s="40"/>
      <c r="G197" s="40"/>
      <c r="H197" s="40"/>
      <c r="I197" s="40"/>
      <c r="J197" s="40"/>
    </row>
    <row r="198" spans="1:10">
      <c r="A198" s="40"/>
      <c r="B198" s="40"/>
      <c r="C198" s="40"/>
      <c r="D198" s="40"/>
      <c r="E198" s="40"/>
      <c r="F198" s="40"/>
      <c r="G198" s="40"/>
      <c r="H198" s="40"/>
      <c r="I198" s="40"/>
      <c r="J198" s="40"/>
    </row>
    <row r="199" spans="1:10">
      <c r="A199" s="40"/>
      <c r="B199" s="40"/>
      <c r="C199" s="40"/>
      <c r="D199" s="40"/>
      <c r="E199" s="40"/>
      <c r="F199" s="40"/>
      <c r="G199" s="40"/>
      <c r="H199" s="40"/>
      <c r="I199" s="40"/>
      <c r="J199" s="40"/>
    </row>
    <row r="200" spans="1:10">
      <c r="A200" s="40"/>
      <c r="B200" s="40"/>
      <c r="C200" s="40"/>
      <c r="D200" s="40"/>
      <c r="E200" s="40"/>
      <c r="F200" s="40"/>
      <c r="G200" s="40"/>
      <c r="H200" s="40"/>
      <c r="I200" s="40"/>
      <c r="J200" s="40"/>
    </row>
    <row r="201" spans="1:10">
      <c r="A201" s="40"/>
      <c r="B201" s="40"/>
      <c r="C201" s="40"/>
      <c r="D201" s="40"/>
      <c r="E201" s="40"/>
      <c r="F201" s="40"/>
      <c r="G201" s="40"/>
      <c r="H201" s="40"/>
      <c r="I201" s="40"/>
      <c r="J201" s="40"/>
    </row>
    <row r="202" spans="1:10">
      <c r="A202" s="40"/>
      <c r="B202" s="40"/>
      <c r="C202" s="40"/>
      <c r="D202" s="40"/>
      <c r="E202" s="40"/>
      <c r="F202" s="40"/>
      <c r="G202" s="40"/>
      <c r="H202" s="40"/>
      <c r="I202" s="40"/>
      <c r="J202" s="40"/>
    </row>
    <row r="203" spans="1:10">
      <c r="A203" s="40"/>
      <c r="B203" s="40"/>
      <c r="C203" s="40"/>
      <c r="D203" s="40"/>
      <c r="E203" s="40"/>
      <c r="F203" s="40"/>
      <c r="G203" s="40"/>
      <c r="H203" s="40"/>
      <c r="I203" s="40"/>
      <c r="J203" s="40"/>
    </row>
    <row r="204" spans="1:10">
      <c r="A204" s="40"/>
      <c r="B204" s="40"/>
      <c r="C204" s="40"/>
      <c r="D204" s="40"/>
      <c r="E204" s="40"/>
      <c r="F204" s="40"/>
      <c r="G204" s="40"/>
      <c r="H204" s="40"/>
      <c r="I204" s="40"/>
      <c r="J204" s="40"/>
    </row>
    <row r="205" spans="1:10">
      <c r="A205" s="40"/>
      <c r="B205" s="40"/>
      <c r="C205" s="40"/>
      <c r="D205" s="40"/>
      <c r="E205" s="40"/>
      <c r="F205" s="40"/>
      <c r="G205" s="40"/>
      <c r="H205" s="40"/>
      <c r="I205" s="40"/>
      <c r="J205" s="40"/>
    </row>
    <row r="206" spans="1:10">
      <c r="A206" s="40"/>
      <c r="B206" s="40"/>
      <c r="C206" s="40"/>
      <c r="D206" s="40"/>
      <c r="E206" s="40"/>
      <c r="F206" s="40"/>
      <c r="G206" s="40"/>
      <c r="H206" s="40"/>
      <c r="I206" s="40"/>
      <c r="J206" s="40"/>
    </row>
    <row r="207" spans="1:10">
      <c r="A207" s="40"/>
      <c r="B207" s="40"/>
      <c r="C207" s="40"/>
      <c r="D207" s="40"/>
      <c r="E207" s="40"/>
      <c r="F207" s="40"/>
      <c r="G207" s="40"/>
      <c r="H207" s="40"/>
      <c r="I207" s="40"/>
      <c r="J207" s="40"/>
    </row>
    <row r="208" spans="1:10">
      <c r="A208" s="40"/>
      <c r="B208" s="40"/>
      <c r="C208" s="40"/>
      <c r="D208" s="40"/>
      <c r="E208" s="40"/>
      <c r="F208" s="40"/>
      <c r="G208" s="40"/>
      <c r="H208" s="40"/>
      <c r="I208" s="40"/>
      <c r="J208" s="40"/>
    </row>
    <row r="209" spans="1:10">
      <c r="A209" s="40"/>
      <c r="B209" s="40"/>
      <c r="C209" s="40"/>
      <c r="D209" s="40"/>
      <c r="E209" s="40"/>
      <c r="F209" s="40"/>
      <c r="G209" s="40"/>
      <c r="H209" s="40"/>
      <c r="I209" s="40"/>
      <c r="J209" s="40"/>
    </row>
    <row r="210" spans="1:10">
      <c r="A210" s="40"/>
      <c r="B210" s="40"/>
      <c r="C210" s="40"/>
      <c r="D210" s="40"/>
      <c r="E210" s="40"/>
      <c r="F210" s="40"/>
      <c r="G210" s="40"/>
      <c r="H210" s="40"/>
      <c r="I210" s="40"/>
      <c r="J210" s="40"/>
    </row>
    <row r="211" spans="1:10">
      <c r="A211" s="40"/>
      <c r="B211" s="40"/>
      <c r="C211" s="40"/>
      <c r="D211" s="40"/>
      <c r="E211" s="40"/>
      <c r="F211" s="40"/>
      <c r="G211" s="40"/>
      <c r="H211" s="40"/>
      <c r="I211" s="40"/>
      <c r="J211" s="40"/>
    </row>
    <row r="212" spans="1:10">
      <c r="A212" s="40"/>
      <c r="B212" s="40"/>
      <c r="C212" s="40"/>
      <c r="D212" s="40"/>
      <c r="E212" s="40"/>
      <c r="F212" s="40"/>
      <c r="G212" s="40"/>
      <c r="H212" s="40"/>
      <c r="I212" s="40"/>
      <c r="J212" s="40"/>
    </row>
    <row r="213" spans="1:10">
      <c r="A213" s="40"/>
      <c r="B213" s="40"/>
      <c r="C213" s="40"/>
      <c r="D213" s="40"/>
      <c r="E213" s="40"/>
      <c r="F213" s="40"/>
      <c r="G213" s="40"/>
      <c r="H213" s="40"/>
      <c r="I213" s="40"/>
      <c r="J213" s="40"/>
    </row>
    <row r="214" spans="1:10">
      <c r="A214" s="40"/>
      <c r="B214" s="40"/>
      <c r="C214" s="40"/>
      <c r="D214" s="40"/>
      <c r="E214" s="40"/>
      <c r="F214" s="40"/>
      <c r="G214" s="40"/>
      <c r="H214" s="40"/>
      <c r="I214" s="40"/>
      <c r="J214" s="40"/>
    </row>
    <row r="215" spans="1:10">
      <c r="A215" s="40"/>
      <c r="B215" s="40"/>
      <c r="C215" s="40"/>
      <c r="D215" s="40"/>
      <c r="E215" s="40"/>
      <c r="F215" s="40"/>
      <c r="G215" s="40"/>
      <c r="H215" s="40"/>
      <c r="I215" s="40"/>
      <c r="J215" s="40"/>
    </row>
    <row r="216" spans="1:10">
      <c r="A216" s="40"/>
      <c r="B216" s="40"/>
      <c r="C216" s="40"/>
      <c r="D216" s="40"/>
      <c r="E216" s="40"/>
      <c r="F216" s="40"/>
      <c r="G216" s="40"/>
      <c r="H216" s="40"/>
      <c r="I216" s="40"/>
      <c r="J216" s="40"/>
    </row>
    <row r="217" spans="1:10">
      <c r="A217" s="40"/>
      <c r="B217" s="40"/>
      <c r="C217" s="40"/>
      <c r="D217" s="40"/>
      <c r="E217" s="40"/>
      <c r="F217" s="40"/>
      <c r="G217" s="40"/>
      <c r="H217" s="40"/>
      <c r="I217" s="40"/>
      <c r="J217" s="40"/>
    </row>
    <row r="218" spans="1:10">
      <c r="A218" s="40"/>
      <c r="B218" s="40"/>
      <c r="C218" s="40"/>
      <c r="D218" s="40"/>
      <c r="E218" s="40"/>
      <c r="F218" s="40"/>
      <c r="G218" s="40"/>
      <c r="H218" s="40"/>
      <c r="I218" s="40"/>
      <c r="J218" s="40"/>
    </row>
    <row r="219" spans="1:10">
      <c r="A219" s="40"/>
      <c r="B219" s="40"/>
      <c r="C219" s="40"/>
      <c r="D219" s="40"/>
      <c r="E219" s="40"/>
      <c r="F219" s="40"/>
      <c r="G219" s="40"/>
      <c r="H219" s="40"/>
      <c r="I219" s="40"/>
      <c r="J219" s="40"/>
    </row>
    <row r="220" spans="1:10">
      <c r="A220" s="40"/>
      <c r="B220" s="40"/>
      <c r="C220" s="40"/>
      <c r="D220" s="40"/>
      <c r="E220" s="40"/>
      <c r="F220" s="40"/>
      <c r="G220" s="40"/>
      <c r="H220" s="40"/>
      <c r="I220" s="40"/>
      <c r="J220" s="40"/>
    </row>
    <row r="221" spans="1:10">
      <c r="A221" s="40"/>
      <c r="B221" s="40"/>
      <c r="C221" s="40"/>
      <c r="D221" s="40"/>
      <c r="E221" s="40"/>
      <c r="F221" s="40"/>
      <c r="G221" s="40"/>
      <c r="H221" s="40"/>
      <c r="I221" s="40"/>
      <c r="J221" s="40"/>
    </row>
    <row r="222" spans="1:10">
      <c r="A222" s="40"/>
      <c r="B222" s="40"/>
      <c r="C222" s="40"/>
      <c r="D222" s="40"/>
      <c r="E222" s="40"/>
      <c r="F222" s="40"/>
      <c r="G222" s="40"/>
      <c r="H222" s="40"/>
      <c r="I222" s="40"/>
      <c r="J222" s="40"/>
    </row>
    <row r="223" spans="1:10">
      <c r="A223" s="40"/>
      <c r="B223" s="40"/>
      <c r="C223" s="40"/>
      <c r="D223" s="40"/>
      <c r="E223" s="40"/>
      <c r="F223" s="40"/>
      <c r="G223" s="40"/>
      <c r="H223" s="40"/>
      <c r="I223" s="40"/>
      <c r="J223" s="40"/>
    </row>
    <row r="224" spans="1:10">
      <c r="A224" s="40"/>
      <c r="B224" s="40"/>
      <c r="C224" s="40"/>
      <c r="D224" s="40"/>
      <c r="E224" s="40"/>
      <c r="F224" s="40"/>
      <c r="G224" s="40"/>
      <c r="H224" s="40"/>
      <c r="I224" s="40"/>
      <c r="J224" s="40"/>
    </row>
    <row r="225" spans="1:10">
      <c r="A225" s="40"/>
      <c r="B225" s="40"/>
      <c r="C225" s="40"/>
      <c r="D225" s="40"/>
      <c r="E225" s="40"/>
      <c r="F225" s="40"/>
      <c r="G225" s="40"/>
      <c r="H225" s="40"/>
      <c r="I225" s="40"/>
      <c r="J225" s="40"/>
    </row>
    <row r="226" spans="1:10">
      <c r="A226" s="40"/>
      <c r="B226" s="40"/>
      <c r="C226" s="40"/>
      <c r="D226" s="40"/>
      <c r="E226" s="40"/>
      <c r="F226" s="40"/>
      <c r="G226" s="40"/>
      <c r="H226" s="40"/>
      <c r="I226" s="40"/>
      <c r="J226" s="40"/>
    </row>
    <row r="227" spans="1:10">
      <c r="A227" s="40"/>
      <c r="B227" s="40"/>
      <c r="C227" s="40"/>
      <c r="D227" s="40"/>
      <c r="E227" s="40"/>
      <c r="F227" s="40"/>
      <c r="G227" s="40"/>
      <c r="H227" s="40"/>
      <c r="I227" s="40"/>
      <c r="J227" s="40"/>
    </row>
    <row r="228" spans="1:10">
      <c r="A228" s="40"/>
      <c r="B228" s="40"/>
      <c r="C228" s="40"/>
      <c r="D228" s="40"/>
      <c r="E228" s="40"/>
      <c r="F228" s="40"/>
      <c r="G228" s="40"/>
      <c r="H228" s="40"/>
      <c r="I228" s="40"/>
      <c r="J228" s="40"/>
    </row>
    <row r="229" spans="1:10">
      <c r="A229" s="40"/>
      <c r="B229" s="40"/>
      <c r="C229" s="40"/>
      <c r="D229" s="40"/>
      <c r="E229" s="40"/>
      <c r="F229" s="40"/>
      <c r="G229" s="40"/>
      <c r="H229" s="40"/>
      <c r="I229" s="40"/>
      <c r="J229" s="40"/>
    </row>
    <row r="230" spans="1:10">
      <c r="A230" s="40"/>
      <c r="B230" s="40"/>
      <c r="C230" s="40"/>
      <c r="D230" s="40"/>
      <c r="E230" s="40"/>
      <c r="F230" s="40"/>
      <c r="G230" s="40"/>
      <c r="H230" s="40"/>
      <c r="I230" s="40"/>
      <c r="J230" s="40"/>
    </row>
    <row r="231" spans="1:10">
      <c r="A231" s="40"/>
      <c r="B231" s="40"/>
      <c r="C231" s="40"/>
      <c r="D231" s="40"/>
      <c r="E231" s="40"/>
      <c r="F231" s="40"/>
      <c r="G231" s="40"/>
      <c r="H231" s="40"/>
      <c r="I231" s="40"/>
      <c r="J231" s="40"/>
    </row>
    <row r="232" spans="1:10">
      <c r="A232" s="40"/>
      <c r="B232" s="40"/>
      <c r="C232" s="40"/>
      <c r="D232" s="40"/>
      <c r="E232" s="40"/>
      <c r="F232" s="40"/>
      <c r="G232" s="40"/>
      <c r="H232" s="40"/>
      <c r="I232" s="40"/>
      <c r="J232" s="40"/>
    </row>
    <row r="233" spans="1:10">
      <c r="A233" s="40"/>
      <c r="B233" s="40"/>
      <c r="C233" s="40"/>
      <c r="D233" s="40"/>
      <c r="E233" s="40"/>
      <c r="F233" s="40"/>
      <c r="G233" s="40"/>
      <c r="H233" s="40"/>
      <c r="I233" s="40"/>
      <c r="J233" s="40"/>
    </row>
    <row r="234" spans="1:10">
      <c r="A234" s="40"/>
      <c r="B234" s="40"/>
      <c r="C234" s="40"/>
      <c r="D234" s="40"/>
      <c r="E234" s="40"/>
      <c r="F234" s="40"/>
      <c r="G234" s="40"/>
      <c r="H234" s="40"/>
      <c r="I234" s="40"/>
      <c r="J234" s="40"/>
    </row>
    <row r="235" spans="1:10">
      <c r="A235" s="40"/>
      <c r="B235" s="40"/>
      <c r="C235" s="40"/>
      <c r="D235" s="40"/>
      <c r="E235" s="40"/>
      <c r="F235" s="40"/>
      <c r="G235" s="40"/>
      <c r="H235" s="40"/>
      <c r="I235" s="40"/>
      <c r="J235" s="40"/>
    </row>
    <row r="236" spans="1:10">
      <c r="A236" s="40"/>
      <c r="B236" s="40"/>
      <c r="C236" s="40"/>
      <c r="D236" s="40"/>
      <c r="E236" s="40"/>
      <c r="F236" s="40"/>
      <c r="G236" s="40"/>
      <c r="H236" s="40"/>
      <c r="I236" s="40"/>
      <c r="J236" s="40"/>
    </row>
    <row r="237" spans="1:10">
      <c r="A237" s="40"/>
      <c r="B237" s="40"/>
      <c r="C237" s="40"/>
      <c r="D237" s="40"/>
      <c r="E237" s="40"/>
      <c r="F237" s="40"/>
      <c r="G237" s="40"/>
      <c r="H237" s="40"/>
      <c r="I237" s="40"/>
      <c r="J237" s="40"/>
    </row>
    <row r="238" spans="1:10">
      <c r="A238" s="40"/>
      <c r="B238" s="40"/>
      <c r="C238" s="40"/>
      <c r="D238" s="40"/>
      <c r="E238" s="40"/>
      <c r="F238" s="40"/>
      <c r="G238" s="40"/>
      <c r="H238" s="40"/>
      <c r="I238" s="40"/>
      <c r="J238" s="40"/>
    </row>
    <row r="239" spans="1:10">
      <c r="A239" s="40"/>
      <c r="B239" s="40"/>
      <c r="C239" s="40"/>
      <c r="D239" s="40"/>
      <c r="E239" s="40"/>
      <c r="F239" s="40"/>
      <c r="G239" s="40"/>
      <c r="H239" s="40"/>
      <c r="I239" s="40"/>
      <c r="J239" s="40"/>
    </row>
    <row r="240" spans="1:10">
      <c r="A240" s="40"/>
      <c r="B240" s="40"/>
      <c r="C240" s="40"/>
      <c r="D240" s="40"/>
      <c r="E240" s="40"/>
      <c r="F240" s="40"/>
      <c r="G240" s="40"/>
      <c r="H240" s="40"/>
      <c r="I240" s="40"/>
      <c r="J240" s="40"/>
    </row>
    <row r="241" spans="1:10">
      <c r="A241" s="40"/>
      <c r="B241" s="40"/>
      <c r="C241" s="40"/>
      <c r="D241" s="40"/>
      <c r="E241" s="40"/>
      <c r="F241" s="40"/>
      <c r="G241" s="40"/>
      <c r="H241" s="40"/>
      <c r="I241" s="40"/>
      <c r="J241" s="40"/>
    </row>
    <row r="242" spans="1:10">
      <c r="A242" s="40"/>
      <c r="B242" s="40"/>
      <c r="C242" s="40"/>
      <c r="D242" s="40"/>
      <c r="E242" s="40"/>
      <c r="F242" s="40"/>
      <c r="G242" s="40"/>
      <c r="H242" s="40"/>
      <c r="I242" s="40"/>
      <c r="J242" s="40"/>
    </row>
    <row r="243" spans="1:10">
      <c r="A243" s="40"/>
      <c r="B243" s="40"/>
      <c r="C243" s="40"/>
      <c r="D243" s="40"/>
      <c r="E243" s="40"/>
      <c r="F243" s="40"/>
      <c r="G243" s="40"/>
      <c r="H243" s="40"/>
      <c r="I243" s="40"/>
      <c r="J243" s="40"/>
    </row>
    <row r="244" spans="1:10">
      <c r="A244" s="40"/>
      <c r="B244" s="40"/>
      <c r="C244" s="40"/>
      <c r="D244" s="40"/>
      <c r="E244" s="40"/>
      <c r="F244" s="40"/>
      <c r="G244" s="40"/>
      <c r="H244" s="40"/>
      <c r="I244" s="40"/>
      <c r="J244" s="40"/>
    </row>
    <row r="245" spans="1:10">
      <c r="A245" s="40"/>
      <c r="B245" s="40"/>
      <c r="C245" s="40"/>
      <c r="D245" s="40"/>
      <c r="E245" s="40"/>
      <c r="F245" s="40"/>
      <c r="G245" s="40"/>
      <c r="H245" s="40"/>
      <c r="I245" s="40"/>
      <c r="J245" s="40"/>
    </row>
    <row r="246" spans="1:10">
      <c r="A246" s="40"/>
      <c r="B246" s="40"/>
      <c r="C246" s="40"/>
      <c r="D246" s="40"/>
      <c r="E246" s="40"/>
      <c r="F246" s="40"/>
      <c r="G246" s="40"/>
      <c r="H246" s="40"/>
      <c r="I246" s="40"/>
      <c r="J246" s="40"/>
    </row>
    <row r="247" spans="1:10">
      <c r="A247" s="40"/>
      <c r="B247" s="40"/>
      <c r="C247" s="40"/>
      <c r="D247" s="40"/>
      <c r="E247" s="40"/>
      <c r="F247" s="40"/>
      <c r="G247" s="40"/>
      <c r="H247" s="40"/>
      <c r="I247" s="40"/>
      <c r="J247" s="40"/>
    </row>
    <row r="248" spans="1:10">
      <c r="A248" s="40"/>
      <c r="B248" s="40"/>
      <c r="C248" s="40"/>
      <c r="D248" s="40"/>
      <c r="E248" s="40"/>
      <c r="F248" s="40"/>
      <c r="G248" s="40"/>
      <c r="H248" s="40"/>
      <c r="I248" s="40"/>
      <c r="J248" s="40"/>
    </row>
    <row r="249" spans="1:10">
      <c r="A249" s="40"/>
      <c r="B249" s="40"/>
      <c r="C249" s="40"/>
      <c r="D249" s="40"/>
      <c r="E249" s="40"/>
      <c r="F249" s="40"/>
      <c r="G249" s="40"/>
      <c r="H249" s="40"/>
      <c r="I249" s="40"/>
      <c r="J249" s="40"/>
    </row>
    <row r="250" spans="1:10">
      <c r="A250" s="40"/>
      <c r="B250" s="40"/>
      <c r="C250" s="40"/>
      <c r="D250" s="40"/>
      <c r="E250" s="40"/>
      <c r="F250" s="40"/>
      <c r="G250" s="40"/>
      <c r="H250" s="40"/>
      <c r="I250" s="40"/>
      <c r="J250" s="40"/>
    </row>
    <row r="251" spans="1:10">
      <c r="A251" s="40"/>
      <c r="B251" s="40"/>
      <c r="C251" s="40"/>
      <c r="D251" s="40"/>
      <c r="E251" s="40"/>
      <c r="F251" s="40"/>
      <c r="G251" s="40"/>
      <c r="H251" s="40"/>
      <c r="I251" s="40"/>
      <c r="J251" s="40"/>
    </row>
    <row r="252" spans="1:10">
      <c r="A252" s="40"/>
      <c r="B252" s="40"/>
      <c r="C252" s="40"/>
      <c r="D252" s="40"/>
      <c r="E252" s="40"/>
      <c r="F252" s="40"/>
      <c r="G252" s="40"/>
      <c r="H252" s="40"/>
      <c r="I252" s="40"/>
      <c r="J252" s="40"/>
    </row>
    <row r="253" spans="1:10">
      <c r="A253" s="40"/>
      <c r="B253" s="40"/>
      <c r="C253" s="40"/>
      <c r="D253" s="40"/>
      <c r="E253" s="40"/>
      <c r="F253" s="40"/>
      <c r="G253" s="40"/>
      <c r="H253" s="40"/>
      <c r="I253" s="40"/>
      <c r="J253" s="40"/>
    </row>
    <row r="254" spans="1:10">
      <c r="A254" s="40"/>
      <c r="B254" s="40"/>
      <c r="C254" s="40"/>
      <c r="D254" s="40"/>
      <c r="E254" s="40"/>
      <c r="F254" s="40"/>
      <c r="G254" s="40"/>
      <c r="H254" s="40"/>
      <c r="I254" s="40"/>
      <c r="J254" s="40"/>
    </row>
    <row r="255" spans="1:10">
      <c r="A255" s="40"/>
      <c r="B255" s="40"/>
      <c r="C255" s="40"/>
      <c r="D255" s="40"/>
      <c r="E255" s="40"/>
      <c r="F255" s="40"/>
      <c r="G255" s="40"/>
      <c r="H255" s="40"/>
      <c r="I255" s="40"/>
      <c r="J255" s="40"/>
    </row>
    <row r="256" spans="1:10">
      <c r="A256" s="40"/>
      <c r="B256" s="40"/>
      <c r="C256" s="40"/>
      <c r="D256" s="40"/>
      <c r="E256" s="40"/>
      <c r="F256" s="40"/>
      <c r="G256" s="40"/>
      <c r="H256" s="40"/>
      <c r="I256" s="40"/>
      <c r="J256" s="40"/>
    </row>
    <row r="257" spans="1:10">
      <c r="A257" s="40"/>
      <c r="B257" s="40"/>
      <c r="C257" s="40"/>
      <c r="D257" s="40"/>
      <c r="E257" s="40"/>
      <c r="F257" s="40"/>
      <c r="G257" s="40"/>
      <c r="H257" s="40"/>
      <c r="I257" s="40"/>
      <c r="J257" s="40"/>
    </row>
    <row r="258" spans="1:10">
      <c r="A258" s="40"/>
      <c r="B258" s="40"/>
      <c r="C258" s="40"/>
      <c r="D258" s="40"/>
      <c r="E258" s="40"/>
      <c r="F258" s="40"/>
      <c r="G258" s="40"/>
      <c r="H258" s="40"/>
      <c r="I258" s="40"/>
      <c r="J258" s="40"/>
    </row>
    <row r="259" spans="1:10">
      <c r="A259" s="40"/>
      <c r="B259" s="40"/>
      <c r="C259" s="40"/>
      <c r="D259" s="40"/>
      <c r="E259" s="40"/>
      <c r="F259" s="40"/>
      <c r="G259" s="40"/>
      <c r="H259" s="40"/>
      <c r="I259" s="40"/>
      <c r="J259" s="40"/>
    </row>
    <row r="260" spans="1:10">
      <c r="A260" s="40"/>
      <c r="B260" s="40"/>
      <c r="C260" s="40"/>
      <c r="D260" s="40"/>
      <c r="E260" s="40"/>
      <c r="F260" s="40"/>
      <c r="G260" s="40"/>
      <c r="H260" s="40"/>
      <c r="I260" s="40"/>
      <c r="J260" s="40"/>
    </row>
    <row r="261" spans="1:10">
      <c r="A261" s="40"/>
      <c r="B261" s="40"/>
      <c r="C261" s="40"/>
      <c r="D261" s="40"/>
      <c r="E261" s="40"/>
      <c r="F261" s="40"/>
      <c r="G261" s="40"/>
      <c r="H261" s="40"/>
      <c r="I261" s="40"/>
      <c r="J261" s="40"/>
    </row>
    <row r="262" spans="1:10">
      <c r="A262" s="40"/>
      <c r="B262" s="40"/>
      <c r="C262" s="40"/>
      <c r="D262" s="40"/>
      <c r="E262" s="40"/>
      <c r="F262" s="40"/>
      <c r="G262" s="40"/>
      <c r="H262" s="40"/>
      <c r="I262" s="40"/>
      <c r="J262" s="40"/>
    </row>
    <row r="263" spans="1:10">
      <c r="A263" s="40"/>
      <c r="B263" s="40"/>
      <c r="C263" s="40"/>
      <c r="D263" s="40"/>
      <c r="E263" s="40"/>
      <c r="F263" s="40"/>
      <c r="G263" s="40"/>
      <c r="H263" s="40"/>
      <c r="I263" s="40"/>
      <c r="J263" s="40"/>
    </row>
    <row r="264" spans="1:10">
      <c r="A264" s="40"/>
      <c r="B264" s="40"/>
      <c r="C264" s="40"/>
      <c r="D264" s="40"/>
      <c r="E264" s="40"/>
      <c r="F264" s="40"/>
      <c r="G264" s="40"/>
      <c r="H264" s="40"/>
      <c r="I264" s="40"/>
      <c r="J264" s="40"/>
    </row>
    <row r="265" spans="1:10">
      <c r="A265" s="40"/>
      <c r="B265" s="40"/>
      <c r="C265" s="40"/>
      <c r="D265" s="40"/>
      <c r="E265" s="40"/>
      <c r="F265" s="40"/>
      <c r="G265" s="40"/>
      <c r="H265" s="40"/>
      <c r="I265" s="40"/>
      <c r="J265" s="40"/>
    </row>
    <row r="266" spans="1:10">
      <c r="A266" s="40"/>
      <c r="B266" s="40"/>
      <c r="C266" s="40"/>
      <c r="D266" s="40"/>
      <c r="E266" s="40"/>
      <c r="F266" s="40"/>
      <c r="G266" s="40"/>
      <c r="H266" s="40"/>
      <c r="I266" s="40"/>
      <c r="J266" s="40"/>
    </row>
    <row r="267" spans="1:10">
      <c r="A267" s="40"/>
      <c r="B267" s="40"/>
      <c r="C267" s="40"/>
      <c r="D267" s="40"/>
      <c r="E267" s="40"/>
      <c r="F267" s="40"/>
      <c r="G267" s="40"/>
      <c r="H267" s="40"/>
      <c r="I267" s="40"/>
      <c r="J267" s="40"/>
    </row>
    <row r="268" spans="1:10">
      <c r="A268" s="40"/>
      <c r="B268" s="40"/>
      <c r="C268" s="40"/>
      <c r="D268" s="40"/>
      <c r="E268" s="40"/>
      <c r="F268" s="40"/>
      <c r="G268" s="40"/>
      <c r="H268" s="40"/>
      <c r="I268" s="40"/>
      <c r="J268" s="40"/>
    </row>
    <row r="269" spans="1:10">
      <c r="A269" s="40"/>
      <c r="B269" s="40"/>
      <c r="C269" s="40"/>
      <c r="D269" s="40"/>
      <c r="E269" s="40"/>
      <c r="F269" s="40"/>
      <c r="G269" s="40"/>
      <c r="H269" s="40"/>
      <c r="I269" s="40"/>
      <c r="J269" s="40"/>
    </row>
    <row r="270" spans="1:10">
      <c r="A270" s="40"/>
      <c r="B270" s="40"/>
      <c r="C270" s="40"/>
      <c r="D270" s="40"/>
      <c r="E270" s="40"/>
      <c r="F270" s="40"/>
      <c r="G270" s="40"/>
      <c r="H270" s="40"/>
      <c r="I270" s="40"/>
      <c r="J270" s="40"/>
    </row>
    <row r="271" spans="1:10">
      <c r="A271" s="40"/>
      <c r="B271" s="40"/>
      <c r="C271" s="40"/>
      <c r="D271" s="40"/>
      <c r="E271" s="40"/>
      <c r="F271" s="40"/>
      <c r="G271" s="40"/>
      <c r="H271" s="40"/>
      <c r="I271" s="40"/>
      <c r="J271" s="40"/>
    </row>
    <row r="272" spans="1:10">
      <c r="A272" s="40"/>
      <c r="B272" s="40"/>
      <c r="C272" s="40"/>
      <c r="D272" s="40"/>
      <c r="E272" s="40"/>
      <c r="F272" s="40"/>
      <c r="G272" s="40"/>
      <c r="H272" s="40"/>
      <c r="I272" s="40"/>
      <c r="J272" s="40"/>
    </row>
    <row r="273" spans="1:10">
      <c r="A273" s="40"/>
      <c r="B273" s="40"/>
      <c r="C273" s="40"/>
      <c r="D273" s="40"/>
      <c r="E273" s="40"/>
      <c r="F273" s="40"/>
      <c r="G273" s="40"/>
      <c r="H273" s="40"/>
      <c r="I273" s="40"/>
      <c r="J273" s="40"/>
    </row>
    <row r="274" spans="1:10">
      <c r="A274" s="40"/>
      <c r="B274" s="40"/>
      <c r="C274" s="40"/>
      <c r="D274" s="40"/>
      <c r="E274" s="40"/>
      <c r="F274" s="40"/>
      <c r="G274" s="40"/>
      <c r="H274" s="40"/>
      <c r="I274" s="40"/>
      <c r="J274" s="40"/>
    </row>
    <row r="275" spans="1:10">
      <c r="A275" s="40"/>
      <c r="B275" s="40"/>
      <c r="C275" s="40"/>
      <c r="D275" s="40"/>
      <c r="E275" s="40"/>
      <c r="F275" s="40"/>
      <c r="G275" s="40"/>
      <c r="H275" s="40"/>
      <c r="I275" s="40"/>
      <c r="J275" s="40"/>
    </row>
    <row r="276" spans="1:10">
      <c r="A276" s="40"/>
      <c r="B276" s="40"/>
      <c r="C276" s="40"/>
      <c r="D276" s="40"/>
      <c r="E276" s="40"/>
      <c r="F276" s="40"/>
      <c r="G276" s="40"/>
      <c r="H276" s="40"/>
      <c r="I276" s="40"/>
      <c r="J276" s="40"/>
    </row>
    <row r="277" spans="1:10">
      <c r="A277" s="40"/>
      <c r="B277" s="40"/>
      <c r="C277" s="40"/>
      <c r="D277" s="40"/>
      <c r="E277" s="40"/>
      <c r="F277" s="40"/>
      <c r="G277" s="40"/>
      <c r="H277" s="40"/>
      <c r="I277" s="40"/>
      <c r="J277" s="40"/>
    </row>
    <row r="278" spans="1:10">
      <c r="A278" s="40"/>
      <c r="B278" s="40"/>
      <c r="C278" s="40"/>
      <c r="D278" s="40"/>
      <c r="E278" s="40"/>
      <c r="F278" s="40"/>
      <c r="G278" s="40"/>
      <c r="H278" s="40"/>
      <c r="I278" s="40"/>
      <c r="J278" s="40"/>
    </row>
    <row r="279" spans="1:10">
      <c r="A279" s="40"/>
      <c r="B279" s="40"/>
      <c r="C279" s="40"/>
      <c r="D279" s="40"/>
      <c r="E279" s="40"/>
      <c r="F279" s="40"/>
      <c r="G279" s="40"/>
      <c r="H279" s="40"/>
      <c r="I279" s="40"/>
      <c r="J279" s="40"/>
    </row>
    <row r="280" spans="1:10">
      <c r="A280" s="40"/>
      <c r="B280" s="40"/>
      <c r="C280" s="40"/>
      <c r="D280" s="40"/>
      <c r="E280" s="40"/>
      <c r="F280" s="40"/>
      <c r="G280" s="40"/>
      <c r="H280" s="40"/>
      <c r="I280" s="40"/>
      <c r="J280" s="40"/>
    </row>
    <row r="281" spans="1:10">
      <c r="A281" s="40"/>
      <c r="B281" s="40"/>
      <c r="C281" s="40"/>
      <c r="D281" s="40"/>
      <c r="E281" s="40"/>
      <c r="F281" s="40"/>
      <c r="G281" s="40"/>
      <c r="H281" s="40"/>
      <c r="I281" s="40"/>
      <c r="J281" s="40"/>
    </row>
    <row r="282" spans="1:10">
      <c r="A282" s="40"/>
      <c r="B282" s="40"/>
      <c r="C282" s="40"/>
      <c r="D282" s="40"/>
      <c r="E282" s="40"/>
      <c r="F282" s="40"/>
      <c r="G282" s="40"/>
      <c r="H282" s="40"/>
      <c r="I282" s="40"/>
      <c r="J282" s="40"/>
    </row>
    <row r="283" spans="1:10">
      <c r="A283" s="40"/>
      <c r="B283" s="40"/>
      <c r="C283" s="40"/>
      <c r="D283" s="40"/>
      <c r="E283" s="40"/>
      <c r="F283" s="40"/>
      <c r="G283" s="40"/>
      <c r="H283" s="40"/>
      <c r="I283" s="40"/>
      <c r="J283" s="40"/>
    </row>
    <row r="284" spans="1:10">
      <c r="A284" s="40"/>
      <c r="B284" s="40"/>
      <c r="C284" s="40"/>
      <c r="D284" s="40"/>
      <c r="E284" s="40"/>
      <c r="F284" s="40"/>
      <c r="G284" s="40"/>
      <c r="H284" s="40"/>
      <c r="I284" s="40"/>
      <c r="J284" s="40"/>
    </row>
    <row r="285" spans="1:10">
      <c r="A285" s="40"/>
      <c r="B285" s="40"/>
      <c r="C285" s="40"/>
      <c r="D285" s="40"/>
      <c r="E285" s="40"/>
      <c r="F285" s="40"/>
      <c r="G285" s="40"/>
      <c r="H285" s="40"/>
      <c r="I285" s="40"/>
      <c r="J285" s="40"/>
    </row>
    <row r="286" spans="1:10">
      <c r="A286" s="40"/>
      <c r="B286" s="40"/>
      <c r="C286" s="40"/>
      <c r="D286" s="40"/>
      <c r="E286" s="40"/>
      <c r="F286" s="40"/>
      <c r="G286" s="40"/>
      <c r="H286" s="40"/>
      <c r="I286" s="40"/>
      <c r="J286" s="40"/>
    </row>
    <row r="287" spans="1:10">
      <c r="A287" s="40"/>
      <c r="B287" s="40"/>
      <c r="C287" s="40"/>
      <c r="D287" s="40"/>
      <c r="E287" s="40"/>
      <c r="F287" s="40"/>
      <c r="G287" s="40"/>
      <c r="H287" s="40"/>
      <c r="I287" s="40"/>
      <c r="J287" s="40"/>
    </row>
    <row r="288" spans="1:10">
      <c r="A288" s="40"/>
      <c r="B288" s="40"/>
      <c r="C288" s="40"/>
      <c r="D288" s="40"/>
      <c r="E288" s="40"/>
      <c r="F288" s="40"/>
      <c r="G288" s="40"/>
      <c r="H288" s="40"/>
      <c r="I288" s="40"/>
      <c r="J288" s="40"/>
    </row>
    <row r="289" spans="1:10">
      <c r="A289" s="40"/>
      <c r="B289" s="40"/>
      <c r="C289" s="40"/>
      <c r="D289" s="40"/>
      <c r="E289" s="40"/>
      <c r="F289" s="40"/>
      <c r="G289" s="40"/>
      <c r="H289" s="40"/>
      <c r="I289" s="40"/>
      <c r="J289" s="40"/>
    </row>
    <row r="290" spans="1:10">
      <c r="A290" s="40"/>
      <c r="B290" s="40"/>
      <c r="C290" s="40"/>
      <c r="D290" s="40"/>
      <c r="E290" s="40"/>
      <c r="F290" s="40"/>
      <c r="G290" s="40"/>
      <c r="H290" s="40"/>
      <c r="I290" s="40"/>
      <c r="J290" s="40"/>
    </row>
    <row r="291" spans="1:10">
      <c r="A291" s="40"/>
      <c r="B291" s="40"/>
      <c r="C291" s="40"/>
      <c r="D291" s="40"/>
      <c r="E291" s="40"/>
      <c r="F291" s="40"/>
      <c r="G291" s="40"/>
      <c r="H291" s="40"/>
      <c r="I291" s="40"/>
      <c r="J291" s="40"/>
    </row>
    <row r="292" spans="1:10">
      <c r="A292" s="40"/>
      <c r="B292" s="40"/>
      <c r="C292" s="40"/>
      <c r="D292" s="40"/>
      <c r="E292" s="40"/>
      <c r="F292" s="40"/>
      <c r="G292" s="40"/>
      <c r="H292" s="40"/>
      <c r="I292" s="40"/>
      <c r="J292" s="40"/>
    </row>
    <row r="293" spans="1:10">
      <c r="A293" s="40"/>
      <c r="B293" s="40"/>
      <c r="C293" s="40"/>
      <c r="D293" s="40"/>
      <c r="E293" s="40"/>
      <c r="F293" s="40"/>
      <c r="G293" s="40"/>
      <c r="H293" s="40"/>
      <c r="I293" s="40"/>
      <c r="J293" s="40"/>
    </row>
    <row r="294" spans="1:10">
      <c r="A294" s="40"/>
      <c r="B294" s="40"/>
      <c r="C294" s="40"/>
      <c r="D294" s="40"/>
      <c r="E294" s="40"/>
      <c r="F294" s="40"/>
      <c r="G294" s="40"/>
      <c r="H294" s="40"/>
      <c r="I294" s="40"/>
      <c r="J294" s="40"/>
    </row>
    <row r="295" spans="1:10">
      <c r="A295" s="40"/>
      <c r="B295" s="40"/>
      <c r="C295" s="40"/>
      <c r="D295" s="40"/>
      <c r="E295" s="40"/>
      <c r="F295" s="40"/>
      <c r="G295" s="40"/>
      <c r="H295" s="40"/>
      <c r="I295" s="40"/>
      <c r="J295" s="40"/>
    </row>
    <row r="296" spans="1:10">
      <c r="A296" s="40"/>
      <c r="B296" s="40"/>
      <c r="C296" s="40"/>
      <c r="D296" s="40"/>
      <c r="E296" s="40"/>
      <c r="F296" s="40"/>
      <c r="G296" s="40"/>
      <c r="H296" s="40"/>
      <c r="I296" s="40"/>
      <c r="J296" s="40"/>
    </row>
    <row r="297" spans="1:10">
      <c r="A297" s="40"/>
      <c r="B297" s="40"/>
      <c r="C297" s="40"/>
      <c r="D297" s="40"/>
      <c r="E297" s="40"/>
      <c r="F297" s="40"/>
      <c r="G297" s="40"/>
      <c r="H297" s="40"/>
      <c r="I297" s="40"/>
      <c r="J297" s="40"/>
    </row>
    <row r="298" spans="1:10">
      <c r="A298" s="40"/>
      <c r="B298" s="40"/>
      <c r="C298" s="40"/>
      <c r="D298" s="40"/>
      <c r="E298" s="40"/>
      <c r="F298" s="40"/>
      <c r="G298" s="40"/>
      <c r="H298" s="40"/>
      <c r="I298" s="40"/>
      <c r="J298" s="40"/>
    </row>
    <row r="299" spans="1:10">
      <c r="A299" s="40"/>
      <c r="B299" s="40"/>
      <c r="C299" s="40"/>
      <c r="D299" s="40"/>
      <c r="E299" s="40"/>
      <c r="F299" s="40"/>
      <c r="G299" s="40"/>
      <c r="H299" s="40"/>
      <c r="I299" s="40"/>
      <c r="J299" s="40"/>
    </row>
    <row r="300" spans="1:10">
      <c r="A300" s="40"/>
      <c r="B300" s="40"/>
      <c r="C300" s="40"/>
      <c r="D300" s="40"/>
      <c r="E300" s="40"/>
      <c r="F300" s="40"/>
      <c r="G300" s="40"/>
      <c r="H300" s="40"/>
      <c r="I300" s="40"/>
      <c r="J300" s="40"/>
    </row>
    <row r="301" spans="1:10">
      <c r="A301" s="40"/>
      <c r="B301" s="40"/>
      <c r="C301" s="40"/>
      <c r="D301" s="40"/>
      <c r="E301" s="40"/>
      <c r="F301" s="40"/>
      <c r="G301" s="40"/>
      <c r="H301" s="40"/>
      <c r="I301" s="40"/>
      <c r="J301" s="40"/>
    </row>
    <row r="302" spans="1:10">
      <c r="A302" s="40"/>
      <c r="B302" s="40"/>
      <c r="C302" s="40"/>
      <c r="D302" s="40"/>
      <c r="E302" s="40"/>
      <c r="F302" s="40"/>
      <c r="G302" s="40"/>
      <c r="H302" s="40"/>
      <c r="I302" s="40"/>
      <c r="J302" s="40"/>
    </row>
    <row r="303" spans="1:10">
      <c r="A303" s="40"/>
      <c r="B303" s="40"/>
      <c r="C303" s="40"/>
      <c r="D303" s="40"/>
      <c r="E303" s="40"/>
      <c r="F303" s="40"/>
      <c r="G303" s="40"/>
      <c r="H303" s="40"/>
      <c r="I303" s="40"/>
      <c r="J303" s="40"/>
    </row>
    <row r="304" spans="1:10">
      <c r="A304" s="40"/>
      <c r="B304" s="40"/>
      <c r="C304" s="40"/>
      <c r="D304" s="40"/>
      <c r="E304" s="40"/>
      <c r="F304" s="40"/>
      <c r="G304" s="40"/>
      <c r="H304" s="40"/>
      <c r="I304" s="40"/>
      <c r="J304" s="40"/>
    </row>
    <row r="305" spans="1:10">
      <c r="A305" s="40"/>
      <c r="B305" s="40"/>
      <c r="C305" s="40"/>
      <c r="D305" s="40"/>
      <c r="E305" s="40"/>
      <c r="F305" s="40"/>
      <c r="G305" s="40"/>
      <c r="H305" s="40"/>
      <c r="I305" s="40"/>
      <c r="J305" s="40"/>
    </row>
    <row r="306" spans="1:10">
      <c r="A306" s="40"/>
      <c r="B306" s="40"/>
      <c r="C306" s="40"/>
      <c r="D306" s="40"/>
      <c r="E306" s="40"/>
      <c r="F306" s="40"/>
      <c r="G306" s="40"/>
      <c r="H306" s="40"/>
      <c r="I306" s="40"/>
      <c r="J306" s="40"/>
    </row>
    <row r="307" spans="1:10">
      <c r="A307" s="40"/>
      <c r="B307" s="40"/>
      <c r="C307" s="40"/>
      <c r="D307" s="40"/>
      <c r="E307" s="40"/>
      <c r="F307" s="40"/>
      <c r="G307" s="40"/>
      <c r="H307" s="40"/>
      <c r="I307" s="40"/>
      <c r="J307" s="40"/>
    </row>
    <row r="308" spans="1:10">
      <c r="A308" s="40"/>
      <c r="B308" s="40"/>
      <c r="C308" s="40"/>
      <c r="D308" s="40"/>
      <c r="E308" s="40"/>
      <c r="F308" s="40"/>
      <c r="G308" s="40"/>
      <c r="H308" s="40"/>
      <c r="I308" s="40"/>
      <c r="J308" s="40"/>
    </row>
    <row r="309" spans="1:10">
      <c r="A309" s="40"/>
      <c r="B309" s="40"/>
      <c r="C309" s="40"/>
      <c r="D309" s="40"/>
      <c r="E309" s="40"/>
      <c r="F309" s="40"/>
      <c r="G309" s="40"/>
      <c r="H309" s="40"/>
      <c r="I309" s="40"/>
      <c r="J309" s="40"/>
    </row>
    <row r="310" spans="1:10">
      <c r="A310" s="40"/>
      <c r="B310" s="40"/>
      <c r="C310" s="40"/>
      <c r="D310" s="40"/>
      <c r="E310" s="40"/>
      <c r="F310" s="40"/>
      <c r="G310" s="40"/>
      <c r="H310" s="40"/>
      <c r="I310" s="40"/>
      <c r="J310" s="40"/>
    </row>
    <row r="311" spans="1:10">
      <c r="A311" s="40"/>
      <c r="B311" s="40"/>
      <c r="C311" s="40"/>
      <c r="D311" s="40"/>
      <c r="E311" s="40"/>
      <c r="F311" s="40"/>
      <c r="G311" s="40"/>
      <c r="H311" s="40"/>
      <c r="I311" s="40"/>
      <c r="J311" s="40"/>
    </row>
    <row r="312" spans="1:10">
      <c r="A312" s="40"/>
      <c r="B312" s="40"/>
      <c r="C312" s="40"/>
      <c r="D312" s="40"/>
      <c r="E312" s="40"/>
      <c r="F312" s="40"/>
      <c r="G312" s="40"/>
      <c r="H312" s="40"/>
      <c r="I312" s="40"/>
      <c r="J312" s="40"/>
    </row>
    <row r="313" spans="1:10">
      <c r="A313" s="40"/>
      <c r="B313" s="40"/>
      <c r="C313" s="40"/>
      <c r="D313" s="40"/>
      <c r="E313" s="40"/>
      <c r="F313" s="40"/>
      <c r="G313" s="40"/>
      <c r="H313" s="40"/>
      <c r="I313" s="40"/>
      <c r="J313" s="40"/>
    </row>
    <row r="314" spans="1:10">
      <c r="A314" s="40"/>
      <c r="B314" s="40"/>
      <c r="C314" s="40"/>
      <c r="D314" s="40"/>
      <c r="E314" s="40"/>
      <c r="F314" s="40"/>
      <c r="G314" s="40"/>
      <c r="H314" s="40"/>
      <c r="I314" s="40"/>
      <c r="J314" s="40"/>
    </row>
    <row r="315" spans="1:10">
      <c r="A315" s="40"/>
      <c r="B315" s="40"/>
      <c r="C315" s="40"/>
      <c r="D315" s="40"/>
      <c r="E315" s="40"/>
      <c r="F315" s="40"/>
      <c r="G315" s="40"/>
      <c r="H315" s="40"/>
      <c r="I315" s="40"/>
      <c r="J315" s="40"/>
    </row>
    <row r="316" spans="1:10">
      <c r="A316" s="40"/>
      <c r="B316" s="40"/>
      <c r="C316" s="40"/>
      <c r="D316" s="40"/>
      <c r="E316" s="40"/>
      <c r="F316" s="40"/>
      <c r="G316" s="40"/>
      <c r="H316" s="40"/>
      <c r="I316" s="40"/>
      <c r="J316" s="40"/>
    </row>
    <row r="317" spans="1:10">
      <c r="A317" s="40"/>
      <c r="B317" s="40"/>
      <c r="C317" s="40"/>
      <c r="D317" s="40"/>
      <c r="E317" s="40"/>
      <c r="F317" s="40"/>
      <c r="G317" s="40"/>
      <c r="H317" s="40"/>
      <c r="I317" s="40"/>
      <c r="J317" s="40"/>
    </row>
    <row r="318" spans="1:10">
      <c r="A318" s="40"/>
      <c r="B318" s="40"/>
      <c r="C318" s="40"/>
      <c r="D318" s="40"/>
      <c r="E318" s="40"/>
      <c r="F318" s="40"/>
      <c r="G318" s="40"/>
      <c r="H318" s="40"/>
      <c r="I318" s="40"/>
      <c r="J318" s="40"/>
    </row>
    <row r="319" spans="1:10">
      <c r="A319" s="40"/>
      <c r="B319" s="40"/>
      <c r="C319" s="40"/>
      <c r="D319" s="40"/>
      <c r="E319" s="40"/>
      <c r="F319" s="40"/>
      <c r="G319" s="40"/>
      <c r="H319" s="40"/>
      <c r="I319" s="40"/>
      <c r="J319" s="40"/>
    </row>
    <row r="320" spans="1:10">
      <c r="A320" s="40"/>
      <c r="B320" s="40"/>
      <c r="C320" s="40"/>
      <c r="D320" s="40"/>
      <c r="E320" s="40"/>
      <c r="F320" s="40"/>
      <c r="G320" s="40"/>
      <c r="H320" s="40"/>
      <c r="I320" s="40"/>
      <c r="J320" s="40"/>
    </row>
    <row r="321" spans="1:10">
      <c r="A321" s="40"/>
      <c r="B321" s="40"/>
      <c r="C321" s="40"/>
      <c r="D321" s="40"/>
      <c r="E321" s="40"/>
      <c r="F321" s="40"/>
      <c r="G321" s="40"/>
      <c r="H321" s="40"/>
      <c r="I321" s="40"/>
      <c r="J321" s="40"/>
    </row>
    <row r="322" spans="1:10">
      <c r="A322" s="40"/>
      <c r="B322" s="40"/>
      <c r="C322" s="40"/>
      <c r="D322" s="40"/>
      <c r="E322" s="40"/>
      <c r="F322" s="40"/>
      <c r="G322" s="40"/>
      <c r="H322" s="40"/>
      <c r="I322" s="40"/>
      <c r="J322" s="40"/>
    </row>
    <row r="323" spans="1:10">
      <c r="A323" s="40"/>
      <c r="B323" s="40"/>
      <c r="C323" s="40"/>
      <c r="D323" s="40"/>
      <c r="E323" s="40"/>
      <c r="F323" s="40"/>
      <c r="G323" s="40"/>
      <c r="H323" s="40"/>
      <c r="I323" s="40"/>
      <c r="J323" s="40"/>
    </row>
    <row r="324" spans="1:10">
      <c r="A324" s="40"/>
      <c r="B324" s="40"/>
      <c r="C324" s="40"/>
      <c r="D324" s="40"/>
      <c r="E324" s="40"/>
      <c r="F324" s="40"/>
      <c r="G324" s="40"/>
      <c r="H324" s="40"/>
      <c r="I324" s="40"/>
      <c r="J324" s="40"/>
    </row>
    <row r="325" spans="1:10">
      <c r="A325" s="40"/>
      <c r="B325" s="40"/>
      <c r="C325" s="40"/>
      <c r="D325" s="40"/>
      <c r="E325" s="40"/>
      <c r="F325" s="40"/>
      <c r="G325" s="40"/>
      <c r="H325" s="40"/>
      <c r="I325" s="40"/>
      <c r="J325" s="40"/>
    </row>
    <row r="326" spans="1:10">
      <c r="A326" s="40"/>
      <c r="B326" s="40"/>
      <c r="C326" s="40"/>
      <c r="D326" s="40"/>
      <c r="E326" s="40"/>
      <c r="F326" s="40"/>
      <c r="G326" s="40"/>
      <c r="H326" s="40"/>
      <c r="I326" s="40"/>
      <c r="J326" s="40"/>
    </row>
    <row r="327" spans="1:10">
      <c r="A327" s="40"/>
      <c r="B327" s="40"/>
      <c r="C327" s="40"/>
      <c r="D327" s="40"/>
      <c r="E327" s="40"/>
      <c r="F327" s="40"/>
      <c r="G327" s="40"/>
      <c r="H327" s="40"/>
      <c r="I327" s="40"/>
      <c r="J327" s="40"/>
    </row>
    <row r="328" spans="1:10">
      <c r="A328" s="40"/>
      <c r="B328" s="40"/>
      <c r="C328" s="40"/>
      <c r="D328" s="40"/>
      <c r="E328" s="40"/>
      <c r="F328" s="40"/>
      <c r="G328" s="40"/>
      <c r="H328" s="40"/>
      <c r="I328" s="40"/>
      <c r="J328" s="40"/>
    </row>
    <row r="329" spans="1:10">
      <c r="A329" s="40"/>
      <c r="B329" s="40"/>
      <c r="C329" s="40"/>
      <c r="D329" s="40"/>
      <c r="E329" s="40"/>
      <c r="F329" s="40"/>
      <c r="G329" s="40"/>
      <c r="H329" s="40"/>
      <c r="I329" s="40"/>
      <c r="J329" s="40"/>
    </row>
    <row r="330" spans="1:10">
      <c r="A330" s="40"/>
      <c r="B330" s="40"/>
      <c r="C330" s="40"/>
      <c r="D330" s="40"/>
      <c r="E330" s="40"/>
      <c r="F330" s="40"/>
      <c r="G330" s="40"/>
      <c r="H330" s="40"/>
      <c r="I330" s="40"/>
      <c r="J330" s="40"/>
    </row>
    <row r="331" spans="1:10">
      <c r="A331" s="40"/>
      <c r="B331" s="40"/>
      <c r="C331" s="40"/>
      <c r="D331" s="40"/>
      <c r="E331" s="40"/>
      <c r="F331" s="40"/>
      <c r="G331" s="40"/>
      <c r="H331" s="40"/>
      <c r="I331" s="40"/>
      <c r="J331" s="40"/>
    </row>
    <row r="332" spans="1:10">
      <c r="A332" s="40"/>
      <c r="B332" s="40"/>
      <c r="C332" s="40"/>
      <c r="D332" s="40"/>
      <c r="E332" s="40"/>
      <c r="F332" s="40"/>
      <c r="G332" s="40"/>
      <c r="H332" s="40"/>
      <c r="I332" s="40"/>
      <c r="J332" s="40"/>
    </row>
    <row r="333" spans="1:10">
      <c r="A333" s="40"/>
      <c r="B333" s="40"/>
      <c r="C333" s="40"/>
      <c r="D333" s="40"/>
      <c r="E333" s="40"/>
      <c r="F333" s="40"/>
      <c r="G333" s="40"/>
      <c r="H333" s="40"/>
      <c r="I333" s="40"/>
      <c r="J333" s="40"/>
    </row>
    <row r="334" spans="1:10">
      <c r="A334" s="40"/>
      <c r="B334" s="40"/>
      <c r="C334" s="40"/>
      <c r="D334" s="40"/>
      <c r="E334" s="40"/>
      <c r="F334" s="40"/>
      <c r="G334" s="40"/>
      <c r="H334" s="40"/>
      <c r="I334" s="40"/>
      <c r="J334" s="40"/>
    </row>
    <row r="335" spans="1:10">
      <c r="A335" s="40"/>
      <c r="B335" s="40"/>
      <c r="C335" s="40"/>
      <c r="D335" s="40"/>
      <c r="E335" s="40"/>
      <c r="F335" s="40"/>
      <c r="G335" s="40"/>
      <c r="H335" s="40"/>
      <c r="I335" s="40"/>
      <c r="J335" s="40"/>
    </row>
    <row r="336" spans="1:10">
      <c r="A336" s="40"/>
      <c r="B336" s="40"/>
      <c r="C336" s="40"/>
      <c r="D336" s="40"/>
      <c r="E336" s="40"/>
      <c r="F336" s="40"/>
      <c r="G336" s="40"/>
      <c r="H336" s="40"/>
      <c r="I336" s="40"/>
      <c r="J336" s="40"/>
    </row>
    <row r="337" spans="1:10">
      <c r="A337" s="40"/>
      <c r="B337" s="40"/>
      <c r="C337" s="40"/>
      <c r="D337" s="40"/>
      <c r="E337" s="40"/>
      <c r="F337" s="40"/>
      <c r="G337" s="40"/>
      <c r="H337" s="40"/>
      <c r="I337" s="40"/>
      <c r="J337" s="40"/>
    </row>
    <row r="338" spans="1:10">
      <c r="A338" s="40"/>
      <c r="B338" s="40"/>
      <c r="C338" s="40"/>
      <c r="D338" s="40"/>
      <c r="E338" s="40"/>
      <c r="F338" s="40"/>
      <c r="G338" s="40"/>
      <c r="H338" s="40"/>
      <c r="I338" s="40"/>
      <c r="J338" s="40"/>
    </row>
    <row r="339" spans="1:10">
      <c r="A339" s="40"/>
      <c r="B339" s="40"/>
      <c r="C339" s="40"/>
      <c r="D339" s="40"/>
      <c r="E339" s="40"/>
      <c r="F339" s="40"/>
      <c r="G339" s="40"/>
      <c r="H339" s="40"/>
      <c r="I339" s="40"/>
      <c r="J339" s="40"/>
    </row>
    <row r="340" spans="1:10">
      <c r="A340" s="40"/>
      <c r="B340" s="40"/>
      <c r="C340" s="40"/>
      <c r="D340" s="40"/>
      <c r="E340" s="40"/>
      <c r="F340" s="40"/>
      <c r="G340" s="40"/>
      <c r="H340" s="40"/>
      <c r="I340" s="40"/>
      <c r="J340" s="40"/>
    </row>
    <row r="341" spans="1:10">
      <c r="A341" s="40"/>
      <c r="B341" s="40"/>
      <c r="C341" s="40"/>
      <c r="D341" s="40"/>
      <c r="E341" s="40"/>
      <c r="F341" s="40"/>
      <c r="G341" s="40"/>
      <c r="H341" s="40"/>
      <c r="I341" s="40"/>
      <c r="J341" s="40"/>
    </row>
    <row r="342" spans="1:10">
      <c r="A342" s="40"/>
      <c r="B342" s="40"/>
      <c r="C342" s="40"/>
      <c r="D342" s="40"/>
      <c r="E342" s="40"/>
      <c r="F342" s="40"/>
      <c r="G342" s="40"/>
      <c r="H342" s="40"/>
      <c r="I342" s="40"/>
      <c r="J342" s="40"/>
    </row>
    <row r="343" spans="1:10">
      <c r="A343" s="40"/>
      <c r="B343" s="40"/>
      <c r="C343" s="40"/>
      <c r="D343" s="40"/>
      <c r="E343" s="40"/>
      <c r="F343" s="40"/>
      <c r="G343" s="40"/>
      <c r="H343" s="40"/>
      <c r="I343" s="40"/>
      <c r="J343" s="40"/>
    </row>
    <row r="344" spans="1:10">
      <c r="A344" s="40"/>
      <c r="B344" s="40"/>
      <c r="C344" s="40"/>
      <c r="D344" s="40"/>
      <c r="E344" s="40"/>
      <c r="F344" s="40"/>
      <c r="G344" s="40"/>
      <c r="H344" s="40"/>
      <c r="I344" s="40"/>
      <c r="J344" s="40"/>
    </row>
    <row r="345" spans="1:10">
      <c r="A345" s="40"/>
      <c r="B345" s="40"/>
      <c r="C345" s="40"/>
      <c r="D345" s="40"/>
      <c r="E345" s="40"/>
      <c r="F345" s="40"/>
      <c r="G345" s="40"/>
      <c r="H345" s="40"/>
      <c r="I345" s="40"/>
      <c r="J345" s="40"/>
    </row>
    <row r="346" spans="1:10">
      <c r="A346" s="40"/>
      <c r="B346" s="40"/>
      <c r="C346" s="40"/>
      <c r="D346" s="40"/>
      <c r="E346" s="40"/>
      <c r="F346" s="40"/>
      <c r="G346" s="40"/>
      <c r="H346" s="40"/>
      <c r="I346" s="40"/>
      <c r="J346" s="40"/>
    </row>
    <row r="347" spans="1:10">
      <c r="A347" s="40"/>
      <c r="B347" s="40"/>
      <c r="C347" s="40"/>
      <c r="D347" s="40"/>
      <c r="E347" s="40"/>
      <c r="F347" s="40"/>
      <c r="G347" s="40"/>
      <c r="H347" s="40"/>
      <c r="I347" s="40"/>
      <c r="J347" s="40"/>
    </row>
    <row r="348" spans="1:10">
      <c r="A348" s="40"/>
      <c r="B348" s="40"/>
      <c r="C348" s="40"/>
      <c r="D348" s="40"/>
      <c r="E348" s="40"/>
      <c r="F348" s="40"/>
      <c r="G348" s="40"/>
      <c r="H348" s="40"/>
      <c r="I348" s="40"/>
      <c r="J348" s="40"/>
    </row>
    <row r="349" spans="1:10">
      <c r="A349" s="40"/>
      <c r="B349" s="40"/>
      <c r="C349" s="40"/>
      <c r="D349" s="40"/>
      <c r="E349" s="40"/>
      <c r="F349" s="40"/>
      <c r="G349" s="40"/>
      <c r="H349" s="40"/>
      <c r="I349" s="40"/>
      <c r="J349" s="40"/>
    </row>
    <row r="350" spans="1:10">
      <c r="A350" s="40"/>
      <c r="B350" s="40"/>
      <c r="C350" s="40"/>
      <c r="D350" s="40"/>
      <c r="E350" s="40"/>
      <c r="F350" s="40"/>
      <c r="G350" s="40"/>
      <c r="H350" s="40"/>
      <c r="I350" s="40"/>
      <c r="J350" s="40"/>
    </row>
    <row r="351" spans="1:10">
      <c r="A351" s="40"/>
      <c r="B351" s="40"/>
      <c r="C351" s="40"/>
      <c r="D351" s="40"/>
      <c r="E351" s="40"/>
      <c r="F351" s="40"/>
      <c r="G351" s="40"/>
      <c r="H351" s="40"/>
      <c r="I351" s="40"/>
      <c r="J351" s="40"/>
    </row>
    <row r="352" spans="1:10">
      <c r="A352" s="40"/>
      <c r="B352" s="40"/>
      <c r="C352" s="40"/>
      <c r="D352" s="40"/>
      <c r="E352" s="40"/>
      <c r="F352" s="40"/>
      <c r="G352" s="40"/>
      <c r="H352" s="40"/>
      <c r="I352" s="40"/>
      <c r="J352" s="40"/>
    </row>
    <row r="353" spans="1:10">
      <c r="A353" s="40"/>
      <c r="B353" s="40"/>
      <c r="C353" s="40"/>
      <c r="D353" s="40"/>
      <c r="E353" s="40"/>
      <c r="F353" s="40"/>
      <c r="G353" s="40"/>
      <c r="H353" s="40"/>
      <c r="I353" s="40"/>
      <c r="J353" s="40"/>
    </row>
    <row r="354" spans="1:10">
      <c r="A354" s="40"/>
      <c r="B354" s="40"/>
      <c r="C354" s="40"/>
      <c r="D354" s="40"/>
      <c r="E354" s="40"/>
      <c r="F354" s="40"/>
      <c r="G354" s="40"/>
      <c r="H354" s="40"/>
      <c r="I354" s="40"/>
      <c r="J354" s="40"/>
    </row>
    <row r="355" spans="1:10">
      <c r="A355" s="40"/>
      <c r="B355" s="40"/>
      <c r="C355" s="40"/>
      <c r="D355" s="40"/>
      <c r="E355" s="40"/>
      <c r="F355" s="40"/>
      <c r="G355" s="40"/>
      <c r="H355" s="40"/>
      <c r="I355" s="40"/>
      <c r="J355" s="40"/>
    </row>
    <row r="356" spans="1:10">
      <c r="A356" s="40"/>
      <c r="B356" s="40"/>
      <c r="C356" s="40"/>
      <c r="D356" s="40"/>
      <c r="E356" s="40"/>
      <c r="F356" s="40"/>
      <c r="G356" s="40"/>
      <c r="H356" s="40"/>
      <c r="I356" s="40"/>
      <c r="J356" s="40"/>
    </row>
    <row r="357" spans="1:10">
      <c r="A357" s="40"/>
      <c r="B357" s="40"/>
      <c r="C357" s="40"/>
      <c r="D357" s="40"/>
      <c r="E357" s="40"/>
      <c r="F357" s="40"/>
      <c r="G357" s="40"/>
      <c r="H357" s="40"/>
      <c r="I357" s="40"/>
      <c r="J357" s="40"/>
    </row>
    <row r="358" spans="1:10">
      <c r="A358" s="40"/>
      <c r="B358" s="40"/>
      <c r="C358" s="40"/>
      <c r="D358" s="40"/>
      <c r="E358" s="40"/>
      <c r="F358" s="40"/>
      <c r="G358" s="40"/>
      <c r="H358" s="40"/>
      <c r="I358" s="40"/>
      <c r="J358" s="40"/>
    </row>
    <row r="359" spans="1:10">
      <c r="A359" s="40"/>
      <c r="B359" s="40"/>
      <c r="C359" s="40"/>
      <c r="D359" s="40"/>
      <c r="E359" s="40"/>
      <c r="F359" s="40"/>
      <c r="G359" s="40"/>
      <c r="H359" s="40"/>
      <c r="I359" s="40"/>
      <c r="J359" s="40"/>
    </row>
    <row r="360" spans="1:10">
      <c r="A360" s="40"/>
      <c r="B360" s="40"/>
      <c r="C360" s="40"/>
      <c r="D360" s="40"/>
      <c r="E360" s="40"/>
      <c r="F360" s="40"/>
      <c r="G360" s="40"/>
      <c r="H360" s="40"/>
      <c r="I360" s="40"/>
      <c r="J360" s="40"/>
    </row>
    <row r="361" spans="1:10">
      <c r="A361" s="40"/>
      <c r="B361" s="40"/>
      <c r="C361" s="40"/>
      <c r="D361" s="40"/>
      <c r="E361" s="40"/>
      <c r="F361" s="40"/>
      <c r="G361" s="40"/>
      <c r="H361" s="40"/>
      <c r="I361" s="40"/>
      <c r="J361" s="40"/>
    </row>
    <row r="362" spans="1:10">
      <c r="A362" s="40"/>
      <c r="B362" s="40"/>
      <c r="C362" s="40"/>
      <c r="D362" s="40"/>
      <c r="E362" s="40"/>
      <c r="F362" s="40"/>
      <c r="G362" s="40"/>
      <c r="H362" s="40"/>
      <c r="I362" s="40"/>
      <c r="J362" s="40"/>
    </row>
    <row r="363" spans="1:10">
      <c r="A363" s="40"/>
      <c r="B363" s="40"/>
      <c r="C363" s="40"/>
      <c r="D363" s="40"/>
      <c r="E363" s="40"/>
      <c r="F363" s="40"/>
      <c r="G363" s="40"/>
      <c r="H363" s="40"/>
      <c r="I363" s="40"/>
      <c r="J363" s="40"/>
    </row>
    <row r="364" spans="1:10">
      <c r="A364" s="40"/>
      <c r="B364" s="40"/>
      <c r="C364" s="40"/>
      <c r="D364" s="40"/>
      <c r="E364" s="40"/>
      <c r="F364" s="40"/>
      <c r="G364" s="40"/>
      <c r="H364" s="40"/>
      <c r="I364" s="40"/>
      <c r="J364" s="40"/>
    </row>
    <row r="365" spans="1:10">
      <c r="A365" s="40"/>
      <c r="B365" s="40"/>
      <c r="C365" s="40"/>
      <c r="D365" s="40"/>
      <c r="E365" s="40"/>
      <c r="F365" s="40"/>
      <c r="G365" s="40"/>
      <c r="H365" s="40"/>
      <c r="I365" s="40"/>
      <c r="J365" s="40"/>
    </row>
    <row r="366" spans="1:10">
      <c r="A366" s="40"/>
      <c r="B366" s="40"/>
      <c r="C366" s="40"/>
      <c r="D366" s="40"/>
      <c r="E366" s="40"/>
      <c r="F366" s="40"/>
      <c r="G366" s="40"/>
      <c r="H366" s="40"/>
      <c r="I366" s="40"/>
      <c r="J366" s="40"/>
    </row>
    <row r="367" spans="1:10">
      <c r="A367" s="40"/>
      <c r="B367" s="40"/>
      <c r="C367" s="40"/>
      <c r="D367" s="40"/>
      <c r="E367" s="40"/>
      <c r="F367" s="40"/>
      <c r="G367" s="40"/>
      <c r="H367" s="40"/>
      <c r="I367" s="40"/>
      <c r="J367" s="40"/>
    </row>
    <row r="368" spans="1:10">
      <c r="A368" s="40"/>
      <c r="B368" s="40"/>
      <c r="C368" s="40"/>
      <c r="D368" s="40"/>
      <c r="E368" s="40"/>
      <c r="F368" s="40"/>
      <c r="G368" s="40"/>
      <c r="H368" s="40"/>
      <c r="I368" s="40"/>
      <c r="J368" s="40"/>
    </row>
    <row r="369" spans="1:10">
      <c r="A369" s="40"/>
      <c r="B369" s="40"/>
      <c r="C369" s="40"/>
      <c r="D369" s="40"/>
      <c r="E369" s="40"/>
      <c r="F369" s="40"/>
      <c r="G369" s="40"/>
      <c r="H369" s="40"/>
      <c r="I369" s="40"/>
      <c r="J369" s="40"/>
    </row>
    <row r="370" spans="1:10">
      <c r="A370" s="40"/>
      <c r="B370" s="40"/>
      <c r="C370" s="40"/>
      <c r="D370" s="40"/>
      <c r="E370" s="40"/>
      <c r="F370" s="40"/>
      <c r="G370" s="40"/>
      <c r="H370" s="40"/>
      <c r="I370" s="40"/>
      <c r="J370" s="40"/>
    </row>
    <row r="371" spans="1:10">
      <c r="A371" s="40"/>
      <c r="B371" s="40"/>
      <c r="C371" s="40"/>
      <c r="D371" s="40"/>
      <c r="E371" s="40"/>
      <c r="F371" s="40"/>
      <c r="G371" s="40"/>
      <c r="H371" s="40"/>
      <c r="I371" s="40"/>
      <c r="J371" s="40"/>
    </row>
    <row r="372" spans="1:10">
      <c r="A372" s="40"/>
      <c r="B372" s="40"/>
      <c r="C372" s="40"/>
      <c r="D372" s="40"/>
      <c r="E372" s="40"/>
      <c r="F372" s="40"/>
      <c r="G372" s="40"/>
      <c r="H372" s="40"/>
      <c r="I372" s="40"/>
      <c r="J372" s="40"/>
    </row>
    <row r="373" spans="1:10">
      <c r="A373" s="40"/>
      <c r="B373" s="40"/>
      <c r="C373" s="40"/>
      <c r="D373" s="40"/>
      <c r="E373" s="40"/>
      <c r="F373" s="40"/>
      <c r="G373" s="40"/>
      <c r="H373" s="40"/>
      <c r="I373" s="40"/>
      <c r="J373" s="40"/>
    </row>
    <row r="374" spans="1:10">
      <c r="A374" s="40"/>
      <c r="B374" s="40"/>
      <c r="C374" s="40"/>
      <c r="D374" s="40"/>
      <c r="E374" s="40"/>
      <c r="F374" s="40"/>
      <c r="G374" s="40"/>
      <c r="H374" s="40"/>
      <c r="I374" s="40"/>
      <c r="J374" s="40"/>
    </row>
    <row r="375" spans="1:10">
      <c r="A375" s="40"/>
      <c r="B375" s="40"/>
      <c r="C375" s="40"/>
      <c r="D375" s="40"/>
      <c r="E375" s="40"/>
      <c r="F375" s="40"/>
      <c r="G375" s="40"/>
      <c r="H375" s="40"/>
      <c r="I375" s="40"/>
      <c r="J375" s="40"/>
    </row>
    <row r="376" spans="1:10">
      <c r="A376" s="40"/>
      <c r="B376" s="40"/>
      <c r="C376" s="40"/>
      <c r="D376" s="40"/>
      <c r="E376" s="40"/>
      <c r="F376" s="40"/>
      <c r="G376" s="40"/>
      <c r="H376" s="40"/>
      <c r="I376" s="40"/>
      <c r="J376" s="40"/>
    </row>
    <row r="377" spans="1:10">
      <c r="A377" s="40"/>
      <c r="B377" s="40"/>
      <c r="C377" s="40"/>
      <c r="D377" s="40"/>
      <c r="E377" s="40"/>
      <c r="F377" s="40"/>
      <c r="G377" s="40"/>
      <c r="H377" s="40"/>
      <c r="I377" s="40"/>
      <c r="J377" s="40"/>
    </row>
    <row r="378" spans="1:10">
      <c r="A378" s="40"/>
      <c r="B378" s="40"/>
      <c r="C378" s="40"/>
      <c r="D378" s="40"/>
      <c r="E378" s="40"/>
      <c r="F378" s="40"/>
      <c r="G378" s="40"/>
      <c r="H378" s="40"/>
      <c r="I378" s="40"/>
      <c r="J378" s="40"/>
    </row>
    <row r="379" spans="1:10">
      <c r="A379" s="40"/>
      <c r="B379" s="40"/>
      <c r="C379" s="40"/>
      <c r="D379" s="40"/>
      <c r="E379" s="40"/>
      <c r="F379" s="40"/>
      <c r="G379" s="40"/>
      <c r="H379" s="40"/>
      <c r="I379" s="40"/>
      <c r="J379" s="40"/>
    </row>
    <row r="380" spans="1:10">
      <c r="A380" s="40"/>
      <c r="B380" s="40"/>
      <c r="C380" s="40"/>
      <c r="D380" s="40"/>
      <c r="E380" s="40"/>
      <c r="F380" s="40"/>
      <c r="G380" s="40"/>
      <c r="H380" s="40"/>
      <c r="I380" s="40"/>
      <c r="J380" s="40"/>
    </row>
    <row r="381" spans="1:10">
      <c r="A381" s="40"/>
      <c r="B381" s="40"/>
      <c r="C381" s="40"/>
      <c r="D381" s="40"/>
      <c r="E381" s="40"/>
      <c r="F381" s="40"/>
      <c r="G381" s="40"/>
      <c r="H381" s="40"/>
      <c r="I381" s="40"/>
      <c r="J381" s="40"/>
    </row>
    <row r="382" spans="1:10">
      <c r="A382" s="40"/>
      <c r="B382" s="40"/>
      <c r="C382" s="40"/>
      <c r="D382" s="40"/>
      <c r="E382" s="40"/>
      <c r="F382" s="40"/>
      <c r="G382" s="40"/>
      <c r="H382" s="40"/>
      <c r="I382" s="40"/>
      <c r="J382" s="40"/>
    </row>
    <row r="383" spans="1:10">
      <c r="A383" s="40"/>
      <c r="B383" s="40"/>
      <c r="C383" s="40"/>
      <c r="D383" s="40"/>
      <c r="E383" s="40"/>
      <c r="F383" s="40"/>
      <c r="G383" s="40"/>
      <c r="H383" s="40"/>
      <c r="I383" s="40"/>
      <c r="J383" s="40"/>
    </row>
    <row r="384" spans="1:10">
      <c r="A384" s="40"/>
      <c r="B384" s="40"/>
      <c r="C384" s="40"/>
      <c r="D384" s="40"/>
      <c r="E384" s="40"/>
      <c r="F384" s="40"/>
      <c r="G384" s="40"/>
      <c r="H384" s="40"/>
      <c r="I384" s="40"/>
      <c r="J384" s="40"/>
    </row>
    <row r="385" spans="1:10">
      <c r="A385" s="40"/>
      <c r="B385" s="40"/>
      <c r="C385" s="40"/>
      <c r="D385" s="40"/>
      <c r="E385" s="40"/>
      <c r="F385" s="40"/>
      <c r="G385" s="40"/>
      <c r="H385" s="40"/>
      <c r="I385" s="40"/>
      <c r="J385" s="40"/>
    </row>
    <row r="386" spans="1:10">
      <c r="A386" s="40"/>
      <c r="B386" s="40"/>
      <c r="C386" s="40"/>
      <c r="D386" s="40"/>
      <c r="E386" s="40"/>
      <c r="F386" s="40"/>
      <c r="G386" s="40"/>
      <c r="H386" s="40"/>
      <c r="I386" s="40"/>
      <c r="J386" s="40"/>
    </row>
    <row r="387" spans="1:10">
      <c r="A387" s="40"/>
      <c r="B387" s="40"/>
      <c r="C387" s="40"/>
      <c r="D387" s="40"/>
      <c r="E387" s="40"/>
      <c r="F387" s="40"/>
      <c r="G387" s="40"/>
      <c r="H387" s="40"/>
      <c r="I387" s="40"/>
      <c r="J387" s="40"/>
    </row>
    <row r="388" spans="1:10">
      <c r="A388" s="40"/>
      <c r="B388" s="40"/>
      <c r="C388" s="40"/>
      <c r="D388" s="40"/>
      <c r="E388" s="40"/>
      <c r="F388" s="40"/>
      <c r="G388" s="40"/>
      <c r="H388" s="40"/>
      <c r="I388" s="40"/>
      <c r="J388" s="40"/>
    </row>
    <row r="389" spans="1:10">
      <c r="A389" s="40"/>
      <c r="B389" s="40"/>
      <c r="C389" s="40"/>
      <c r="D389" s="40"/>
      <c r="E389" s="40"/>
      <c r="F389" s="40"/>
      <c r="G389" s="40"/>
      <c r="H389" s="40"/>
      <c r="I389" s="40"/>
      <c r="J389" s="40"/>
    </row>
    <row r="390" spans="1:10">
      <c r="A390" s="40"/>
      <c r="B390" s="40"/>
      <c r="C390" s="40"/>
      <c r="D390" s="40"/>
      <c r="E390" s="40"/>
      <c r="F390" s="40"/>
      <c r="G390" s="40"/>
      <c r="H390" s="40"/>
      <c r="I390" s="40"/>
      <c r="J390" s="40"/>
    </row>
    <row r="391" spans="1:10">
      <c r="A391" s="40"/>
      <c r="B391" s="40"/>
      <c r="C391" s="40"/>
      <c r="D391" s="40"/>
      <c r="E391" s="40"/>
      <c r="F391" s="40"/>
      <c r="G391" s="40"/>
      <c r="H391" s="40"/>
      <c r="I391" s="40"/>
      <c r="J391" s="40"/>
    </row>
    <row r="392" spans="1:10">
      <c r="A392" s="40"/>
      <c r="B392" s="40"/>
      <c r="C392" s="40"/>
      <c r="D392" s="40"/>
      <c r="E392" s="40"/>
      <c r="F392" s="40"/>
      <c r="G392" s="40"/>
      <c r="H392" s="40"/>
      <c r="I392" s="40"/>
      <c r="J392" s="40"/>
    </row>
    <row r="393" spans="1:10">
      <c r="A393" s="40"/>
      <c r="B393" s="40"/>
      <c r="C393" s="40"/>
      <c r="D393" s="40"/>
      <c r="E393" s="40"/>
      <c r="F393" s="40"/>
      <c r="G393" s="40"/>
      <c r="H393" s="40"/>
      <c r="I393" s="40"/>
      <c r="J393" s="40"/>
    </row>
    <row r="394" spans="1:10">
      <c r="A394" s="40"/>
      <c r="B394" s="40"/>
      <c r="C394" s="40"/>
      <c r="D394" s="40"/>
      <c r="E394" s="40"/>
      <c r="F394" s="40"/>
      <c r="G394" s="40"/>
      <c r="H394" s="40"/>
      <c r="I394" s="40"/>
      <c r="J394" s="40"/>
    </row>
    <row r="395" spans="1:10">
      <c r="A395" s="40"/>
      <c r="B395" s="40"/>
      <c r="C395" s="40"/>
      <c r="D395" s="40"/>
      <c r="E395" s="40"/>
      <c r="F395" s="40"/>
      <c r="G395" s="40"/>
      <c r="H395" s="40"/>
      <c r="I395" s="40"/>
      <c r="J395" s="40"/>
    </row>
    <row r="396" spans="1:10">
      <c r="A396" s="40"/>
      <c r="B396" s="40"/>
      <c r="C396" s="40"/>
      <c r="D396" s="40"/>
      <c r="E396" s="40"/>
      <c r="F396" s="40"/>
      <c r="G396" s="40"/>
      <c r="H396" s="40"/>
      <c r="I396" s="40"/>
      <c r="J396" s="40"/>
    </row>
    <row r="397" spans="1:10">
      <c r="A397" s="40"/>
      <c r="B397" s="40"/>
      <c r="C397" s="40"/>
      <c r="D397" s="40"/>
      <c r="E397" s="40"/>
      <c r="F397" s="40"/>
      <c r="G397" s="40"/>
      <c r="H397" s="40"/>
      <c r="I397" s="40"/>
      <c r="J397" s="40"/>
    </row>
    <row r="398" spans="1:10">
      <c r="A398" s="40"/>
      <c r="B398" s="40"/>
      <c r="C398" s="40"/>
      <c r="D398" s="40"/>
      <c r="E398" s="40"/>
      <c r="F398" s="40"/>
      <c r="G398" s="40"/>
      <c r="H398" s="40"/>
      <c r="I398" s="40"/>
      <c r="J398" s="40"/>
    </row>
    <row r="399" spans="1:10">
      <c r="A399" s="40"/>
      <c r="B399" s="40"/>
      <c r="C399" s="40"/>
      <c r="D399" s="40"/>
      <c r="E399" s="40"/>
      <c r="F399" s="40"/>
      <c r="G399" s="40"/>
      <c r="H399" s="40"/>
      <c r="I399" s="40"/>
      <c r="J399" s="40"/>
    </row>
    <row r="400" spans="1:10">
      <c r="A400" s="40"/>
      <c r="B400" s="40"/>
      <c r="C400" s="40"/>
      <c r="D400" s="40"/>
      <c r="E400" s="40"/>
      <c r="F400" s="40"/>
      <c r="G400" s="40"/>
      <c r="H400" s="40"/>
      <c r="I400" s="40"/>
      <c r="J400" s="40"/>
    </row>
    <row r="401" spans="1:10">
      <c r="A401" s="40"/>
      <c r="B401" s="40"/>
      <c r="C401" s="40"/>
      <c r="D401" s="40"/>
      <c r="E401" s="40"/>
      <c r="F401" s="40"/>
      <c r="G401" s="40"/>
      <c r="H401" s="40"/>
      <c r="I401" s="40"/>
      <c r="J401" s="40"/>
    </row>
    <row r="402" spans="1:10">
      <c r="A402" s="40"/>
      <c r="B402" s="40"/>
      <c r="C402" s="40"/>
      <c r="D402" s="40"/>
      <c r="E402" s="40"/>
      <c r="F402" s="40"/>
      <c r="G402" s="40"/>
      <c r="H402" s="40"/>
      <c r="I402" s="40"/>
      <c r="J402" s="40"/>
    </row>
    <row r="403" spans="1:10">
      <c r="A403" s="40"/>
      <c r="B403" s="40"/>
      <c r="C403" s="40"/>
      <c r="D403" s="40"/>
      <c r="E403" s="40"/>
      <c r="F403" s="40"/>
      <c r="G403" s="40"/>
      <c r="H403" s="40"/>
      <c r="I403" s="40"/>
      <c r="J403" s="40"/>
    </row>
    <row r="404" spans="1:10">
      <c r="A404" s="40"/>
      <c r="B404" s="40"/>
      <c r="C404" s="40"/>
      <c r="D404" s="40"/>
      <c r="E404" s="40"/>
      <c r="F404" s="40"/>
      <c r="G404" s="40"/>
      <c r="H404" s="40"/>
      <c r="I404" s="40"/>
      <c r="J404" s="40"/>
    </row>
    <row r="405" spans="1:10">
      <c r="A405" s="40"/>
      <c r="B405" s="40"/>
      <c r="C405" s="40"/>
      <c r="D405" s="40"/>
      <c r="E405" s="40"/>
      <c r="F405" s="40"/>
      <c r="G405" s="40"/>
      <c r="H405" s="40"/>
      <c r="I405" s="40"/>
      <c r="J405" s="40"/>
    </row>
    <row r="406" spans="1:10">
      <c r="A406" s="40"/>
      <c r="B406" s="40"/>
      <c r="C406" s="40"/>
      <c r="D406" s="40"/>
      <c r="E406" s="40"/>
      <c r="F406" s="40"/>
      <c r="G406" s="40"/>
      <c r="H406" s="40"/>
      <c r="I406" s="40"/>
      <c r="J406" s="40"/>
    </row>
    <row r="407" spans="1:10">
      <c r="A407" s="40"/>
      <c r="B407" s="40"/>
      <c r="C407" s="40"/>
      <c r="D407" s="40"/>
      <c r="E407" s="40"/>
      <c r="F407" s="40"/>
      <c r="G407" s="40"/>
      <c r="H407" s="40"/>
      <c r="I407" s="40"/>
      <c r="J407" s="40"/>
    </row>
    <row r="408" spans="1:10">
      <c r="A408" s="40"/>
      <c r="B408" s="40"/>
      <c r="C408" s="40"/>
      <c r="D408" s="40"/>
      <c r="E408" s="40"/>
      <c r="F408" s="40"/>
      <c r="G408" s="40"/>
      <c r="H408" s="40"/>
      <c r="I408" s="40"/>
      <c r="J408" s="40"/>
    </row>
    <row r="409" spans="1:10">
      <c r="A409" s="40"/>
      <c r="B409" s="40"/>
      <c r="C409" s="40"/>
      <c r="D409" s="40"/>
      <c r="E409" s="40"/>
      <c r="F409" s="40"/>
      <c r="G409" s="40"/>
      <c r="H409" s="40"/>
      <c r="I409" s="40"/>
      <c r="J409" s="40"/>
    </row>
    <row r="410" spans="1:10">
      <c r="A410" s="40"/>
      <c r="B410" s="40"/>
      <c r="C410" s="40"/>
      <c r="D410" s="40"/>
      <c r="E410" s="40"/>
      <c r="F410" s="40"/>
      <c r="G410" s="40"/>
      <c r="H410" s="40"/>
      <c r="I410" s="40"/>
      <c r="J410" s="40"/>
    </row>
    <row r="411" spans="1:10">
      <c r="A411" s="40"/>
      <c r="B411" s="40"/>
      <c r="C411" s="40"/>
      <c r="D411" s="40"/>
      <c r="E411" s="40"/>
      <c r="F411" s="40"/>
      <c r="G411" s="40"/>
      <c r="H411" s="40"/>
      <c r="I411" s="40"/>
      <c r="J411" s="40"/>
    </row>
    <row r="412" spans="1:10">
      <c r="A412" s="40"/>
      <c r="B412" s="40"/>
      <c r="C412" s="40"/>
      <c r="D412" s="40"/>
      <c r="E412" s="40"/>
      <c r="F412" s="40"/>
      <c r="G412" s="40"/>
      <c r="H412" s="40"/>
      <c r="I412" s="40"/>
      <c r="J412" s="40"/>
    </row>
    <row r="413" spans="1:10">
      <c r="A413" s="40"/>
      <c r="B413" s="40"/>
      <c r="C413" s="40"/>
      <c r="D413" s="40"/>
      <c r="E413" s="40"/>
      <c r="F413" s="40"/>
      <c r="G413" s="40"/>
      <c r="H413" s="40"/>
      <c r="I413" s="40"/>
      <c r="J413" s="40"/>
    </row>
    <row r="414" spans="1:10">
      <c r="A414" s="40"/>
      <c r="B414" s="40"/>
      <c r="C414" s="40"/>
      <c r="D414" s="40"/>
      <c r="E414" s="40"/>
      <c r="F414" s="40"/>
      <c r="G414" s="40"/>
      <c r="H414" s="40"/>
      <c r="I414" s="40"/>
      <c r="J414" s="40"/>
    </row>
    <row r="415" spans="1:10">
      <c r="A415" s="40"/>
      <c r="B415" s="40"/>
      <c r="C415" s="40"/>
      <c r="D415" s="40"/>
      <c r="E415" s="40"/>
      <c r="F415" s="40"/>
      <c r="G415" s="40"/>
      <c r="H415" s="40"/>
      <c r="I415" s="40"/>
      <c r="J415" s="40"/>
    </row>
    <row r="416" spans="1:10">
      <c r="A416" s="40"/>
      <c r="B416" s="40"/>
      <c r="C416" s="40"/>
      <c r="D416" s="40"/>
      <c r="E416" s="40"/>
      <c r="F416" s="40"/>
      <c r="G416" s="40"/>
      <c r="H416" s="40"/>
      <c r="I416" s="40"/>
      <c r="J416" s="40"/>
    </row>
    <row r="417" spans="1:10">
      <c r="A417" s="40"/>
      <c r="B417" s="40"/>
      <c r="C417" s="40"/>
      <c r="D417" s="40"/>
      <c r="E417" s="40"/>
      <c r="F417" s="40"/>
      <c r="G417" s="40"/>
      <c r="H417" s="40"/>
      <c r="I417" s="40"/>
      <c r="J417" s="40"/>
    </row>
    <row r="418" spans="1:10">
      <c r="A418" s="40"/>
      <c r="B418" s="40"/>
      <c r="C418" s="40"/>
      <c r="D418" s="40"/>
      <c r="E418" s="40"/>
      <c r="F418" s="40"/>
      <c r="G418" s="40"/>
      <c r="H418" s="40"/>
      <c r="I418" s="40"/>
      <c r="J418" s="40"/>
    </row>
    <row r="419" spans="1:10">
      <c r="A419" s="40"/>
      <c r="B419" s="40"/>
      <c r="C419" s="40"/>
      <c r="D419" s="40"/>
      <c r="E419" s="40"/>
      <c r="F419" s="40"/>
      <c r="G419" s="40"/>
      <c r="H419" s="40"/>
      <c r="I419" s="40"/>
      <c r="J419" s="40"/>
    </row>
    <row r="420" spans="1:10">
      <c r="A420" s="40"/>
      <c r="B420" s="40"/>
      <c r="C420" s="40"/>
      <c r="D420" s="40"/>
      <c r="E420" s="40"/>
      <c r="F420" s="40"/>
      <c r="G420" s="40"/>
      <c r="H420" s="40"/>
      <c r="I420" s="40"/>
      <c r="J420" s="40"/>
    </row>
    <row r="421" spans="1:10">
      <c r="A421" s="40"/>
      <c r="B421" s="40"/>
      <c r="C421" s="40"/>
      <c r="D421" s="40"/>
      <c r="E421" s="40"/>
      <c r="F421" s="40"/>
      <c r="G421" s="40"/>
      <c r="H421" s="40"/>
      <c r="I421" s="40"/>
      <c r="J421" s="40"/>
    </row>
    <row r="422" spans="1:10">
      <c r="A422" s="40"/>
      <c r="B422" s="40"/>
      <c r="C422" s="40"/>
      <c r="D422" s="40"/>
      <c r="E422" s="40"/>
      <c r="F422" s="40"/>
      <c r="G422" s="40"/>
      <c r="H422" s="40"/>
      <c r="I422" s="40"/>
      <c r="J422" s="40"/>
    </row>
    <row r="423" spans="1:10">
      <c r="A423" s="40"/>
      <c r="B423" s="40"/>
      <c r="C423" s="40"/>
      <c r="D423" s="40"/>
      <c r="E423" s="40"/>
      <c r="F423" s="40"/>
      <c r="G423" s="40"/>
      <c r="H423" s="40"/>
      <c r="I423" s="40"/>
      <c r="J423" s="40"/>
    </row>
    <row r="424" spans="1:10">
      <c r="A424" s="40"/>
      <c r="B424" s="40"/>
      <c r="C424" s="40"/>
      <c r="D424" s="40"/>
      <c r="E424" s="40"/>
      <c r="F424" s="40"/>
      <c r="G424" s="40"/>
      <c r="H424" s="40"/>
      <c r="I424" s="40"/>
      <c r="J424" s="40"/>
    </row>
    <row r="425" spans="1:10">
      <c r="A425" s="40"/>
      <c r="B425" s="40"/>
      <c r="C425" s="40"/>
      <c r="D425" s="40"/>
      <c r="E425" s="40"/>
      <c r="F425" s="40"/>
      <c r="G425" s="40"/>
      <c r="H425" s="40"/>
      <c r="I425" s="40"/>
      <c r="J425" s="40"/>
    </row>
    <row r="426" spans="1:10">
      <c r="A426" s="40"/>
      <c r="B426" s="40"/>
      <c r="C426" s="40"/>
      <c r="D426" s="40"/>
      <c r="E426" s="40"/>
      <c r="F426" s="40"/>
      <c r="G426" s="40"/>
      <c r="H426" s="40"/>
      <c r="I426" s="40"/>
      <c r="J426" s="40"/>
    </row>
    <row r="427" spans="1:10">
      <c r="A427" s="40"/>
      <c r="B427" s="40"/>
      <c r="C427" s="40"/>
      <c r="D427" s="40"/>
      <c r="E427" s="40"/>
      <c r="F427" s="40"/>
      <c r="G427" s="40"/>
      <c r="H427" s="40"/>
      <c r="I427" s="40"/>
      <c r="J427" s="40"/>
    </row>
    <row r="428" spans="1:10">
      <c r="A428" s="40"/>
      <c r="B428" s="40"/>
      <c r="C428" s="40"/>
      <c r="D428" s="40"/>
      <c r="E428" s="40"/>
      <c r="F428" s="40"/>
      <c r="G428" s="40"/>
      <c r="H428" s="40"/>
      <c r="I428" s="40"/>
      <c r="J428" s="40"/>
    </row>
    <row r="429" spans="1:10">
      <c r="A429" s="40"/>
      <c r="B429" s="40"/>
      <c r="C429" s="40"/>
      <c r="D429" s="40"/>
      <c r="E429" s="40"/>
      <c r="F429" s="40"/>
      <c r="G429" s="40"/>
      <c r="H429" s="40"/>
      <c r="I429" s="40"/>
      <c r="J429" s="40"/>
    </row>
    <row r="430" spans="1:10">
      <c r="A430" s="40"/>
      <c r="B430" s="40"/>
      <c r="C430" s="40"/>
      <c r="D430" s="40"/>
      <c r="E430" s="40"/>
      <c r="F430" s="40"/>
      <c r="G430" s="40"/>
      <c r="H430" s="40"/>
      <c r="I430" s="40"/>
      <c r="J430" s="40"/>
    </row>
    <row r="431" spans="1:10">
      <c r="A431" s="40"/>
      <c r="B431" s="40"/>
      <c r="C431" s="40"/>
      <c r="D431" s="40"/>
      <c r="E431" s="40"/>
      <c r="F431" s="40"/>
      <c r="G431" s="40"/>
      <c r="H431" s="40"/>
      <c r="I431" s="40"/>
      <c r="J431" s="40"/>
    </row>
    <row r="432" spans="1:10">
      <c r="A432" s="40"/>
      <c r="B432" s="40"/>
      <c r="C432" s="40"/>
      <c r="D432" s="40"/>
      <c r="E432" s="40"/>
      <c r="F432" s="40"/>
      <c r="G432" s="40"/>
      <c r="H432" s="40"/>
      <c r="I432" s="40"/>
      <c r="J432" s="40"/>
    </row>
    <row r="433" spans="1:10">
      <c r="A433" s="40"/>
      <c r="B433" s="40"/>
      <c r="C433" s="40"/>
      <c r="D433" s="40"/>
      <c r="E433" s="40"/>
      <c r="F433" s="40"/>
      <c r="G433" s="40"/>
      <c r="H433" s="40"/>
      <c r="I433" s="40"/>
      <c r="J433" s="40"/>
    </row>
    <row r="434" spans="1:10">
      <c r="A434" s="40"/>
      <c r="B434" s="40"/>
      <c r="C434" s="40"/>
      <c r="D434" s="40"/>
      <c r="E434" s="40"/>
      <c r="F434" s="40"/>
      <c r="G434" s="40"/>
      <c r="H434" s="40"/>
      <c r="I434" s="40"/>
      <c r="J434" s="40"/>
    </row>
    <row r="435" spans="1:10">
      <c r="A435" s="40"/>
      <c r="B435" s="40"/>
      <c r="C435" s="40"/>
      <c r="D435" s="40"/>
      <c r="E435" s="40"/>
      <c r="F435" s="40"/>
      <c r="G435" s="40"/>
      <c r="H435" s="40"/>
      <c r="I435" s="40"/>
      <c r="J435" s="40"/>
    </row>
    <row r="436" spans="1:10">
      <c r="A436" s="40"/>
      <c r="B436" s="40"/>
      <c r="C436" s="40"/>
      <c r="D436" s="40"/>
      <c r="E436" s="40"/>
      <c r="F436" s="40"/>
      <c r="G436" s="40"/>
      <c r="H436" s="40"/>
      <c r="I436" s="40"/>
      <c r="J436" s="40"/>
    </row>
    <row r="437" spans="1:10">
      <c r="A437" s="40"/>
      <c r="B437" s="40"/>
      <c r="C437" s="40"/>
      <c r="D437" s="40"/>
      <c r="E437" s="40"/>
      <c r="F437" s="40"/>
      <c r="G437" s="40"/>
      <c r="H437" s="40"/>
      <c r="I437" s="40"/>
      <c r="J437" s="40"/>
    </row>
    <row r="438" spans="1:10">
      <c r="A438" s="40"/>
      <c r="B438" s="40"/>
      <c r="C438" s="40"/>
      <c r="D438" s="40"/>
      <c r="E438" s="40"/>
      <c r="F438" s="40"/>
      <c r="G438" s="40"/>
      <c r="H438" s="40"/>
      <c r="I438" s="40"/>
      <c r="J438" s="40"/>
    </row>
    <row r="439" spans="1:10">
      <c r="A439" s="40"/>
      <c r="B439" s="40"/>
      <c r="C439" s="40"/>
      <c r="D439" s="40"/>
      <c r="E439" s="40"/>
      <c r="F439" s="40"/>
      <c r="G439" s="40"/>
      <c r="H439" s="40"/>
      <c r="I439" s="40"/>
      <c r="J439" s="40"/>
    </row>
    <row r="440" spans="1:10">
      <c r="A440" s="40"/>
      <c r="B440" s="40"/>
      <c r="C440" s="40"/>
      <c r="D440" s="40"/>
      <c r="E440" s="40"/>
      <c r="F440" s="40"/>
      <c r="G440" s="40"/>
      <c r="H440" s="40"/>
      <c r="I440" s="40"/>
      <c r="J440" s="40"/>
    </row>
    <row r="441" spans="1:10">
      <c r="A441" s="40"/>
      <c r="B441" s="40"/>
      <c r="C441" s="40"/>
      <c r="D441" s="40"/>
      <c r="E441" s="40"/>
      <c r="F441" s="40"/>
      <c r="G441" s="40"/>
      <c r="H441" s="40"/>
      <c r="I441" s="40"/>
      <c r="J441" s="40"/>
    </row>
    <row r="442" spans="1:10">
      <c r="A442" s="40"/>
      <c r="B442" s="40"/>
      <c r="C442" s="40"/>
      <c r="D442" s="40"/>
      <c r="E442" s="40"/>
      <c r="F442" s="40"/>
      <c r="G442" s="40"/>
      <c r="H442" s="40"/>
      <c r="I442" s="40"/>
      <c r="J442" s="40"/>
    </row>
    <row r="443" spans="1:10">
      <c r="A443" s="40"/>
      <c r="B443" s="40"/>
      <c r="C443" s="40"/>
      <c r="D443" s="40"/>
      <c r="E443" s="40"/>
      <c r="F443" s="40"/>
      <c r="G443" s="40"/>
      <c r="H443" s="40"/>
      <c r="I443" s="40"/>
      <c r="J443" s="40"/>
    </row>
    <row r="444" spans="1:10">
      <c r="A444" s="40"/>
      <c r="B444" s="40"/>
      <c r="C444" s="40"/>
      <c r="D444" s="40"/>
      <c r="E444" s="40"/>
      <c r="F444" s="40"/>
      <c r="G444" s="40"/>
      <c r="H444" s="40"/>
      <c r="I444" s="40"/>
      <c r="J444" s="40"/>
    </row>
    <row r="445" spans="1:10">
      <c r="A445" s="40"/>
      <c r="B445" s="40"/>
      <c r="C445" s="40"/>
      <c r="D445" s="40"/>
      <c r="E445" s="40"/>
      <c r="F445" s="40"/>
      <c r="G445" s="40"/>
      <c r="H445" s="40"/>
      <c r="I445" s="40"/>
      <c r="J445" s="40"/>
    </row>
    <row r="446" spans="1:10">
      <c r="A446" s="40"/>
      <c r="B446" s="40"/>
      <c r="C446" s="40"/>
      <c r="D446" s="40"/>
      <c r="E446" s="40"/>
      <c r="F446" s="40"/>
      <c r="G446" s="40"/>
      <c r="H446" s="40"/>
      <c r="I446" s="40"/>
      <c r="J446" s="40"/>
    </row>
    <row r="447" spans="1:10">
      <c r="A447" s="40"/>
      <c r="B447" s="40"/>
      <c r="C447" s="40"/>
      <c r="D447" s="40"/>
      <c r="E447" s="40"/>
      <c r="F447" s="40"/>
      <c r="G447" s="40"/>
      <c r="H447" s="40"/>
      <c r="I447" s="40"/>
      <c r="J447" s="40"/>
    </row>
    <row r="448" spans="1:10">
      <c r="A448" s="40"/>
      <c r="B448" s="40"/>
      <c r="C448" s="40"/>
      <c r="D448" s="40"/>
      <c r="E448" s="40"/>
      <c r="F448" s="40"/>
      <c r="G448" s="40"/>
      <c r="H448" s="40"/>
      <c r="I448" s="40"/>
      <c r="J448" s="40"/>
    </row>
    <row r="449" spans="1:10">
      <c r="A449" s="40"/>
      <c r="B449" s="40"/>
      <c r="C449" s="40"/>
      <c r="D449" s="40"/>
      <c r="E449" s="40"/>
      <c r="F449" s="40"/>
      <c r="G449" s="40"/>
      <c r="H449" s="40"/>
      <c r="I449" s="40"/>
      <c r="J449" s="40"/>
    </row>
    <row r="450" spans="1:10">
      <c r="A450" s="40"/>
      <c r="B450" s="40"/>
      <c r="C450" s="40"/>
      <c r="D450" s="40"/>
      <c r="E450" s="40"/>
      <c r="F450" s="40"/>
      <c r="G450" s="40"/>
      <c r="H450" s="40"/>
      <c r="I450" s="40"/>
      <c r="J450" s="40"/>
    </row>
    <row r="451" spans="1:10">
      <c r="A451" s="40"/>
      <c r="B451" s="40"/>
      <c r="C451" s="40"/>
      <c r="D451" s="40"/>
      <c r="E451" s="40"/>
      <c r="F451" s="40"/>
      <c r="G451" s="40"/>
      <c r="H451" s="40"/>
      <c r="I451" s="40"/>
      <c r="J451" s="40"/>
    </row>
    <row r="452" spans="1:10">
      <c r="A452" s="40"/>
      <c r="B452" s="40"/>
      <c r="C452" s="40"/>
      <c r="D452" s="40"/>
      <c r="E452" s="40"/>
      <c r="F452" s="40"/>
      <c r="G452" s="40"/>
      <c r="H452" s="40"/>
      <c r="I452" s="40"/>
      <c r="J452" s="40"/>
    </row>
    <row r="453" spans="1:10">
      <c r="A453" s="40"/>
      <c r="B453" s="40"/>
      <c r="C453" s="40"/>
      <c r="D453" s="40"/>
      <c r="E453" s="40"/>
      <c r="F453" s="40"/>
      <c r="G453" s="40"/>
      <c r="H453" s="40"/>
      <c r="I453" s="40"/>
      <c r="J453" s="40"/>
    </row>
    <row r="454" spans="1:10">
      <c r="A454" s="40"/>
      <c r="B454" s="40"/>
      <c r="C454" s="40"/>
      <c r="D454" s="40"/>
      <c r="E454" s="40"/>
      <c r="F454" s="40"/>
      <c r="G454" s="40"/>
      <c r="H454" s="40"/>
      <c r="I454" s="40"/>
      <c r="J454" s="40"/>
    </row>
    <row r="455" spans="1:10">
      <c r="A455" s="40"/>
      <c r="B455" s="40"/>
      <c r="C455" s="40"/>
      <c r="D455" s="40"/>
      <c r="E455" s="40"/>
      <c r="F455" s="40"/>
      <c r="G455" s="40"/>
      <c r="H455" s="40"/>
      <c r="I455" s="40"/>
      <c r="J455" s="40"/>
    </row>
    <row r="456" spans="1:10">
      <c r="A456" s="40"/>
      <c r="B456" s="40"/>
      <c r="C456" s="40"/>
      <c r="D456" s="40"/>
      <c r="E456" s="40"/>
      <c r="F456" s="40"/>
      <c r="G456" s="40"/>
      <c r="H456" s="40"/>
      <c r="I456" s="40"/>
      <c r="J456" s="40"/>
    </row>
    <row r="457" spans="1:10">
      <c r="A457" s="40"/>
      <c r="B457" s="40"/>
      <c r="C457" s="40"/>
      <c r="D457" s="40"/>
      <c r="E457" s="40"/>
      <c r="F457" s="40"/>
      <c r="G457" s="40"/>
      <c r="H457" s="40"/>
      <c r="I457" s="40"/>
      <c r="J457" s="40"/>
    </row>
    <row r="458" spans="1:10">
      <c r="A458" s="40"/>
      <c r="B458" s="40"/>
      <c r="C458" s="40"/>
      <c r="D458" s="40"/>
      <c r="E458" s="40"/>
      <c r="F458" s="40"/>
      <c r="G458" s="40"/>
      <c r="H458" s="40"/>
      <c r="I458" s="40"/>
      <c r="J458" s="40"/>
    </row>
    <row r="459" spans="1:10">
      <c r="A459" s="40"/>
      <c r="B459" s="40"/>
      <c r="C459" s="40"/>
      <c r="D459" s="40"/>
      <c r="E459" s="40"/>
      <c r="F459" s="40"/>
      <c r="G459" s="40"/>
      <c r="H459" s="40"/>
      <c r="I459" s="40"/>
      <c r="J459" s="40"/>
    </row>
    <row r="460" spans="1:10">
      <c r="A460" s="40"/>
      <c r="B460" s="40"/>
      <c r="C460" s="40"/>
      <c r="D460" s="40"/>
      <c r="E460" s="40"/>
      <c r="F460" s="40"/>
      <c r="G460" s="40"/>
      <c r="H460" s="40"/>
      <c r="I460" s="40"/>
      <c r="J460" s="40"/>
    </row>
    <row r="461" spans="1:10">
      <c r="A461" s="40"/>
      <c r="B461" s="40"/>
      <c r="C461" s="40"/>
      <c r="D461" s="40"/>
      <c r="E461" s="40"/>
      <c r="F461" s="40"/>
      <c r="G461" s="40"/>
      <c r="H461" s="40"/>
      <c r="I461" s="40"/>
      <c r="J461" s="40"/>
    </row>
    <row r="462" spans="1:10">
      <c r="A462" s="40"/>
      <c r="B462" s="40"/>
      <c r="C462" s="40"/>
      <c r="D462" s="40"/>
      <c r="E462" s="40"/>
      <c r="F462" s="40"/>
      <c r="G462" s="40"/>
      <c r="H462" s="40"/>
      <c r="I462" s="40"/>
      <c r="J462" s="40"/>
    </row>
    <row r="463" spans="1:10">
      <c r="A463" s="40"/>
      <c r="B463" s="40"/>
      <c r="C463" s="40"/>
      <c r="D463" s="40"/>
      <c r="E463" s="40"/>
      <c r="F463" s="40"/>
      <c r="G463" s="40"/>
      <c r="H463" s="40"/>
      <c r="I463" s="40"/>
      <c r="J463" s="40"/>
    </row>
    <row r="464" spans="1:10">
      <c r="A464" s="40"/>
      <c r="B464" s="40"/>
      <c r="C464" s="40"/>
      <c r="D464" s="40"/>
      <c r="E464" s="40"/>
      <c r="F464" s="40"/>
      <c r="G464" s="40"/>
      <c r="H464" s="40"/>
      <c r="I464" s="40"/>
      <c r="J464" s="40"/>
    </row>
    <row r="465" spans="1:10">
      <c r="A465" s="40"/>
      <c r="B465" s="40"/>
      <c r="C465" s="40"/>
      <c r="D465" s="40"/>
      <c r="E465" s="40"/>
      <c r="F465" s="40"/>
      <c r="G465" s="40"/>
      <c r="H465" s="40"/>
      <c r="I465" s="40"/>
      <c r="J465" s="40"/>
    </row>
    <row r="466" spans="1:10">
      <c r="A466" s="40"/>
      <c r="B466" s="40"/>
      <c r="C466" s="40"/>
      <c r="D466" s="40"/>
      <c r="E466" s="40"/>
      <c r="F466" s="40"/>
      <c r="G466" s="40"/>
      <c r="H466" s="40"/>
      <c r="I466" s="40"/>
      <c r="J466" s="40"/>
    </row>
    <row r="467" spans="1:10">
      <c r="A467" s="40"/>
      <c r="B467" s="40"/>
      <c r="C467" s="40"/>
      <c r="D467" s="40"/>
      <c r="E467" s="40"/>
      <c r="F467" s="40"/>
      <c r="G467" s="40"/>
      <c r="H467" s="40"/>
      <c r="I467" s="40"/>
      <c r="J467" s="40"/>
    </row>
    <row r="468" spans="1:10">
      <c r="A468" s="40"/>
      <c r="B468" s="40"/>
      <c r="C468" s="40"/>
      <c r="D468" s="40"/>
      <c r="E468" s="40"/>
      <c r="F468" s="40"/>
      <c r="G468" s="40"/>
      <c r="H468" s="40"/>
      <c r="I468" s="40"/>
      <c r="J468" s="40"/>
    </row>
    <row r="469" spans="1:10">
      <c r="A469" s="40"/>
      <c r="B469" s="40"/>
      <c r="C469" s="40"/>
      <c r="D469" s="40"/>
      <c r="E469" s="40"/>
      <c r="F469" s="40"/>
      <c r="G469" s="40"/>
      <c r="H469" s="40"/>
      <c r="I469" s="40"/>
      <c r="J469" s="40"/>
    </row>
    <row r="470" spans="1:10">
      <c r="A470" s="40"/>
      <c r="B470" s="40"/>
      <c r="C470" s="40"/>
      <c r="D470" s="40"/>
      <c r="E470" s="40"/>
      <c r="F470" s="40"/>
      <c r="G470" s="40"/>
      <c r="H470" s="40"/>
      <c r="I470" s="40"/>
      <c r="J470" s="40"/>
    </row>
    <row r="471" spans="1:10">
      <c r="A471" s="40"/>
      <c r="B471" s="40"/>
      <c r="C471" s="40"/>
      <c r="D471" s="40"/>
      <c r="E471" s="40"/>
      <c r="F471" s="40"/>
      <c r="G471" s="40"/>
      <c r="H471" s="40"/>
      <c r="I471" s="40"/>
      <c r="J471" s="40"/>
    </row>
    <row r="472" spans="1:10">
      <c r="A472" s="40"/>
      <c r="B472" s="40"/>
      <c r="C472" s="40"/>
      <c r="D472" s="40"/>
      <c r="E472" s="40"/>
      <c r="F472" s="40"/>
      <c r="G472" s="40"/>
      <c r="H472" s="40"/>
      <c r="I472" s="40"/>
      <c r="J472" s="40"/>
    </row>
    <row r="473" spans="1:10">
      <c r="A473" s="40"/>
      <c r="B473" s="40"/>
      <c r="C473" s="40"/>
      <c r="D473" s="40"/>
      <c r="E473" s="40"/>
      <c r="F473" s="40"/>
      <c r="G473" s="40"/>
      <c r="H473" s="40"/>
      <c r="I473" s="40"/>
      <c r="J473" s="40"/>
    </row>
    <row r="474" spans="1:10">
      <c r="A474" s="40"/>
      <c r="B474" s="40"/>
      <c r="C474" s="40"/>
      <c r="D474" s="40"/>
      <c r="E474" s="40"/>
      <c r="F474" s="40"/>
      <c r="G474" s="40"/>
      <c r="H474" s="40"/>
      <c r="I474" s="40"/>
      <c r="J474" s="40"/>
    </row>
    <row r="475" spans="1:10">
      <c r="A475" s="40"/>
      <c r="B475" s="40"/>
      <c r="C475" s="40"/>
      <c r="D475" s="40"/>
      <c r="E475" s="40"/>
      <c r="F475" s="40"/>
      <c r="G475" s="40"/>
      <c r="H475" s="40"/>
      <c r="I475" s="40"/>
      <c r="J475" s="40"/>
    </row>
    <row r="476" spans="1:10">
      <c r="A476" s="40"/>
      <c r="B476" s="40"/>
      <c r="C476" s="40"/>
      <c r="D476" s="40"/>
      <c r="E476" s="40"/>
      <c r="F476" s="40"/>
      <c r="G476" s="40"/>
      <c r="H476" s="40"/>
      <c r="I476" s="40"/>
      <c r="J476" s="40"/>
    </row>
    <row r="477" spans="1:10">
      <c r="A477" s="40"/>
      <c r="B477" s="40"/>
      <c r="C477" s="40"/>
      <c r="D477" s="40"/>
      <c r="E477" s="40"/>
      <c r="F477" s="40"/>
      <c r="G477" s="40"/>
      <c r="H477" s="40"/>
      <c r="I477" s="40"/>
      <c r="J477" s="40"/>
    </row>
    <row r="478" spans="1:10">
      <c r="A478" s="40"/>
      <c r="B478" s="40"/>
      <c r="C478" s="40"/>
      <c r="D478" s="40"/>
      <c r="E478" s="40"/>
      <c r="F478" s="40"/>
      <c r="G478" s="40"/>
      <c r="H478" s="40"/>
      <c r="I478" s="40"/>
      <c r="J478" s="40"/>
    </row>
    <row r="479" spans="1:10">
      <c r="A479" s="40"/>
      <c r="B479" s="40"/>
      <c r="C479" s="40"/>
      <c r="D479" s="40"/>
      <c r="E479" s="40"/>
      <c r="F479" s="40"/>
      <c r="G479" s="40"/>
      <c r="H479" s="40"/>
      <c r="I479" s="40"/>
      <c r="J479" s="40"/>
    </row>
    <row r="480" spans="1:10">
      <c r="A480" s="40"/>
      <c r="B480" s="40"/>
      <c r="C480" s="40"/>
      <c r="D480" s="40"/>
      <c r="E480" s="40"/>
      <c r="F480" s="40"/>
      <c r="G480" s="40"/>
      <c r="H480" s="40"/>
      <c r="I480" s="40"/>
      <c r="J480" s="40"/>
    </row>
    <row r="481" spans="1:10">
      <c r="A481" s="40"/>
      <c r="B481" s="40"/>
      <c r="C481" s="40"/>
      <c r="D481" s="40"/>
      <c r="E481" s="40"/>
      <c r="F481" s="40"/>
      <c r="G481" s="40"/>
      <c r="H481" s="40"/>
      <c r="I481" s="40"/>
      <c r="J481" s="40"/>
    </row>
    <row r="482" spans="1:10">
      <c r="A482" s="40"/>
      <c r="B482" s="40"/>
      <c r="C482" s="40"/>
      <c r="D482" s="40"/>
      <c r="E482" s="40"/>
      <c r="F482" s="40"/>
      <c r="G482" s="40"/>
      <c r="H482" s="40"/>
      <c r="I482" s="40"/>
      <c r="J482" s="40"/>
    </row>
    <row r="483" spans="1:10">
      <c r="A483" s="40"/>
      <c r="B483" s="40"/>
      <c r="C483" s="40"/>
      <c r="D483" s="40"/>
      <c r="E483" s="40"/>
      <c r="F483" s="40"/>
      <c r="G483" s="40"/>
      <c r="H483" s="40"/>
      <c r="I483" s="40"/>
      <c r="J483" s="40"/>
    </row>
    <row r="484" spans="1:10">
      <c r="A484" s="40"/>
      <c r="B484" s="40"/>
      <c r="C484" s="40"/>
      <c r="D484" s="40"/>
      <c r="E484" s="40"/>
      <c r="F484" s="40"/>
      <c r="G484" s="40"/>
      <c r="H484" s="40"/>
      <c r="I484" s="40"/>
      <c r="J484" s="40"/>
    </row>
    <row r="485" spans="1:10">
      <c r="A485" s="40"/>
      <c r="B485" s="40"/>
      <c r="C485" s="40"/>
      <c r="D485" s="40"/>
      <c r="E485" s="40"/>
      <c r="F485" s="40"/>
      <c r="G485" s="40"/>
      <c r="H485" s="40"/>
      <c r="I485" s="40"/>
      <c r="J485" s="40"/>
    </row>
    <row r="486" spans="1:10">
      <c r="A486" s="40"/>
      <c r="B486" s="40"/>
      <c r="C486" s="40"/>
      <c r="D486" s="40"/>
      <c r="E486" s="40"/>
      <c r="F486" s="40"/>
      <c r="G486" s="40"/>
      <c r="H486" s="40"/>
      <c r="I486" s="40"/>
      <c r="J486" s="40"/>
    </row>
    <row r="487" spans="1:10">
      <c r="A487" s="40"/>
      <c r="B487" s="40"/>
      <c r="C487" s="40"/>
      <c r="D487" s="40"/>
      <c r="E487" s="40"/>
      <c r="F487" s="40"/>
      <c r="G487" s="40"/>
      <c r="H487" s="40"/>
      <c r="I487" s="40"/>
      <c r="J487" s="40"/>
    </row>
    <row r="488" spans="1:10">
      <c r="A488" s="40"/>
      <c r="B488" s="40"/>
      <c r="C488" s="40"/>
      <c r="D488" s="40"/>
      <c r="E488" s="40"/>
      <c r="F488" s="40"/>
      <c r="G488" s="40"/>
      <c r="H488" s="40"/>
      <c r="I488" s="40"/>
      <c r="J488" s="40"/>
    </row>
    <row r="489" spans="1:10">
      <c r="A489" s="40"/>
      <c r="B489" s="40"/>
      <c r="C489" s="40"/>
      <c r="D489" s="40"/>
      <c r="E489" s="40"/>
      <c r="F489" s="40"/>
      <c r="G489" s="40"/>
      <c r="H489" s="40"/>
      <c r="I489" s="40"/>
      <c r="J489" s="40"/>
    </row>
    <row r="490" spans="1:10">
      <c r="A490" s="40"/>
      <c r="B490" s="40"/>
      <c r="C490" s="40"/>
      <c r="D490" s="40"/>
      <c r="E490" s="40"/>
      <c r="F490" s="40"/>
      <c r="G490" s="40"/>
      <c r="H490" s="40"/>
      <c r="I490" s="40"/>
      <c r="J490" s="40"/>
    </row>
    <row r="491" spans="1:10">
      <c r="A491" s="40"/>
      <c r="B491" s="40"/>
      <c r="C491" s="40"/>
      <c r="D491" s="40"/>
      <c r="E491" s="40"/>
      <c r="F491" s="40"/>
      <c r="G491" s="40"/>
      <c r="H491" s="40"/>
      <c r="I491" s="40"/>
      <c r="J491" s="40"/>
    </row>
    <row r="492" spans="1:10">
      <c r="A492" s="40"/>
      <c r="B492" s="40"/>
      <c r="C492" s="40"/>
      <c r="D492" s="40"/>
      <c r="E492" s="40"/>
      <c r="F492" s="40"/>
      <c r="G492" s="40"/>
      <c r="H492" s="40"/>
      <c r="I492" s="40"/>
      <c r="J492" s="40"/>
    </row>
    <row r="493" spans="1:10">
      <c r="A493" s="40"/>
      <c r="B493" s="40"/>
      <c r="C493" s="40"/>
      <c r="D493" s="40"/>
      <c r="E493" s="40"/>
      <c r="F493" s="40"/>
      <c r="G493" s="40"/>
      <c r="H493" s="40"/>
      <c r="I493" s="40"/>
      <c r="J493" s="40"/>
    </row>
    <row r="494" spans="1:10">
      <c r="A494" s="40"/>
      <c r="B494" s="40"/>
      <c r="C494" s="40"/>
      <c r="D494" s="40"/>
      <c r="E494" s="40"/>
      <c r="F494" s="40"/>
      <c r="G494" s="40"/>
      <c r="H494" s="40"/>
      <c r="I494" s="40"/>
      <c r="J494" s="40"/>
    </row>
    <row r="495" spans="1:10">
      <c r="A495" s="40"/>
      <c r="B495" s="40"/>
      <c r="C495" s="40"/>
      <c r="D495" s="40"/>
      <c r="E495" s="40"/>
      <c r="F495" s="40"/>
      <c r="G495" s="40"/>
      <c r="H495" s="40"/>
      <c r="I495" s="40"/>
      <c r="J495" s="40"/>
    </row>
    <row r="496" spans="1:10">
      <c r="A496" s="40"/>
      <c r="B496" s="40"/>
      <c r="C496" s="40"/>
      <c r="D496" s="40"/>
      <c r="E496" s="40"/>
      <c r="F496" s="40"/>
      <c r="G496" s="40"/>
      <c r="H496" s="40"/>
      <c r="I496" s="40"/>
      <c r="J496" s="40"/>
    </row>
    <row r="497" spans="1:10">
      <c r="A497" s="40"/>
      <c r="B497" s="40"/>
      <c r="C497" s="40"/>
      <c r="D497" s="40"/>
      <c r="E497" s="40"/>
      <c r="F497" s="40"/>
      <c r="G497" s="40"/>
      <c r="H497" s="40"/>
      <c r="I497" s="40"/>
      <c r="J497" s="40"/>
    </row>
    <row r="498" spans="1:10">
      <c r="A498" s="40"/>
      <c r="B498" s="40"/>
      <c r="C498" s="40"/>
      <c r="D498" s="40"/>
      <c r="E498" s="40"/>
      <c r="F498" s="40"/>
      <c r="G498" s="40"/>
      <c r="H498" s="40"/>
      <c r="I498" s="40"/>
      <c r="J498" s="40"/>
    </row>
    <row r="499" spans="1:10">
      <c r="A499" s="40"/>
      <c r="B499" s="40"/>
      <c r="C499" s="40"/>
      <c r="D499" s="40"/>
      <c r="E499" s="40"/>
      <c r="F499" s="40"/>
      <c r="G499" s="40"/>
      <c r="H499" s="40"/>
      <c r="I499" s="40"/>
      <c r="J499" s="40"/>
    </row>
    <row r="500" spans="1:10">
      <c r="A500" s="40"/>
      <c r="B500" s="40"/>
      <c r="C500" s="40"/>
      <c r="D500" s="40"/>
      <c r="E500" s="40"/>
      <c r="F500" s="40"/>
      <c r="G500" s="40"/>
      <c r="H500" s="40"/>
      <c r="I500" s="40"/>
      <c r="J500" s="40"/>
    </row>
    <row r="501" spans="1:10">
      <c r="A501" s="40"/>
      <c r="B501" s="40"/>
      <c r="C501" s="40"/>
      <c r="D501" s="40"/>
      <c r="E501" s="40"/>
      <c r="F501" s="40"/>
      <c r="G501" s="40"/>
      <c r="H501" s="40"/>
      <c r="I501" s="40"/>
      <c r="J501" s="40"/>
    </row>
    <row r="502" spans="1:10">
      <c r="A502" s="40"/>
      <c r="B502" s="40"/>
      <c r="C502" s="40"/>
      <c r="D502" s="40"/>
      <c r="E502" s="40"/>
      <c r="F502" s="40"/>
      <c r="G502" s="40"/>
      <c r="H502" s="40"/>
      <c r="I502" s="40"/>
      <c r="J502" s="40"/>
    </row>
    <row r="503" spans="1:10">
      <c r="A503" s="40"/>
      <c r="B503" s="40"/>
      <c r="C503" s="40"/>
      <c r="D503" s="40"/>
      <c r="E503" s="40"/>
      <c r="F503" s="40"/>
      <c r="G503" s="40"/>
      <c r="H503" s="40"/>
      <c r="I503" s="40"/>
      <c r="J503" s="40"/>
    </row>
    <row r="504" spans="1:10">
      <c r="A504" s="40"/>
      <c r="B504" s="40"/>
      <c r="C504" s="40"/>
      <c r="D504" s="40"/>
      <c r="E504" s="40"/>
      <c r="F504" s="40"/>
      <c r="G504" s="40"/>
      <c r="H504" s="40"/>
      <c r="I504" s="40"/>
      <c r="J504" s="40"/>
    </row>
    <row r="505" spans="1:10">
      <c r="A505" s="40"/>
      <c r="B505" s="40"/>
      <c r="C505" s="40"/>
      <c r="D505" s="40"/>
      <c r="E505" s="40"/>
      <c r="F505" s="40"/>
      <c r="G505" s="40"/>
      <c r="H505" s="40"/>
      <c r="I505" s="40"/>
      <c r="J505" s="40"/>
    </row>
    <row r="506" spans="1:10">
      <c r="A506" s="40"/>
      <c r="B506" s="40"/>
      <c r="C506" s="40"/>
      <c r="D506" s="40"/>
      <c r="E506" s="40"/>
      <c r="F506" s="40"/>
      <c r="G506" s="40"/>
      <c r="H506" s="40"/>
      <c r="I506" s="40"/>
      <c r="J506" s="40"/>
    </row>
    <row r="507" spans="1:10">
      <c r="A507" s="40"/>
      <c r="B507" s="40"/>
      <c r="C507" s="40"/>
      <c r="D507" s="40"/>
      <c r="E507" s="40"/>
      <c r="F507" s="40"/>
      <c r="G507" s="40"/>
      <c r="H507" s="40"/>
      <c r="I507" s="40"/>
      <c r="J507" s="40"/>
    </row>
    <row r="508" spans="1:10">
      <c r="A508" s="40"/>
      <c r="B508" s="40"/>
      <c r="C508" s="40"/>
      <c r="D508" s="40"/>
      <c r="E508" s="40"/>
      <c r="F508" s="40"/>
      <c r="G508" s="40"/>
      <c r="H508" s="40"/>
      <c r="I508" s="40"/>
      <c r="J508" s="40"/>
    </row>
    <row r="509" spans="1:10">
      <c r="A509" s="40"/>
      <c r="B509" s="40"/>
      <c r="C509" s="40"/>
      <c r="D509" s="40"/>
      <c r="E509" s="40"/>
      <c r="F509" s="40"/>
      <c r="G509" s="40"/>
      <c r="H509" s="40"/>
      <c r="I509" s="40"/>
      <c r="J509" s="40"/>
    </row>
    <row r="510" spans="1:10">
      <c r="A510" s="40"/>
      <c r="B510" s="40"/>
      <c r="C510" s="40"/>
      <c r="D510" s="40"/>
      <c r="E510" s="40"/>
      <c r="F510" s="40"/>
      <c r="G510" s="40"/>
      <c r="H510" s="40"/>
      <c r="I510" s="40"/>
      <c r="J510" s="40"/>
    </row>
    <row r="511" spans="1:10">
      <c r="A511" s="40"/>
      <c r="B511" s="40"/>
      <c r="C511" s="40"/>
      <c r="D511" s="40"/>
      <c r="E511" s="40"/>
      <c r="F511" s="40"/>
      <c r="G511" s="40"/>
      <c r="H511" s="40"/>
      <c r="I511" s="40"/>
      <c r="J511" s="40"/>
    </row>
    <row r="512" spans="1:10">
      <c r="A512" s="40"/>
      <c r="B512" s="40"/>
      <c r="C512" s="40"/>
      <c r="D512" s="40"/>
      <c r="E512" s="40"/>
      <c r="F512" s="40"/>
      <c r="G512" s="40"/>
      <c r="H512" s="40"/>
      <c r="I512" s="40"/>
      <c r="J512" s="40"/>
    </row>
    <row r="513" spans="1:10">
      <c r="A513" s="40"/>
      <c r="B513" s="40"/>
      <c r="C513" s="40"/>
      <c r="D513" s="40"/>
      <c r="E513" s="40"/>
      <c r="F513" s="40"/>
      <c r="G513" s="40"/>
      <c r="H513" s="40"/>
      <c r="I513" s="40"/>
      <c r="J513" s="40"/>
    </row>
    <row r="514" spans="1:10">
      <c r="A514" s="40"/>
      <c r="B514" s="40"/>
      <c r="C514" s="40"/>
      <c r="D514" s="40"/>
      <c r="E514" s="40"/>
      <c r="F514" s="40"/>
      <c r="G514" s="40"/>
      <c r="H514" s="40"/>
      <c r="I514" s="40"/>
      <c r="J514" s="40"/>
    </row>
    <row r="515" spans="1:10">
      <c r="A515" s="40"/>
      <c r="B515" s="40"/>
      <c r="C515" s="40"/>
      <c r="D515" s="40"/>
      <c r="E515" s="40"/>
      <c r="F515" s="40"/>
      <c r="G515" s="40"/>
      <c r="H515" s="40"/>
      <c r="I515" s="40"/>
      <c r="J515" s="40"/>
    </row>
    <row r="516" spans="1:10">
      <c r="A516" s="40"/>
      <c r="B516" s="40"/>
      <c r="C516" s="40"/>
      <c r="D516" s="40"/>
      <c r="E516" s="40"/>
      <c r="F516" s="40"/>
      <c r="G516" s="40"/>
      <c r="H516" s="40"/>
      <c r="I516" s="40"/>
      <c r="J516" s="40"/>
    </row>
    <row r="517" spans="1:10">
      <c r="A517" s="40"/>
      <c r="B517" s="40"/>
      <c r="C517" s="40"/>
      <c r="D517" s="40"/>
      <c r="E517" s="40"/>
      <c r="F517" s="40"/>
      <c r="G517" s="40"/>
      <c r="H517" s="40"/>
      <c r="I517" s="40"/>
      <c r="J517" s="40"/>
    </row>
    <row r="518" spans="1:10">
      <c r="A518" s="40"/>
      <c r="B518" s="40"/>
      <c r="C518" s="40"/>
      <c r="D518" s="40"/>
      <c r="E518" s="40"/>
      <c r="F518" s="40"/>
      <c r="G518" s="40"/>
      <c r="H518" s="40"/>
      <c r="I518" s="40"/>
      <c r="J518" s="40"/>
    </row>
    <row r="519" spans="1:10">
      <c r="A519" s="40"/>
      <c r="B519" s="40"/>
      <c r="C519" s="40"/>
      <c r="D519" s="40"/>
      <c r="E519" s="40"/>
      <c r="F519" s="40"/>
      <c r="G519" s="40"/>
      <c r="H519" s="40"/>
      <c r="I519" s="40"/>
      <c r="J519" s="40"/>
    </row>
    <row r="520" spans="1:10">
      <c r="A520" s="40"/>
      <c r="B520" s="40"/>
      <c r="C520" s="40"/>
      <c r="D520" s="40"/>
      <c r="E520" s="40"/>
      <c r="F520" s="40"/>
      <c r="G520" s="40"/>
      <c r="H520" s="40"/>
      <c r="I520" s="40"/>
      <c r="J520" s="40"/>
    </row>
    <row r="521" spans="1:10">
      <c r="A521" s="40"/>
      <c r="B521" s="40"/>
      <c r="C521" s="40"/>
      <c r="D521" s="40"/>
      <c r="E521" s="40"/>
      <c r="F521" s="40"/>
      <c r="G521" s="40"/>
      <c r="H521" s="40"/>
      <c r="I521" s="40"/>
      <c r="J521" s="40"/>
    </row>
    <row r="522" spans="1:10">
      <c r="A522" s="40"/>
      <c r="B522" s="40"/>
      <c r="C522" s="40"/>
      <c r="D522" s="40"/>
      <c r="E522" s="40"/>
      <c r="F522" s="40"/>
      <c r="G522" s="40"/>
      <c r="H522" s="40"/>
      <c r="I522" s="40"/>
      <c r="J522" s="40"/>
    </row>
    <row r="523" spans="1:10">
      <c r="A523" s="40"/>
      <c r="B523" s="40"/>
      <c r="C523" s="40"/>
      <c r="D523" s="40"/>
      <c r="E523" s="40"/>
      <c r="F523" s="40"/>
      <c r="G523" s="40"/>
      <c r="H523" s="40"/>
      <c r="I523" s="40"/>
      <c r="J523" s="40"/>
    </row>
    <row r="524" spans="1:10">
      <c r="A524" s="40"/>
      <c r="B524" s="40"/>
      <c r="C524" s="40"/>
      <c r="D524" s="40"/>
      <c r="E524" s="40"/>
      <c r="F524" s="40"/>
      <c r="G524" s="40"/>
      <c r="H524" s="40"/>
      <c r="I524" s="40"/>
      <c r="J524" s="40"/>
    </row>
    <row r="525" spans="1:10">
      <c r="A525" s="40"/>
      <c r="B525" s="40"/>
      <c r="C525" s="40"/>
      <c r="D525" s="40"/>
      <c r="E525" s="40"/>
      <c r="F525" s="40"/>
      <c r="G525" s="40"/>
      <c r="H525" s="40"/>
      <c r="I525" s="40"/>
      <c r="J525" s="40"/>
    </row>
    <row r="526" spans="1:10">
      <c r="A526" s="40"/>
      <c r="B526" s="40"/>
      <c r="C526" s="40"/>
      <c r="D526" s="40"/>
      <c r="E526" s="40"/>
      <c r="F526" s="40"/>
      <c r="G526" s="40"/>
      <c r="H526" s="40"/>
      <c r="I526" s="40"/>
      <c r="J526" s="40"/>
    </row>
    <row r="527" spans="1:10">
      <c r="A527" s="40"/>
      <c r="B527" s="40"/>
      <c r="C527" s="40"/>
      <c r="D527" s="40"/>
      <c r="E527" s="40"/>
      <c r="F527" s="40"/>
      <c r="G527" s="40"/>
      <c r="H527" s="40"/>
      <c r="I527" s="40"/>
      <c r="J527" s="40"/>
    </row>
    <row r="528" spans="1:10">
      <c r="A528" s="40"/>
      <c r="B528" s="40"/>
      <c r="C528" s="40"/>
      <c r="D528" s="40"/>
      <c r="E528" s="40"/>
      <c r="F528" s="40"/>
      <c r="G528" s="40"/>
      <c r="H528" s="40"/>
      <c r="I528" s="40"/>
      <c r="J528" s="40"/>
    </row>
    <row r="529" spans="1:10">
      <c r="A529" s="40"/>
      <c r="B529" s="40"/>
      <c r="C529" s="40"/>
      <c r="D529" s="40"/>
      <c r="E529" s="40"/>
      <c r="F529" s="40"/>
      <c r="G529" s="40"/>
      <c r="H529" s="40"/>
      <c r="I529" s="40"/>
      <c r="J529" s="40"/>
    </row>
    <row r="530" spans="1:10">
      <c r="A530" s="40"/>
      <c r="B530" s="40"/>
      <c r="C530" s="40"/>
      <c r="D530" s="40"/>
      <c r="E530" s="40"/>
      <c r="F530" s="40"/>
      <c r="G530" s="40"/>
      <c r="H530" s="40"/>
      <c r="I530" s="40"/>
      <c r="J530" s="40"/>
    </row>
    <row r="531" spans="1:10">
      <c r="A531" s="40"/>
      <c r="B531" s="40"/>
      <c r="C531" s="40"/>
      <c r="D531" s="40"/>
      <c r="E531" s="40"/>
      <c r="F531" s="40"/>
      <c r="G531" s="40"/>
      <c r="H531" s="40"/>
      <c r="I531" s="40"/>
      <c r="J531" s="40"/>
    </row>
    <row r="532" spans="1:10">
      <c r="A532" s="40"/>
      <c r="B532" s="40"/>
      <c r="C532" s="40"/>
      <c r="D532" s="40"/>
      <c r="E532" s="40"/>
      <c r="F532" s="40"/>
      <c r="G532" s="40"/>
      <c r="H532" s="40"/>
      <c r="I532" s="40"/>
      <c r="J532" s="40"/>
    </row>
    <row r="533" spans="1:10">
      <c r="A533" s="40"/>
      <c r="B533" s="40"/>
      <c r="C533" s="40"/>
      <c r="D533" s="40"/>
      <c r="E533" s="40"/>
      <c r="F533" s="40"/>
      <c r="G533" s="40"/>
      <c r="H533" s="40"/>
      <c r="I533" s="40"/>
      <c r="J533" s="40"/>
    </row>
    <row r="534" spans="1:10">
      <c r="A534" s="40"/>
      <c r="B534" s="40"/>
      <c r="C534" s="40"/>
      <c r="D534" s="40"/>
      <c r="E534" s="40"/>
      <c r="F534" s="40"/>
      <c r="G534" s="40"/>
      <c r="H534" s="40"/>
      <c r="I534" s="40"/>
      <c r="J534" s="40"/>
    </row>
    <row r="535" spans="1:10">
      <c r="A535" s="40"/>
      <c r="B535" s="40"/>
      <c r="C535" s="40"/>
      <c r="D535" s="40"/>
      <c r="E535" s="40"/>
      <c r="F535" s="40"/>
      <c r="G535" s="40"/>
      <c r="H535" s="40"/>
      <c r="I535" s="40"/>
      <c r="J535" s="40"/>
    </row>
    <row r="536" spans="1:10">
      <c r="A536" s="40"/>
      <c r="B536" s="40"/>
      <c r="C536" s="40"/>
      <c r="D536" s="40"/>
      <c r="E536" s="40"/>
      <c r="F536" s="40"/>
      <c r="G536" s="40"/>
      <c r="H536" s="40"/>
      <c r="I536" s="40"/>
      <c r="J536" s="40"/>
    </row>
    <row r="537" spans="1:10">
      <c r="A537" s="40"/>
      <c r="B537" s="40"/>
      <c r="C537" s="40"/>
      <c r="D537" s="40"/>
      <c r="E537" s="40"/>
      <c r="F537" s="40"/>
      <c r="G537" s="40"/>
      <c r="H537" s="40"/>
      <c r="I537" s="40"/>
      <c r="J537" s="40"/>
    </row>
    <row r="538" spans="1:10">
      <c r="A538" s="40"/>
      <c r="B538" s="40"/>
      <c r="C538" s="40"/>
      <c r="D538" s="40"/>
      <c r="E538" s="40"/>
      <c r="F538" s="40"/>
      <c r="G538" s="40"/>
      <c r="H538" s="40"/>
      <c r="I538" s="40"/>
      <c r="J538" s="40"/>
    </row>
    <row r="539" spans="1:10">
      <c r="A539" s="40"/>
      <c r="B539" s="40"/>
      <c r="C539" s="40"/>
      <c r="D539" s="40"/>
      <c r="E539" s="40"/>
      <c r="F539" s="40"/>
      <c r="G539" s="40"/>
      <c r="H539" s="40"/>
      <c r="I539" s="40"/>
      <c r="J539" s="40"/>
    </row>
    <row r="540" spans="1:10">
      <c r="A540" s="40"/>
      <c r="B540" s="40"/>
      <c r="C540" s="40"/>
      <c r="D540" s="40"/>
      <c r="E540" s="40"/>
      <c r="F540" s="40"/>
      <c r="G540" s="40"/>
      <c r="H540" s="40"/>
      <c r="I540" s="40"/>
      <c r="J540" s="40"/>
    </row>
    <row r="541" spans="1:10">
      <c r="A541" s="40"/>
      <c r="B541" s="40"/>
      <c r="C541" s="40"/>
      <c r="D541" s="40"/>
      <c r="E541" s="40"/>
      <c r="F541" s="40"/>
      <c r="G541" s="40"/>
      <c r="H541" s="40"/>
      <c r="I541" s="40"/>
      <c r="J541" s="40"/>
    </row>
    <row r="542" spans="1:10">
      <c r="A542" s="40"/>
      <c r="B542" s="40"/>
      <c r="C542" s="40"/>
      <c r="D542" s="40"/>
      <c r="E542" s="40"/>
      <c r="F542" s="40"/>
      <c r="G542" s="40"/>
      <c r="H542" s="40"/>
      <c r="I542" s="40"/>
      <c r="J542" s="40"/>
    </row>
    <row r="543" spans="1:10">
      <c r="A543" s="40"/>
      <c r="B543" s="40"/>
      <c r="C543" s="40"/>
      <c r="D543" s="40"/>
      <c r="E543" s="40"/>
      <c r="F543" s="40"/>
      <c r="G543" s="40"/>
      <c r="H543" s="40"/>
      <c r="I543" s="40"/>
      <c r="J543" s="40"/>
    </row>
    <row r="544" spans="1:10">
      <c r="A544" s="40"/>
      <c r="B544" s="40"/>
      <c r="C544" s="40"/>
      <c r="D544" s="40"/>
      <c r="E544" s="40"/>
      <c r="F544" s="40"/>
      <c r="G544" s="40"/>
      <c r="H544" s="40"/>
      <c r="I544" s="40"/>
      <c r="J544" s="40"/>
    </row>
    <row r="545" spans="1:10">
      <c r="A545" s="40"/>
      <c r="B545" s="40"/>
      <c r="C545" s="40"/>
      <c r="D545" s="40"/>
      <c r="E545" s="40"/>
      <c r="F545" s="40"/>
      <c r="G545" s="40"/>
      <c r="H545" s="40"/>
      <c r="I545" s="40"/>
      <c r="J545" s="40"/>
    </row>
    <row r="546" spans="1:10">
      <c r="A546" s="40"/>
      <c r="B546" s="40"/>
      <c r="C546" s="40"/>
      <c r="D546" s="40"/>
      <c r="E546" s="40"/>
      <c r="F546" s="40"/>
      <c r="G546" s="40"/>
      <c r="H546" s="40"/>
      <c r="I546" s="40"/>
      <c r="J546" s="40"/>
    </row>
    <row r="547" spans="1:10">
      <c r="A547" s="40"/>
      <c r="B547" s="40"/>
      <c r="C547" s="40"/>
      <c r="D547" s="40"/>
      <c r="E547" s="40"/>
      <c r="F547" s="40"/>
      <c r="G547" s="40"/>
      <c r="H547" s="40"/>
      <c r="I547" s="40"/>
      <c r="J547" s="40"/>
    </row>
    <row r="548" spans="1:10">
      <c r="A548" s="40"/>
      <c r="B548" s="40"/>
      <c r="C548" s="40"/>
      <c r="D548" s="40"/>
      <c r="E548" s="40"/>
      <c r="F548" s="40"/>
      <c r="G548" s="40"/>
      <c r="H548" s="40"/>
      <c r="I548" s="40"/>
      <c r="J548" s="40"/>
    </row>
    <row r="549" spans="1:10">
      <c r="A549" s="40"/>
      <c r="B549" s="40"/>
      <c r="C549" s="40"/>
      <c r="D549" s="40"/>
      <c r="E549" s="40"/>
      <c r="F549" s="40"/>
      <c r="G549" s="40"/>
      <c r="H549" s="40"/>
      <c r="I549" s="40"/>
      <c r="J549" s="40"/>
    </row>
    <row r="550" spans="1:10">
      <c r="A550" s="40"/>
      <c r="B550" s="40"/>
      <c r="C550" s="40"/>
      <c r="D550" s="40"/>
      <c r="E550" s="40"/>
      <c r="F550" s="40"/>
      <c r="G550" s="40"/>
      <c r="H550" s="40"/>
      <c r="I550" s="40"/>
      <c r="J550" s="40"/>
    </row>
    <row r="551" spans="1:10">
      <c r="A551" s="40"/>
      <c r="B551" s="40"/>
      <c r="C551" s="40"/>
      <c r="D551" s="40"/>
      <c r="E551" s="40"/>
      <c r="F551" s="40"/>
      <c r="G551" s="40"/>
      <c r="H551" s="40"/>
      <c r="I551" s="40"/>
      <c r="J551" s="40"/>
    </row>
    <row r="552" spans="1:10">
      <c r="A552" s="40"/>
      <c r="B552" s="40"/>
      <c r="C552" s="40"/>
      <c r="D552" s="40"/>
      <c r="E552" s="40"/>
      <c r="F552" s="40"/>
      <c r="G552" s="40"/>
      <c r="H552" s="40"/>
      <c r="I552" s="40"/>
      <c r="J552" s="40"/>
    </row>
    <row r="553" spans="1:10">
      <c r="A553" s="40"/>
      <c r="B553" s="40"/>
      <c r="C553" s="40"/>
      <c r="D553" s="40"/>
      <c r="E553" s="40"/>
      <c r="F553" s="40"/>
      <c r="G553" s="40"/>
      <c r="H553" s="40"/>
      <c r="I553" s="40"/>
      <c r="J553" s="40"/>
    </row>
    <row r="554" spans="1:10">
      <c r="A554" s="40"/>
      <c r="B554" s="40"/>
      <c r="C554" s="40"/>
      <c r="D554" s="40"/>
      <c r="E554" s="40"/>
      <c r="F554" s="40"/>
      <c r="G554" s="40"/>
      <c r="H554" s="40"/>
      <c r="I554" s="40"/>
      <c r="J554" s="40"/>
    </row>
    <row r="555" spans="1:10">
      <c r="A555" s="40"/>
      <c r="B555" s="40"/>
      <c r="C555" s="40"/>
      <c r="D555" s="40"/>
      <c r="E555" s="40"/>
      <c r="F555" s="40"/>
      <c r="G555" s="40"/>
      <c r="H555" s="40"/>
      <c r="I555" s="40"/>
      <c r="J555" s="40"/>
    </row>
    <row r="556" spans="1:10">
      <c r="A556" s="40"/>
      <c r="B556" s="40"/>
      <c r="C556" s="40"/>
      <c r="D556" s="40"/>
      <c r="E556" s="40"/>
      <c r="F556" s="40"/>
      <c r="G556" s="40"/>
      <c r="H556" s="40"/>
      <c r="I556" s="40"/>
      <c r="J556" s="40"/>
    </row>
    <row r="557" spans="1:10">
      <c r="A557" s="40"/>
      <c r="B557" s="40"/>
      <c r="C557" s="40"/>
      <c r="D557" s="40"/>
      <c r="E557" s="40"/>
      <c r="F557" s="40"/>
      <c r="G557" s="40"/>
      <c r="H557" s="40"/>
      <c r="I557" s="40"/>
      <c r="J557" s="40"/>
    </row>
    <row r="558" spans="1:10">
      <c r="A558" s="40"/>
      <c r="B558" s="40"/>
      <c r="C558" s="40"/>
      <c r="D558" s="40"/>
      <c r="E558" s="40"/>
      <c r="F558" s="40"/>
      <c r="G558" s="40"/>
      <c r="H558" s="40"/>
      <c r="I558" s="40"/>
      <c r="J558" s="40"/>
    </row>
    <row r="559" spans="1:10">
      <c r="A559" s="40"/>
      <c r="B559" s="40"/>
      <c r="C559" s="40"/>
      <c r="D559" s="40"/>
      <c r="E559" s="40"/>
      <c r="F559" s="40"/>
      <c r="G559" s="40"/>
      <c r="H559" s="40"/>
      <c r="I559" s="40"/>
      <c r="J559" s="40"/>
    </row>
    <row r="560" spans="1:10">
      <c r="A560" s="40"/>
      <c r="B560" s="40"/>
      <c r="C560" s="40"/>
      <c r="D560" s="40"/>
      <c r="E560" s="40"/>
      <c r="F560" s="40"/>
      <c r="G560" s="40"/>
      <c r="H560" s="40"/>
      <c r="I560" s="40"/>
      <c r="J560" s="40"/>
    </row>
    <row r="561" spans="1:10">
      <c r="A561" s="40"/>
      <c r="B561" s="40"/>
      <c r="C561" s="40"/>
      <c r="D561" s="40"/>
      <c r="E561" s="40"/>
      <c r="F561" s="40"/>
      <c r="G561" s="40"/>
      <c r="H561" s="40"/>
      <c r="I561" s="40"/>
      <c r="J561" s="40"/>
    </row>
    <row r="562" spans="1:10">
      <c r="A562" s="40"/>
      <c r="B562" s="40"/>
      <c r="C562" s="40"/>
      <c r="D562" s="40"/>
      <c r="E562" s="40"/>
      <c r="F562" s="40"/>
      <c r="G562" s="40"/>
      <c r="H562" s="40"/>
      <c r="I562" s="40"/>
      <c r="J562" s="40"/>
    </row>
    <row r="563" spans="1:10">
      <c r="A563" s="40"/>
      <c r="B563" s="40"/>
      <c r="C563" s="40"/>
      <c r="D563" s="40"/>
      <c r="E563" s="40"/>
      <c r="F563" s="40"/>
      <c r="G563" s="40"/>
      <c r="H563" s="40"/>
      <c r="I563" s="40"/>
      <c r="J563" s="40"/>
    </row>
    <row r="564" spans="1:10">
      <c r="A564" s="40"/>
      <c r="B564" s="40"/>
      <c r="C564" s="40"/>
      <c r="D564" s="40"/>
      <c r="E564" s="40"/>
      <c r="F564" s="40"/>
      <c r="G564" s="40"/>
      <c r="H564" s="40"/>
      <c r="I564" s="40"/>
      <c r="J564" s="40"/>
    </row>
    <row r="565" spans="1:10">
      <c r="A565" s="40"/>
      <c r="B565" s="40"/>
      <c r="C565" s="40"/>
      <c r="D565" s="40"/>
      <c r="E565" s="40"/>
      <c r="F565" s="40"/>
      <c r="G565" s="40"/>
      <c r="H565" s="40"/>
      <c r="I565" s="40"/>
      <c r="J565" s="40"/>
    </row>
    <row r="566" spans="1:10">
      <c r="A566" s="40"/>
      <c r="B566" s="40"/>
      <c r="C566" s="40"/>
      <c r="D566" s="40"/>
      <c r="E566" s="40"/>
      <c r="F566" s="40"/>
      <c r="G566" s="40"/>
      <c r="H566" s="40"/>
      <c r="I566" s="40"/>
      <c r="J566" s="40"/>
    </row>
    <row r="567" spans="1:10">
      <c r="A567" s="40"/>
      <c r="B567" s="40"/>
      <c r="C567" s="40"/>
      <c r="D567" s="40"/>
      <c r="E567" s="40"/>
      <c r="F567" s="40"/>
      <c r="G567" s="40"/>
      <c r="H567" s="40"/>
      <c r="I567" s="40"/>
      <c r="J567" s="40"/>
    </row>
    <row r="568" spans="1:10">
      <c r="A568" s="40"/>
      <c r="B568" s="40"/>
      <c r="C568" s="40"/>
      <c r="D568" s="40"/>
      <c r="E568" s="40"/>
      <c r="F568" s="40"/>
      <c r="G568" s="40"/>
      <c r="H568" s="40"/>
      <c r="I568" s="40"/>
      <c r="J568" s="40"/>
    </row>
    <row r="569" spans="1:10">
      <c r="A569" s="40"/>
      <c r="B569" s="40"/>
      <c r="C569" s="40"/>
      <c r="D569" s="40"/>
      <c r="E569" s="40"/>
      <c r="F569" s="40"/>
      <c r="G569" s="40"/>
      <c r="H569" s="40"/>
      <c r="I569" s="40"/>
      <c r="J569" s="40"/>
    </row>
    <row r="570" spans="1:10">
      <c r="A570" s="40"/>
      <c r="B570" s="40"/>
      <c r="C570" s="40"/>
      <c r="D570" s="40"/>
      <c r="E570" s="40"/>
      <c r="F570" s="40"/>
      <c r="G570" s="40"/>
      <c r="H570" s="40"/>
      <c r="I570" s="40"/>
      <c r="J570" s="40"/>
    </row>
    <row r="571" spans="1:10">
      <c r="A571" s="40"/>
      <c r="B571" s="40"/>
      <c r="C571" s="40"/>
      <c r="D571" s="40"/>
      <c r="E571" s="40"/>
      <c r="F571" s="40"/>
      <c r="G571" s="40"/>
      <c r="H571" s="40"/>
      <c r="I571" s="40"/>
      <c r="J571" s="40"/>
    </row>
    <row r="572" spans="1:10">
      <c r="A572" s="40"/>
      <c r="B572" s="40"/>
      <c r="C572" s="40"/>
      <c r="D572" s="40"/>
      <c r="E572" s="40"/>
      <c r="F572" s="40"/>
      <c r="G572" s="40"/>
      <c r="H572" s="40"/>
      <c r="I572" s="40"/>
      <c r="J572" s="40"/>
    </row>
    <row r="573" spans="1:10">
      <c r="A573" s="40"/>
      <c r="B573" s="40"/>
      <c r="C573" s="40"/>
      <c r="D573" s="40"/>
      <c r="E573" s="40"/>
      <c r="F573" s="40"/>
      <c r="G573" s="40"/>
      <c r="H573" s="40"/>
      <c r="I573" s="40"/>
      <c r="J573" s="40"/>
    </row>
    <row r="574" spans="1:10">
      <c r="A574" s="40"/>
      <c r="B574" s="40"/>
      <c r="C574" s="40"/>
      <c r="D574" s="40"/>
      <c r="E574" s="40"/>
      <c r="F574" s="40"/>
      <c r="G574" s="40"/>
      <c r="H574" s="40"/>
      <c r="I574" s="40"/>
      <c r="J574" s="40"/>
    </row>
    <row r="575" spans="1:10">
      <c r="A575" s="40"/>
      <c r="B575" s="40"/>
      <c r="C575" s="40"/>
      <c r="D575" s="40"/>
      <c r="E575" s="40"/>
      <c r="F575" s="40"/>
      <c r="G575" s="40"/>
      <c r="H575" s="40"/>
      <c r="I575" s="40"/>
      <c r="J575" s="40"/>
    </row>
    <row r="576" spans="1:10">
      <c r="A576" s="40"/>
      <c r="B576" s="40"/>
      <c r="C576" s="40"/>
      <c r="D576" s="40"/>
      <c r="E576" s="40"/>
      <c r="F576" s="40"/>
      <c r="G576" s="40"/>
      <c r="H576" s="40"/>
      <c r="I576" s="40"/>
      <c r="J576" s="40"/>
    </row>
    <row r="577" spans="1:10">
      <c r="A577" s="40"/>
      <c r="B577" s="40"/>
      <c r="C577" s="40"/>
      <c r="D577" s="40"/>
      <c r="E577" s="40"/>
      <c r="F577" s="40"/>
      <c r="G577" s="40"/>
      <c r="H577" s="40"/>
      <c r="I577" s="40"/>
      <c r="J577" s="40"/>
    </row>
    <row r="578" spans="1:10">
      <c r="A578" s="40"/>
      <c r="B578" s="40"/>
      <c r="C578" s="40"/>
      <c r="D578" s="40"/>
      <c r="E578" s="40"/>
      <c r="F578" s="40"/>
      <c r="G578" s="40"/>
      <c r="H578" s="40"/>
      <c r="I578" s="40"/>
      <c r="J578" s="40"/>
    </row>
    <row r="579" spans="1:10">
      <c r="A579" s="40"/>
      <c r="B579" s="40"/>
      <c r="C579" s="40"/>
      <c r="D579" s="40"/>
      <c r="E579" s="40"/>
      <c r="F579" s="40"/>
      <c r="G579" s="40"/>
      <c r="H579" s="40"/>
      <c r="I579" s="40"/>
      <c r="J579" s="40"/>
    </row>
    <row r="580" spans="1:10">
      <c r="A580" s="40"/>
      <c r="B580" s="40"/>
      <c r="C580" s="40"/>
      <c r="D580" s="40"/>
      <c r="E580" s="40"/>
      <c r="F580" s="40"/>
      <c r="G580" s="40"/>
      <c r="H580" s="40"/>
      <c r="I580" s="40"/>
      <c r="J580" s="40"/>
    </row>
    <row r="581" spans="1:10">
      <c r="A581" s="40"/>
      <c r="B581" s="40"/>
      <c r="C581" s="40"/>
      <c r="D581" s="40"/>
      <c r="E581" s="40"/>
      <c r="F581" s="40"/>
      <c r="G581" s="40"/>
      <c r="H581" s="40"/>
      <c r="I581" s="40"/>
      <c r="J581" s="40"/>
    </row>
    <row r="582" spans="1:10">
      <c r="A582" s="40"/>
      <c r="B582" s="40"/>
      <c r="C582" s="40"/>
      <c r="D582" s="40"/>
      <c r="E582" s="40"/>
      <c r="F582" s="40"/>
      <c r="G582" s="40"/>
      <c r="H582" s="40"/>
      <c r="I582" s="40"/>
      <c r="J582" s="40"/>
    </row>
    <row r="583" spans="1:10">
      <c r="A583" s="40"/>
      <c r="B583" s="40"/>
      <c r="C583" s="40"/>
      <c r="D583" s="40"/>
      <c r="E583" s="40"/>
      <c r="F583" s="40"/>
      <c r="G583" s="40"/>
      <c r="H583" s="40"/>
      <c r="I583" s="40"/>
      <c r="J583" s="40"/>
    </row>
    <row r="584" spans="1:10">
      <c r="A584" s="40"/>
      <c r="B584" s="40"/>
      <c r="C584" s="40"/>
      <c r="D584" s="40"/>
      <c r="E584" s="40"/>
      <c r="F584" s="40"/>
      <c r="G584" s="40"/>
      <c r="H584" s="40"/>
      <c r="I584" s="40"/>
      <c r="J584" s="40"/>
    </row>
    <row r="585" spans="1:10">
      <c r="A585" s="40"/>
      <c r="B585" s="40"/>
      <c r="C585" s="40"/>
      <c r="D585" s="40"/>
      <c r="E585" s="40"/>
      <c r="F585" s="40"/>
      <c r="G585" s="40"/>
      <c r="H585" s="40"/>
      <c r="I585" s="40"/>
      <c r="J585" s="40"/>
    </row>
    <row r="586" spans="1:10">
      <c r="A586" s="40"/>
      <c r="B586" s="40"/>
      <c r="C586" s="40"/>
      <c r="D586" s="40"/>
      <c r="E586" s="40"/>
      <c r="F586" s="40"/>
      <c r="G586" s="40"/>
      <c r="H586" s="40"/>
      <c r="I586" s="40"/>
      <c r="J586" s="40"/>
    </row>
    <row r="587" spans="1:10">
      <c r="A587" s="40"/>
      <c r="B587" s="40"/>
      <c r="C587" s="40"/>
      <c r="D587" s="40"/>
      <c r="E587" s="40"/>
      <c r="F587" s="40"/>
      <c r="G587" s="40"/>
      <c r="H587" s="40"/>
      <c r="I587" s="40"/>
      <c r="J587" s="40"/>
    </row>
    <row r="588" spans="1:10">
      <c r="A588" s="40"/>
      <c r="B588" s="40"/>
      <c r="C588" s="40"/>
      <c r="D588" s="40"/>
      <c r="E588" s="40"/>
      <c r="F588" s="40"/>
      <c r="G588" s="40"/>
      <c r="H588" s="40"/>
      <c r="I588" s="40"/>
      <c r="J588" s="40"/>
    </row>
    <row r="589" spans="1:10">
      <c r="A589" s="40"/>
      <c r="B589" s="40"/>
      <c r="C589" s="40"/>
      <c r="D589" s="40"/>
      <c r="E589" s="40"/>
      <c r="F589" s="40"/>
      <c r="G589" s="40"/>
      <c r="H589" s="40"/>
      <c r="I589" s="40"/>
      <c r="J589" s="40"/>
    </row>
    <row r="590" spans="1:10">
      <c r="A590" s="40"/>
      <c r="B590" s="40"/>
      <c r="C590" s="40"/>
      <c r="D590" s="40"/>
      <c r="E590" s="40"/>
      <c r="F590" s="40"/>
      <c r="G590" s="40"/>
      <c r="H590" s="40"/>
      <c r="I590" s="40"/>
      <c r="J590" s="40"/>
    </row>
    <row r="591" spans="1:10">
      <c r="A591" s="40"/>
      <c r="B591" s="40"/>
      <c r="C591" s="40"/>
      <c r="D591" s="40"/>
      <c r="E591" s="40"/>
      <c r="F591" s="40"/>
      <c r="G591" s="40"/>
      <c r="H591" s="40"/>
      <c r="I591" s="40"/>
      <c r="J591" s="40"/>
    </row>
    <row r="592" spans="1:10">
      <c r="A592" s="40"/>
      <c r="B592" s="40"/>
      <c r="C592" s="40"/>
      <c r="D592" s="40"/>
      <c r="E592" s="40"/>
      <c r="F592" s="40"/>
      <c r="G592" s="40"/>
      <c r="H592" s="40"/>
      <c r="I592" s="40"/>
      <c r="J592" s="40"/>
    </row>
    <row r="593" spans="1:10">
      <c r="A593" s="40"/>
      <c r="B593" s="40"/>
      <c r="C593" s="40"/>
      <c r="D593" s="40"/>
      <c r="E593" s="40"/>
      <c r="F593" s="40"/>
      <c r="G593" s="40"/>
      <c r="H593" s="40"/>
      <c r="I593" s="40"/>
      <c r="J593" s="40"/>
    </row>
    <row r="594" spans="1:10">
      <c r="A594" s="40"/>
      <c r="B594" s="40"/>
      <c r="C594" s="40"/>
      <c r="D594" s="40"/>
      <c r="E594" s="40"/>
      <c r="F594" s="40"/>
      <c r="G594" s="40"/>
      <c r="H594" s="40"/>
      <c r="I594" s="40"/>
      <c r="J594" s="40"/>
    </row>
    <row r="595" spans="1:10">
      <c r="A595" s="40"/>
      <c r="B595" s="40"/>
      <c r="C595" s="40"/>
      <c r="D595" s="40"/>
      <c r="E595" s="40"/>
      <c r="F595" s="40"/>
      <c r="G595" s="40"/>
      <c r="H595" s="40"/>
      <c r="I595" s="40"/>
      <c r="J595" s="40"/>
    </row>
    <row r="596" spans="1:10">
      <c r="A596" s="40"/>
      <c r="B596" s="40"/>
      <c r="C596" s="40"/>
      <c r="D596" s="40"/>
      <c r="E596" s="40"/>
      <c r="F596" s="40"/>
      <c r="G596" s="40"/>
      <c r="H596" s="40"/>
      <c r="I596" s="40"/>
      <c r="J596" s="40"/>
    </row>
    <row r="597" spans="1:10">
      <c r="A597" s="40"/>
      <c r="B597" s="40"/>
      <c r="C597" s="40"/>
      <c r="D597" s="40"/>
      <c r="E597" s="40"/>
      <c r="F597" s="40"/>
      <c r="G597" s="40"/>
      <c r="H597" s="40"/>
      <c r="I597" s="40"/>
      <c r="J597" s="40"/>
    </row>
    <row r="598" spans="1:10">
      <c r="A598" s="40"/>
      <c r="B598" s="40"/>
      <c r="C598" s="40"/>
      <c r="D598" s="40"/>
      <c r="E598" s="40"/>
      <c r="F598" s="40"/>
      <c r="G598" s="40"/>
      <c r="H598" s="40"/>
      <c r="I598" s="40"/>
      <c r="J598" s="40"/>
    </row>
    <row r="599" spans="1:10">
      <c r="A599" s="40"/>
      <c r="B599" s="40"/>
      <c r="C599" s="40"/>
      <c r="D599" s="40"/>
      <c r="E599" s="40"/>
      <c r="F599" s="40"/>
      <c r="G599" s="40"/>
      <c r="H599" s="40"/>
      <c r="I599" s="40"/>
      <c r="J599" s="40"/>
    </row>
    <row r="600" spans="1:10">
      <c r="A600" s="40"/>
      <c r="B600" s="40"/>
      <c r="C600" s="40"/>
      <c r="D600" s="40"/>
      <c r="E600" s="40"/>
      <c r="F600" s="40"/>
      <c r="G600" s="40"/>
      <c r="H600" s="40"/>
      <c r="I600" s="40"/>
      <c r="J600" s="40"/>
    </row>
    <row r="601" spans="1:10">
      <c r="A601" s="40"/>
      <c r="B601" s="40"/>
      <c r="C601" s="40"/>
      <c r="D601" s="40"/>
      <c r="E601" s="40"/>
      <c r="F601" s="40"/>
      <c r="G601" s="40"/>
      <c r="H601" s="40"/>
      <c r="I601" s="40"/>
      <c r="J601" s="40"/>
    </row>
    <row r="602" spans="1:10">
      <c r="A602" s="40"/>
      <c r="B602" s="40"/>
      <c r="C602" s="40"/>
      <c r="D602" s="40"/>
      <c r="E602" s="40"/>
      <c r="F602" s="40"/>
      <c r="G602" s="40"/>
      <c r="H602" s="40"/>
      <c r="I602" s="40"/>
      <c r="J602" s="40"/>
    </row>
    <row r="603" spans="1:10">
      <c r="A603" s="40"/>
      <c r="B603" s="40"/>
      <c r="C603" s="40"/>
      <c r="D603" s="40"/>
      <c r="E603" s="40"/>
      <c r="F603" s="40"/>
      <c r="G603" s="40"/>
      <c r="H603" s="40"/>
      <c r="I603" s="40"/>
      <c r="J603" s="40"/>
    </row>
    <row r="604" spans="1:10">
      <c r="A604" s="40"/>
      <c r="B604" s="40"/>
      <c r="C604" s="40"/>
      <c r="D604" s="40"/>
      <c r="E604" s="40"/>
      <c r="F604" s="40"/>
      <c r="G604" s="40"/>
      <c r="H604" s="40"/>
      <c r="I604" s="40"/>
      <c r="J604" s="40"/>
    </row>
    <row r="605" spans="1:10">
      <c r="A605" s="40"/>
      <c r="B605" s="40"/>
      <c r="C605" s="40"/>
      <c r="D605" s="40"/>
      <c r="E605" s="40"/>
      <c r="F605" s="40"/>
      <c r="G605" s="40"/>
      <c r="H605" s="40"/>
      <c r="I605" s="40"/>
      <c r="J605" s="40"/>
    </row>
    <row r="606" spans="1:10">
      <c r="A606" s="40"/>
      <c r="B606" s="40"/>
      <c r="C606" s="40"/>
      <c r="D606" s="40"/>
      <c r="E606" s="40"/>
      <c r="F606" s="40"/>
      <c r="G606" s="40"/>
      <c r="H606" s="40"/>
      <c r="I606" s="40"/>
      <c r="J606" s="40"/>
    </row>
    <row r="607" spans="1:10">
      <c r="A607" s="40"/>
      <c r="B607" s="40"/>
      <c r="C607" s="40"/>
      <c r="D607" s="40"/>
      <c r="E607" s="40"/>
      <c r="F607" s="40"/>
      <c r="G607" s="40"/>
      <c r="H607" s="40"/>
      <c r="I607" s="40"/>
      <c r="J607" s="40"/>
    </row>
    <row r="608" spans="1:10">
      <c r="A608" s="40"/>
      <c r="B608" s="40"/>
      <c r="C608" s="40"/>
      <c r="D608" s="40"/>
      <c r="E608" s="40"/>
      <c r="F608" s="40"/>
      <c r="G608" s="40"/>
      <c r="H608" s="40"/>
      <c r="I608" s="40"/>
      <c r="J608" s="40"/>
    </row>
    <row r="609" spans="1:10">
      <c r="A609" s="40"/>
      <c r="B609" s="40"/>
      <c r="C609" s="40"/>
      <c r="D609" s="40"/>
      <c r="E609" s="40"/>
      <c r="F609" s="40"/>
      <c r="G609" s="40"/>
      <c r="H609" s="40"/>
      <c r="I609" s="40"/>
      <c r="J609" s="40"/>
    </row>
    <row r="610" spans="1:10">
      <c r="A610" s="40"/>
      <c r="B610" s="40"/>
      <c r="C610" s="40"/>
      <c r="D610" s="40"/>
      <c r="E610" s="40"/>
      <c r="F610" s="40"/>
      <c r="G610" s="40"/>
      <c r="H610" s="40"/>
      <c r="I610" s="40"/>
      <c r="J610" s="40"/>
    </row>
    <row r="611" spans="1:10">
      <c r="A611" s="40"/>
      <c r="B611" s="40"/>
      <c r="C611" s="40"/>
      <c r="D611" s="40"/>
      <c r="E611" s="40"/>
      <c r="F611" s="40"/>
      <c r="G611" s="40"/>
      <c r="H611" s="40"/>
      <c r="I611" s="40"/>
      <c r="J611" s="40"/>
    </row>
    <row r="612" spans="1:10">
      <c r="A612" s="40"/>
      <c r="B612" s="40"/>
      <c r="C612" s="40"/>
      <c r="D612" s="40"/>
      <c r="E612" s="40"/>
      <c r="F612" s="40"/>
      <c r="G612" s="40"/>
      <c r="H612" s="40"/>
      <c r="I612" s="40"/>
      <c r="J612" s="40"/>
    </row>
    <row r="613" spans="1:10">
      <c r="A613" s="40"/>
      <c r="B613" s="40"/>
      <c r="C613" s="40"/>
      <c r="D613" s="40"/>
      <c r="E613" s="40"/>
      <c r="F613" s="40"/>
      <c r="G613" s="40"/>
      <c r="H613" s="40"/>
      <c r="I613" s="40"/>
      <c r="J613" s="40"/>
    </row>
    <row r="614" spans="1:10">
      <c r="A614" s="40"/>
      <c r="B614" s="40"/>
      <c r="C614" s="40"/>
      <c r="D614" s="40"/>
      <c r="E614" s="40"/>
      <c r="F614" s="40"/>
      <c r="G614" s="40"/>
      <c r="H614" s="40"/>
      <c r="I614" s="40"/>
      <c r="J614" s="40"/>
    </row>
    <row r="615" spans="1:10">
      <c r="A615" s="40"/>
      <c r="B615" s="40"/>
      <c r="C615" s="40"/>
      <c r="D615" s="40"/>
      <c r="E615" s="40"/>
      <c r="F615" s="40"/>
      <c r="G615" s="40"/>
      <c r="H615" s="40"/>
      <c r="I615" s="40"/>
      <c r="J615" s="40"/>
    </row>
    <row r="616" spans="1:10">
      <c r="A616" s="40"/>
      <c r="B616" s="40"/>
      <c r="C616" s="40"/>
      <c r="D616" s="40"/>
      <c r="E616" s="40"/>
      <c r="F616" s="40"/>
      <c r="G616" s="40"/>
      <c r="H616" s="40"/>
      <c r="I616" s="40"/>
      <c r="J616" s="40"/>
    </row>
    <row r="617" spans="1:10">
      <c r="A617" s="40"/>
      <c r="B617" s="40"/>
      <c r="C617" s="40"/>
      <c r="D617" s="40"/>
      <c r="E617" s="40"/>
      <c r="F617" s="40"/>
      <c r="G617" s="40"/>
      <c r="H617" s="40"/>
      <c r="I617" s="40"/>
      <c r="J617" s="40"/>
    </row>
    <row r="618" spans="1:10">
      <c r="A618" s="40"/>
      <c r="B618" s="40"/>
      <c r="C618" s="40"/>
      <c r="D618" s="40"/>
      <c r="E618" s="40"/>
      <c r="F618" s="40"/>
      <c r="G618" s="40"/>
      <c r="H618" s="40"/>
      <c r="I618" s="40"/>
      <c r="J618" s="40"/>
    </row>
    <row r="619" spans="1:10">
      <c r="A619" s="40"/>
      <c r="B619" s="40"/>
      <c r="C619" s="40"/>
      <c r="D619" s="40"/>
      <c r="E619" s="40"/>
      <c r="F619" s="40"/>
      <c r="G619" s="40"/>
      <c r="H619" s="40"/>
      <c r="I619" s="40"/>
      <c r="J619" s="40"/>
    </row>
    <row r="620" spans="1:10">
      <c r="A620" s="40"/>
      <c r="B620" s="40"/>
      <c r="C620" s="40"/>
      <c r="D620" s="40"/>
      <c r="E620" s="40"/>
      <c r="F620" s="40"/>
      <c r="G620" s="40"/>
      <c r="H620" s="40"/>
      <c r="I620" s="40"/>
      <c r="J620" s="40"/>
    </row>
    <row r="621" spans="1:10">
      <c r="A621" s="40"/>
      <c r="B621" s="40"/>
      <c r="C621" s="40"/>
      <c r="D621" s="40"/>
      <c r="E621" s="40"/>
      <c r="F621" s="40"/>
      <c r="G621" s="40"/>
      <c r="H621" s="40"/>
      <c r="I621" s="40"/>
      <c r="J621" s="40"/>
    </row>
    <row r="622" spans="1:10">
      <c r="A622" s="40"/>
      <c r="B622" s="40"/>
      <c r="C622" s="40"/>
      <c r="D622" s="40"/>
      <c r="E622" s="40"/>
      <c r="F622" s="40"/>
      <c r="G622" s="40"/>
      <c r="H622" s="40"/>
      <c r="I622" s="40"/>
      <c r="J622" s="40"/>
    </row>
    <row r="623" spans="1:10">
      <c r="A623" s="40"/>
      <c r="B623" s="40"/>
      <c r="C623" s="40"/>
      <c r="D623" s="40"/>
      <c r="E623" s="40"/>
      <c r="F623" s="40"/>
      <c r="G623" s="40"/>
      <c r="H623" s="40"/>
      <c r="I623" s="40"/>
      <c r="J623" s="40"/>
    </row>
    <row r="624" spans="1:10">
      <c r="A624" s="40"/>
      <c r="B624" s="40"/>
      <c r="C624" s="40"/>
      <c r="D624" s="40"/>
      <c r="E624" s="40"/>
      <c r="F624" s="40"/>
      <c r="G624" s="40"/>
      <c r="H624" s="40"/>
      <c r="I624" s="40"/>
      <c r="J624" s="40"/>
    </row>
    <row r="625" spans="1:10">
      <c r="A625" s="40"/>
      <c r="B625" s="40"/>
      <c r="C625" s="40"/>
      <c r="D625" s="40"/>
      <c r="E625" s="40"/>
      <c r="F625" s="40"/>
      <c r="G625" s="40"/>
      <c r="H625" s="40"/>
      <c r="I625" s="40"/>
      <c r="J625" s="40"/>
    </row>
    <row r="626" spans="1:10">
      <c r="A626" s="40"/>
      <c r="B626" s="40"/>
      <c r="C626" s="40"/>
      <c r="D626" s="40"/>
      <c r="E626" s="40"/>
      <c r="F626" s="40"/>
      <c r="G626" s="40"/>
      <c r="H626" s="40"/>
      <c r="I626" s="40"/>
      <c r="J626" s="40"/>
    </row>
    <row r="627" spans="1:10">
      <c r="A627" s="40"/>
      <c r="B627" s="40"/>
      <c r="C627" s="40"/>
      <c r="D627" s="40"/>
      <c r="E627" s="40"/>
      <c r="F627" s="40"/>
      <c r="G627" s="40"/>
      <c r="H627" s="40"/>
      <c r="I627" s="40"/>
      <c r="J627" s="40"/>
    </row>
    <row r="628" spans="1:10">
      <c r="A628" s="40"/>
      <c r="B628" s="40"/>
      <c r="C628" s="40"/>
      <c r="D628" s="40"/>
      <c r="E628" s="40"/>
      <c r="F628" s="40"/>
      <c r="G628" s="40"/>
      <c r="H628" s="40"/>
      <c r="I628" s="40"/>
      <c r="J628" s="40"/>
    </row>
    <row r="629" spans="1:10">
      <c r="A629" s="40"/>
      <c r="B629" s="40"/>
      <c r="C629" s="40"/>
      <c r="D629" s="40"/>
      <c r="E629" s="40"/>
      <c r="F629" s="40"/>
      <c r="G629" s="40"/>
      <c r="H629" s="40"/>
      <c r="I629" s="40"/>
      <c r="J629" s="40"/>
    </row>
    <row r="630" spans="1:10">
      <c r="A630" s="40"/>
      <c r="B630" s="40"/>
      <c r="C630" s="40"/>
      <c r="D630" s="40"/>
      <c r="E630" s="40"/>
      <c r="F630" s="40"/>
      <c r="G630" s="40"/>
      <c r="H630" s="40"/>
      <c r="I630" s="40"/>
      <c r="J630" s="40"/>
    </row>
    <row r="631" spans="1:10">
      <c r="A631" s="40"/>
      <c r="B631" s="40"/>
      <c r="C631" s="40"/>
      <c r="D631" s="40"/>
      <c r="E631" s="40"/>
      <c r="F631" s="40"/>
      <c r="G631" s="40"/>
      <c r="H631" s="40"/>
      <c r="I631" s="40"/>
      <c r="J631" s="40"/>
    </row>
    <row r="632" spans="1:10">
      <c r="A632" s="40"/>
      <c r="B632" s="40"/>
      <c r="C632" s="40"/>
      <c r="D632" s="40"/>
      <c r="E632" s="40"/>
      <c r="F632" s="40"/>
      <c r="G632" s="40"/>
      <c r="H632" s="40"/>
      <c r="I632" s="40"/>
      <c r="J632" s="40"/>
    </row>
    <row r="633" spans="1:10">
      <c r="A633" s="40"/>
      <c r="B633" s="40"/>
      <c r="C633" s="40"/>
      <c r="D633" s="40"/>
      <c r="E633" s="40"/>
      <c r="F633" s="40"/>
      <c r="G633" s="40"/>
      <c r="H633" s="40"/>
      <c r="I633" s="40"/>
      <c r="J633" s="40"/>
    </row>
    <row r="634" spans="1:10">
      <c r="A634" s="40"/>
      <c r="B634" s="40"/>
      <c r="C634" s="40"/>
      <c r="D634" s="40"/>
      <c r="E634" s="40"/>
      <c r="F634" s="40"/>
      <c r="G634" s="40"/>
      <c r="H634" s="40"/>
      <c r="I634" s="40"/>
      <c r="J634" s="40"/>
    </row>
    <row r="635" spans="1:10">
      <c r="A635" s="40"/>
      <c r="B635" s="40"/>
      <c r="C635" s="40"/>
      <c r="D635" s="40"/>
      <c r="E635" s="40"/>
      <c r="F635" s="40"/>
      <c r="G635" s="40"/>
      <c r="H635" s="40"/>
      <c r="I635" s="40"/>
      <c r="J635" s="40"/>
    </row>
    <row r="636" spans="1:10">
      <c r="A636" s="40"/>
      <c r="B636" s="40"/>
      <c r="C636" s="40"/>
      <c r="D636" s="40"/>
      <c r="E636" s="40"/>
      <c r="F636" s="40"/>
      <c r="G636" s="40"/>
      <c r="H636" s="40"/>
      <c r="I636" s="40"/>
      <c r="J636" s="40"/>
    </row>
    <row r="637" spans="1:10">
      <c r="A637" s="40"/>
      <c r="B637" s="40"/>
      <c r="C637" s="40"/>
      <c r="D637" s="40"/>
      <c r="E637" s="40"/>
      <c r="F637" s="40"/>
      <c r="G637" s="40"/>
      <c r="H637" s="40"/>
      <c r="I637" s="40"/>
      <c r="J637" s="40"/>
    </row>
    <row r="638" spans="1:10">
      <c r="A638" s="40"/>
      <c r="B638" s="40"/>
      <c r="C638" s="40"/>
      <c r="D638" s="40"/>
      <c r="E638" s="40"/>
      <c r="F638" s="40"/>
      <c r="G638" s="40"/>
      <c r="H638" s="40"/>
      <c r="I638" s="40"/>
      <c r="J638" s="40"/>
    </row>
    <row r="639" spans="1:10">
      <c r="A639" s="40"/>
      <c r="B639" s="40"/>
      <c r="C639" s="40"/>
      <c r="D639" s="40"/>
      <c r="E639" s="40"/>
      <c r="F639" s="40"/>
      <c r="G639" s="40"/>
      <c r="H639" s="40"/>
      <c r="I639" s="40"/>
      <c r="J639" s="40"/>
    </row>
    <row r="640" spans="1:10">
      <c r="A640" s="40"/>
      <c r="B640" s="40"/>
      <c r="C640" s="40"/>
      <c r="D640" s="40"/>
      <c r="E640" s="40"/>
      <c r="F640" s="40"/>
      <c r="G640" s="40"/>
      <c r="H640" s="40"/>
      <c r="I640" s="40"/>
      <c r="J640" s="40"/>
    </row>
    <row r="641" spans="1:10">
      <c r="A641" s="40"/>
      <c r="B641" s="40"/>
      <c r="C641" s="40"/>
      <c r="D641" s="40"/>
      <c r="E641" s="40"/>
      <c r="F641" s="40"/>
      <c r="G641" s="40"/>
      <c r="H641" s="40"/>
      <c r="I641" s="40"/>
      <c r="J641" s="40"/>
    </row>
    <row r="642" spans="1:10">
      <c r="A642" s="40"/>
      <c r="B642" s="40"/>
      <c r="C642" s="40"/>
      <c r="D642" s="40"/>
      <c r="E642" s="40"/>
      <c r="F642" s="40"/>
      <c r="G642" s="40"/>
      <c r="H642" s="40"/>
      <c r="I642" s="40"/>
      <c r="J642" s="40"/>
    </row>
    <row r="643" spans="1:10">
      <c r="A643" s="40"/>
      <c r="B643" s="40"/>
      <c r="C643" s="40"/>
      <c r="D643" s="40"/>
      <c r="E643" s="40"/>
      <c r="F643" s="40"/>
      <c r="G643" s="40"/>
      <c r="H643" s="40"/>
      <c r="I643" s="40"/>
      <c r="J643" s="40"/>
    </row>
    <row r="644" spans="1:10">
      <c r="A644" s="40"/>
      <c r="B644" s="40"/>
      <c r="C644" s="40"/>
      <c r="D644" s="40"/>
      <c r="E644" s="40"/>
      <c r="F644" s="40"/>
      <c r="G644" s="40"/>
      <c r="H644" s="40"/>
      <c r="I644" s="40"/>
      <c r="J644" s="40"/>
    </row>
    <row r="645" spans="1:10">
      <c r="A645" s="40"/>
      <c r="B645" s="40"/>
      <c r="C645" s="40"/>
      <c r="D645" s="40"/>
      <c r="E645" s="40"/>
      <c r="F645" s="40"/>
      <c r="G645" s="40"/>
      <c r="H645" s="40"/>
      <c r="I645" s="40"/>
      <c r="J645" s="40"/>
    </row>
    <row r="646" spans="1:10">
      <c r="A646" s="40"/>
      <c r="B646" s="40"/>
      <c r="C646" s="40"/>
      <c r="D646" s="40"/>
      <c r="E646" s="40"/>
      <c r="F646" s="40"/>
      <c r="G646" s="40"/>
      <c r="H646" s="40"/>
      <c r="I646" s="40"/>
      <c r="J646" s="40"/>
    </row>
    <row r="647" spans="1:10">
      <c r="A647" s="40"/>
      <c r="B647" s="40"/>
      <c r="C647" s="40"/>
      <c r="D647" s="40"/>
      <c r="E647" s="40"/>
      <c r="F647" s="40"/>
      <c r="G647" s="40"/>
      <c r="H647" s="40"/>
      <c r="I647" s="40"/>
      <c r="J647" s="40"/>
    </row>
    <row r="648" spans="1:10">
      <c r="A648" s="40"/>
      <c r="B648" s="40"/>
      <c r="C648" s="40"/>
      <c r="D648" s="40"/>
      <c r="E648" s="40"/>
      <c r="F648" s="40"/>
      <c r="G648" s="40"/>
      <c r="H648" s="40"/>
      <c r="I648" s="40"/>
      <c r="J648" s="40"/>
    </row>
    <row r="649" spans="1:10">
      <c r="A649" s="40"/>
      <c r="B649" s="40"/>
      <c r="C649" s="40"/>
      <c r="D649" s="40"/>
      <c r="E649" s="40"/>
      <c r="F649" s="40"/>
      <c r="G649" s="40"/>
      <c r="H649" s="40"/>
      <c r="I649" s="40"/>
      <c r="J649" s="40"/>
    </row>
    <row r="650" spans="1:10">
      <c r="A650" s="40"/>
      <c r="B650" s="40"/>
      <c r="C650" s="40"/>
      <c r="D650" s="40"/>
      <c r="E650" s="40"/>
      <c r="F650" s="40"/>
      <c r="G650" s="40"/>
      <c r="H650" s="40"/>
      <c r="I650" s="40"/>
      <c r="J650" s="40"/>
    </row>
    <row r="651" spans="1:10">
      <c r="A651" s="40"/>
      <c r="B651" s="40"/>
      <c r="C651" s="40"/>
      <c r="D651" s="40"/>
      <c r="E651" s="40"/>
      <c r="F651" s="40"/>
      <c r="G651" s="40"/>
      <c r="H651" s="40"/>
      <c r="I651" s="40"/>
      <c r="J651" s="40"/>
    </row>
    <row r="652" spans="1:10">
      <c r="A652" s="40"/>
      <c r="B652" s="40"/>
      <c r="C652" s="40"/>
      <c r="D652" s="40"/>
      <c r="E652" s="40"/>
      <c r="F652" s="40"/>
      <c r="G652" s="40"/>
      <c r="H652" s="40"/>
      <c r="I652" s="40"/>
      <c r="J652" s="40"/>
    </row>
    <row r="653" spans="1:10">
      <c r="A653" s="40"/>
      <c r="B653" s="40"/>
      <c r="C653" s="40"/>
      <c r="D653" s="40"/>
      <c r="E653" s="40"/>
      <c r="F653" s="40"/>
      <c r="G653" s="40"/>
      <c r="H653" s="40"/>
      <c r="I653" s="40"/>
      <c r="J653" s="40"/>
    </row>
    <row r="654" spans="1:10">
      <c r="A654" s="40"/>
      <c r="B654" s="40"/>
      <c r="C654" s="40"/>
      <c r="D654" s="40"/>
      <c r="E654" s="40"/>
      <c r="F654" s="40"/>
      <c r="G654" s="40"/>
      <c r="H654" s="40"/>
      <c r="I654" s="40"/>
      <c r="J654" s="40"/>
    </row>
    <row r="655" spans="1:10">
      <c r="A655" s="40"/>
      <c r="B655" s="40"/>
      <c r="C655" s="40"/>
      <c r="D655" s="40"/>
      <c r="E655" s="40"/>
      <c r="F655" s="40"/>
      <c r="G655" s="40"/>
      <c r="H655" s="40"/>
      <c r="I655" s="40"/>
      <c r="J655" s="40"/>
    </row>
    <row r="656" spans="1:10">
      <c r="A656" s="40"/>
      <c r="B656" s="40"/>
      <c r="C656" s="40"/>
      <c r="D656" s="40"/>
      <c r="E656" s="40"/>
      <c r="F656" s="40"/>
      <c r="G656" s="40"/>
      <c r="H656" s="40"/>
      <c r="I656" s="40"/>
      <c r="J656" s="40"/>
    </row>
    <row r="657" spans="1:10">
      <c r="A657" s="40"/>
      <c r="B657" s="40"/>
      <c r="C657" s="40"/>
      <c r="D657" s="40"/>
      <c r="E657" s="40"/>
      <c r="F657" s="40"/>
      <c r="G657" s="40"/>
      <c r="H657" s="40"/>
      <c r="I657" s="40"/>
      <c r="J657" s="40"/>
    </row>
    <row r="658" spans="1:10">
      <c r="A658" s="40"/>
      <c r="B658" s="40"/>
      <c r="C658" s="40"/>
      <c r="D658" s="40"/>
      <c r="E658" s="40"/>
      <c r="F658" s="40"/>
      <c r="G658" s="40"/>
      <c r="H658" s="40"/>
      <c r="I658" s="40"/>
      <c r="J658" s="40"/>
    </row>
  </sheetData>
  <sortState ref="D3:D24">
    <sortCondition ref="D3:D24"/>
  </sortState>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
  <sheetViews>
    <sheetView zoomScaleNormal="100" workbookViewId="0">
      <pane ySplit="2" topLeftCell="A123" activePane="bottomLeft" state="frozen"/>
      <selection pane="bottomLeft" activeCell="C120" sqref="C120"/>
    </sheetView>
    <sheetView topLeftCell="A70" zoomScaleNormal="100" workbookViewId="1">
      <selection activeCell="C132" sqref="C132"/>
    </sheetView>
  </sheetViews>
  <sheetFormatPr defaultColWidth="0" defaultRowHeight="15" zeroHeight="1"/>
  <cols>
    <col min="1" max="1" width="3.6640625" style="337" customWidth="1"/>
    <col min="2" max="2" width="4.44140625" customWidth="1"/>
    <col min="3" max="3" width="59.6640625" customWidth="1"/>
    <col min="4" max="4" width="8.88671875" style="337" customWidth="1"/>
  </cols>
  <sheetData>
    <row r="1" spans="1:4" s="362" customFormat="1" ht="15.75" thickBot="1">
      <c r="A1" s="361"/>
      <c r="D1" s="348"/>
    </row>
    <row r="2" spans="1:4" s="335" customFormat="1" ht="29.25" customHeight="1" thickTop="1" thickBot="1">
      <c r="A2" s="338"/>
      <c r="B2" s="1052" t="s">
        <v>655</v>
      </c>
      <c r="C2" s="1053"/>
      <c r="D2" s="338"/>
    </row>
    <row r="3" spans="1:4" ht="16.5" thickTop="1">
      <c r="B3" s="363"/>
      <c r="C3" s="364"/>
    </row>
    <row r="4" spans="1:4" ht="15.75">
      <c r="B4" s="363"/>
      <c r="C4" s="593" t="s">
        <v>885</v>
      </c>
    </row>
    <row r="5" spans="1:4" ht="15.75">
      <c r="B5" s="363"/>
      <c r="C5" s="593" t="s">
        <v>1165</v>
      </c>
    </row>
    <row r="6" spans="1:4">
      <c r="B6" s="367"/>
      <c r="C6" s="366"/>
    </row>
    <row r="7" spans="1:4" ht="15.75">
      <c r="B7" s="594">
        <v>1</v>
      </c>
      <c r="C7" s="720" t="s">
        <v>823</v>
      </c>
    </row>
    <row r="8" spans="1:4" ht="15.75">
      <c r="B8" s="594"/>
      <c r="C8" s="366" t="s">
        <v>666</v>
      </c>
    </row>
    <row r="9" spans="1:4" ht="15.75">
      <c r="B9" s="594"/>
      <c r="C9" s="366" t="s">
        <v>667</v>
      </c>
    </row>
    <row r="10" spans="1:4" ht="15.75">
      <c r="B10" s="594"/>
      <c r="C10" s="366"/>
    </row>
    <row r="11" spans="1:4" s="875" customFormat="1" ht="15.75">
      <c r="A11" s="337"/>
      <c r="B11" s="594"/>
      <c r="C11" s="366"/>
      <c r="D11" s="337"/>
    </row>
    <row r="12" spans="1:4" s="875" customFormat="1" ht="15.75">
      <c r="A12" s="337"/>
      <c r="B12" s="594">
        <v>2</v>
      </c>
      <c r="C12" s="720" t="s">
        <v>825</v>
      </c>
      <c r="D12" s="337"/>
    </row>
    <row r="13" spans="1:4" s="875" customFormat="1" ht="15.75">
      <c r="A13" s="337"/>
      <c r="B13" s="594"/>
      <c r="C13" s="366" t="s">
        <v>818</v>
      </c>
      <c r="D13" s="337"/>
    </row>
    <row r="14" spans="1:4" s="875" customFormat="1" ht="15.75">
      <c r="A14" s="337"/>
      <c r="B14" s="594"/>
      <c r="C14" s="366" t="s">
        <v>965</v>
      </c>
      <c r="D14" s="337"/>
    </row>
    <row r="15" spans="1:4" s="875" customFormat="1" ht="15.75">
      <c r="A15" s="337"/>
      <c r="B15" s="594"/>
      <c r="C15" s="366" t="s">
        <v>817</v>
      </c>
      <c r="D15" s="337"/>
    </row>
    <row r="16" spans="1:4" s="875" customFormat="1" ht="15.75">
      <c r="A16" s="337"/>
      <c r="B16" s="594"/>
      <c r="C16" s="366"/>
      <c r="D16" s="337"/>
    </row>
    <row r="17" spans="1:4" s="875" customFormat="1" ht="15.75">
      <c r="A17" s="337"/>
      <c r="B17" s="594"/>
      <c r="C17" s="366"/>
      <c r="D17" s="337"/>
    </row>
    <row r="18" spans="1:4" s="875" customFormat="1" ht="15.75">
      <c r="A18" s="337"/>
      <c r="B18" s="594">
        <v>3</v>
      </c>
      <c r="C18" s="720" t="s">
        <v>1136</v>
      </c>
      <c r="D18" s="337"/>
    </row>
    <row r="19" spans="1:4" s="875" customFormat="1" ht="15.75">
      <c r="A19" s="337"/>
      <c r="B19" s="594"/>
      <c r="C19" s="366" t="s">
        <v>1137</v>
      </c>
      <c r="D19" s="337"/>
    </row>
    <row r="20" spans="1:4" s="875" customFormat="1" ht="15.75">
      <c r="A20" s="337"/>
      <c r="B20" s="594"/>
      <c r="C20" s="366" t="s">
        <v>1138</v>
      </c>
      <c r="D20" s="337"/>
    </row>
    <row r="21" spans="1:4" s="875" customFormat="1" ht="15.75">
      <c r="A21" s="337"/>
      <c r="B21" s="594"/>
      <c r="C21" s="366"/>
      <c r="D21" s="337"/>
    </row>
    <row r="22" spans="1:4" s="875" customFormat="1" ht="15.75">
      <c r="A22" s="337"/>
      <c r="B22" s="594"/>
      <c r="C22" s="366"/>
      <c r="D22" s="337"/>
    </row>
    <row r="23" spans="1:4" s="875" customFormat="1" ht="15.75">
      <c r="A23" s="337"/>
      <c r="B23" s="363">
        <v>4</v>
      </c>
      <c r="C23" s="720" t="s">
        <v>886</v>
      </c>
      <c r="D23" s="337"/>
    </row>
    <row r="24" spans="1:4" s="875" customFormat="1">
      <c r="A24" s="337"/>
      <c r="B24" s="365" t="s">
        <v>887</v>
      </c>
      <c r="C24" s="369" t="s">
        <v>654</v>
      </c>
      <c r="D24" s="337"/>
    </row>
    <row r="25" spans="1:4" s="875" customFormat="1">
      <c r="A25" s="337"/>
      <c r="B25" s="367"/>
      <c r="C25" s="370" t="s">
        <v>671</v>
      </c>
      <c r="D25" s="337"/>
    </row>
    <row r="26" spans="1:4" s="875" customFormat="1">
      <c r="A26" s="337"/>
      <c r="B26" s="367"/>
      <c r="C26" s="370" t="s">
        <v>672</v>
      </c>
      <c r="D26" s="337"/>
    </row>
    <row r="27" spans="1:4" s="875" customFormat="1">
      <c r="A27" s="337"/>
      <c r="B27" s="367"/>
      <c r="C27" s="370"/>
      <c r="D27" s="337"/>
    </row>
    <row r="28" spans="1:4" s="875" customFormat="1">
      <c r="A28" s="337"/>
      <c r="B28" s="367"/>
      <c r="C28" s="370" t="s">
        <v>663</v>
      </c>
      <c r="D28" s="337"/>
    </row>
    <row r="29" spans="1:4" s="875" customFormat="1">
      <c r="A29" s="337"/>
      <c r="B29" s="367"/>
      <c r="C29" s="370" t="s">
        <v>815</v>
      </c>
      <c r="D29" s="337"/>
    </row>
    <row r="30" spans="1:4" s="875" customFormat="1">
      <c r="A30" s="337"/>
      <c r="B30" s="367"/>
      <c r="C30" s="370" t="s">
        <v>665</v>
      </c>
      <c r="D30" s="337"/>
    </row>
    <row r="31" spans="1:4" s="875" customFormat="1">
      <c r="A31" s="337"/>
      <c r="B31" s="367"/>
      <c r="C31" s="366" t="s">
        <v>664</v>
      </c>
      <c r="D31" s="337"/>
    </row>
    <row r="32" spans="1:4" s="875" customFormat="1">
      <c r="A32" s="337"/>
      <c r="B32" s="367"/>
      <c r="C32" s="366"/>
      <c r="D32" s="337"/>
    </row>
    <row r="33" spans="1:4" s="875" customFormat="1">
      <c r="A33" s="337"/>
      <c r="B33" s="365" t="s">
        <v>888</v>
      </c>
      <c r="C33" s="369" t="s">
        <v>222</v>
      </c>
      <c r="D33" s="337"/>
    </row>
    <row r="34" spans="1:4" s="875" customFormat="1">
      <c r="A34" s="337"/>
      <c r="B34" s="367"/>
      <c r="C34" s="366" t="s">
        <v>658</v>
      </c>
      <c r="D34" s="337"/>
    </row>
    <row r="35" spans="1:4" s="875" customFormat="1">
      <c r="A35" s="337"/>
      <c r="B35" s="367"/>
      <c r="C35" s="366" t="s">
        <v>656</v>
      </c>
      <c r="D35" s="337"/>
    </row>
    <row r="36" spans="1:4" s="875" customFormat="1">
      <c r="A36" s="337"/>
      <c r="B36" s="367"/>
      <c r="C36" s="366" t="s">
        <v>657</v>
      </c>
      <c r="D36" s="337"/>
    </row>
    <row r="37" spans="1:4" s="875" customFormat="1">
      <c r="A37" s="337"/>
      <c r="B37" s="367"/>
      <c r="C37" s="366" t="s">
        <v>816</v>
      </c>
      <c r="D37" s="337"/>
    </row>
    <row r="38" spans="1:4" s="875" customFormat="1">
      <c r="A38" s="337"/>
      <c r="B38" s="367"/>
      <c r="C38" s="366" t="s">
        <v>662</v>
      </c>
      <c r="D38" s="337"/>
    </row>
    <row r="39" spans="1:4" s="875" customFormat="1">
      <c r="A39" s="337"/>
      <c r="B39" s="367"/>
      <c r="C39" s="366"/>
      <c r="D39" s="337"/>
    </row>
    <row r="40" spans="1:4" s="875" customFormat="1">
      <c r="A40" s="337"/>
      <c r="B40" s="365" t="s">
        <v>889</v>
      </c>
      <c r="C40" s="369" t="s">
        <v>1019</v>
      </c>
      <c r="D40" s="337"/>
    </row>
    <row r="41" spans="1:4" s="875" customFormat="1">
      <c r="A41" s="337"/>
      <c r="B41" s="367"/>
      <c r="C41" s="366" t="s">
        <v>1020</v>
      </c>
      <c r="D41" s="337"/>
    </row>
    <row r="42" spans="1:4" s="875" customFormat="1">
      <c r="A42" s="337"/>
      <c r="B42" s="367"/>
      <c r="C42" s="366" t="s">
        <v>1021</v>
      </c>
      <c r="D42" s="337"/>
    </row>
    <row r="43" spans="1:4" s="875" customFormat="1">
      <c r="A43" s="337"/>
      <c r="B43" s="367"/>
      <c r="C43" s="366" t="s">
        <v>1273</v>
      </c>
      <c r="D43" s="337"/>
    </row>
    <row r="44" spans="1:4" s="875" customFormat="1">
      <c r="A44" s="337"/>
      <c r="B44" s="367"/>
      <c r="C44" s="366" t="s">
        <v>1022</v>
      </c>
      <c r="D44" s="337"/>
    </row>
    <row r="45" spans="1:4" s="875" customFormat="1">
      <c r="A45" s="337"/>
      <c r="B45" s="367"/>
      <c r="C45" s="366" t="s">
        <v>1023</v>
      </c>
      <c r="D45" s="337"/>
    </row>
    <row r="46" spans="1:4" s="875" customFormat="1" ht="15.75">
      <c r="A46" s="337"/>
      <c r="B46" s="594"/>
      <c r="C46" s="366"/>
      <c r="D46" s="337"/>
    </row>
    <row r="47" spans="1:4" ht="15.75">
      <c r="B47" s="594"/>
      <c r="C47" s="366"/>
    </row>
    <row r="48" spans="1:4" ht="15.75">
      <c r="B48" s="594">
        <v>5</v>
      </c>
      <c r="C48" s="720" t="s">
        <v>964</v>
      </c>
    </row>
    <row r="49" spans="1:4" ht="15.75">
      <c r="B49" s="594"/>
      <c r="C49" s="366" t="s">
        <v>659</v>
      </c>
    </row>
    <row r="50" spans="1:4" ht="15.75">
      <c r="B50" s="594"/>
      <c r="C50" s="366" t="s">
        <v>668</v>
      </c>
    </row>
    <row r="51" spans="1:4" ht="15.75">
      <c r="B51" s="594"/>
      <c r="C51" s="366"/>
    </row>
    <row r="52" spans="1:4" ht="15.75">
      <c r="B52" s="594"/>
      <c r="C52" s="366"/>
    </row>
    <row r="53" spans="1:4" ht="15.75">
      <c r="B53" s="594">
        <v>6</v>
      </c>
      <c r="C53" s="720" t="s">
        <v>824</v>
      </c>
    </row>
    <row r="54" spans="1:4" ht="15.75">
      <c r="B54" s="594"/>
      <c r="C54" s="366" t="s">
        <v>1148</v>
      </c>
    </row>
    <row r="55" spans="1:4" ht="15.75">
      <c r="B55" s="594"/>
      <c r="C55" s="366" t="s">
        <v>1149</v>
      </c>
    </row>
    <row r="56" spans="1:4" ht="15.75">
      <c r="B56" s="594"/>
      <c r="C56" s="366" t="s">
        <v>1150</v>
      </c>
    </row>
    <row r="57" spans="1:4" s="875" customFormat="1" ht="15.75">
      <c r="A57" s="337"/>
      <c r="B57" s="594"/>
      <c r="C57" s="366" t="s">
        <v>1151</v>
      </c>
      <c r="D57" s="337"/>
    </row>
    <row r="58" spans="1:4" ht="15.75">
      <c r="B58" s="594"/>
      <c r="C58" s="366" t="s">
        <v>1152</v>
      </c>
    </row>
    <row r="59" spans="1:4" ht="15.75">
      <c r="B59" s="594"/>
      <c r="C59" s="366" t="s">
        <v>1131</v>
      </c>
    </row>
    <row r="60" spans="1:4" s="875" customFormat="1" ht="15.75">
      <c r="A60" s="337"/>
      <c r="B60" s="594"/>
      <c r="C60" s="366" t="s">
        <v>1132</v>
      </c>
      <c r="D60" s="337"/>
    </row>
    <row r="61" spans="1:4" s="875" customFormat="1" ht="15.75">
      <c r="A61" s="337"/>
      <c r="B61" s="594"/>
      <c r="C61" s="366" t="s">
        <v>1133</v>
      </c>
      <c r="D61" s="337"/>
    </row>
    <row r="62" spans="1:4" s="875" customFormat="1" ht="15.75">
      <c r="A62" s="337"/>
      <c r="B62" s="594"/>
      <c r="C62" s="366" t="s">
        <v>1134</v>
      </c>
      <c r="D62" s="337"/>
    </row>
    <row r="63" spans="1:4" s="875" customFormat="1" ht="15.75">
      <c r="A63" s="337"/>
      <c r="B63" s="594"/>
      <c r="C63" s="366" t="s">
        <v>1135</v>
      </c>
      <c r="D63" s="337"/>
    </row>
    <row r="64" spans="1:4" ht="15.75">
      <c r="B64" s="594"/>
      <c r="C64" s="366"/>
    </row>
    <row r="65" spans="1:4" ht="15.75">
      <c r="B65" s="594"/>
      <c r="C65" s="366"/>
    </row>
    <row r="66" spans="1:4" ht="15.75">
      <c r="B66" s="594">
        <v>7</v>
      </c>
      <c r="C66" s="720" t="s">
        <v>1139</v>
      </c>
    </row>
    <row r="67" spans="1:4" ht="15.75">
      <c r="B67" s="594"/>
      <c r="C67" s="901" t="s">
        <v>1140</v>
      </c>
    </row>
    <row r="68" spans="1:4" ht="15.75">
      <c r="B68" s="594"/>
      <c r="C68" s="901" t="s">
        <v>1153</v>
      </c>
    </row>
    <row r="69" spans="1:4" ht="15.75">
      <c r="B69" s="594"/>
      <c r="C69" s="366"/>
    </row>
    <row r="70" spans="1:4" s="875" customFormat="1" ht="15.75">
      <c r="A70" s="337"/>
      <c r="B70" s="594"/>
      <c r="C70" s="366"/>
      <c r="D70" s="337"/>
    </row>
    <row r="71" spans="1:4" s="875" customFormat="1" ht="15.75">
      <c r="A71" s="337"/>
      <c r="B71" s="594">
        <v>8</v>
      </c>
      <c r="C71" s="720" t="s">
        <v>1141</v>
      </c>
      <c r="D71" s="337"/>
    </row>
    <row r="72" spans="1:4" s="875" customFormat="1" ht="15.75">
      <c r="A72" s="337"/>
      <c r="B72" s="594"/>
      <c r="C72" s="366" t="s">
        <v>1142</v>
      </c>
      <c r="D72" s="337"/>
    </row>
    <row r="73" spans="1:4" s="875" customFormat="1" ht="15.75">
      <c r="A73" s="337"/>
      <c r="B73" s="594"/>
      <c r="C73" s="366" t="s">
        <v>1143</v>
      </c>
      <c r="D73" s="337"/>
    </row>
    <row r="74" spans="1:4" s="875" customFormat="1" ht="15.75">
      <c r="A74" s="337"/>
      <c r="B74" s="594"/>
      <c r="C74" s="366" t="s">
        <v>1264</v>
      </c>
      <c r="D74" s="337"/>
    </row>
    <row r="75" spans="1:4" s="875" customFormat="1" ht="15.75">
      <c r="A75" s="337"/>
      <c r="B75" s="594"/>
      <c r="C75" s="366"/>
      <c r="D75" s="337"/>
    </row>
    <row r="76" spans="1:4" ht="15.75">
      <c r="B76" s="594"/>
      <c r="C76" s="366"/>
    </row>
    <row r="77" spans="1:4" ht="15.75">
      <c r="B77" s="594">
        <v>9</v>
      </c>
      <c r="C77" s="720" t="s">
        <v>826</v>
      </c>
    </row>
    <row r="78" spans="1:4" ht="15.75">
      <c r="B78" s="594"/>
      <c r="C78" s="366" t="s">
        <v>660</v>
      </c>
    </row>
    <row r="79" spans="1:4" ht="15.75">
      <c r="B79" s="594"/>
      <c r="C79" s="366" t="s">
        <v>977</v>
      </c>
    </row>
    <row r="80" spans="1:4" ht="15.75">
      <c r="B80" s="594"/>
      <c r="C80" s="366" t="s">
        <v>976</v>
      </c>
    </row>
    <row r="81" spans="1:4" ht="15.75">
      <c r="B81" s="594"/>
      <c r="C81" s="366"/>
    </row>
    <row r="82" spans="1:4" ht="15.75">
      <c r="B82" s="594"/>
      <c r="C82" s="366"/>
    </row>
    <row r="83" spans="1:4" ht="15.75">
      <c r="B83" s="594">
        <v>10</v>
      </c>
      <c r="C83" s="720" t="s">
        <v>836</v>
      </c>
    </row>
    <row r="84" spans="1:4" ht="15.75">
      <c r="B84" s="594"/>
      <c r="C84" s="366" t="s">
        <v>837</v>
      </c>
    </row>
    <row r="85" spans="1:4" ht="15.75">
      <c r="B85" s="594"/>
      <c r="C85" s="366" t="s">
        <v>1154</v>
      </c>
    </row>
    <row r="86" spans="1:4" ht="15.75">
      <c r="B86" s="594"/>
      <c r="C86" s="366" t="s">
        <v>838</v>
      </c>
    </row>
    <row r="87" spans="1:4" ht="15.75">
      <c r="B87" s="594"/>
      <c r="C87" s="366" t="s">
        <v>839</v>
      </c>
    </row>
    <row r="88" spans="1:4" ht="15.75">
      <c r="B88" s="594"/>
      <c r="C88" s="366" t="s">
        <v>840</v>
      </c>
    </row>
    <row r="89" spans="1:4" ht="15.75">
      <c r="B89" s="594"/>
      <c r="C89" s="366" t="s">
        <v>1050</v>
      </c>
    </row>
    <row r="90" spans="1:4" ht="15.75">
      <c r="B90" s="594"/>
      <c r="C90" s="366" t="s">
        <v>1344</v>
      </c>
    </row>
    <row r="91" spans="1:4" ht="15.75">
      <c r="B91" s="594"/>
      <c r="C91" s="366" t="s">
        <v>1345</v>
      </c>
    </row>
    <row r="92" spans="1:4" s="1033" customFormat="1" ht="15.75">
      <c r="A92" s="337"/>
      <c r="B92" s="594"/>
      <c r="C92" s="366"/>
      <c r="D92" s="337"/>
    </row>
    <row r="93" spans="1:4" ht="15.75">
      <c r="B93" s="594"/>
      <c r="C93" s="366"/>
    </row>
    <row r="94" spans="1:4" ht="15.75">
      <c r="B94" s="594">
        <v>11</v>
      </c>
      <c r="C94" s="720" t="s">
        <v>827</v>
      </c>
    </row>
    <row r="95" spans="1:4" ht="15.75">
      <c r="B95" s="594"/>
      <c r="C95" s="366" t="s">
        <v>1338</v>
      </c>
    </row>
    <row r="96" spans="1:4" ht="15.75">
      <c r="B96" s="594"/>
      <c r="C96" s="366" t="s">
        <v>1339</v>
      </c>
    </row>
    <row r="97" spans="2:3" ht="15.75">
      <c r="B97" s="594"/>
      <c r="C97" s="366" t="s">
        <v>1340</v>
      </c>
    </row>
    <row r="98" spans="2:3" ht="15.75">
      <c r="B98" s="594"/>
      <c r="C98" s="366"/>
    </row>
    <row r="99" spans="2:3" ht="15.75">
      <c r="B99" s="594"/>
      <c r="C99" s="366"/>
    </row>
    <row r="100" spans="2:3" ht="15.75">
      <c r="B100" s="594">
        <v>12</v>
      </c>
      <c r="C100" s="720" t="s">
        <v>828</v>
      </c>
    </row>
    <row r="101" spans="2:3" ht="15.75">
      <c r="B101" s="594"/>
      <c r="C101" s="366" t="s">
        <v>819</v>
      </c>
    </row>
    <row r="102" spans="2:3" ht="15.75">
      <c r="B102" s="594"/>
      <c r="C102" s="366" t="s">
        <v>820</v>
      </c>
    </row>
    <row r="103" spans="2:3" ht="15.75">
      <c r="B103" s="594"/>
      <c r="C103" s="366" t="s">
        <v>822</v>
      </c>
    </row>
    <row r="104" spans="2:3" ht="15.75">
      <c r="B104" s="594"/>
      <c r="C104" s="366"/>
    </row>
    <row r="105" spans="2:3" ht="15.75">
      <c r="B105" s="594"/>
      <c r="C105" s="366"/>
    </row>
    <row r="106" spans="2:3" ht="15.75">
      <c r="B106" s="594">
        <v>13</v>
      </c>
      <c r="C106" s="720" t="s">
        <v>829</v>
      </c>
    </row>
    <row r="107" spans="2:3" ht="15.75">
      <c r="B107" s="594"/>
      <c r="C107" s="366" t="s">
        <v>966</v>
      </c>
    </row>
    <row r="108" spans="2:3" ht="15.75">
      <c r="B108" s="594"/>
      <c r="C108" s="366" t="s">
        <v>821</v>
      </c>
    </row>
    <row r="109" spans="2:3" ht="15.75">
      <c r="B109" s="594"/>
      <c r="C109" s="366" t="s">
        <v>1052</v>
      </c>
    </row>
    <row r="110" spans="2:3" ht="15.75">
      <c r="B110" s="594"/>
      <c r="C110" s="366"/>
    </row>
    <row r="111" spans="2:3" ht="15.75">
      <c r="B111" s="594"/>
      <c r="C111" s="366"/>
    </row>
    <row r="112" spans="2:3" ht="15.75">
      <c r="B112" s="594">
        <v>14</v>
      </c>
      <c r="C112" s="720" t="s">
        <v>661</v>
      </c>
    </row>
    <row r="113" spans="2:3" ht="15.75">
      <c r="B113" s="594"/>
      <c r="C113" s="366" t="s">
        <v>1341</v>
      </c>
    </row>
    <row r="114" spans="2:3" ht="15.75">
      <c r="B114" s="594"/>
      <c r="C114" s="366" t="s">
        <v>1155</v>
      </c>
    </row>
    <row r="115" spans="2:3" ht="15.75">
      <c r="B115" s="594"/>
      <c r="C115" s="366" t="s">
        <v>830</v>
      </c>
    </row>
    <row r="116" spans="2:3" ht="15.75">
      <c r="B116" s="594"/>
      <c r="C116" s="366" t="s">
        <v>831</v>
      </c>
    </row>
    <row r="117" spans="2:3" ht="15.75">
      <c r="B117" s="594"/>
      <c r="C117" s="366" t="s">
        <v>832</v>
      </c>
    </row>
    <row r="118" spans="2:3" ht="15.75">
      <c r="B118" s="594"/>
      <c r="C118" s="366" t="s">
        <v>1035</v>
      </c>
    </row>
    <row r="119" spans="2:3" ht="15.75">
      <c r="B119" s="594"/>
      <c r="C119" s="366" t="s">
        <v>1054</v>
      </c>
    </row>
    <row r="120" spans="2:3" ht="15.75">
      <c r="B120" s="594"/>
      <c r="C120" s="366" t="s">
        <v>1053</v>
      </c>
    </row>
    <row r="121" spans="2:3" ht="15.75">
      <c r="B121" s="594"/>
      <c r="C121" s="366"/>
    </row>
    <row r="122" spans="2:3">
      <c r="B122" s="595"/>
      <c r="C122" s="366"/>
    </row>
    <row r="123" spans="2:3" ht="15.75">
      <c r="B123" s="594">
        <v>15</v>
      </c>
      <c r="C123" s="720" t="s">
        <v>1055</v>
      </c>
    </row>
    <row r="124" spans="2:3">
      <c r="B124" s="595"/>
      <c r="C124" s="366" t="s">
        <v>1058</v>
      </c>
    </row>
    <row r="125" spans="2:3">
      <c r="B125" s="595"/>
      <c r="C125" s="366" t="s">
        <v>1056</v>
      </c>
    </row>
    <row r="126" spans="2:3">
      <c r="B126" s="595"/>
      <c r="C126" s="366" t="s">
        <v>1342</v>
      </c>
    </row>
    <row r="127" spans="2:3">
      <c r="B127" s="595"/>
      <c r="C127" s="366" t="s">
        <v>1057</v>
      </c>
    </row>
    <row r="128" spans="2:3">
      <c r="B128" s="595"/>
      <c r="C128" s="366" t="s">
        <v>1343</v>
      </c>
    </row>
    <row r="129" spans="1:4">
      <c r="B129" s="595"/>
      <c r="C129" s="366" t="s">
        <v>1346</v>
      </c>
    </row>
    <row r="130" spans="1:4">
      <c r="B130" s="595"/>
      <c r="C130" s="366" t="s">
        <v>1347</v>
      </c>
    </row>
    <row r="131" spans="1:4">
      <c r="B131" s="595"/>
      <c r="C131" s="366" t="s">
        <v>1358</v>
      </c>
    </row>
    <row r="132" spans="1:4">
      <c r="B132" s="595"/>
      <c r="C132" s="366" t="s">
        <v>1348</v>
      </c>
    </row>
    <row r="133" spans="1:4">
      <c r="B133" s="595"/>
      <c r="C133" s="366" t="s">
        <v>1349</v>
      </c>
    </row>
    <row r="134" spans="1:4">
      <c r="B134" s="595"/>
      <c r="C134" s="366" t="s">
        <v>1350</v>
      </c>
    </row>
    <row r="135" spans="1:4">
      <c r="B135" s="595"/>
      <c r="C135" s="366" t="s">
        <v>1351</v>
      </c>
    </row>
    <row r="136" spans="1:4" s="342" customFormat="1" ht="15.75" hidden="1" thickBot="1">
      <c r="A136" s="337"/>
      <c r="B136" s="371"/>
      <c r="C136" s="368"/>
      <c r="D136" s="341"/>
    </row>
    <row r="137" spans="1:4" s="342" customFormat="1" hidden="1">
      <c r="A137" s="337"/>
      <c r="B137" s="371"/>
      <c r="C137" s="721"/>
      <c r="D137" s="341"/>
    </row>
    <row r="138" spans="1:4" s="342" customFormat="1" hidden="1">
      <c r="A138" s="337"/>
      <c r="B138" s="371"/>
      <c r="C138" s="371"/>
      <c r="D138" s="341"/>
    </row>
    <row r="139" spans="1:4" s="342" customFormat="1" hidden="1">
      <c r="A139" s="337"/>
      <c r="B139" s="371"/>
      <c r="C139" s="371"/>
      <c r="D139" s="341"/>
    </row>
    <row r="140" spans="1:4" s="342" customFormat="1" hidden="1">
      <c r="A140" s="337"/>
      <c r="B140" s="371"/>
      <c r="C140" s="371"/>
      <c r="D140" s="341"/>
    </row>
    <row r="141" spans="1:4" s="342" customFormat="1" hidden="1">
      <c r="A141" s="337"/>
      <c r="B141" s="371"/>
      <c r="C141" s="371"/>
      <c r="D141" s="341"/>
    </row>
    <row r="142" spans="1:4" s="342" customFormat="1" hidden="1">
      <c r="A142" s="337"/>
      <c r="B142" s="371"/>
      <c r="C142" s="371"/>
      <c r="D142" s="341"/>
    </row>
    <row r="143" spans="1:4" s="342" customFormat="1" hidden="1">
      <c r="A143" s="337"/>
      <c r="B143" s="371"/>
      <c r="C143" s="371"/>
      <c r="D143" s="341"/>
    </row>
    <row r="144" spans="1:4" s="346" customFormat="1" hidden="1">
      <c r="A144" s="337"/>
      <c r="B144" s="371"/>
      <c r="C144" s="371"/>
      <c r="D144" s="341"/>
    </row>
    <row r="145" spans="2:3" hidden="1">
      <c r="B145" s="371"/>
      <c r="C145" s="371"/>
    </row>
    <row r="146" spans="2:3" hidden="1">
      <c r="B146" s="371"/>
      <c r="C146" s="371"/>
    </row>
    <row r="147" spans="2:3" hidden="1">
      <c r="B147" s="371"/>
      <c r="C147" s="371"/>
    </row>
    <row r="148" spans="2:3" hidden="1">
      <c r="B148" s="371"/>
      <c r="C148" s="371"/>
    </row>
    <row r="149" spans="2:3" hidden="1">
      <c r="B149" s="371"/>
      <c r="C149" s="371"/>
    </row>
    <row r="150" spans="2:3" hidden="1">
      <c r="B150" s="371"/>
      <c r="C150" s="371"/>
    </row>
    <row r="151" spans="2:3" hidden="1">
      <c r="B151" s="371"/>
      <c r="C151" s="371"/>
    </row>
    <row r="152" spans="2:3" hidden="1">
      <c r="B152" s="371"/>
      <c r="C152" s="371"/>
    </row>
    <row r="153" spans="2:3" hidden="1">
      <c r="B153" s="371"/>
      <c r="C153" s="371"/>
    </row>
    <row r="154" spans="2:3" hidden="1">
      <c r="B154" s="371"/>
      <c r="C154" s="371"/>
    </row>
    <row r="155" spans="2:3" hidden="1">
      <c r="B155" s="371"/>
      <c r="C155" s="371"/>
    </row>
    <row r="156" spans="2:3" hidden="1">
      <c r="B156" s="371"/>
      <c r="C156" s="371"/>
    </row>
    <row r="157" spans="2:3" hidden="1">
      <c r="B157" s="371"/>
      <c r="C157" s="371"/>
    </row>
    <row r="158" spans="2:3" hidden="1">
      <c r="B158" s="371"/>
      <c r="C158" s="371"/>
    </row>
    <row r="159" spans="2:3" hidden="1">
      <c r="B159" s="371"/>
      <c r="C159" s="371"/>
    </row>
    <row r="160" spans="2:3" hidden="1">
      <c r="B160" s="371"/>
      <c r="C160" s="371"/>
    </row>
    <row r="161" spans="2:3" hidden="1">
      <c r="B161" s="371"/>
      <c r="C161" s="371"/>
    </row>
    <row r="162" spans="2:3" hidden="1">
      <c r="B162" s="371"/>
      <c r="C162" s="371"/>
    </row>
    <row r="163" spans="2:3" hidden="1">
      <c r="B163" s="371"/>
      <c r="C163" s="371"/>
    </row>
    <row r="164" spans="2:3" hidden="1">
      <c r="B164" s="371"/>
      <c r="C164" s="371"/>
    </row>
    <row r="165" spans="2:3" hidden="1">
      <c r="B165" s="371"/>
      <c r="C165" s="371"/>
    </row>
    <row r="166" spans="2:3" hidden="1">
      <c r="B166" s="371"/>
      <c r="C166" s="371"/>
    </row>
    <row r="167" spans="2:3" hidden="1">
      <c r="B167" s="371"/>
      <c r="C167" s="371"/>
    </row>
    <row r="168" spans="2:3" hidden="1">
      <c r="B168" s="371"/>
      <c r="C168" s="371"/>
    </row>
    <row r="169" spans="2:3" hidden="1">
      <c r="B169" s="371"/>
      <c r="C169" s="371"/>
    </row>
    <row r="170" spans="2:3" hidden="1">
      <c r="B170" s="371"/>
      <c r="C170" s="371"/>
    </row>
    <row r="171" spans="2:3" hidden="1">
      <c r="B171" s="371"/>
      <c r="C171" s="371"/>
    </row>
    <row r="172" spans="2:3" hidden="1">
      <c r="B172" s="371"/>
      <c r="C172" s="371"/>
    </row>
    <row r="173" spans="2:3" hidden="1">
      <c r="B173" s="371"/>
      <c r="C173" s="371"/>
    </row>
    <row r="174" spans="2:3" hidden="1">
      <c r="B174" s="371"/>
      <c r="C174" s="371"/>
    </row>
    <row r="175" spans="2:3" hidden="1">
      <c r="B175" s="371"/>
      <c r="C175" s="371"/>
    </row>
    <row r="176" spans="2:3" hidden="1">
      <c r="B176" s="371"/>
      <c r="C176" s="371"/>
    </row>
    <row r="177" spans="2:3" hidden="1">
      <c r="B177" s="371"/>
      <c r="C177" s="371"/>
    </row>
    <row r="178" spans="2:3" hidden="1">
      <c r="B178" s="371"/>
      <c r="C178" s="371"/>
    </row>
    <row r="179" spans="2:3" hidden="1">
      <c r="B179" s="371"/>
      <c r="C179" s="371"/>
    </row>
    <row r="180" spans="2:3" hidden="1">
      <c r="B180" s="371"/>
      <c r="C180" s="371"/>
    </row>
    <row r="181" spans="2:3" hidden="1">
      <c r="B181" s="371"/>
      <c r="C181" s="371"/>
    </row>
    <row r="182" spans="2:3" hidden="1">
      <c r="B182" s="371"/>
      <c r="C182" s="371"/>
    </row>
    <row r="183" spans="2:3" hidden="1">
      <c r="B183" s="371"/>
      <c r="C183" s="371"/>
    </row>
    <row r="184" spans="2:3" hidden="1">
      <c r="B184" s="371"/>
      <c r="C184" s="371"/>
    </row>
    <row r="185" spans="2:3" hidden="1">
      <c r="B185" s="371"/>
      <c r="C185" s="371"/>
    </row>
    <row r="186" spans="2:3" hidden="1">
      <c r="B186" s="371"/>
      <c r="C186" s="371"/>
    </row>
    <row r="187" spans="2:3" hidden="1">
      <c r="B187" s="371"/>
      <c r="C187" s="371"/>
    </row>
    <row r="188" spans="2:3" hidden="1">
      <c r="B188" s="371"/>
      <c r="C188" s="371"/>
    </row>
    <row r="189" spans="2:3" hidden="1">
      <c r="B189" s="371"/>
      <c r="C189" s="371"/>
    </row>
    <row r="190" spans="2:3" hidden="1">
      <c r="B190" s="371"/>
      <c r="C190" s="371"/>
    </row>
    <row r="191" spans="2:3" hidden="1">
      <c r="B191" s="371"/>
      <c r="C191" s="371"/>
    </row>
    <row r="192" spans="2:3" hidden="1">
      <c r="B192" s="371"/>
      <c r="C192" s="371"/>
    </row>
    <row r="193" spans="2:3" hidden="1">
      <c r="B193" s="371"/>
      <c r="C193" s="371"/>
    </row>
    <row r="194" spans="2:3" hidden="1">
      <c r="B194" s="371"/>
      <c r="C194" s="371"/>
    </row>
    <row r="195" spans="2:3" hidden="1">
      <c r="B195" s="371"/>
      <c r="C195" s="371"/>
    </row>
    <row r="196" spans="2:3" hidden="1">
      <c r="B196" s="371"/>
      <c r="C196" s="371"/>
    </row>
    <row r="197" spans="2:3" hidden="1">
      <c r="B197" s="371"/>
      <c r="C197" s="371"/>
    </row>
    <row r="198" spans="2:3" hidden="1">
      <c r="B198" s="371"/>
      <c r="C198" s="371"/>
    </row>
    <row r="199" spans="2:3" hidden="1">
      <c r="B199" s="371"/>
      <c r="C199" s="371"/>
    </row>
    <row r="200" spans="2:3" hidden="1">
      <c r="B200" s="371"/>
      <c r="C200" s="371"/>
    </row>
    <row r="201" spans="2:3" hidden="1">
      <c r="B201" s="371"/>
      <c r="C201" s="371"/>
    </row>
    <row r="202" spans="2:3" hidden="1">
      <c r="B202" s="371"/>
      <c r="C202" s="371"/>
    </row>
    <row r="203" spans="2:3" hidden="1">
      <c r="B203" s="371"/>
      <c r="C203" s="371"/>
    </row>
    <row r="204" spans="2:3" hidden="1">
      <c r="B204" s="371"/>
      <c r="C204" s="371"/>
    </row>
    <row r="205" spans="2:3" hidden="1">
      <c r="B205" s="371"/>
      <c r="C205" s="371"/>
    </row>
    <row r="206" spans="2:3" hidden="1">
      <c r="B206" s="371"/>
      <c r="C206" s="371"/>
    </row>
    <row r="207" spans="2:3" hidden="1">
      <c r="B207" s="371"/>
      <c r="C207" s="371"/>
    </row>
    <row r="208" spans="2:3" hidden="1">
      <c r="B208" s="371"/>
      <c r="C208" s="371"/>
    </row>
    <row r="209" spans="2:3" hidden="1">
      <c r="B209" s="371"/>
      <c r="C209" s="371"/>
    </row>
    <row r="210" spans="2:3" hidden="1">
      <c r="B210" s="371"/>
      <c r="C210" s="371"/>
    </row>
    <row r="211" spans="2:3" hidden="1">
      <c r="B211" s="371"/>
      <c r="C211" s="371"/>
    </row>
    <row r="212" spans="2:3" hidden="1">
      <c r="B212" s="371"/>
      <c r="C212" s="371"/>
    </row>
    <row r="213" spans="2:3" hidden="1">
      <c r="B213" s="371"/>
      <c r="C213" s="371"/>
    </row>
    <row r="214" spans="2:3" hidden="1">
      <c r="B214" s="371"/>
      <c r="C214" s="371"/>
    </row>
    <row r="215" spans="2:3" hidden="1">
      <c r="B215" s="371"/>
      <c r="C215" s="371"/>
    </row>
    <row r="216" spans="2:3" hidden="1">
      <c r="B216" s="371"/>
      <c r="C216" s="371"/>
    </row>
    <row r="217" spans="2:3" hidden="1">
      <c r="B217" s="371"/>
      <c r="C217" s="371"/>
    </row>
    <row r="218" spans="2:3" hidden="1">
      <c r="B218" s="371"/>
      <c r="C218" s="371"/>
    </row>
    <row r="219" spans="2:3" hidden="1">
      <c r="B219" s="371"/>
      <c r="C219" s="371"/>
    </row>
    <row r="220" spans="2:3" hidden="1">
      <c r="B220" s="371"/>
      <c r="C220" s="371"/>
    </row>
    <row r="221" spans="2:3" hidden="1">
      <c r="B221" s="371"/>
      <c r="C221" s="371"/>
    </row>
    <row r="222" spans="2:3" hidden="1">
      <c r="B222" s="371"/>
      <c r="C222" s="371"/>
    </row>
    <row r="223" spans="2:3" hidden="1">
      <c r="B223" s="371"/>
      <c r="C223" s="371"/>
    </row>
    <row r="224" spans="2:3" hidden="1">
      <c r="B224" s="371"/>
      <c r="C224" s="371"/>
    </row>
    <row r="225" spans="2:3" hidden="1">
      <c r="B225" s="371"/>
      <c r="C225" s="371"/>
    </row>
    <row r="226" spans="2:3" hidden="1">
      <c r="B226" s="371"/>
      <c r="C226" s="371"/>
    </row>
    <row r="227" spans="2:3" hidden="1">
      <c r="B227" s="342"/>
      <c r="C227" s="371"/>
    </row>
    <row r="228" spans="2:3" hidden="1">
      <c r="B228" s="342"/>
      <c r="C228" s="371"/>
    </row>
    <row r="229" spans="2:3" hidden="1">
      <c r="B229" s="342"/>
      <c r="C229" s="342"/>
    </row>
    <row r="230" spans="2:3" hidden="1">
      <c r="B230" s="342"/>
      <c r="C230" s="342"/>
    </row>
    <row r="231" spans="2:3" hidden="1">
      <c r="B231" s="342"/>
      <c r="C231" s="342"/>
    </row>
    <row r="232" spans="2:3" hidden="1">
      <c r="B232" s="342"/>
      <c r="C232" s="342"/>
    </row>
    <row r="233" spans="2:3" hidden="1">
      <c r="B233" s="342"/>
      <c r="C233" s="342"/>
    </row>
    <row r="234" spans="2:3" hidden="1">
      <c r="B234" s="342"/>
      <c r="C234" s="342"/>
    </row>
    <row r="235" spans="2:3" hidden="1">
      <c r="B235" s="342"/>
      <c r="C235" s="342"/>
    </row>
    <row r="236" spans="2:3" hidden="1">
      <c r="B236" s="342"/>
      <c r="C236" s="342"/>
    </row>
    <row r="237" spans="2:3" hidden="1">
      <c r="B237" s="342"/>
      <c r="C237" s="342"/>
    </row>
    <row r="238" spans="2:3" hidden="1">
      <c r="B238" s="342"/>
      <c r="C238" s="342"/>
    </row>
    <row r="239" spans="2:3" hidden="1">
      <c r="B239" s="342"/>
      <c r="C239" s="342"/>
    </row>
    <row r="240" spans="2:3" hidden="1">
      <c r="B240" s="342"/>
      <c r="C240" s="342"/>
    </row>
    <row r="241" spans="2:3" hidden="1">
      <c r="B241" s="342"/>
      <c r="C241" s="342"/>
    </row>
    <row r="242" spans="2:3" hidden="1">
      <c r="C242" s="342"/>
    </row>
    <row r="243" spans="2:3" hidden="1">
      <c r="C243" s="342"/>
    </row>
    <row r="244" spans="2:3" hidden="1"/>
    <row r="245" spans="2:3" hidden="1"/>
    <row r="246" spans="2:3" hidden="1"/>
    <row r="247" spans="2:3" hidden="1"/>
    <row r="248" spans="2:3" hidden="1"/>
    <row r="249" spans="2:3" hidden="1"/>
    <row r="250" spans="2:3" hidden="1"/>
    <row r="251" spans="2:3" hidden="1"/>
    <row r="252" spans="2:3" hidden="1"/>
    <row r="253" spans="2:3" hidden="1"/>
    <row r="254" spans="2:3" hidden="1"/>
    <row r="255" spans="2:3" hidden="1"/>
    <row r="256" spans="2:3"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spans="2:3" hidden="1"/>
    <row r="338" spans="2:3" hidden="1"/>
    <row r="339" spans="2:3" hidden="1"/>
    <row r="340" spans="2:3" hidden="1"/>
    <row r="341" spans="2:3" hidden="1"/>
    <row r="342" spans="2:3" hidden="1"/>
    <row r="343" spans="2:3">
      <c r="B343" s="595"/>
      <c r="C343" s="366" t="s">
        <v>1352</v>
      </c>
    </row>
    <row r="344" spans="2:3">
      <c r="B344" s="595"/>
      <c r="C344" s="366" t="s">
        <v>1354</v>
      </c>
    </row>
    <row r="345" spans="2:3">
      <c r="B345" s="595"/>
      <c r="C345" s="366" t="s">
        <v>1353</v>
      </c>
    </row>
    <row r="346" spans="2:3">
      <c r="B346" s="595"/>
      <c r="C346" s="366" t="s">
        <v>1355</v>
      </c>
    </row>
    <row r="347" spans="2:3">
      <c r="B347" s="595"/>
      <c r="C347" s="366" t="s">
        <v>1356</v>
      </c>
    </row>
    <row r="348" spans="2:3" ht="15.75" thickBot="1">
      <c r="B348" s="1036"/>
      <c r="C348" s="368"/>
    </row>
    <row r="349" spans="2:3" ht="15.75" thickTop="1">
      <c r="C349" s="352"/>
    </row>
    <row r="350" spans="2:3">
      <c r="C350" s="352"/>
    </row>
    <row r="351" spans="2:3">
      <c r="C351" s="352"/>
    </row>
    <row r="352" spans="2:3">
      <c r="C352" s="352"/>
    </row>
    <row r="353" spans="3:3">
      <c r="C353" s="352"/>
    </row>
    <row r="354" spans="3:3">
      <c r="C354" s="352"/>
    </row>
    <row r="355" spans="3:3">
      <c r="C355" s="352"/>
    </row>
    <row r="356" spans="3:3"/>
    <row r="357" spans="3:3"/>
    <row r="358" spans="3:3"/>
    <row r="359" spans="3:3"/>
    <row r="360" spans="3:3"/>
    <row r="361" spans="3:3"/>
    <row r="362" spans="3:3"/>
    <row r="363" spans="3:3"/>
    <row r="364" spans="3:3"/>
    <row r="365" spans="3:3"/>
    <row r="366" spans="3:3"/>
    <row r="367" spans="3:3"/>
    <row r="368" spans="3:3"/>
    <row r="369"/>
    <row r="370"/>
    <row r="371"/>
    <row r="372"/>
    <row r="373"/>
    <row r="374"/>
    <row r="375"/>
    <row r="376"/>
    <row r="377"/>
    <row r="378"/>
    <row r="379"/>
    <row r="380"/>
    <row r="381"/>
    <row r="382"/>
    <row r="383"/>
    <row r="384"/>
    <row r="385"/>
    <row r="386"/>
    <row r="387"/>
    <row r="388"/>
    <row r="389"/>
    <row r="390"/>
    <row r="391"/>
    <row r="392"/>
    <row r="393"/>
    <row r="394"/>
    <row r="395"/>
    <row r="396"/>
    <row r="397"/>
    <row r="398"/>
  </sheetData>
  <mergeCells count="1">
    <mergeCell ref="B2:C2"/>
  </mergeCells>
  <printOptions horizontalCentered="1"/>
  <pageMargins left="0.7" right="0.7" top="1.25" bottom="0.5" header="0.3" footer="0"/>
  <pageSetup scale="98" firstPageNumber="3" orientation="landscape" useFirstPageNumber="1" r:id="rId1"/>
  <headerFooter scaleWithDoc="0">
    <oddFooter>&amp;CPage &amp;P of 172</oddFooter>
  </headerFooter>
  <rowBreaks count="5" manualBreakCount="5">
    <brk id="21" max="3" man="1"/>
    <brk id="51" max="3" man="1"/>
    <brk id="81" max="3" man="1"/>
    <brk id="104" max="3" man="1"/>
    <brk id="121"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
  <sheetViews>
    <sheetView zoomScaleNormal="100" workbookViewId="0">
      <pane ySplit="6" topLeftCell="A7" activePane="bottomLeft" state="frozen"/>
      <selection pane="bottomLeft" activeCell="I8" sqref="I8"/>
    </sheetView>
    <sheetView workbookViewId="1">
      <pane ySplit="6" topLeftCell="A7" activePane="bottomLeft" state="frozen"/>
      <selection pane="bottomLeft" activeCell="B10" sqref="B10"/>
    </sheetView>
  </sheetViews>
  <sheetFormatPr defaultRowHeight="15"/>
  <cols>
    <col min="1" max="1" width="6.77734375" customWidth="1"/>
    <col min="2" max="2" width="18.77734375" customWidth="1"/>
    <col min="3" max="3" width="10.77734375" customWidth="1"/>
    <col min="4" max="4" width="14.77734375" customWidth="1"/>
    <col min="5" max="7" width="10.77734375" customWidth="1"/>
    <col min="8" max="11" width="8.77734375" customWidth="1"/>
    <col min="13" max="13" width="8.88671875" customWidth="1"/>
    <col min="15" max="15" width="2.77734375" customWidth="1"/>
    <col min="19" max="19" width="2.77734375" customWidth="1"/>
    <col min="23" max="23" width="2.77734375" customWidth="1"/>
  </cols>
  <sheetData>
    <row r="1" spans="1:26" ht="15.75" thickTop="1">
      <c r="A1" s="1073" t="s">
        <v>907</v>
      </c>
      <c r="B1" s="1074"/>
      <c r="C1" s="1074"/>
      <c r="D1" s="1074"/>
      <c r="E1" s="1074"/>
      <c r="F1" s="1074"/>
      <c r="G1" s="1074"/>
      <c r="H1" s="1215"/>
      <c r="I1" s="323"/>
      <c r="J1" s="524"/>
      <c r="K1" s="525" t="s">
        <v>803</v>
      </c>
      <c r="L1" s="322">
        <f>SUM(G7:G10)</f>
        <v>35</v>
      </c>
      <c r="M1" s="323" t="s">
        <v>114</v>
      </c>
    </row>
    <row r="2" spans="1:26" ht="18">
      <c r="A2" s="1076"/>
      <c r="B2" s="1077"/>
      <c r="C2" s="1077"/>
      <c r="D2" s="1077"/>
      <c r="E2" s="1077"/>
      <c r="F2" s="1077"/>
      <c r="G2" s="1077"/>
      <c r="H2" s="1216"/>
      <c r="J2" s="390"/>
      <c r="K2" s="526" t="s">
        <v>694</v>
      </c>
      <c r="L2" s="322">
        <f>SUM(H7:H10)</f>
        <v>28</v>
      </c>
      <c r="M2" s="323" t="s">
        <v>644</v>
      </c>
    </row>
    <row r="3" spans="1:26" ht="16.5" thickBot="1">
      <c r="A3" s="1079"/>
      <c r="B3" s="1080"/>
      <c r="C3" s="1080"/>
      <c r="D3" s="1080"/>
      <c r="E3" s="1080"/>
      <c r="F3" s="1080"/>
      <c r="G3" s="1080"/>
      <c r="H3" s="1217"/>
      <c r="I3" s="109"/>
      <c r="L3" s="315"/>
      <c r="M3" s="315"/>
      <c r="N3" s="316"/>
      <c r="O3" s="315"/>
      <c r="P3" s="315"/>
      <c r="Q3" s="315"/>
      <c r="R3" s="315"/>
      <c r="S3" s="315"/>
      <c r="T3" s="315"/>
      <c r="U3" s="315"/>
      <c r="V3" s="315"/>
      <c r="W3" s="315"/>
      <c r="X3" s="315"/>
      <c r="Y3" s="315"/>
      <c r="Z3" s="315"/>
    </row>
    <row r="4" spans="1:26" ht="15.75">
      <c r="A4" s="60"/>
      <c r="B4" s="62"/>
      <c r="C4" s="61" t="s">
        <v>234</v>
      </c>
      <c r="D4" s="62"/>
      <c r="E4" s="65"/>
      <c r="F4" s="61"/>
      <c r="G4" s="62"/>
      <c r="H4" s="266"/>
      <c r="I4" s="318" t="s">
        <v>641</v>
      </c>
      <c r="J4" s="318" t="s">
        <v>641</v>
      </c>
      <c r="K4" s="318" t="s">
        <v>641</v>
      </c>
      <c r="L4" s="110"/>
      <c r="N4" s="36"/>
      <c r="O4" s="108"/>
      <c r="U4" s="108"/>
      <c r="Y4" s="108"/>
    </row>
    <row r="5" spans="1:26" ht="15.75">
      <c r="A5" s="66" t="s">
        <v>210</v>
      </c>
      <c r="B5" s="67"/>
      <c r="C5" s="67" t="s">
        <v>166</v>
      </c>
      <c r="D5" s="67"/>
      <c r="E5" s="67"/>
      <c r="F5" s="67" t="s">
        <v>213</v>
      </c>
      <c r="G5" s="67" t="s">
        <v>214</v>
      </c>
      <c r="H5" s="267" t="s">
        <v>571</v>
      </c>
      <c r="I5" s="317" t="s">
        <v>642</v>
      </c>
      <c r="J5" s="317" t="s">
        <v>642</v>
      </c>
      <c r="K5" s="317" t="s">
        <v>642</v>
      </c>
      <c r="L5" s="110"/>
      <c r="M5" s="320"/>
      <c r="N5" s="36"/>
      <c r="O5" s="108"/>
      <c r="Q5" s="320"/>
      <c r="U5" s="108"/>
      <c r="Y5" s="108"/>
    </row>
    <row r="6" spans="1:26" ht="16.5" thickBot="1">
      <c r="A6" s="69" t="s">
        <v>211</v>
      </c>
      <c r="B6" s="70" t="s">
        <v>165</v>
      </c>
      <c r="C6" s="71" t="s">
        <v>167</v>
      </c>
      <c r="D6" s="70" t="s">
        <v>168</v>
      </c>
      <c r="E6" s="70" t="s">
        <v>169</v>
      </c>
      <c r="F6" s="71" t="s">
        <v>170</v>
      </c>
      <c r="G6" s="71" t="s">
        <v>171</v>
      </c>
      <c r="H6" s="268" t="s">
        <v>624</v>
      </c>
      <c r="I6" s="318" t="s">
        <v>639</v>
      </c>
      <c r="J6" s="319" t="s">
        <v>640</v>
      </c>
      <c r="K6" s="319" t="s">
        <v>691</v>
      </c>
      <c r="L6" s="110"/>
      <c r="N6" s="36"/>
      <c r="O6" s="108"/>
      <c r="P6" s="169"/>
      <c r="Q6" s="321"/>
      <c r="R6" s="169"/>
      <c r="X6" s="169"/>
      <c r="Y6" s="43"/>
      <c r="Z6" s="169"/>
    </row>
    <row r="7" spans="1:26" ht="15.75" thickTop="1">
      <c r="A7" s="805">
        <v>1</v>
      </c>
      <c r="B7" s="806">
        <v>17266</v>
      </c>
      <c r="C7" s="807">
        <v>0.78819444444444453</v>
      </c>
      <c r="D7" s="808" t="s">
        <v>138</v>
      </c>
      <c r="E7" s="809" t="s">
        <v>833</v>
      </c>
      <c r="F7" s="810">
        <v>1408</v>
      </c>
      <c r="G7" s="810">
        <v>35</v>
      </c>
      <c r="H7" s="811">
        <f>+(F7/1760)*G7</f>
        <v>28</v>
      </c>
      <c r="I7" s="169">
        <f>LN(F7)</f>
        <v>7.2499255367179876</v>
      </c>
      <c r="J7" s="169">
        <f>LN(G7)</f>
        <v>3.5553480614894135</v>
      </c>
      <c r="K7" s="169">
        <f>LN(H7)</f>
        <v>3.3322045101752038</v>
      </c>
    </row>
    <row r="8" spans="1:26">
      <c r="A8" s="107">
        <f>+A7+1</f>
        <v>2</v>
      </c>
      <c r="B8" s="96"/>
      <c r="C8" s="96"/>
      <c r="D8" s="96"/>
      <c r="E8" s="869" t="s">
        <v>219</v>
      </c>
      <c r="F8" s="96"/>
      <c r="G8" s="96"/>
      <c r="H8" s="269">
        <f>+(F8/1760)*G8</f>
        <v>0</v>
      </c>
      <c r="I8" s="169" t="e">
        <f t="shared" ref="I8:J10" si="0">LN(F8)</f>
        <v>#NUM!</v>
      </c>
      <c r="J8" s="169" t="e">
        <f t="shared" si="0"/>
        <v>#NUM!</v>
      </c>
      <c r="K8" s="169" t="e">
        <f>LN(H8)</f>
        <v>#NUM!</v>
      </c>
    </row>
    <row r="9" spans="1:26">
      <c r="A9" s="107">
        <f>+A8+1</f>
        <v>3</v>
      </c>
      <c r="B9" s="96"/>
      <c r="C9" s="96"/>
      <c r="D9" s="96"/>
      <c r="E9" s="869" t="s">
        <v>219</v>
      </c>
      <c r="F9" s="96"/>
      <c r="G9" s="96"/>
      <c r="H9" s="269">
        <f>+(F9/1760)*G9</f>
        <v>0</v>
      </c>
      <c r="I9" s="169" t="e">
        <f t="shared" si="0"/>
        <v>#NUM!</v>
      </c>
      <c r="J9" s="169" t="e">
        <f t="shared" si="0"/>
        <v>#NUM!</v>
      </c>
      <c r="K9" s="169" t="e">
        <f>LN(H9)</f>
        <v>#NUM!</v>
      </c>
    </row>
    <row r="10" spans="1:26">
      <c r="A10" s="107">
        <f>+A9+1</f>
        <v>4</v>
      </c>
      <c r="B10" s="96"/>
      <c r="C10" s="96"/>
      <c r="D10" s="96"/>
      <c r="E10" s="869" t="s">
        <v>219</v>
      </c>
      <c r="F10" s="96"/>
      <c r="G10" s="96"/>
      <c r="H10" s="269">
        <f>+(F10/1760)*G10</f>
        <v>0</v>
      </c>
      <c r="I10" s="169" t="e">
        <f t="shared" si="0"/>
        <v>#NUM!</v>
      </c>
      <c r="J10" s="169" t="e">
        <f t="shared" si="0"/>
        <v>#NUM!</v>
      </c>
      <c r="K10" s="169" t="e">
        <f>LN(H10)</f>
        <v>#NUM!</v>
      </c>
    </row>
    <row r="11" spans="1:26" s="324" customFormat="1">
      <c r="A11" s="551"/>
      <c r="B11" s="551"/>
      <c r="C11" s="551"/>
      <c r="D11" s="551"/>
      <c r="E11" s="552"/>
      <c r="F11" s="551"/>
      <c r="G11" s="551"/>
      <c r="H11" s="553"/>
      <c r="I11" s="554"/>
      <c r="J11" s="554"/>
      <c r="K11" s="554"/>
    </row>
    <row r="12" spans="1:26" s="324" customFormat="1">
      <c r="E12" s="555"/>
      <c r="H12" s="556"/>
      <c r="I12" s="554"/>
      <c r="J12" s="554"/>
      <c r="K12" s="554"/>
    </row>
    <row r="13" spans="1:26" s="324" customFormat="1">
      <c r="B13" s="554" t="s">
        <v>835</v>
      </c>
      <c r="E13" s="555"/>
      <c r="H13" s="556"/>
      <c r="I13" s="554"/>
      <c r="J13" s="554"/>
      <c r="K13" s="554"/>
    </row>
    <row r="14" spans="1:26" s="324" customFormat="1">
      <c r="B14" s="554" t="s">
        <v>834</v>
      </c>
      <c r="E14" s="555"/>
      <c r="H14" s="556"/>
      <c r="I14" s="554"/>
      <c r="J14" s="554"/>
      <c r="K14" s="554"/>
      <c r="L14" s="554"/>
    </row>
    <row r="15" spans="1:26" s="324" customFormat="1">
      <c r="E15" s="555"/>
      <c r="H15" s="556"/>
      <c r="I15" s="554"/>
      <c r="J15" s="554"/>
      <c r="K15" s="554"/>
    </row>
    <row r="16" spans="1:26" s="324" customFormat="1">
      <c r="E16" s="555"/>
      <c r="H16" s="556"/>
      <c r="I16" s="554"/>
      <c r="J16" s="554"/>
      <c r="K16" s="554"/>
    </row>
    <row r="17" spans="5:11" s="324" customFormat="1">
      <c r="E17" s="555"/>
      <c r="H17" s="556"/>
      <c r="I17" s="554"/>
      <c r="J17" s="554"/>
      <c r="K17" s="554"/>
    </row>
    <row r="18" spans="5:11" s="324" customFormat="1">
      <c r="E18" s="555"/>
      <c r="H18" s="556"/>
      <c r="I18" s="554"/>
      <c r="J18" s="554"/>
      <c r="K18" s="554"/>
    </row>
    <row r="19" spans="5:11" s="324" customFormat="1">
      <c r="E19" s="555"/>
      <c r="H19" s="556"/>
      <c r="I19" s="554"/>
      <c r="J19" s="554"/>
      <c r="K19" s="554"/>
    </row>
    <row r="20" spans="5:11" s="324" customFormat="1">
      <c r="E20" s="555"/>
      <c r="H20" s="556"/>
      <c r="I20" s="554"/>
      <c r="J20" s="554"/>
      <c r="K20" s="554"/>
    </row>
  </sheetData>
  <customSheetViews>
    <customSheetView guid="{CFA9FB8A-52FF-44B9-AE70-27339693E196}" scale="90" topLeftCell="D1">
      <pane ySplit="6" topLeftCell="A7" activePane="bottomLeft" state="frozen"/>
      <selection pane="bottomLeft" activeCell="K2" sqref="K2"/>
      <pageMargins left="0.75" right="0.75" top="1" bottom="1" header="0.5" footer="0.5"/>
      <headerFooter alignWithMargins="0"/>
    </customSheetView>
  </customSheetViews>
  <mergeCells count="1">
    <mergeCell ref="A1:H3"/>
  </mergeCells>
  <phoneticPr fontId="18" type="noConversion"/>
  <dataValidations count="1">
    <dataValidation type="list" allowBlank="1" showInputMessage="1" showErrorMessage="1" sqref="D8:D10">
      <formula1>counties</formula1>
    </dataValidation>
  </dataValidations>
  <printOptions horizontalCentered="1"/>
  <pageMargins left="0.75" right="0.75" top="1.25" bottom="0.5" header="0.5" footer="0"/>
  <pageSetup scale="74" firstPageNumber="172" orientation="landscape" useFirstPageNumber="1" r:id="rId1"/>
  <headerFooter scaleWithDoc="0">
    <oddFooter>&amp;CPage &amp;P of 172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4"/>
  <sheetViews>
    <sheetView workbookViewId="0">
      <pane xSplit="1" ySplit="2" topLeftCell="B3" activePane="bottomRight" state="frozen"/>
      <selection pane="topRight" activeCell="B1" sqref="B1"/>
      <selection pane="bottomLeft" activeCell="A3" sqref="A3"/>
      <selection pane="bottomRight" activeCell="B14" sqref="B14"/>
    </sheetView>
    <sheetView workbookViewId="1"/>
  </sheetViews>
  <sheetFormatPr defaultColWidth="0" defaultRowHeight="15" zeroHeight="1"/>
  <cols>
    <col min="1" max="1" width="8.88671875" customWidth="1"/>
    <col min="2" max="2" width="104.21875" customWidth="1"/>
    <col min="3" max="3" width="8.88671875" customWidth="1"/>
  </cols>
  <sheetData>
    <row r="1" spans="2:2"/>
    <row r="2" spans="2:2" ht="30" customHeight="1">
      <c r="B2" s="838" t="s">
        <v>969</v>
      </c>
    </row>
    <row r="3" spans="2:2"/>
    <row r="4" spans="2:2" ht="225" customHeight="1">
      <c r="B4" s="764" t="s">
        <v>974</v>
      </c>
    </row>
    <row r="5" spans="2:2" ht="180" customHeight="1">
      <c r="B5" s="764" t="s">
        <v>1036</v>
      </c>
    </row>
    <row r="6" spans="2:2" ht="165" customHeight="1">
      <c r="B6" s="764" t="s">
        <v>1038</v>
      </c>
    </row>
    <row r="7" spans="2:2" ht="105" customHeight="1">
      <c r="B7" s="768" t="s">
        <v>1037</v>
      </c>
    </row>
    <row r="8" spans="2:2" ht="135" customHeight="1">
      <c r="B8" s="765" t="s">
        <v>1157</v>
      </c>
    </row>
    <row r="9" spans="2:2" s="282" customFormat="1" ht="45" customHeight="1">
      <c r="B9" s="495" t="s">
        <v>1039</v>
      </c>
    </row>
    <row r="10" spans="2:2" s="282" customFormat="1" ht="180" customHeight="1">
      <c r="B10" s="844" t="s">
        <v>1040</v>
      </c>
    </row>
    <row r="11" spans="2:2" s="282" customFormat="1"/>
    <row r="12" spans="2:2" s="282" customFormat="1"/>
    <row r="13" spans="2:2" s="282" customFormat="1" ht="15" customHeight="1">
      <c r="B13" s="282" t="s">
        <v>0</v>
      </c>
    </row>
    <row r="14" spans="2:2" s="282" customFormat="1"/>
    <row r="15" spans="2:2" s="282" customFormat="1"/>
    <row r="16" spans="2:2" s="282" customFormat="1"/>
    <row r="17" s="282" customFormat="1"/>
    <row r="18" s="282" customFormat="1"/>
    <row r="19" s="282" customFormat="1"/>
    <row r="20" s="282" customFormat="1"/>
    <row r="21" s="282" customFormat="1"/>
    <row r="22" s="282" customFormat="1"/>
    <row r="23" s="282" customFormat="1"/>
    <row r="24" s="282" customFormat="1"/>
  </sheetData>
  <printOptions horizontalCentered="1"/>
  <pageMargins left="0.7" right="0.7" top="1.25" bottom="0.5" header="0.3" footer="0"/>
  <pageSetup orientation="landscape" r:id="rId1"/>
  <headerFooter scaleWithDoc="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120"/>
  <sheetViews>
    <sheetView workbookViewId="0">
      <pane ySplit="3" topLeftCell="A64" activePane="bottomLeft" state="frozen"/>
      <selection pane="bottomLeft" activeCell="E68" sqref="E68"/>
    </sheetView>
    <sheetView workbookViewId="1">
      <pane ySplit="3" topLeftCell="A64" activePane="bottomLeft" state="frozen"/>
      <selection pane="bottomLeft" activeCell="D6" sqref="D6"/>
    </sheetView>
  </sheetViews>
  <sheetFormatPr defaultColWidth="0" defaultRowHeight="15" zeroHeight="1"/>
  <cols>
    <col min="1" max="1" width="2.77734375" customWidth="1"/>
    <col min="2" max="3" width="8.88671875" customWidth="1"/>
    <col min="4" max="4" width="11" customWidth="1"/>
    <col min="5" max="5" width="8.88671875" customWidth="1"/>
    <col min="6" max="6" width="2.77734375" customWidth="1"/>
  </cols>
  <sheetData>
    <row r="1" spans="3:4" ht="15.75" thickBot="1"/>
    <row r="2" spans="3:4" ht="16.5" thickTop="1">
      <c r="C2" s="656"/>
      <c r="D2" s="657" t="s">
        <v>228</v>
      </c>
    </row>
    <row r="3" spans="3:4" ht="16.5" thickBot="1">
      <c r="C3" s="658" t="s">
        <v>123</v>
      </c>
      <c r="D3" s="659" t="s">
        <v>229</v>
      </c>
    </row>
    <row r="4" spans="3:4" ht="15.75" thickTop="1">
      <c r="C4" s="330">
        <v>1950</v>
      </c>
      <c r="D4" s="596">
        <v>1</v>
      </c>
    </row>
    <row r="5" spans="3:4">
      <c r="C5" s="330">
        <f>+C4+1</f>
        <v>1951</v>
      </c>
      <c r="D5" s="596">
        <f t="shared" ref="D5:D66" si="0">D4+1</f>
        <v>2</v>
      </c>
    </row>
    <row r="6" spans="3:4">
      <c r="C6" s="330">
        <f t="shared" ref="C6:C69" si="1">+C5+1</f>
        <v>1952</v>
      </c>
      <c r="D6" s="596">
        <f t="shared" si="0"/>
        <v>3</v>
      </c>
    </row>
    <row r="7" spans="3:4">
      <c r="C7" s="330">
        <f t="shared" si="1"/>
        <v>1953</v>
      </c>
      <c r="D7" s="596">
        <f t="shared" si="0"/>
        <v>4</v>
      </c>
    </row>
    <row r="8" spans="3:4">
      <c r="C8" s="330">
        <f t="shared" si="1"/>
        <v>1954</v>
      </c>
      <c r="D8" s="596">
        <f t="shared" si="0"/>
        <v>5</v>
      </c>
    </row>
    <row r="9" spans="3:4">
      <c r="C9" s="330">
        <f t="shared" si="1"/>
        <v>1955</v>
      </c>
      <c r="D9" s="596">
        <f t="shared" si="0"/>
        <v>6</v>
      </c>
    </row>
    <row r="10" spans="3:4">
      <c r="C10" s="330">
        <f t="shared" si="1"/>
        <v>1956</v>
      </c>
      <c r="D10" s="596">
        <f t="shared" si="0"/>
        <v>7</v>
      </c>
    </row>
    <row r="11" spans="3:4">
      <c r="C11" s="330">
        <f t="shared" si="1"/>
        <v>1957</v>
      </c>
      <c r="D11" s="596">
        <f t="shared" si="0"/>
        <v>8</v>
      </c>
    </row>
    <row r="12" spans="3:4">
      <c r="C12" s="330">
        <f t="shared" si="1"/>
        <v>1958</v>
      </c>
      <c r="D12" s="596">
        <f t="shared" si="0"/>
        <v>9</v>
      </c>
    </row>
    <row r="13" spans="3:4">
      <c r="C13" s="330">
        <f t="shared" si="1"/>
        <v>1959</v>
      </c>
      <c r="D13" s="596">
        <f t="shared" si="0"/>
        <v>10</v>
      </c>
    </row>
    <row r="14" spans="3:4">
      <c r="C14" s="330">
        <f t="shared" si="1"/>
        <v>1960</v>
      </c>
      <c r="D14" s="596">
        <f t="shared" si="0"/>
        <v>11</v>
      </c>
    </row>
    <row r="15" spans="3:4">
      <c r="C15" s="330">
        <f t="shared" si="1"/>
        <v>1961</v>
      </c>
      <c r="D15" s="596">
        <f t="shared" si="0"/>
        <v>12</v>
      </c>
    </row>
    <row r="16" spans="3:4">
      <c r="C16" s="330">
        <f t="shared" si="1"/>
        <v>1962</v>
      </c>
      <c r="D16" s="596">
        <f t="shared" si="0"/>
        <v>13</v>
      </c>
    </row>
    <row r="17" spans="3:4">
      <c r="C17" s="330">
        <f t="shared" si="1"/>
        <v>1963</v>
      </c>
      <c r="D17" s="596">
        <f t="shared" si="0"/>
        <v>14</v>
      </c>
    </row>
    <row r="18" spans="3:4">
      <c r="C18" s="330">
        <f t="shared" si="1"/>
        <v>1964</v>
      </c>
      <c r="D18" s="596">
        <f t="shared" si="0"/>
        <v>15</v>
      </c>
    </row>
    <row r="19" spans="3:4">
      <c r="C19" s="330">
        <f t="shared" si="1"/>
        <v>1965</v>
      </c>
      <c r="D19" s="596">
        <f t="shared" si="0"/>
        <v>16</v>
      </c>
    </row>
    <row r="20" spans="3:4">
      <c r="C20" s="330">
        <f t="shared" si="1"/>
        <v>1966</v>
      </c>
      <c r="D20" s="596">
        <f t="shared" si="0"/>
        <v>17</v>
      </c>
    </row>
    <row r="21" spans="3:4">
      <c r="C21" s="330">
        <f t="shared" si="1"/>
        <v>1967</v>
      </c>
      <c r="D21" s="596">
        <f t="shared" si="0"/>
        <v>18</v>
      </c>
    </row>
    <row r="22" spans="3:4">
      <c r="C22" s="330">
        <f t="shared" si="1"/>
        <v>1968</v>
      </c>
      <c r="D22" s="596">
        <f t="shared" si="0"/>
        <v>19</v>
      </c>
    </row>
    <row r="23" spans="3:4">
      <c r="C23" s="330">
        <f t="shared" si="1"/>
        <v>1969</v>
      </c>
      <c r="D23" s="596">
        <f t="shared" si="0"/>
        <v>20</v>
      </c>
    </row>
    <row r="24" spans="3:4">
      <c r="C24" s="330">
        <f t="shared" si="1"/>
        <v>1970</v>
      </c>
      <c r="D24" s="596">
        <f t="shared" si="0"/>
        <v>21</v>
      </c>
    </row>
    <row r="25" spans="3:4">
      <c r="C25" s="330">
        <f t="shared" si="1"/>
        <v>1971</v>
      </c>
      <c r="D25" s="596">
        <f t="shared" si="0"/>
        <v>22</v>
      </c>
    </row>
    <row r="26" spans="3:4">
      <c r="C26" s="330">
        <f t="shared" si="1"/>
        <v>1972</v>
      </c>
      <c r="D26" s="596">
        <f t="shared" si="0"/>
        <v>23</v>
      </c>
    </row>
    <row r="27" spans="3:4">
      <c r="C27" s="330">
        <f t="shared" si="1"/>
        <v>1973</v>
      </c>
      <c r="D27" s="596">
        <f t="shared" si="0"/>
        <v>24</v>
      </c>
    </row>
    <row r="28" spans="3:4">
      <c r="C28" s="330">
        <f t="shared" si="1"/>
        <v>1974</v>
      </c>
      <c r="D28" s="596">
        <f t="shared" si="0"/>
        <v>25</v>
      </c>
    </row>
    <row r="29" spans="3:4">
      <c r="C29" s="330">
        <f t="shared" si="1"/>
        <v>1975</v>
      </c>
      <c r="D29" s="596">
        <f t="shared" si="0"/>
        <v>26</v>
      </c>
    </row>
    <row r="30" spans="3:4">
      <c r="C30" s="330">
        <f t="shared" si="1"/>
        <v>1976</v>
      </c>
      <c r="D30" s="596">
        <f t="shared" si="0"/>
        <v>27</v>
      </c>
    </row>
    <row r="31" spans="3:4">
      <c r="C31" s="330">
        <f t="shared" si="1"/>
        <v>1977</v>
      </c>
      <c r="D31" s="596">
        <f t="shared" si="0"/>
        <v>28</v>
      </c>
    </row>
    <row r="32" spans="3:4">
      <c r="C32" s="330">
        <f t="shared" si="1"/>
        <v>1978</v>
      </c>
      <c r="D32" s="596">
        <f t="shared" si="0"/>
        <v>29</v>
      </c>
    </row>
    <row r="33" spans="3:4">
      <c r="C33" s="330">
        <f t="shared" si="1"/>
        <v>1979</v>
      </c>
      <c r="D33" s="596">
        <f t="shared" si="0"/>
        <v>30</v>
      </c>
    </row>
    <row r="34" spans="3:4">
      <c r="C34" s="330">
        <f t="shared" si="1"/>
        <v>1980</v>
      </c>
      <c r="D34" s="596">
        <f t="shared" si="0"/>
        <v>31</v>
      </c>
    </row>
    <row r="35" spans="3:4">
      <c r="C35" s="330">
        <f t="shared" si="1"/>
        <v>1981</v>
      </c>
      <c r="D35" s="596">
        <f t="shared" si="0"/>
        <v>32</v>
      </c>
    </row>
    <row r="36" spans="3:4">
      <c r="C36" s="330">
        <f t="shared" si="1"/>
        <v>1982</v>
      </c>
      <c r="D36" s="596">
        <f t="shared" si="0"/>
        <v>33</v>
      </c>
    </row>
    <row r="37" spans="3:4">
      <c r="C37" s="330">
        <f t="shared" si="1"/>
        <v>1983</v>
      </c>
      <c r="D37" s="596">
        <f t="shared" si="0"/>
        <v>34</v>
      </c>
    </row>
    <row r="38" spans="3:4">
      <c r="C38" s="330">
        <f t="shared" si="1"/>
        <v>1984</v>
      </c>
      <c r="D38" s="596">
        <f t="shared" si="0"/>
        <v>35</v>
      </c>
    </row>
    <row r="39" spans="3:4">
      <c r="C39" s="330">
        <f t="shared" si="1"/>
        <v>1985</v>
      </c>
      <c r="D39" s="596">
        <f t="shared" si="0"/>
        <v>36</v>
      </c>
    </row>
    <row r="40" spans="3:4">
      <c r="C40" s="330">
        <f t="shared" si="1"/>
        <v>1986</v>
      </c>
      <c r="D40" s="596">
        <f t="shared" si="0"/>
        <v>37</v>
      </c>
    </row>
    <row r="41" spans="3:4">
      <c r="C41" s="330">
        <f t="shared" si="1"/>
        <v>1987</v>
      </c>
      <c r="D41" s="596">
        <f t="shared" si="0"/>
        <v>38</v>
      </c>
    </row>
    <row r="42" spans="3:4">
      <c r="C42" s="330">
        <f t="shared" si="1"/>
        <v>1988</v>
      </c>
      <c r="D42" s="596">
        <f t="shared" si="0"/>
        <v>39</v>
      </c>
    </row>
    <row r="43" spans="3:4">
      <c r="C43" s="330">
        <f t="shared" si="1"/>
        <v>1989</v>
      </c>
      <c r="D43" s="596">
        <f t="shared" si="0"/>
        <v>40</v>
      </c>
    </row>
    <row r="44" spans="3:4">
      <c r="C44" s="330">
        <f t="shared" si="1"/>
        <v>1990</v>
      </c>
      <c r="D44" s="596">
        <f t="shared" si="0"/>
        <v>41</v>
      </c>
    </row>
    <row r="45" spans="3:4">
      <c r="C45" s="330">
        <f t="shared" si="1"/>
        <v>1991</v>
      </c>
      <c r="D45" s="596">
        <f t="shared" si="0"/>
        <v>42</v>
      </c>
    </row>
    <row r="46" spans="3:4">
      <c r="C46" s="330">
        <f t="shared" si="1"/>
        <v>1992</v>
      </c>
      <c r="D46" s="596">
        <f t="shared" si="0"/>
        <v>43</v>
      </c>
    </row>
    <row r="47" spans="3:4">
      <c r="C47" s="330">
        <f t="shared" si="1"/>
        <v>1993</v>
      </c>
      <c r="D47" s="596">
        <f t="shared" si="0"/>
        <v>44</v>
      </c>
    </row>
    <row r="48" spans="3:4">
      <c r="C48" s="330">
        <f t="shared" si="1"/>
        <v>1994</v>
      </c>
      <c r="D48" s="596">
        <f t="shared" si="0"/>
        <v>45</v>
      </c>
    </row>
    <row r="49" spans="3:4">
      <c r="C49" s="330">
        <f t="shared" si="1"/>
        <v>1995</v>
      </c>
      <c r="D49" s="596">
        <f t="shared" si="0"/>
        <v>46</v>
      </c>
    </row>
    <row r="50" spans="3:4">
      <c r="C50" s="330">
        <f t="shared" si="1"/>
        <v>1996</v>
      </c>
      <c r="D50" s="596">
        <f t="shared" si="0"/>
        <v>47</v>
      </c>
    </row>
    <row r="51" spans="3:4">
      <c r="C51" s="330">
        <f t="shared" si="1"/>
        <v>1997</v>
      </c>
      <c r="D51" s="596">
        <f t="shared" si="0"/>
        <v>48</v>
      </c>
    </row>
    <row r="52" spans="3:4">
      <c r="C52" s="330">
        <f t="shared" si="1"/>
        <v>1998</v>
      </c>
      <c r="D52" s="596">
        <f t="shared" si="0"/>
        <v>49</v>
      </c>
    </row>
    <row r="53" spans="3:4">
      <c r="C53" s="330">
        <f t="shared" si="1"/>
        <v>1999</v>
      </c>
      <c r="D53" s="596">
        <f t="shared" si="0"/>
        <v>50</v>
      </c>
    </row>
    <row r="54" spans="3:4">
      <c r="C54" s="330">
        <f t="shared" si="1"/>
        <v>2000</v>
      </c>
      <c r="D54" s="596">
        <f t="shared" si="0"/>
        <v>51</v>
      </c>
    </row>
    <row r="55" spans="3:4">
      <c r="C55" s="330">
        <f t="shared" si="1"/>
        <v>2001</v>
      </c>
      <c r="D55" s="596">
        <f t="shared" si="0"/>
        <v>52</v>
      </c>
    </row>
    <row r="56" spans="3:4">
      <c r="C56" s="330">
        <f t="shared" si="1"/>
        <v>2002</v>
      </c>
      <c r="D56" s="596">
        <f t="shared" si="0"/>
        <v>53</v>
      </c>
    </row>
    <row r="57" spans="3:4">
      <c r="C57" s="330">
        <f t="shared" si="1"/>
        <v>2003</v>
      </c>
      <c r="D57" s="596">
        <f t="shared" si="0"/>
        <v>54</v>
      </c>
    </row>
    <row r="58" spans="3:4">
      <c r="C58" s="330">
        <f t="shared" si="1"/>
        <v>2004</v>
      </c>
      <c r="D58" s="596">
        <f t="shared" si="0"/>
        <v>55</v>
      </c>
    </row>
    <row r="59" spans="3:4">
      <c r="C59" s="330">
        <f t="shared" si="1"/>
        <v>2005</v>
      </c>
      <c r="D59" s="596">
        <f t="shared" si="0"/>
        <v>56</v>
      </c>
    </row>
    <row r="60" spans="3:4">
      <c r="C60" s="330">
        <f t="shared" si="1"/>
        <v>2006</v>
      </c>
      <c r="D60" s="596">
        <f t="shared" si="0"/>
        <v>57</v>
      </c>
    </row>
    <row r="61" spans="3:4">
      <c r="C61" s="330">
        <f t="shared" si="1"/>
        <v>2007</v>
      </c>
      <c r="D61" s="596">
        <f t="shared" si="0"/>
        <v>58</v>
      </c>
    </row>
    <row r="62" spans="3:4">
      <c r="C62" s="330">
        <f t="shared" si="1"/>
        <v>2008</v>
      </c>
      <c r="D62" s="596">
        <f t="shared" si="0"/>
        <v>59</v>
      </c>
    </row>
    <row r="63" spans="3:4">
      <c r="C63" s="330">
        <f t="shared" si="1"/>
        <v>2009</v>
      </c>
      <c r="D63" s="596">
        <f t="shared" si="0"/>
        <v>60</v>
      </c>
    </row>
    <row r="64" spans="3:4">
      <c r="C64" s="330">
        <f t="shared" si="1"/>
        <v>2010</v>
      </c>
      <c r="D64" s="596">
        <f t="shared" si="0"/>
        <v>61</v>
      </c>
    </row>
    <row r="65" spans="3:4">
      <c r="C65" s="330">
        <f t="shared" si="1"/>
        <v>2011</v>
      </c>
      <c r="D65" s="596">
        <f t="shared" si="0"/>
        <v>62</v>
      </c>
    </row>
    <row r="66" spans="3:4">
      <c r="C66" s="330">
        <f t="shared" si="1"/>
        <v>2012</v>
      </c>
      <c r="D66" s="596">
        <f t="shared" si="0"/>
        <v>63</v>
      </c>
    </row>
    <row r="67" spans="3:4">
      <c r="C67" s="330">
        <f t="shared" si="1"/>
        <v>2013</v>
      </c>
      <c r="D67" s="596">
        <v>64</v>
      </c>
    </row>
    <row r="68" spans="3:4">
      <c r="C68" s="330">
        <f t="shared" si="1"/>
        <v>2014</v>
      </c>
      <c r="D68" s="596">
        <v>65</v>
      </c>
    </row>
    <row r="69" spans="3:4">
      <c r="C69" s="330">
        <f t="shared" si="1"/>
        <v>2015</v>
      </c>
      <c r="D69" s="596">
        <v>66</v>
      </c>
    </row>
    <row r="70" spans="3:4">
      <c r="C70" s="330">
        <f t="shared" ref="C70:C79" si="2">+C69+1</f>
        <v>2016</v>
      </c>
      <c r="D70" s="328"/>
    </row>
    <row r="71" spans="3:4">
      <c r="C71" s="330">
        <f t="shared" si="2"/>
        <v>2017</v>
      </c>
      <c r="D71" s="328"/>
    </row>
    <row r="72" spans="3:4">
      <c r="C72" s="330">
        <f t="shared" si="2"/>
        <v>2018</v>
      </c>
      <c r="D72" s="328"/>
    </row>
    <row r="73" spans="3:4">
      <c r="C73" s="330">
        <f t="shared" si="2"/>
        <v>2019</v>
      </c>
      <c r="D73" s="328"/>
    </row>
    <row r="74" spans="3:4">
      <c r="C74" s="330">
        <f t="shared" si="2"/>
        <v>2020</v>
      </c>
      <c r="D74" s="328"/>
    </row>
    <row r="75" spans="3:4">
      <c r="C75" s="330">
        <f t="shared" si="2"/>
        <v>2021</v>
      </c>
      <c r="D75" s="328"/>
    </row>
    <row r="76" spans="3:4">
      <c r="C76" s="330">
        <f t="shared" si="2"/>
        <v>2022</v>
      </c>
      <c r="D76" s="328"/>
    </row>
    <row r="77" spans="3:4">
      <c r="C77" s="330">
        <f t="shared" si="2"/>
        <v>2023</v>
      </c>
      <c r="D77" s="328"/>
    </row>
    <row r="78" spans="3:4">
      <c r="C78" s="330">
        <f t="shared" si="2"/>
        <v>2024</v>
      </c>
      <c r="D78" s="328"/>
    </row>
    <row r="79" spans="3:4" ht="15.75" thickBot="1">
      <c r="C79" s="331">
        <f t="shared" si="2"/>
        <v>2025</v>
      </c>
      <c r="D79" s="329"/>
    </row>
    <row r="80" spans="3:4" ht="15.75" thickTop="1"/>
    <row r="81"/>
    <row r="82"/>
    <row r="83"/>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sheetData>
  <customSheetViews>
    <customSheetView guid="{CFA9FB8A-52FF-44B9-AE70-27339693E196}" topLeftCell="A67">
      <selection activeCell="D4" sqref="D4"/>
      <pageMargins left="0.7" right="0.7" top="0.75" bottom="0.75" header="0.3" footer="0.3"/>
    </customSheetView>
  </customSheetViews>
  <printOptions horizontalCentered="1"/>
  <pageMargins left="0.7" right="0.7" top="1.25" bottom="0.5" header="0.3" footer="0"/>
  <pageSetup firstPageNumber="9" orientation="landscape" useFirstPageNumber="1" r:id="rId1"/>
  <headerFooter scaleWithDoc="0">
    <oddFooter>&amp;CPage &amp;P of 172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topLeftCell="A4" zoomScaleNormal="100" workbookViewId="0"/>
    <sheetView workbookViewId="1"/>
  </sheetViews>
  <sheetFormatPr defaultColWidth="0" defaultRowHeight="15"/>
  <cols>
    <col min="1" max="1" width="8.88671875" customWidth="1"/>
    <col min="2" max="2" width="12.77734375" customWidth="1"/>
    <col min="3" max="3" width="8.77734375" customWidth="1"/>
    <col min="4" max="4" width="10.77734375" customWidth="1"/>
    <col min="5" max="5" width="8.88671875" customWidth="1"/>
    <col min="6" max="6" width="12.77734375" customWidth="1"/>
    <col min="7" max="7" width="8.77734375" customWidth="1"/>
    <col min="8" max="10" width="8.88671875" customWidth="1"/>
  </cols>
  <sheetData>
    <row r="2" spans="2:9" ht="20.25">
      <c r="B2" s="1054" t="s">
        <v>978</v>
      </c>
      <c r="C2" s="1054"/>
      <c r="D2" s="1054"/>
      <c r="E2" s="1054"/>
      <c r="F2" s="1054"/>
      <c r="G2" s="1054"/>
      <c r="H2" s="1054"/>
      <c r="I2" s="1054"/>
    </row>
    <row r="4" spans="2:9" ht="16.5" thickBot="1">
      <c r="F4" s="324"/>
      <c r="G4" s="814"/>
    </row>
    <row r="5" spans="2:9" ht="33" thickTop="1" thickBot="1">
      <c r="B5" s="812" t="s">
        <v>168</v>
      </c>
      <c r="C5" s="813" t="s">
        <v>29</v>
      </c>
      <c r="F5" s="326"/>
      <c r="G5" s="815"/>
    </row>
    <row r="6" spans="2:9" ht="16.5" thickTop="1">
      <c r="B6" s="270" t="s">
        <v>146</v>
      </c>
      <c r="C6" s="271">
        <v>914</v>
      </c>
      <c r="D6" s="1055" t="s">
        <v>592</v>
      </c>
      <c r="E6" s="814"/>
    </row>
    <row r="7" spans="2:9">
      <c r="B7" s="270" t="s">
        <v>141</v>
      </c>
      <c r="C7" s="271">
        <v>924</v>
      </c>
      <c r="D7" s="1056"/>
    </row>
    <row r="8" spans="2:9">
      <c r="B8" s="270" t="s">
        <v>148</v>
      </c>
      <c r="C8" s="271">
        <v>919</v>
      </c>
      <c r="D8" s="1056"/>
    </row>
    <row r="9" spans="2:9">
      <c r="B9" s="270" t="s">
        <v>129</v>
      </c>
      <c r="C9" s="271">
        <v>1505</v>
      </c>
      <c r="D9" s="1056"/>
    </row>
    <row r="10" spans="2:9">
      <c r="B10" s="270" t="s">
        <v>144</v>
      </c>
      <c r="C10" s="271">
        <v>1498</v>
      </c>
      <c r="D10" s="1056"/>
    </row>
    <row r="11" spans="2:9">
      <c r="B11" s="270" t="s">
        <v>147</v>
      </c>
      <c r="C11" s="271">
        <v>933</v>
      </c>
      <c r="D11" s="1056"/>
    </row>
    <row r="12" spans="2:9" ht="18">
      <c r="B12" s="270" t="s">
        <v>142</v>
      </c>
      <c r="C12" s="271">
        <v>929</v>
      </c>
      <c r="D12" s="1056"/>
      <c r="G12" s="372" t="s">
        <v>669</v>
      </c>
      <c r="H12">
        <f>SUM(C26:C28)</f>
        <v>5708</v>
      </c>
      <c r="I12" s="169" t="s">
        <v>643</v>
      </c>
    </row>
    <row r="13" spans="2:9" ht="18">
      <c r="B13" s="270" t="s">
        <v>131</v>
      </c>
      <c r="C13" s="271">
        <v>920</v>
      </c>
      <c r="D13" s="1056"/>
      <c r="G13" s="373" t="s">
        <v>670</v>
      </c>
      <c r="H13">
        <f>SUM(C6:C25)</f>
        <v>20679</v>
      </c>
      <c r="I13" s="169" t="s">
        <v>643</v>
      </c>
    </row>
    <row r="14" spans="2:9">
      <c r="B14" s="270" t="s">
        <v>134</v>
      </c>
      <c r="C14" s="271">
        <v>1463</v>
      </c>
      <c r="D14" s="1056"/>
    </row>
    <row r="15" spans="2:9" ht="18">
      <c r="B15" s="270" t="s">
        <v>138</v>
      </c>
      <c r="C15" s="271">
        <v>912</v>
      </c>
      <c r="D15" s="1056"/>
      <c r="G15" s="372" t="s">
        <v>645</v>
      </c>
      <c r="H15">
        <f>+H13+H12</f>
        <v>26387</v>
      </c>
      <c r="I15" s="169" t="s">
        <v>643</v>
      </c>
    </row>
    <row r="16" spans="2:9">
      <c r="B16" s="270" t="s">
        <v>136</v>
      </c>
      <c r="C16" s="271">
        <v>895</v>
      </c>
      <c r="D16" s="1056"/>
    </row>
    <row r="17" spans="2:7">
      <c r="B17" s="270" t="s">
        <v>133</v>
      </c>
      <c r="C17" s="271">
        <v>932</v>
      </c>
      <c r="D17" s="1056"/>
    </row>
    <row r="18" spans="2:7">
      <c r="B18" s="270" t="s">
        <v>135</v>
      </c>
      <c r="C18" s="271">
        <v>910</v>
      </c>
      <c r="D18" s="1056"/>
    </row>
    <row r="19" spans="2:7">
      <c r="B19" s="270" t="s">
        <v>132</v>
      </c>
      <c r="C19" s="271">
        <v>918</v>
      </c>
      <c r="D19" s="1056"/>
    </row>
    <row r="20" spans="2:7">
      <c r="B20" s="270" t="s">
        <v>139</v>
      </c>
      <c r="C20" s="271">
        <v>1501</v>
      </c>
      <c r="D20" s="1056"/>
    </row>
    <row r="21" spans="2:7">
      <c r="B21" s="270" t="s">
        <v>140</v>
      </c>
      <c r="C21" s="271">
        <v>922</v>
      </c>
      <c r="D21" s="1056"/>
      <c r="F21" t="s">
        <v>75</v>
      </c>
    </row>
    <row r="22" spans="2:7">
      <c r="B22" s="270" t="s">
        <v>145</v>
      </c>
      <c r="C22" s="271">
        <v>922</v>
      </c>
      <c r="D22" s="1056"/>
    </row>
    <row r="23" spans="2:7">
      <c r="B23" s="270" t="s">
        <v>137</v>
      </c>
      <c r="C23" s="271">
        <v>924</v>
      </c>
      <c r="D23" s="1056"/>
      <c r="F23" s="36"/>
      <c r="G23" s="36"/>
    </row>
    <row r="24" spans="2:7">
      <c r="B24" s="270" t="s">
        <v>130</v>
      </c>
      <c r="C24" s="271">
        <v>923</v>
      </c>
      <c r="D24" s="1056"/>
      <c r="F24" s="655"/>
      <c r="G24" s="33"/>
    </row>
    <row r="25" spans="2:7">
      <c r="B25" s="272" t="s">
        <v>143</v>
      </c>
      <c r="C25" s="273">
        <v>915</v>
      </c>
      <c r="D25" s="1056"/>
      <c r="F25" s="36"/>
      <c r="G25" s="36"/>
    </row>
    <row r="26" spans="2:7">
      <c r="B26" s="270" t="s">
        <v>128</v>
      </c>
      <c r="C26" s="271">
        <v>1818</v>
      </c>
      <c r="D26" s="1057" t="s">
        <v>1000</v>
      </c>
    </row>
    <row r="27" spans="2:7">
      <c r="B27" s="270" t="s">
        <v>126</v>
      </c>
      <c r="C27" s="271">
        <v>1841</v>
      </c>
      <c r="D27" s="1058"/>
    </row>
    <row r="28" spans="2:7" ht="15.75" thickBot="1">
      <c r="B28" s="274" t="s">
        <v>127</v>
      </c>
      <c r="C28" s="275">
        <v>2049</v>
      </c>
      <c r="D28" s="1059"/>
    </row>
    <row r="29" spans="2:7" ht="15.75" thickTop="1"/>
  </sheetData>
  <customSheetViews>
    <customSheetView guid="{CFA9FB8A-52FF-44B9-AE70-27339693E196}">
      <selection activeCell="F18" sqref="F18"/>
      <pageMargins left="0.75" right="0.75" top="1" bottom="1" header="0.5" footer="0.5"/>
      <pageSetup scale="85" orientation="portrait" r:id="rId1"/>
      <headerFooter alignWithMargins="0"/>
    </customSheetView>
  </customSheetViews>
  <mergeCells count="3">
    <mergeCell ref="B2:I2"/>
    <mergeCell ref="D6:D25"/>
    <mergeCell ref="D26:D28"/>
  </mergeCells>
  <phoneticPr fontId="18" type="noConversion"/>
  <printOptions horizontalCentered="1"/>
  <pageMargins left="0.75" right="0.75" top="1.25" bottom="0.5" header="0.5" footer="0"/>
  <pageSetup scale="85" firstPageNumber="12" orientation="landscape" useFirstPageNumber="1" r:id="rId2"/>
  <headerFooter scaleWithDoc="0">
    <oddFooter>&amp;CPage &amp;P of 172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E25" sqref="E25"/>
    </sheetView>
    <sheetView workbookViewId="1"/>
  </sheetViews>
  <sheetFormatPr defaultColWidth="0" defaultRowHeight="15" zeroHeight="1"/>
  <cols>
    <col min="1" max="3" width="8.88671875" customWidth="1"/>
    <col min="4" max="4" width="62.109375" style="31" customWidth="1"/>
    <col min="5" max="5" width="4.77734375" style="31" customWidth="1"/>
    <col min="6" max="13" width="8.88671875" customWidth="1"/>
    <col min="14" max="16384" width="8.88671875" hidden="1"/>
  </cols>
  <sheetData>
    <row r="1" spans="3:11"/>
    <row r="2" spans="3:11" ht="15.75" thickBot="1"/>
    <row r="3" spans="3:11" ht="17.25" thickTop="1" thickBot="1">
      <c r="F3" s="1063" t="s">
        <v>1013</v>
      </c>
      <c r="G3" s="1064"/>
      <c r="H3" s="1064"/>
      <c r="I3" s="1064"/>
      <c r="J3" s="1064"/>
      <c r="K3" s="1065"/>
    </row>
    <row r="4" spans="3:11" ht="17.25" thickTop="1" thickBot="1">
      <c r="C4" s="822" t="s">
        <v>169</v>
      </c>
      <c r="D4" s="823" t="s">
        <v>1014</v>
      </c>
      <c r="E4" s="818"/>
    </row>
    <row r="5" spans="3:11" ht="31.5" thickTop="1" thickBot="1">
      <c r="C5" s="824" t="s">
        <v>190</v>
      </c>
      <c r="D5" s="825" t="s">
        <v>1007</v>
      </c>
      <c r="E5" s="817"/>
      <c r="F5" s="819" t="s">
        <v>190</v>
      </c>
      <c r="G5" s="820" t="s">
        <v>191</v>
      </c>
      <c r="H5" s="820" t="s">
        <v>189</v>
      </c>
      <c r="I5" s="820" t="s">
        <v>192</v>
      </c>
      <c r="J5" s="820" t="s">
        <v>218</v>
      </c>
      <c r="K5" s="821" t="s">
        <v>219</v>
      </c>
    </row>
    <row r="6" spans="3:11" ht="45" customHeight="1" thickBot="1">
      <c r="C6" s="824" t="s">
        <v>191</v>
      </c>
      <c r="D6" s="825" t="s">
        <v>1008</v>
      </c>
      <c r="E6" s="817"/>
      <c r="F6" s="1066" t="s">
        <v>1002</v>
      </c>
      <c r="G6" s="1067"/>
      <c r="H6" s="1068" t="s">
        <v>1003</v>
      </c>
      <c r="I6" s="1068"/>
      <c r="J6" s="1068" t="s">
        <v>1004</v>
      </c>
      <c r="K6" s="1069"/>
    </row>
    <row r="7" spans="3:11" ht="45" customHeight="1" thickTop="1" thickBot="1">
      <c r="C7" s="824" t="s">
        <v>189</v>
      </c>
      <c r="D7" s="825" t="s">
        <v>1009</v>
      </c>
      <c r="E7" s="817"/>
      <c r="F7" s="316"/>
      <c r="G7" s="316"/>
      <c r="H7" s="1070" t="s">
        <v>1005</v>
      </c>
      <c r="I7" s="1071"/>
      <c r="J7" s="1071"/>
      <c r="K7" s="1072"/>
    </row>
    <row r="8" spans="3:11" ht="45" customHeight="1" thickTop="1" thickBot="1">
      <c r="C8" s="824" t="s">
        <v>192</v>
      </c>
      <c r="D8" s="825" t="s">
        <v>1010</v>
      </c>
      <c r="E8" s="817"/>
      <c r="F8" s="316"/>
      <c r="G8" s="316"/>
      <c r="H8" s="816"/>
      <c r="I8" s="1060" t="s">
        <v>1006</v>
      </c>
      <c r="J8" s="1061"/>
      <c r="K8" s="1062"/>
    </row>
    <row r="9" spans="3:11" ht="45" customHeight="1" thickTop="1">
      <c r="C9" s="824" t="s">
        <v>218</v>
      </c>
      <c r="D9" s="825" t="s">
        <v>1011</v>
      </c>
      <c r="E9" s="817"/>
    </row>
    <row r="10" spans="3:11" ht="45" customHeight="1" thickBot="1">
      <c r="C10" s="826" t="s">
        <v>219</v>
      </c>
      <c r="D10" s="827" t="s">
        <v>1012</v>
      </c>
      <c r="E10" s="817"/>
    </row>
    <row r="11" spans="3:11" ht="15.75" thickTop="1"/>
    <row r="12" spans="3:11"/>
    <row r="13" spans="3:11"/>
    <row r="14" spans="3:11"/>
    <row r="15" spans="3:11"/>
    <row r="16" spans="3:11"/>
    <row r="17"/>
    <row r="18"/>
    <row r="19"/>
    <row r="20"/>
    <row r="21"/>
    <row r="22"/>
    <row r="23"/>
    <row r="24"/>
    <row r="25"/>
    <row r="26"/>
    <row r="27"/>
    <row r="28"/>
  </sheetData>
  <mergeCells count="6">
    <mergeCell ref="I8:K8"/>
    <mergeCell ref="F3:K3"/>
    <mergeCell ref="F6:G6"/>
    <mergeCell ref="H6:I6"/>
    <mergeCell ref="J6:K6"/>
    <mergeCell ref="H7:K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2053"/>
  <sheetViews>
    <sheetView zoomScale="75" zoomScaleNormal="75" workbookViewId="0">
      <pane ySplit="6" topLeftCell="A1136" activePane="bottomLeft" state="frozen"/>
      <selection pane="bottomLeft" activeCell="A1137" sqref="A1137"/>
    </sheetView>
    <sheetView topLeftCell="N1" workbookViewId="1">
      <pane ySplit="6" topLeftCell="A1138" activePane="bottomLeft" state="frozen"/>
      <selection pane="bottomLeft" activeCell="U1153" sqref="U1153"/>
    </sheetView>
  </sheetViews>
  <sheetFormatPr defaultColWidth="0" defaultRowHeight="15" zeroHeight="1"/>
  <cols>
    <col min="1" max="1" width="6.44140625" customWidth="1"/>
    <col min="2" max="2" width="6.21875" customWidth="1"/>
    <col min="3" max="3" width="17.77734375" customWidth="1"/>
    <col min="4" max="4" width="10.33203125" customWidth="1"/>
    <col min="5" max="5" width="5.33203125" style="27" customWidth="1"/>
    <col min="6" max="6" width="6.77734375" style="39" customWidth="1"/>
    <col min="7" max="7" width="12.33203125" customWidth="1"/>
    <col min="8" max="8" width="6.6640625" style="40" customWidth="1"/>
    <col min="9" max="9" width="7.77734375" customWidth="1"/>
    <col min="10" max="12" width="8.109375" customWidth="1"/>
    <col min="13" max="15" width="9.77734375" customWidth="1"/>
    <col min="16" max="16" width="8.5546875" customWidth="1"/>
    <col min="17" max="17" width="60.77734375" style="31" customWidth="1"/>
    <col min="18" max="18" width="2.77734375" customWidth="1"/>
    <col min="19" max="19" width="13.77734375" style="169" customWidth="1"/>
    <col min="20" max="20" width="12.77734375" style="169" customWidth="1"/>
    <col min="21" max="23" width="10.77734375" style="169" customWidth="1"/>
    <col min="24" max="24" width="2.77734375" style="389" customWidth="1"/>
    <col min="25" max="28" width="15.77734375" style="169" customWidth="1"/>
    <col min="29" max="29" width="94.109375" style="1012" customWidth="1"/>
    <col min="30" max="30" width="8.77734375" style="168" customWidth="1"/>
    <col min="31" max="32" width="8.77734375" style="36" customWidth="1"/>
    <col min="33" max="33" width="10.77734375" hidden="1" customWidth="1"/>
    <col min="34" max="47" width="8.88671875" hidden="1" customWidth="1"/>
    <col min="48" max="53" width="8.88671875" hidden="1"/>
    <col min="58" max="58" width="10.77734375" hidden="1"/>
    <col min="59" max="78" width="8.88671875" hidden="1"/>
  </cols>
  <sheetData>
    <row r="1" spans="1:40" ht="15" customHeight="1" thickTop="1">
      <c r="A1" s="1073" t="s">
        <v>872</v>
      </c>
      <c r="B1" s="1074"/>
      <c r="C1" s="1074"/>
      <c r="D1" s="1074"/>
      <c r="E1" s="1074"/>
      <c r="F1" s="1074"/>
      <c r="G1" s="1074"/>
      <c r="H1" s="1074"/>
      <c r="I1" s="1074"/>
      <c r="J1" s="1074"/>
      <c r="K1" s="1074"/>
      <c r="L1" s="1074"/>
      <c r="M1" s="1074"/>
      <c r="N1" s="1074"/>
      <c r="O1" s="1074"/>
      <c r="P1" s="1074"/>
      <c r="Q1" s="1075"/>
      <c r="R1" s="36"/>
      <c r="S1"/>
      <c r="T1"/>
      <c r="U1"/>
      <c r="V1"/>
      <c r="W1"/>
      <c r="X1" s="32"/>
      <c r="Y1"/>
      <c r="Z1"/>
      <c r="AA1"/>
      <c r="AB1"/>
      <c r="AC1" s="571"/>
      <c r="AD1" s="36"/>
    </row>
    <row r="2" spans="1:40" ht="15" customHeight="1">
      <c r="A2" s="1076"/>
      <c r="B2" s="1077"/>
      <c r="C2" s="1077"/>
      <c r="D2" s="1077"/>
      <c r="E2" s="1077"/>
      <c r="F2" s="1077"/>
      <c r="G2" s="1077"/>
      <c r="H2" s="1077"/>
      <c r="I2" s="1077"/>
      <c r="J2" s="1077"/>
      <c r="K2" s="1077"/>
      <c r="L2" s="1077"/>
      <c r="M2" s="1077"/>
      <c r="N2" s="1077"/>
      <c r="O2" s="1077"/>
      <c r="P2" s="1077"/>
      <c r="Q2" s="1078"/>
      <c r="R2" s="36"/>
      <c r="S2"/>
      <c r="T2"/>
      <c r="U2"/>
      <c r="V2"/>
      <c r="W2"/>
      <c r="X2" s="32"/>
      <c r="Y2"/>
      <c r="Z2"/>
      <c r="AA2"/>
      <c r="AB2"/>
      <c r="AC2" s="571"/>
      <c r="AD2" s="36"/>
    </row>
    <row r="3" spans="1:40" s="282" customFormat="1" ht="15" customHeight="1" thickBot="1">
      <c r="A3" s="1079"/>
      <c r="B3" s="1080"/>
      <c r="C3" s="1080"/>
      <c r="D3" s="1080"/>
      <c r="E3" s="1080"/>
      <c r="F3" s="1080"/>
      <c r="G3" s="1080"/>
      <c r="H3" s="1080"/>
      <c r="I3" s="1080"/>
      <c r="J3" s="1080"/>
      <c r="K3" s="1080"/>
      <c r="L3" s="1080"/>
      <c r="M3" s="1080"/>
      <c r="N3" s="1080"/>
      <c r="O3" s="1080"/>
      <c r="P3" s="1080"/>
      <c r="Q3" s="1081"/>
      <c r="R3" s="280"/>
      <c r="S3" s="280"/>
      <c r="T3" s="280"/>
      <c r="U3" s="280"/>
      <c r="V3" s="280"/>
      <c r="W3" s="280"/>
      <c r="X3" s="428"/>
      <c r="Y3" s="280"/>
      <c r="Z3" s="280"/>
      <c r="AA3" s="280"/>
      <c r="AB3" s="280"/>
      <c r="AC3" s="281"/>
      <c r="AD3" s="280"/>
      <c r="AE3" s="280"/>
      <c r="AF3" s="283"/>
    </row>
    <row r="4" spans="1:40" ht="15" customHeight="1">
      <c r="A4" s="60"/>
      <c r="B4" s="61" t="s">
        <v>212</v>
      </c>
      <c r="C4" s="62"/>
      <c r="D4" s="62"/>
      <c r="E4" s="63"/>
      <c r="F4" s="64"/>
      <c r="G4" s="62"/>
      <c r="H4" s="65"/>
      <c r="I4" s="61"/>
      <c r="J4" s="62"/>
      <c r="K4" s="256"/>
      <c r="L4" s="61" t="s">
        <v>234</v>
      </c>
      <c r="M4" s="61" t="s">
        <v>234</v>
      </c>
      <c r="N4" s="61" t="s">
        <v>234</v>
      </c>
      <c r="O4" s="61" t="s">
        <v>501</v>
      </c>
      <c r="P4" s="61"/>
      <c r="Q4" s="1082" t="s">
        <v>879</v>
      </c>
      <c r="R4" s="34"/>
      <c r="S4" s="34" t="s">
        <v>224</v>
      </c>
      <c r="T4" s="34" t="s">
        <v>224</v>
      </c>
      <c r="U4" s="34" t="s">
        <v>506</v>
      </c>
      <c r="V4" s="34" t="s">
        <v>506</v>
      </c>
      <c r="W4" s="34" t="s">
        <v>506</v>
      </c>
      <c r="X4" s="326"/>
      <c r="Y4" s="34" t="s">
        <v>224</v>
      </c>
      <c r="Z4" s="34" t="s">
        <v>224</v>
      </c>
      <c r="AA4" s="34" t="s">
        <v>224</v>
      </c>
      <c r="AB4" s="318" t="s">
        <v>224</v>
      </c>
      <c r="AC4" s="176"/>
      <c r="AD4" s="34"/>
      <c r="AF4" s="34"/>
    </row>
    <row r="5" spans="1:40" ht="15" customHeight="1">
      <c r="A5" s="66" t="s">
        <v>210</v>
      </c>
      <c r="B5" s="67" t="s">
        <v>204</v>
      </c>
      <c r="C5" s="376" t="s">
        <v>165</v>
      </c>
      <c r="D5" s="67" t="s">
        <v>185</v>
      </c>
      <c r="E5" s="68" t="s">
        <v>186</v>
      </c>
      <c r="F5" s="68" t="s">
        <v>172</v>
      </c>
      <c r="G5" s="67" t="s">
        <v>168</v>
      </c>
      <c r="H5" s="67" t="s">
        <v>169</v>
      </c>
      <c r="I5" s="67" t="s">
        <v>213</v>
      </c>
      <c r="J5" s="67" t="s">
        <v>214</v>
      </c>
      <c r="K5" s="257" t="s">
        <v>571</v>
      </c>
      <c r="L5" s="68" t="s">
        <v>166</v>
      </c>
      <c r="M5" s="67" t="s">
        <v>166</v>
      </c>
      <c r="N5" s="67" t="s">
        <v>166</v>
      </c>
      <c r="O5" s="68" t="s">
        <v>166</v>
      </c>
      <c r="P5" s="68" t="s">
        <v>503</v>
      </c>
      <c r="Q5" s="1083"/>
      <c r="R5" s="34"/>
      <c r="S5" s="34" t="s">
        <v>225</v>
      </c>
      <c r="T5" s="34" t="s">
        <v>227</v>
      </c>
      <c r="U5" s="34" t="s">
        <v>507</v>
      </c>
      <c r="V5" s="34" t="s">
        <v>507</v>
      </c>
      <c r="W5" s="34" t="s">
        <v>507</v>
      </c>
      <c r="X5" s="326"/>
      <c r="Y5" s="34" t="s">
        <v>508</v>
      </c>
      <c r="Z5" s="34" t="s">
        <v>508</v>
      </c>
      <c r="AA5" s="34" t="s">
        <v>508</v>
      </c>
      <c r="AB5" s="34" t="s">
        <v>508</v>
      </c>
      <c r="AC5" s="176"/>
      <c r="AD5" s="76"/>
      <c r="AE5" s="76"/>
      <c r="AF5" s="76"/>
      <c r="AG5" s="325"/>
    </row>
    <row r="6" spans="1:40" ht="15" customHeight="1" thickBot="1">
      <c r="A6" s="69" t="s">
        <v>211</v>
      </c>
      <c r="B6" s="70" t="s">
        <v>172</v>
      </c>
      <c r="C6" s="70"/>
      <c r="D6" s="377"/>
      <c r="E6" s="378"/>
      <c r="F6" s="379"/>
      <c r="G6" s="377"/>
      <c r="H6" s="375"/>
      <c r="I6" s="71" t="s">
        <v>170</v>
      </c>
      <c r="J6" s="71" t="s">
        <v>171</v>
      </c>
      <c r="K6" s="258" t="s">
        <v>624</v>
      </c>
      <c r="L6" s="72" t="s">
        <v>216</v>
      </c>
      <c r="M6" s="71" t="s">
        <v>167</v>
      </c>
      <c r="N6" s="71" t="s">
        <v>215</v>
      </c>
      <c r="O6" s="72" t="s">
        <v>502</v>
      </c>
      <c r="P6" s="72" t="s">
        <v>504</v>
      </c>
      <c r="Q6" s="1084"/>
      <c r="R6" s="36"/>
      <c r="S6" s="34" t="s">
        <v>226</v>
      </c>
      <c r="T6" s="34" t="s">
        <v>226</v>
      </c>
      <c r="U6" s="34" t="s">
        <v>213</v>
      </c>
      <c r="V6" s="34" t="s">
        <v>214</v>
      </c>
      <c r="W6" s="318" t="s">
        <v>571</v>
      </c>
      <c r="X6" s="317"/>
      <c r="Y6" s="318" t="s">
        <v>718</v>
      </c>
      <c r="Z6" s="318" t="s">
        <v>719</v>
      </c>
      <c r="AA6" s="318" t="s">
        <v>720</v>
      </c>
      <c r="AB6" s="318" t="s">
        <v>800</v>
      </c>
      <c r="AC6" s="573" t="s">
        <v>883</v>
      </c>
      <c r="AD6" s="34"/>
      <c r="AE6" s="34"/>
      <c r="AF6" s="34"/>
      <c r="AG6" s="325"/>
    </row>
    <row r="7" spans="1:40" s="282" customFormat="1" ht="185.25" customHeight="1" thickTop="1">
      <c r="A7" s="927"/>
      <c r="B7" s="928"/>
      <c r="C7" s="929">
        <v>17266</v>
      </c>
      <c r="D7" s="930" t="s">
        <v>176</v>
      </c>
      <c r="E7" s="931">
        <v>9</v>
      </c>
      <c r="F7" s="932">
        <v>1947</v>
      </c>
      <c r="G7" s="930" t="s">
        <v>138</v>
      </c>
      <c r="H7" s="933" t="s">
        <v>217</v>
      </c>
      <c r="I7" s="928">
        <v>1408</v>
      </c>
      <c r="J7" s="928">
        <v>35</v>
      </c>
      <c r="K7" s="934">
        <f>+(I7/1760)*J7</f>
        <v>28</v>
      </c>
      <c r="L7" s="644">
        <f>HOUR(N7)</f>
        <v>18</v>
      </c>
      <c r="M7" s="935">
        <v>0.78819444444444453</v>
      </c>
      <c r="N7" s="936">
        <f>+M7</f>
        <v>0.78819444444444453</v>
      </c>
      <c r="O7" s="725">
        <v>0.82291666666666663</v>
      </c>
      <c r="P7" s="725">
        <f>+O7-N7</f>
        <v>3.4722222222222099E-2</v>
      </c>
      <c r="Q7" s="564" t="s">
        <v>873</v>
      </c>
      <c r="S7" s="37" t="str">
        <f>CONCATENATE(G7,H7)</f>
        <v>HemphillF5</v>
      </c>
      <c r="T7" s="37" t="str">
        <f>CONCATENATE(F7,H7)</f>
        <v>1947F5</v>
      </c>
      <c r="U7" s="497">
        <v>1000</v>
      </c>
      <c r="V7" s="1028">
        <v>20</v>
      </c>
      <c r="W7" s="597">
        <v>20</v>
      </c>
      <c r="X7" s="497"/>
      <c r="Y7" s="498" t="str">
        <f>CONCATENATE(H7,U7)</f>
        <v>F51000</v>
      </c>
      <c r="Z7" s="498" t="str">
        <f>CONCATENATE(H7,V7)</f>
        <v>F520</v>
      </c>
      <c r="AA7" s="498" t="str">
        <f>CONCATENATE(H7,W7)</f>
        <v>F520</v>
      </c>
      <c r="AB7" s="498" t="str">
        <f>CONCATENATE(H7,L7)</f>
        <v>F518</v>
      </c>
      <c r="AC7" s="572"/>
      <c r="AD7" s="572"/>
      <c r="AE7" s="572"/>
      <c r="AF7" s="572"/>
    </row>
    <row r="8" spans="1:40" ht="15" customHeight="1">
      <c r="A8" s="937">
        <v>1</v>
      </c>
      <c r="B8" s="938">
        <v>1</v>
      </c>
      <c r="C8" s="929">
        <v>18387</v>
      </c>
      <c r="D8" s="939" t="s">
        <v>177</v>
      </c>
      <c r="E8" s="940">
        <v>4</v>
      </c>
      <c r="F8" s="941">
        <v>1950</v>
      </c>
      <c r="G8" s="938" t="s">
        <v>132</v>
      </c>
      <c r="H8" s="942" t="s">
        <v>151</v>
      </c>
      <c r="I8" s="943">
        <v>50</v>
      </c>
      <c r="J8" s="943">
        <v>1.9</v>
      </c>
      <c r="K8" s="934">
        <f>+(I8/1760)*J8</f>
        <v>5.3977272727272721E-2</v>
      </c>
      <c r="L8" s="941">
        <f>HOUR(N8)</f>
        <v>20</v>
      </c>
      <c r="M8" s="944">
        <v>0.85416666666666663</v>
      </c>
      <c r="N8" s="945">
        <f>+M8</f>
        <v>0.85416666666666663</v>
      </c>
      <c r="O8" s="946"/>
      <c r="P8" s="946">
        <f>+O8-N8</f>
        <v>-0.85416666666666663</v>
      </c>
      <c r="Q8" s="615"/>
      <c r="R8" s="37"/>
      <c r="S8" s="37" t="str">
        <f>CONCATENATE(G8,H8)</f>
        <v>OchiltreeF2</v>
      </c>
      <c r="T8" s="37" t="str">
        <f>CONCATENATE(F8,H8)</f>
        <v>1950F2</v>
      </c>
      <c r="U8" s="429">
        <v>50</v>
      </c>
      <c r="V8" s="1029">
        <v>1</v>
      </c>
      <c r="W8" s="598">
        <v>0.05</v>
      </c>
      <c r="X8" s="429"/>
      <c r="Y8" s="37" t="str">
        <f>CONCATENATE(H8,U8)</f>
        <v>F250</v>
      </c>
      <c r="Z8" s="37" t="str">
        <f>CONCATENATE(H8,V8)</f>
        <v>F21</v>
      </c>
      <c r="AA8" s="37" t="str">
        <f>CONCATENATE(H8,W8)</f>
        <v>F20.05</v>
      </c>
      <c r="AB8" s="498" t="str">
        <f t="shared" ref="AB8:AB70" si="0">CONCATENATE(H8,L8)</f>
        <v>F220</v>
      </c>
      <c r="AC8" s="169" t="s">
        <v>1017</v>
      </c>
      <c r="AD8" s="572"/>
      <c r="AE8" s="572"/>
      <c r="AF8" s="572"/>
      <c r="AG8" s="21"/>
      <c r="AI8" s="278"/>
      <c r="AJ8" s="276"/>
      <c r="AK8" s="276"/>
      <c r="AL8" s="276"/>
      <c r="AM8" s="276"/>
      <c r="AN8" s="276"/>
    </row>
    <row r="9" spans="1:40" ht="15" customHeight="1">
      <c r="A9" s="947">
        <f>+A8+1</f>
        <v>2</v>
      </c>
      <c r="B9" s="948">
        <v>2</v>
      </c>
      <c r="C9" s="949">
        <v>18394</v>
      </c>
      <c r="D9" s="949" t="s">
        <v>177</v>
      </c>
      <c r="E9" s="950">
        <v>11</v>
      </c>
      <c r="F9" s="644">
        <v>1950</v>
      </c>
      <c r="G9" s="948" t="s">
        <v>128</v>
      </c>
      <c r="H9" s="645" t="s">
        <v>150</v>
      </c>
      <c r="I9" s="951">
        <v>77</v>
      </c>
      <c r="J9" s="951">
        <v>0.5</v>
      </c>
      <c r="K9" s="952">
        <f t="shared" ref="K9:K72" si="1">+(I9/1760)*J9</f>
        <v>2.1874999999999999E-2</v>
      </c>
      <c r="L9" s="644">
        <f t="shared" ref="L9:L71" si="2">HOUR(N9)</f>
        <v>18</v>
      </c>
      <c r="M9" s="935">
        <v>0.77083333333333337</v>
      </c>
      <c r="N9" s="936">
        <f t="shared" ref="N9:N71" si="3">+M9</f>
        <v>0.77083333333333337</v>
      </c>
      <c r="O9" s="725"/>
      <c r="P9" s="725">
        <f t="shared" ref="P9:P71" si="4">+O9-N9</f>
        <v>-0.77083333333333337</v>
      </c>
      <c r="Q9" s="622"/>
      <c r="R9" s="37"/>
      <c r="S9" s="37" t="str">
        <f t="shared" ref="S9:S71" si="5">CONCATENATE(G9,H9)</f>
        <v>BeaverF1</v>
      </c>
      <c r="T9" s="37" t="str">
        <f t="shared" ref="T9:T71" si="6">CONCATENATE(F9,H9)</f>
        <v>1950F1</v>
      </c>
      <c r="U9" s="429">
        <v>50</v>
      </c>
      <c r="V9" s="1029">
        <v>0.5</v>
      </c>
      <c r="W9" s="598">
        <v>0.02</v>
      </c>
      <c r="X9" s="429"/>
      <c r="Y9" s="37" t="str">
        <f t="shared" ref="Y9:Y71" si="7">CONCATENATE(H9,U9)</f>
        <v>F150</v>
      </c>
      <c r="Z9" s="37" t="str">
        <f t="shared" ref="Z9:Z71" si="8">CONCATENATE(H9,V9)</f>
        <v>F10.5</v>
      </c>
      <c r="AA9" s="37" t="str">
        <f t="shared" ref="AA9:AA72" si="9">CONCATENATE(H9,W9)</f>
        <v>F10.02</v>
      </c>
      <c r="AB9" s="498" t="str">
        <f t="shared" si="0"/>
        <v>F118</v>
      </c>
      <c r="AC9" s="169" t="s">
        <v>1018</v>
      </c>
      <c r="AD9" s="572"/>
      <c r="AE9" s="572"/>
      <c r="AF9" s="572"/>
      <c r="AG9" s="21"/>
      <c r="AH9" s="36"/>
      <c r="AI9" s="276"/>
      <c r="AJ9" s="276"/>
      <c r="AK9" s="276"/>
      <c r="AL9" s="276"/>
      <c r="AM9" s="276"/>
      <c r="AN9" s="276"/>
    </row>
    <row r="10" spans="1:40" ht="15" customHeight="1">
      <c r="A10" s="947">
        <f t="shared" ref="A10:A73" si="10">+A9+1</f>
        <v>3</v>
      </c>
      <c r="B10" s="948">
        <v>3</v>
      </c>
      <c r="C10" s="949">
        <v>18433</v>
      </c>
      <c r="D10" s="949" t="s">
        <v>178</v>
      </c>
      <c r="E10" s="950">
        <v>19</v>
      </c>
      <c r="F10" s="644">
        <v>1950</v>
      </c>
      <c r="G10" s="948" t="s">
        <v>134</v>
      </c>
      <c r="H10" s="645" t="s">
        <v>149</v>
      </c>
      <c r="I10" s="951">
        <v>167</v>
      </c>
      <c r="J10" s="951">
        <v>15.8</v>
      </c>
      <c r="K10" s="952">
        <f t="shared" si="1"/>
        <v>1.4992045454545455</v>
      </c>
      <c r="L10" s="644">
        <f t="shared" si="2"/>
        <v>20</v>
      </c>
      <c r="M10" s="935">
        <v>0.86111111111111116</v>
      </c>
      <c r="N10" s="936">
        <f t="shared" si="3"/>
        <v>0.86111111111111116</v>
      </c>
      <c r="O10" s="725"/>
      <c r="P10" s="725">
        <f t="shared" si="4"/>
        <v>-0.86111111111111116</v>
      </c>
      <c r="Q10" s="622"/>
      <c r="R10" s="37"/>
      <c r="S10" s="37" t="str">
        <f t="shared" si="5"/>
        <v>HartleyF0</v>
      </c>
      <c r="T10" s="37" t="str">
        <f t="shared" si="6"/>
        <v>1950F0</v>
      </c>
      <c r="U10" s="429">
        <v>100</v>
      </c>
      <c r="V10" s="1029">
        <v>10</v>
      </c>
      <c r="W10" s="598">
        <v>1</v>
      </c>
      <c r="X10" s="429"/>
      <c r="Y10" s="37" t="str">
        <f t="shared" si="7"/>
        <v>F0100</v>
      </c>
      <c r="Z10" s="37" t="str">
        <f t="shared" si="8"/>
        <v>F010</v>
      </c>
      <c r="AA10" s="37" t="str">
        <f t="shared" si="9"/>
        <v>F01</v>
      </c>
      <c r="AB10" s="498" t="str">
        <f t="shared" si="0"/>
        <v>F020</v>
      </c>
      <c r="AC10"/>
      <c r="AD10" s="572"/>
      <c r="AE10" s="572"/>
      <c r="AF10" s="572"/>
      <c r="AG10" s="21"/>
      <c r="AI10" s="276"/>
      <c r="AJ10" s="276"/>
      <c r="AK10" s="276"/>
      <c r="AL10" s="276"/>
      <c r="AM10" s="276"/>
      <c r="AN10" s="276"/>
    </row>
    <row r="11" spans="1:40" ht="15" customHeight="1">
      <c r="A11" s="947">
        <f t="shared" si="10"/>
        <v>4</v>
      </c>
      <c r="B11" s="948">
        <v>4</v>
      </c>
      <c r="C11" s="949">
        <v>18537</v>
      </c>
      <c r="D11" s="949" t="s">
        <v>182</v>
      </c>
      <c r="E11" s="950">
        <v>1</v>
      </c>
      <c r="F11" s="644">
        <v>1950</v>
      </c>
      <c r="G11" s="948" t="s">
        <v>126</v>
      </c>
      <c r="H11" s="645" t="s">
        <v>150</v>
      </c>
      <c r="I11" s="951">
        <v>33</v>
      </c>
      <c r="J11" s="951">
        <v>15.8</v>
      </c>
      <c r="K11" s="952">
        <f t="shared" si="1"/>
        <v>0.29625000000000001</v>
      </c>
      <c r="L11" s="644">
        <f t="shared" si="2"/>
        <v>21</v>
      </c>
      <c r="M11" s="935">
        <v>0.875</v>
      </c>
      <c r="N11" s="936">
        <f t="shared" si="3"/>
        <v>0.875</v>
      </c>
      <c r="O11" s="725"/>
      <c r="P11" s="725">
        <f t="shared" si="4"/>
        <v>-0.875</v>
      </c>
      <c r="Q11" s="622"/>
      <c r="R11" s="37"/>
      <c r="S11" s="37" t="str">
        <f t="shared" si="5"/>
        <v>CimarronF1</v>
      </c>
      <c r="T11" s="37" t="str">
        <f t="shared" si="6"/>
        <v>1950F1</v>
      </c>
      <c r="U11" s="429">
        <v>20</v>
      </c>
      <c r="V11" s="1029">
        <v>10</v>
      </c>
      <c r="W11" s="598">
        <v>0.2</v>
      </c>
      <c r="X11" s="429"/>
      <c r="Y11" s="37" t="str">
        <f t="shared" si="7"/>
        <v>F120</v>
      </c>
      <c r="Z11" s="37" t="str">
        <f t="shared" si="8"/>
        <v>F110</v>
      </c>
      <c r="AA11" s="37" t="str">
        <f t="shared" si="9"/>
        <v>F10.2</v>
      </c>
      <c r="AB11" s="498" t="str">
        <f t="shared" si="0"/>
        <v>F121</v>
      </c>
      <c r="AC11" s="496" t="s">
        <v>785</v>
      </c>
      <c r="AD11" s="572"/>
      <c r="AE11" s="572"/>
      <c r="AF11" s="572"/>
      <c r="AG11" s="21"/>
      <c r="AI11" s="276"/>
      <c r="AJ11" s="276"/>
      <c r="AK11" s="276"/>
      <c r="AL11" s="276"/>
      <c r="AM11" s="276"/>
      <c r="AN11" s="276"/>
    </row>
    <row r="12" spans="1:40">
      <c r="A12" s="947">
        <f t="shared" si="10"/>
        <v>5</v>
      </c>
      <c r="B12" s="948">
        <v>1</v>
      </c>
      <c r="C12" s="949">
        <v>18744</v>
      </c>
      <c r="D12" s="949" t="s">
        <v>176</v>
      </c>
      <c r="E12" s="950">
        <v>26</v>
      </c>
      <c r="F12" s="644">
        <v>1951</v>
      </c>
      <c r="G12" s="948" t="s">
        <v>128</v>
      </c>
      <c r="H12" s="645" t="s">
        <v>150</v>
      </c>
      <c r="I12" s="951">
        <v>10</v>
      </c>
      <c r="J12" s="951">
        <v>0.1</v>
      </c>
      <c r="K12" s="952">
        <f t="shared" si="1"/>
        <v>5.6818181818181826E-4</v>
      </c>
      <c r="L12" s="644">
        <f t="shared" si="2"/>
        <v>19</v>
      </c>
      <c r="M12" s="935">
        <v>0.80208333333333337</v>
      </c>
      <c r="N12" s="936">
        <f t="shared" si="3"/>
        <v>0.80208333333333337</v>
      </c>
      <c r="O12" s="725"/>
      <c r="P12" s="725">
        <f t="shared" si="4"/>
        <v>-0.80208333333333337</v>
      </c>
      <c r="Q12" s="622"/>
      <c r="R12" s="37"/>
      <c r="S12" s="37" t="str">
        <f t="shared" si="5"/>
        <v>BeaverF1</v>
      </c>
      <c r="T12" s="37" t="str">
        <f t="shared" si="6"/>
        <v>1951F1</v>
      </c>
      <c r="U12" s="429">
        <v>10</v>
      </c>
      <c r="V12" s="1029">
        <v>0.1</v>
      </c>
      <c r="W12" s="598">
        <v>1E-3</v>
      </c>
      <c r="X12" s="429"/>
      <c r="Y12" s="37" t="str">
        <f t="shared" si="7"/>
        <v>F110</v>
      </c>
      <c r="Z12" s="37" t="str">
        <f t="shared" si="8"/>
        <v>F10.1</v>
      </c>
      <c r="AA12" s="37" t="str">
        <f t="shared" si="9"/>
        <v>F10.001</v>
      </c>
      <c r="AB12" s="498" t="str">
        <f t="shared" si="0"/>
        <v>F119</v>
      </c>
      <c r="AC12" s="279" t="s">
        <v>627</v>
      </c>
      <c r="AD12" s="572"/>
      <c r="AE12" s="572"/>
      <c r="AF12" s="572"/>
      <c r="AG12" s="21"/>
      <c r="AI12" s="276"/>
      <c r="AJ12" s="276"/>
      <c r="AK12" s="276"/>
      <c r="AL12" s="276"/>
      <c r="AM12" s="276"/>
      <c r="AN12" s="276"/>
    </row>
    <row r="13" spans="1:40">
      <c r="A13" s="947">
        <f t="shared" si="10"/>
        <v>6</v>
      </c>
      <c r="B13" s="948">
        <v>2</v>
      </c>
      <c r="C13" s="949">
        <v>18762</v>
      </c>
      <c r="D13" s="949" t="s">
        <v>177</v>
      </c>
      <c r="E13" s="950">
        <v>14</v>
      </c>
      <c r="F13" s="644">
        <v>1951</v>
      </c>
      <c r="G13" s="948" t="s">
        <v>127</v>
      </c>
      <c r="H13" s="645" t="s">
        <v>151</v>
      </c>
      <c r="I13" s="951">
        <v>10</v>
      </c>
      <c r="J13" s="951">
        <v>0.1</v>
      </c>
      <c r="K13" s="952">
        <f t="shared" si="1"/>
        <v>5.6818181818181826E-4</v>
      </c>
      <c r="L13" s="644">
        <f t="shared" si="2"/>
        <v>18</v>
      </c>
      <c r="M13" s="935">
        <v>0.75</v>
      </c>
      <c r="N13" s="936">
        <f t="shared" si="3"/>
        <v>0.75</v>
      </c>
      <c r="O13" s="725"/>
      <c r="P13" s="725">
        <f t="shared" si="4"/>
        <v>-0.75</v>
      </c>
      <c r="Q13" s="622"/>
      <c r="R13" s="37"/>
      <c r="S13" s="37" t="str">
        <f t="shared" si="5"/>
        <v>TexasF2</v>
      </c>
      <c r="T13" s="37" t="str">
        <f t="shared" si="6"/>
        <v>1951F2</v>
      </c>
      <c r="U13" s="429">
        <v>10</v>
      </c>
      <c r="V13" s="1029">
        <v>0.1</v>
      </c>
      <c r="W13" s="598">
        <v>1E-3</v>
      </c>
      <c r="X13" s="429"/>
      <c r="Y13" s="37" t="str">
        <f t="shared" si="7"/>
        <v>F210</v>
      </c>
      <c r="Z13" s="37" t="str">
        <f t="shared" si="8"/>
        <v>F20.1</v>
      </c>
      <c r="AA13" s="37" t="str">
        <f t="shared" si="9"/>
        <v>F20.001</v>
      </c>
      <c r="AB13" s="498" t="str">
        <f t="shared" si="0"/>
        <v>F218</v>
      </c>
      <c r="AC13"/>
      <c r="AD13" s="572"/>
      <c r="AE13" s="572"/>
      <c r="AF13" s="572"/>
      <c r="AG13" s="21"/>
      <c r="AI13" s="276"/>
      <c r="AJ13" s="276"/>
      <c r="AK13" s="276"/>
      <c r="AL13" s="276"/>
      <c r="AM13" s="276"/>
      <c r="AN13" s="276"/>
    </row>
    <row r="14" spans="1:40">
      <c r="A14" s="947">
        <f t="shared" si="10"/>
        <v>7</v>
      </c>
      <c r="B14" s="948">
        <v>3</v>
      </c>
      <c r="C14" s="949">
        <v>18762</v>
      </c>
      <c r="D14" s="949" t="s">
        <v>177</v>
      </c>
      <c r="E14" s="950">
        <v>14</v>
      </c>
      <c r="F14" s="644">
        <v>1951</v>
      </c>
      <c r="G14" s="948" t="s">
        <v>127</v>
      </c>
      <c r="H14" s="645" t="s">
        <v>151</v>
      </c>
      <c r="I14" s="951">
        <v>10</v>
      </c>
      <c r="J14" s="951">
        <v>0.1</v>
      </c>
      <c r="K14" s="952">
        <f t="shared" si="1"/>
        <v>5.6818181818181826E-4</v>
      </c>
      <c r="L14" s="644">
        <f t="shared" si="2"/>
        <v>18</v>
      </c>
      <c r="M14" s="935">
        <v>0.75</v>
      </c>
      <c r="N14" s="936">
        <f t="shared" si="3"/>
        <v>0.75</v>
      </c>
      <c r="O14" s="725"/>
      <c r="P14" s="725">
        <f t="shared" si="4"/>
        <v>-0.75</v>
      </c>
      <c r="Q14" s="622"/>
      <c r="R14" s="37"/>
      <c r="S14" s="37" t="str">
        <f t="shared" si="5"/>
        <v>TexasF2</v>
      </c>
      <c r="T14" s="37" t="str">
        <f t="shared" si="6"/>
        <v>1951F2</v>
      </c>
      <c r="U14" s="429">
        <v>10</v>
      </c>
      <c r="V14" s="1029">
        <v>0.1</v>
      </c>
      <c r="W14" s="598">
        <v>1E-3</v>
      </c>
      <c r="X14" s="429"/>
      <c r="Y14" s="37" t="str">
        <f t="shared" si="7"/>
        <v>F210</v>
      </c>
      <c r="Z14" s="37" t="str">
        <f t="shared" si="8"/>
        <v>F20.1</v>
      </c>
      <c r="AA14" s="37" t="str">
        <f t="shared" si="9"/>
        <v>F20.001</v>
      </c>
      <c r="AB14" s="498" t="str">
        <f t="shared" si="0"/>
        <v>F218</v>
      </c>
      <c r="AC14" s="430" t="s">
        <v>786</v>
      </c>
      <c r="AD14" s="572"/>
      <c r="AE14" s="572"/>
      <c r="AF14" s="572"/>
      <c r="AG14" s="21"/>
      <c r="AI14" s="276"/>
      <c r="AJ14" s="276"/>
      <c r="AK14" s="276"/>
      <c r="AL14" s="276"/>
      <c r="AM14" s="276"/>
      <c r="AN14" s="276"/>
    </row>
    <row r="15" spans="1:40">
      <c r="A15" s="947">
        <f t="shared" si="10"/>
        <v>8</v>
      </c>
      <c r="B15" s="948">
        <v>4</v>
      </c>
      <c r="C15" s="949">
        <v>18779</v>
      </c>
      <c r="D15" s="949" t="s">
        <v>177</v>
      </c>
      <c r="E15" s="950">
        <v>31</v>
      </c>
      <c r="F15" s="644">
        <v>1951</v>
      </c>
      <c r="G15" s="948" t="s">
        <v>136</v>
      </c>
      <c r="H15" s="645" t="s">
        <v>150</v>
      </c>
      <c r="I15" s="951">
        <v>17</v>
      </c>
      <c r="J15" s="951">
        <v>0.5</v>
      </c>
      <c r="K15" s="952">
        <f t="shared" si="1"/>
        <v>4.8295454545454544E-3</v>
      </c>
      <c r="L15" s="644">
        <f t="shared" si="2"/>
        <v>16</v>
      </c>
      <c r="M15" s="935">
        <v>0.66666666666666663</v>
      </c>
      <c r="N15" s="936">
        <f t="shared" si="3"/>
        <v>0.66666666666666663</v>
      </c>
      <c r="O15" s="725"/>
      <c r="P15" s="725">
        <f t="shared" si="4"/>
        <v>-0.66666666666666663</v>
      </c>
      <c r="Q15" s="622"/>
      <c r="R15" s="37"/>
      <c r="S15" s="37" t="str">
        <f t="shared" si="5"/>
        <v>HutchinsonF1</v>
      </c>
      <c r="T15" s="37" t="str">
        <f t="shared" si="6"/>
        <v>1951F1</v>
      </c>
      <c r="U15" s="429">
        <v>10</v>
      </c>
      <c r="V15" s="1029">
        <v>0.5</v>
      </c>
      <c r="W15" s="598">
        <v>5.0000000000000001E-3</v>
      </c>
      <c r="X15" s="429"/>
      <c r="Y15" s="37" t="str">
        <f t="shared" si="7"/>
        <v>F110</v>
      </c>
      <c r="Z15" s="37" t="str">
        <f t="shared" si="8"/>
        <v>F10.5</v>
      </c>
      <c r="AA15" s="37" t="str">
        <f t="shared" si="9"/>
        <v>F10.005</v>
      </c>
      <c r="AB15" s="498" t="str">
        <f t="shared" si="0"/>
        <v>F116</v>
      </c>
      <c r="AC15" s="276" t="s">
        <v>628</v>
      </c>
      <c r="AD15" s="572"/>
      <c r="AE15" s="572"/>
      <c r="AF15" s="572"/>
      <c r="AG15" s="21"/>
      <c r="AI15" s="276"/>
      <c r="AJ15" s="276"/>
      <c r="AK15" s="276"/>
      <c r="AL15" s="276"/>
      <c r="AM15" s="276"/>
      <c r="AN15" s="276"/>
    </row>
    <row r="16" spans="1:40">
      <c r="A16" s="947">
        <f t="shared" si="10"/>
        <v>9</v>
      </c>
      <c r="B16" s="948">
        <v>5</v>
      </c>
      <c r="C16" s="949">
        <v>18784</v>
      </c>
      <c r="D16" s="949" t="s">
        <v>178</v>
      </c>
      <c r="E16" s="950">
        <v>5</v>
      </c>
      <c r="F16" s="644">
        <v>1951</v>
      </c>
      <c r="G16" s="948" t="s">
        <v>127</v>
      </c>
      <c r="H16" s="645" t="s">
        <v>151</v>
      </c>
      <c r="I16" s="951">
        <v>10</v>
      </c>
      <c r="J16" s="951">
        <v>0.1</v>
      </c>
      <c r="K16" s="952">
        <f t="shared" si="1"/>
        <v>5.6818181818181826E-4</v>
      </c>
      <c r="L16" s="644">
        <f t="shared" si="2"/>
        <v>18</v>
      </c>
      <c r="M16" s="935">
        <v>0.75</v>
      </c>
      <c r="N16" s="936">
        <f t="shared" si="3"/>
        <v>0.75</v>
      </c>
      <c r="O16" s="725"/>
      <c r="P16" s="725">
        <f t="shared" si="4"/>
        <v>-0.75</v>
      </c>
      <c r="Q16" s="622"/>
      <c r="R16" s="37"/>
      <c r="S16" s="37" t="str">
        <f t="shared" si="5"/>
        <v>TexasF2</v>
      </c>
      <c r="T16" s="37" t="str">
        <f t="shared" si="6"/>
        <v>1951F2</v>
      </c>
      <c r="U16" s="429">
        <v>10</v>
      </c>
      <c r="V16" s="1029">
        <v>0.1</v>
      </c>
      <c r="W16" s="598">
        <v>1E-3</v>
      </c>
      <c r="X16" s="429"/>
      <c r="Y16" s="37" t="str">
        <f t="shared" si="7"/>
        <v>F210</v>
      </c>
      <c r="Z16" s="37" t="str">
        <f t="shared" si="8"/>
        <v>F20.1</v>
      </c>
      <c r="AA16" s="37" t="str">
        <f t="shared" si="9"/>
        <v>F20.001</v>
      </c>
      <c r="AB16" s="498" t="str">
        <f t="shared" si="0"/>
        <v>F218</v>
      </c>
      <c r="AC16" s="276"/>
      <c r="AD16" s="572"/>
      <c r="AE16" s="572"/>
      <c r="AF16" s="572"/>
      <c r="AG16" s="21"/>
      <c r="AI16" s="276"/>
      <c r="AJ16" s="276"/>
      <c r="AK16" s="276"/>
      <c r="AL16" s="276"/>
      <c r="AM16" s="276"/>
      <c r="AN16" s="276"/>
    </row>
    <row r="17" spans="1:40">
      <c r="A17" s="947">
        <f t="shared" si="10"/>
        <v>10</v>
      </c>
      <c r="B17" s="948">
        <v>6</v>
      </c>
      <c r="C17" s="949">
        <v>18785</v>
      </c>
      <c r="D17" s="949" t="s">
        <v>178</v>
      </c>
      <c r="E17" s="950">
        <v>6</v>
      </c>
      <c r="F17" s="644">
        <v>1951</v>
      </c>
      <c r="G17" s="948" t="s">
        <v>140</v>
      </c>
      <c r="H17" s="645" t="s">
        <v>150</v>
      </c>
      <c r="I17" s="951">
        <v>10</v>
      </c>
      <c r="J17" s="951">
        <v>0.1</v>
      </c>
      <c r="K17" s="952">
        <f t="shared" si="1"/>
        <v>5.6818181818181826E-4</v>
      </c>
      <c r="L17" s="644">
        <f t="shared" si="2"/>
        <v>18</v>
      </c>
      <c r="M17" s="935">
        <v>0.76388888888888884</v>
      </c>
      <c r="N17" s="936">
        <f t="shared" si="3"/>
        <v>0.76388888888888884</v>
      </c>
      <c r="O17" s="725"/>
      <c r="P17" s="725">
        <f t="shared" si="4"/>
        <v>-0.76388888888888884</v>
      </c>
      <c r="Q17" s="622"/>
      <c r="R17" s="37"/>
      <c r="S17" s="37" t="str">
        <f t="shared" si="5"/>
        <v>PotterF1</v>
      </c>
      <c r="T17" s="37" t="str">
        <f t="shared" si="6"/>
        <v>1951F1</v>
      </c>
      <c r="U17" s="429">
        <v>10</v>
      </c>
      <c r="V17" s="1029">
        <v>0.1</v>
      </c>
      <c r="W17" s="598">
        <v>1E-3</v>
      </c>
      <c r="X17" s="429"/>
      <c r="Y17" s="37" t="str">
        <f t="shared" si="7"/>
        <v>F110</v>
      </c>
      <c r="Z17" s="37" t="str">
        <f t="shared" si="8"/>
        <v>F10.1</v>
      </c>
      <c r="AA17" s="37" t="str">
        <f t="shared" si="9"/>
        <v>F10.001</v>
      </c>
      <c r="AB17" s="498" t="str">
        <f t="shared" si="0"/>
        <v>F118</v>
      </c>
      <c r="AC17" s="430" t="s">
        <v>787</v>
      </c>
      <c r="AD17" s="572"/>
      <c r="AE17" s="572"/>
      <c r="AF17" s="572"/>
      <c r="AG17" s="21"/>
      <c r="AI17" s="276"/>
      <c r="AJ17" s="276"/>
      <c r="AK17" s="276"/>
      <c r="AL17" s="276"/>
      <c r="AM17" s="276"/>
      <c r="AN17" s="276"/>
    </row>
    <row r="18" spans="1:40">
      <c r="A18" s="947">
        <f t="shared" si="10"/>
        <v>11</v>
      </c>
      <c r="B18" s="948">
        <v>7</v>
      </c>
      <c r="C18" s="949">
        <v>18785</v>
      </c>
      <c r="D18" s="949" t="s">
        <v>178</v>
      </c>
      <c r="E18" s="950">
        <v>6</v>
      </c>
      <c r="F18" s="644">
        <v>1951</v>
      </c>
      <c r="G18" s="948" t="s">
        <v>141</v>
      </c>
      <c r="H18" s="645" t="s">
        <v>150</v>
      </c>
      <c r="I18" s="951">
        <v>10</v>
      </c>
      <c r="J18" s="951">
        <v>0.1</v>
      </c>
      <c r="K18" s="952">
        <f t="shared" si="1"/>
        <v>5.6818181818181826E-4</v>
      </c>
      <c r="L18" s="644">
        <f t="shared" si="2"/>
        <v>18</v>
      </c>
      <c r="M18" s="935">
        <v>0.78472222222222221</v>
      </c>
      <c r="N18" s="936">
        <f t="shared" si="3"/>
        <v>0.78472222222222221</v>
      </c>
      <c r="O18" s="725"/>
      <c r="P18" s="725">
        <f t="shared" si="4"/>
        <v>-0.78472222222222221</v>
      </c>
      <c r="Q18" s="622"/>
      <c r="R18" s="37"/>
      <c r="S18" s="37" t="str">
        <f t="shared" si="5"/>
        <v>CarsonF1</v>
      </c>
      <c r="T18" s="37" t="str">
        <f t="shared" si="6"/>
        <v>1951F1</v>
      </c>
      <c r="U18" s="429">
        <v>10</v>
      </c>
      <c r="V18" s="1029">
        <v>0.1</v>
      </c>
      <c r="W18" s="598">
        <v>1E-3</v>
      </c>
      <c r="X18" s="429"/>
      <c r="Y18" s="37" t="str">
        <f t="shared" si="7"/>
        <v>F110</v>
      </c>
      <c r="Z18" s="37" t="str">
        <f t="shared" si="8"/>
        <v>F10.1</v>
      </c>
      <c r="AA18" s="37" t="str">
        <f t="shared" si="9"/>
        <v>F10.001</v>
      </c>
      <c r="AB18" s="498" t="str">
        <f t="shared" si="0"/>
        <v>F118</v>
      </c>
      <c r="AC18" s="276" t="s">
        <v>629</v>
      </c>
      <c r="AD18" s="572"/>
      <c r="AE18" s="572"/>
      <c r="AF18" s="572"/>
      <c r="AG18" s="21"/>
      <c r="AI18" s="276"/>
      <c r="AJ18" s="276"/>
      <c r="AK18" s="276"/>
      <c r="AL18" s="276"/>
      <c r="AM18" s="276"/>
      <c r="AN18" s="276"/>
    </row>
    <row r="19" spans="1:40">
      <c r="A19" s="947">
        <f t="shared" si="10"/>
        <v>12</v>
      </c>
      <c r="B19" s="948">
        <v>8</v>
      </c>
      <c r="C19" s="949">
        <v>18785</v>
      </c>
      <c r="D19" s="949" t="s">
        <v>178</v>
      </c>
      <c r="E19" s="950">
        <v>6</v>
      </c>
      <c r="F19" s="644">
        <v>1951</v>
      </c>
      <c r="G19" s="948" t="s">
        <v>141</v>
      </c>
      <c r="H19" s="645" t="s">
        <v>152</v>
      </c>
      <c r="I19" s="951">
        <v>100</v>
      </c>
      <c r="J19" s="951">
        <v>10.4</v>
      </c>
      <c r="K19" s="952">
        <f t="shared" si="1"/>
        <v>0.59090909090909094</v>
      </c>
      <c r="L19" s="644">
        <f t="shared" si="2"/>
        <v>20</v>
      </c>
      <c r="M19" s="935">
        <v>0.83750000000000002</v>
      </c>
      <c r="N19" s="936">
        <f t="shared" si="3"/>
        <v>0.83750000000000002</v>
      </c>
      <c r="O19" s="725"/>
      <c r="P19" s="725">
        <f t="shared" si="4"/>
        <v>-0.83750000000000002</v>
      </c>
      <c r="Q19" s="622"/>
      <c r="R19" s="37"/>
      <c r="S19" s="37" t="str">
        <f t="shared" si="5"/>
        <v>CarsonF3</v>
      </c>
      <c r="T19" s="37" t="str">
        <f t="shared" si="6"/>
        <v>1951F3</v>
      </c>
      <c r="U19" s="429">
        <v>100</v>
      </c>
      <c r="V19" s="1029">
        <v>10</v>
      </c>
      <c r="W19" s="598">
        <v>0.5</v>
      </c>
      <c r="X19" s="429"/>
      <c r="Y19" s="37" t="str">
        <f t="shared" si="7"/>
        <v>F3100</v>
      </c>
      <c r="Z19" s="37" t="str">
        <f t="shared" si="8"/>
        <v>F310</v>
      </c>
      <c r="AA19" s="37" t="str">
        <f t="shared" si="9"/>
        <v>F30.5</v>
      </c>
      <c r="AB19" s="498" t="str">
        <f t="shared" si="0"/>
        <v>F320</v>
      </c>
      <c r="AC19" s="276"/>
      <c r="AD19" s="572"/>
      <c r="AE19" s="572"/>
      <c r="AF19" s="572"/>
      <c r="AG19" s="21"/>
      <c r="AI19" s="276"/>
      <c r="AJ19" s="276"/>
      <c r="AK19" s="276"/>
      <c r="AL19" s="276"/>
      <c r="AM19" s="276"/>
      <c r="AN19" s="276"/>
    </row>
    <row r="20" spans="1:40">
      <c r="A20" s="947">
        <f t="shared" si="10"/>
        <v>13</v>
      </c>
      <c r="B20" s="948">
        <v>9</v>
      </c>
      <c r="C20" s="949">
        <v>18785</v>
      </c>
      <c r="D20" s="949" t="s">
        <v>178</v>
      </c>
      <c r="E20" s="950">
        <v>6</v>
      </c>
      <c r="F20" s="644">
        <v>1951</v>
      </c>
      <c r="G20" s="948" t="s">
        <v>142</v>
      </c>
      <c r="H20" s="645" t="s">
        <v>149</v>
      </c>
      <c r="I20" s="951">
        <v>10</v>
      </c>
      <c r="J20" s="951">
        <v>0.1</v>
      </c>
      <c r="K20" s="952">
        <f t="shared" si="1"/>
        <v>5.6818181818181826E-4</v>
      </c>
      <c r="L20" s="644">
        <f t="shared" si="2"/>
        <v>20</v>
      </c>
      <c r="M20" s="935">
        <v>0.86111111111111116</v>
      </c>
      <c r="N20" s="936">
        <f t="shared" si="3"/>
        <v>0.86111111111111116</v>
      </c>
      <c r="O20" s="725"/>
      <c r="P20" s="725">
        <f t="shared" si="4"/>
        <v>-0.86111111111111116</v>
      </c>
      <c r="Q20" s="622"/>
      <c r="R20" s="37"/>
      <c r="S20" s="37" t="str">
        <f t="shared" si="5"/>
        <v>GrayF0</v>
      </c>
      <c r="T20" s="37" t="str">
        <f t="shared" si="6"/>
        <v>1951F0</v>
      </c>
      <c r="U20" s="429">
        <v>10</v>
      </c>
      <c r="V20" s="1029">
        <v>0.1</v>
      </c>
      <c r="W20" s="598">
        <v>1E-3</v>
      </c>
      <c r="X20" s="429"/>
      <c r="Y20" s="37" t="str">
        <f t="shared" si="7"/>
        <v>F010</v>
      </c>
      <c r="Z20" s="37" t="str">
        <f t="shared" si="8"/>
        <v>F00.1</v>
      </c>
      <c r="AA20" s="37" t="str">
        <f t="shared" si="9"/>
        <v>F00.001</v>
      </c>
      <c r="AB20" s="498" t="str">
        <f t="shared" si="0"/>
        <v>F020</v>
      </c>
      <c r="AC20" s="430" t="s">
        <v>788</v>
      </c>
      <c r="AD20" s="572"/>
      <c r="AE20" s="572"/>
      <c r="AF20" s="572"/>
      <c r="AG20" s="21"/>
      <c r="AI20" s="276"/>
      <c r="AJ20" s="276"/>
      <c r="AK20" s="276"/>
      <c r="AL20" s="276"/>
      <c r="AM20" s="276"/>
      <c r="AN20" s="276"/>
    </row>
    <row r="21" spans="1:40">
      <c r="A21" s="947">
        <f t="shared" si="10"/>
        <v>14</v>
      </c>
      <c r="B21" s="948">
        <v>10</v>
      </c>
      <c r="C21" s="949">
        <v>18800</v>
      </c>
      <c r="D21" s="949" t="s">
        <v>178</v>
      </c>
      <c r="E21" s="950">
        <v>21</v>
      </c>
      <c r="F21" s="644">
        <v>1951</v>
      </c>
      <c r="G21" s="948" t="s">
        <v>126</v>
      </c>
      <c r="H21" s="645" t="s">
        <v>150</v>
      </c>
      <c r="I21" s="951">
        <v>33</v>
      </c>
      <c r="J21" s="951">
        <v>4.3</v>
      </c>
      <c r="K21" s="952">
        <f t="shared" si="1"/>
        <v>8.0624999999999988E-2</v>
      </c>
      <c r="L21" s="644">
        <f t="shared" si="2"/>
        <v>17</v>
      </c>
      <c r="M21" s="935">
        <v>0.70833333333333337</v>
      </c>
      <c r="N21" s="936">
        <f t="shared" si="3"/>
        <v>0.70833333333333337</v>
      </c>
      <c r="O21" s="725"/>
      <c r="P21" s="725">
        <f t="shared" si="4"/>
        <v>-0.70833333333333337</v>
      </c>
      <c r="Q21" s="622"/>
      <c r="R21" s="37"/>
      <c r="S21" s="37" t="str">
        <f t="shared" si="5"/>
        <v>CimarronF1</v>
      </c>
      <c r="T21" s="37" t="str">
        <f t="shared" si="6"/>
        <v>1951F1</v>
      </c>
      <c r="U21" s="429">
        <v>20</v>
      </c>
      <c r="V21" s="1029">
        <v>2</v>
      </c>
      <c r="W21" s="598">
        <v>0.05</v>
      </c>
      <c r="X21" s="429"/>
      <c r="Y21" s="37" t="str">
        <f t="shared" si="7"/>
        <v>F120</v>
      </c>
      <c r="Z21" s="37" t="str">
        <f t="shared" si="8"/>
        <v>F12</v>
      </c>
      <c r="AA21" s="37" t="str">
        <f t="shared" si="9"/>
        <v>F10.05</v>
      </c>
      <c r="AB21" s="498" t="str">
        <f t="shared" si="0"/>
        <v>F117</v>
      </c>
      <c r="AC21" s="276" t="s">
        <v>630</v>
      </c>
      <c r="AD21" s="572"/>
      <c r="AE21" s="572"/>
      <c r="AF21" s="572"/>
      <c r="AG21" s="21"/>
      <c r="AI21" s="276"/>
      <c r="AJ21" s="276"/>
      <c r="AK21" s="276"/>
      <c r="AL21" s="276"/>
      <c r="AM21" s="276"/>
      <c r="AN21" s="276"/>
    </row>
    <row r="22" spans="1:40">
      <c r="A22" s="947">
        <f t="shared" si="10"/>
        <v>15</v>
      </c>
      <c r="B22" s="948">
        <v>1</v>
      </c>
      <c r="C22" s="949">
        <v>19191</v>
      </c>
      <c r="D22" s="949" t="s">
        <v>179</v>
      </c>
      <c r="E22" s="950">
        <v>16</v>
      </c>
      <c r="F22" s="644">
        <v>1952</v>
      </c>
      <c r="G22" s="948" t="s">
        <v>128</v>
      </c>
      <c r="H22" s="645" t="s">
        <v>150</v>
      </c>
      <c r="I22" s="951">
        <v>30</v>
      </c>
      <c r="J22" s="951">
        <v>0.1</v>
      </c>
      <c r="K22" s="952">
        <f t="shared" si="1"/>
        <v>1.7045454545454545E-3</v>
      </c>
      <c r="L22" s="644">
        <f t="shared" si="2"/>
        <v>17</v>
      </c>
      <c r="M22" s="935">
        <v>0.72916666666666663</v>
      </c>
      <c r="N22" s="936">
        <f t="shared" si="3"/>
        <v>0.72916666666666663</v>
      </c>
      <c r="O22" s="725"/>
      <c r="P22" s="725">
        <f t="shared" si="4"/>
        <v>-0.72916666666666663</v>
      </c>
      <c r="Q22" s="622"/>
      <c r="R22" s="37"/>
      <c r="S22" s="37" t="str">
        <f t="shared" si="5"/>
        <v>BeaverF1</v>
      </c>
      <c r="T22" s="37" t="str">
        <f t="shared" si="6"/>
        <v>1952F1</v>
      </c>
      <c r="U22" s="429">
        <v>20</v>
      </c>
      <c r="V22" s="1029">
        <v>0.1</v>
      </c>
      <c r="W22" s="598">
        <v>2E-3</v>
      </c>
      <c r="X22" s="429"/>
      <c r="Y22" s="37" t="str">
        <f t="shared" si="7"/>
        <v>F120</v>
      </c>
      <c r="Z22" s="37" t="str">
        <f t="shared" si="8"/>
        <v>F10.1</v>
      </c>
      <c r="AA22" s="37" t="str">
        <f t="shared" si="9"/>
        <v>F10.002</v>
      </c>
      <c r="AB22" s="498" t="str">
        <f t="shared" si="0"/>
        <v>F117</v>
      </c>
      <c r="AC22" s="276" t="s">
        <v>631</v>
      </c>
      <c r="AD22" s="572"/>
      <c r="AE22" s="572"/>
      <c r="AF22" s="572"/>
      <c r="AG22" s="21"/>
      <c r="AI22" s="276"/>
      <c r="AJ22" s="276"/>
      <c r="AK22" s="276"/>
      <c r="AL22" s="276"/>
      <c r="AM22" s="276"/>
      <c r="AN22" s="276"/>
    </row>
    <row r="23" spans="1:40">
      <c r="A23" s="947">
        <f t="shared" si="10"/>
        <v>16</v>
      </c>
      <c r="B23" s="948">
        <v>1</v>
      </c>
      <c r="C23" s="949">
        <v>19515</v>
      </c>
      <c r="D23" s="949" t="s">
        <v>178</v>
      </c>
      <c r="E23" s="950">
        <v>5</v>
      </c>
      <c r="F23" s="644">
        <v>1953</v>
      </c>
      <c r="G23" s="948" t="s">
        <v>148</v>
      </c>
      <c r="H23" s="645" t="s">
        <v>149</v>
      </c>
      <c r="I23" s="951">
        <v>10</v>
      </c>
      <c r="J23" s="951">
        <v>0.1</v>
      </c>
      <c r="K23" s="952">
        <f t="shared" si="1"/>
        <v>5.6818181818181826E-4</v>
      </c>
      <c r="L23" s="644">
        <f t="shared" si="2"/>
        <v>13</v>
      </c>
      <c r="M23" s="935">
        <v>0.5625</v>
      </c>
      <c r="N23" s="936">
        <f t="shared" si="3"/>
        <v>0.5625</v>
      </c>
      <c r="O23" s="725"/>
      <c r="P23" s="725">
        <f t="shared" si="4"/>
        <v>-0.5625</v>
      </c>
      <c r="Q23" s="622"/>
      <c r="R23" s="37"/>
      <c r="S23" s="37" t="str">
        <f t="shared" si="5"/>
        <v>CollingsworthF0</v>
      </c>
      <c r="T23" s="37" t="str">
        <f t="shared" si="6"/>
        <v>1953F0</v>
      </c>
      <c r="U23" s="429">
        <v>10</v>
      </c>
      <c r="V23" s="1029">
        <v>0.1</v>
      </c>
      <c r="W23" s="598">
        <v>1E-3</v>
      </c>
      <c r="X23" s="429"/>
      <c r="Y23" s="37" t="str">
        <f t="shared" si="7"/>
        <v>F010</v>
      </c>
      <c r="Z23" s="37" t="str">
        <f t="shared" si="8"/>
        <v>F00.1</v>
      </c>
      <c r="AA23" s="37" t="str">
        <f t="shared" si="9"/>
        <v>F00.001</v>
      </c>
      <c r="AB23" s="498" t="str">
        <f t="shared" si="0"/>
        <v>F013</v>
      </c>
      <c r="AC23" s="276" t="s">
        <v>632</v>
      </c>
      <c r="AD23" s="572"/>
      <c r="AE23" s="572"/>
      <c r="AF23" s="572"/>
      <c r="AG23" s="21"/>
      <c r="AI23" s="276"/>
      <c r="AJ23" s="276"/>
      <c r="AK23" s="276"/>
      <c r="AL23" s="276"/>
      <c r="AM23" s="276"/>
      <c r="AN23" s="276"/>
    </row>
    <row r="24" spans="1:40">
      <c r="A24" s="947">
        <f t="shared" si="10"/>
        <v>17</v>
      </c>
      <c r="B24" s="948">
        <v>2</v>
      </c>
      <c r="C24" s="949">
        <v>19532</v>
      </c>
      <c r="D24" s="949" t="s">
        <v>178</v>
      </c>
      <c r="E24" s="950">
        <v>22</v>
      </c>
      <c r="F24" s="644">
        <v>1953</v>
      </c>
      <c r="G24" s="948" t="s">
        <v>128</v>
      </c>
      <c r="H24" s="645" t="s">
        <v>150</v>
      </c>
      <c r="I24" s="951">
        <v>300</v>
      </c>
      <c r="J24" s="951">
        <v>1</v>
      </c>
      <c r="K24" s="952">
        <f t="shared" si="1"/>
        <v>0.17045454545454544</v>
      </c>
      <c r="L24" s="644">
        <f t="shared" si="2"/>
        <v>22</v>
      </c>
      <c r="M24" s="935">
        <v>0.91666666666666663</v>
      </c>
      <c r="N24" s="936">
        <f t="shared" si="3"/>
        <v>0.91666666666666663</v>
      </c>
      <c r="O24" s="725"/>
      <c r="P24" s="725">
        <f t="shared" si="4"/>
        <v>-0.91666666666666663</v>
      </c>
      <c r="Q24" s="622"/>
      <c r="R24" s="37"/>
      <c r="S24" s="37" t="str">
        <f t="shared" si="5"/>
        <v>BeaverF1</v>
      </c>
      <c r="T24" s="37" t="str">
        <f t="shared" si="6"/>
        <v>1953F1</v>
      </c>
      <c r="U24" s="429">
        <v>200</v>
      </c>
      <c r="V24" s="1029">
        <v>1</v>
      </c>
      <c r="W24" s="598">
        <v>0.1</v>
      </c>
      <c r="X24" s="429"/>
      <c r="Y24" s="37" t="str">
        <f t="shared" si="7"/>
        <v>F1200</v>
      </c>
      <c r="Z24" s="37" t="str">
        <f t="shared" si="8"/>
        <v>F11</v>
      </c>
      <c r="AA24" s="37" t="str">
        <f t="shared" si="9"/>
        <v>F10.1</v>
      </c>
      <c r="AB24" s="498" t="str">
        <f t="shared" si="0"/>
        <v>F122</v>
      </c>
      <c r="AC24" s="276" t="s">
        <v>633</v>
      </c>
      <c r="AD24" s="572"/>
      <c r="AE24" s="572"/>
      <c r="AF24" s="572"/>
      <c r="AG24" s="21"/>
      <c r="AI24" s="276"/>
      <c r="AJ24" s="276"/>
      <c r="AK24" s="276"/>
      <c r="AL24" s="276"/>
      <c r="AM24" s="276"/>
      <c r="AN24" s="276"/>
    </row>
    <row r="25" spans="1:40">
      <c r="A25" s="947">
        <f t="shared" si="10"/>
        <v>18</v>
      </c>
      <c r="B25" s="948">
        <v>1</v>
      </c>
      <c r="C25" s="949">
        <v>19866</v>
      </c>
      <c r="D25" s="949" t="s">
        <v>177</v>
      </c>
      <c r="E25" s="950">
        <v>22</v>
      </c>
      <c r="F25" s="644">
        <v>1954</v>
      </c>
      <c r="G25" s="948" t="s">
        <v>138</v>
      </c>
      <c r="H25" s="645" t="s">
        <v>150</v>
      </c>
      <c r="I25" s="951">
        <v>10</v>
      </c>
      <c r="J25" s="951">
        <v>0.1</v>
      </c>
      <c r="K25" s="952">
        <f t="shared" si="1"/>
        <v>5.6818181818181826E-4</v>
      </c>
      <c r="L25" s="644">
        <f t="shared" si="2"/>
        <v>21</v>
      </c>
      <c r="M25" s="935">
        <v>0.875</v>
      </c>
      <c r="N25" s="936">
        <f t="shared" si="3"/>
        <v>0.875</v>
      </c>
      <c r="O25" s="725"/>
      <c r="P25" s="725">
        <f t="shared" si="4"/>
        <v>-0.875</v>
      </c>
      <c r="Q25" s="622"/>
      <c r="R25" s="37"/>
      <c r="S25" s="37" t="str">
        <f t="shared" si="5"/>
        <v>HemphillF1</v>
      </c>
      <c r="T25" s="37" t="str">
        <f t="shared" si="6"/>
        <v>1954F1</v>
      </c>
      <c r="U25" s="429">
        <v>10</v>
      </c>
      <c r="V25" s="1029">
        <v>0.1</v>
      </c>
      <c r="W25" s="598">
        <v>1E-3</v>
      </c>
      <c r="X25" s="429"/>
      <c r="Y25" s="37" t="str">
        <f t="shared" si="7"/>
        <v>F110</v>
      </c>
      <c r="Z25" s="37" t="str">
        <f t="shared" si="8"/>
        <v>F10.1</v>
      </c>
      <c r="AA25" s="37" t="str">
        <f t="shared" si="9"/>
        <v>F10.001</v>
      </c>
      <c r="AB25" s="498" t="str">
        <f t="shared" si="0"/>
        <v>F121</v>
      </c>
      <c r="AC25" s="276" t="s">
        <v>634</v>
      </c>
      <c r="AD25" s="572"/>
      <c r="AE25" s="572"/>
      <c r="AF25" s="572"/>
      <c r="AG25" s="21"/>
      <c r="AI25" s="276"/>
      <c r="AJ25" s="276"/>
      <c r="AK25" s="276"/>
      <c r="AL25" s="276"/>
      <c r="AM25" s="276"/>
      <c r="AN25" s="276"/>
    </row>
    <row r="26" spans="1:40">
      <c r="A26" s="947">
        <f t="shared" si="10"/>
        <v>19</v>
      </c>
      <c r="B26" s="948">
        <v>2</v>
      </c>
      <c r="C26" s="949">
        <v>19888</v>
      </c>
      <c r="D26" s="949" t="s">
        <v>178</v>
      </c>
      <c r="E26" s="950">
        <v>13</v>
      </c>
      <c r="F26" s="644">
        <v>1954</v>
      </c>
      <c r="G26" s="948" t="s">
        <v>136</v>
      </c>
      <c r="H26" s="645" t="s">
        <v>149</v>
      </c>
      <c r="I26" s="951">
        <v>10</v>
      </c>
      <c r="J26" s="951">
        <v>0.1</v>
      </c>
      <c r="K26" s="952">
        <f t="shared" si="1"/>
        <v>5.6818181818181826E-4</v>
      </c>
      <c r="L26" s="644">
        <f t="shared" si="2"/>
        <v>17</v>
      </c>
      <c r="M26" s="935">
        <v>0.71875</v>
      </c>
      <c r="N26" s="936">
        <f t="shared" si="3"/>
        <v>0.71875</v>
      </c>
      <c r="O26" s="725"/>
      <c r="P26" s="725">
        <f t="shared" si="4"/>
        <v>-0.71875</v>
      </c>
      <c r="Q26" s="622"/>
      <c r="R26" s="37"/>
      <c r="S26" s="37" t="str">
        <f t="shared" si="5"/>
        <v>HutchinsonF0</v>
      </c>
      <c r="T26" s="37" t="str">
        <f t="shared" si="6"/>
        <v>1954F0</v>
      </c>
      <c r="U26" s="429">
        <v>10</v>
      </c>
      <c r="V26" s="1029">
        <v>0.1</v>
      </c>
      <c r="W26" s="598">
        <v>1E-3</v>
      </c>
      <c r="X26" s="429"/>
      <c r="Y26" s="37" t="str">
        <f t="shared" si="7"/>
        <v>F010</v>
      </c>
      <c r="Z26" s="37" t="str">
        <f t="shared" si="8"/>
        <v>F00.1</v>
      </c>
      <c r="AA26" s="37" t="str">
        <f t="shared" si="9"/>
        <v>F00.001</v>
      </c>
      <c r="AB26" s="498" t="str">
        <f t="shared" si="0"/>
        <v>F017</v>
      </c>
      <c r="AC26" s="276" t="s">
        <v>635</v>
      </c>
      <c r="AD26" s="572"/>
      <c r="AE26" s="572"/>
      <c r="AF26" s="572"/>
      <c r="AG26" s="21"/>
      <c r="AI26" s="276"/>
      <c r="AJ26" s="276"/>
      <c r="AK26" s="276"/>
      <c r="AL26" s="276"/>
      <c r="AM26" s="276"/>
      <c r="AN26" s="276"/>
    </row>
    <row r="27" spans="1:40">
      <c r="A27" s="947">
        <f t="shared" si="10"/>
        <v>20</v>
      </c>
      <c r="B27" s="948">
        <v>1</v>
      </c>
      <c r="C27" s="949">
        <v>20197</v>
      </c>
      <c r="D27" s="949" t="s">
        <v>176</v>
      </c>
      <c r="E27" s="950">
        <v>18</v>
      </c>
      <c r="F27" s="644">
        <v>1955</v>
      </c>
      <c r="G27" s="948" t="s">
        <v>143</v>
      </c>
      <c r="H27" s="645" t="s">
        <v>152</v>
      </c>
      <c r="I27" s="951">
        <v>100</v>
      </c>
      <c r="J27" s="951">
        <v>8.9</v>
      </c>
      <c r="K27" s="952">
        <f t="shared" si="1"/>
        <v>0.50568181818181823</v>
      </c>
      <c r="L27" s="644">
        <f t="shared" si="2"/>
        <v>18</v>
      </c>
      <c r="M27" s="935">
        <v>0.78125</v>
      </c>
      <c r="N27" s="936">
        <f t="shared" si="3"/>
        <v>0.78125</v>
      </c>
      <c r="O27" s="725"/>
      <c r="P27" s="725">
        <f t="shared" si="4"/>
        <v>-0.78125</v>
      </c>
      <c r="Q27" s="622"/>
      <c r="R27" s="37"/>
      <c r="S27" s="37" t="str">
        <f t="shared" si="5"/>
        <v>WheelerF3</v>
      </c>
      <c r="T27" s="37" t="str">
        <f t="shared" si="6"/>
        <v>1955F3</v>
      </c>
      <c r="U27" s="429">
        <v>100</v>
      </c>
      <c r="V27" s="1029">
        <v>5</v>
      </c>
      <c r="W27" s="598">
        <v>0.5</v>
      </c>
      <c r="X27" s="429"/>
      <c r="Y27" s="37" t="str">
        <f t="shared" si="7"/>
        <v>F3100</v>
      </c>
      <c r="Z27" s="37" t="str">
        <f t="shared" si="8"/>
        <v>F35</v>
      </c>
      <c r="AA27" s="37" t="str">
        <f t="shared" si="9"/>
        <v>F30.5</v>
      </c>
      <c r="AB27" s="498" t="str">
        <f t="shared" si="0"/>
        <v>F318</v>
      </c>
      <c r="AC27" s="276" t="s">
        <v>636</v>
      </c>
      <c r="AD27" s="572"/>
      <c r="AE27" s="572"/>
      <c r="AF27" s="572"/>
      <c r="AG27" s="21"/>
      <c r="AI27" s="276"/>
      <c r="AJ27" s="276"/>
      <c r="AK27" s="276"/>
      <c r="AL27" s="276"/>
      <c r="AM27" s="276"/>
      <c r="AN27" s="276"/>
    </row>
    <row r="28" spans="1:40">
      <c r="A28" s="947">
        <f t="shared" si="10"/>
        <v>21</v>
      </c>
      <c r="B28" s="948">
        <v>2</v>
      </c>
      <c r="C28" s="949">
        <v>20231</v>
      </c>
      <c r="D28" s="949" t="s">
        <v>177</v>
      </c>
      <c r="E28" s="950">
        <v>22</v>
      </c>
      <c r="F28" s="644">
        <v>1955</v>
      </c>
      <c r="G28" s="948" t="s">
        <v>136</v>
      </c>
      <c r="H28" s="645" t="s">
        <v>149</v>
      </c>
      <c r="I28" s="951">
        <v>33</v>
      </c>
      <c r="J28" s="951">
        <v>1.5</v>
      </c>
      <c r="K28" s="952">
        <f t="shared" si="1"/>
        <v>2.8124999999999997E-2</v>
      </c>
      <c r="L28" s="644">
        <f t="shared" si="2"/>
        <v>20</v>
      </c>
      <c r="M28" s="935">
        <v>0.84722222222222221</v>
      </c>
      <c r="N28" s="936">
        <f t="shared" si="3"/>
        <v>0.84722222222222221</v>
      </c>
      <c r="O28" s="725"/>
      <c r="P28" s="725">
        <f t="shared" si="4"/>
        <v>-0.84722222222222221</v>
      </c>
      <c r="Q28" s="622"/>
      <c r="R28" s="37"/>
      <c r="S28" s="37" t="str">
        <f t="shared" si="5"/>
        <v>HutchinsonF0</v>
      </c>
      <c r="T28" s="37" t="str">
        <f t="shared" si="6"/>
        <v>1955F0</v>
      </c>
      <c r="U28" s="429">
        <v>20</v>
      </c>
      <c r="V28" s="1029">
        <v>1</v>
      </c>
      <c r="W28" s="598">
        <v>0.02</v>
      </c>
      <c r="X28" s="429"/>
      <c r="Y28" s="37" t="str">
        <f t="shared" si="7"/>
        <v>F020</v>
      </c>
      <c r="Z28" s="37" t="str">
        <f t="shared" si="8"/>
        <v>F01</v>
      </c>
      <c r="AA28" s="37" t="str">
        <f t="shared" si="9"/>
        <v>F00.02</v>
      </c>
      <c r="AB28" s="498" t="str">
        <f t="shared" si="0"/>
        <v>F020</v>
      </c>
      <c r="AC28" s="276"/>
      <c r="AD28" s="572"/>
      <c r="AE28" s="572"/>
      <c r="AF28" s="572"/>
      <c r="AG28" s="21"/>
      <c r="AI28" s="276"/>
      <c r="AJ28" s="276"/>
      <c r="AK28" s="276"/>
      <c r="AL28" s="276"/>
      <c r="AM28" s="276"/>
      <c r="AN28" s="276"/>
    </row>
    <row r="29" spans="1:40">
      <c r="A29" s="947">
        <f t="shared" si="10"/>
        <v>22</v>
      </c>
      <c r="B29" s="948">
        <v>3</v>
      </c>
      <c r="C29" s="949">
        <v>20231</v>
      </c>
      <c r="D29" s="949" t="s">
        <v>177</v>
      </c>
      <c r="E29" s="950">
        <v>22</v>
      </c>
      <c r="F29" s="644">
        <v>1955</v>
      </c>
      <c r="G29" s="948" t="s">
        <v>128</v>
      </c>
      <c r="H29" s="645" t="s">
        <v>149</v>
      </c>
      <c r="I29" s="951">
        <v>10</v>
      </c>
      <c r="J29" s="951">
        <v>0.1</v>
      </c>
      <c r="K29" s="952">
        <f t="shared" si="1"/>
        <v>5.6818181818181826E-4</v>
      </c>
      <c r="L29" s="644">
        <f t="shared" si="2"/>
        <v>21</v>
      </c>
      <c r="M29" s="935">
        <v>0.875</v>
      </c>
      <c r="N29" s="936">
        <f t="shared" si="3"/>
        <v>0.875</v>
      </c>
      <c r="O29" s="725"/>
      <c r="P29" s="725">
        <f t="shared" si="4"/>
        <v>-0.875</v>
      </c>
      <c r="Q29" s="622"/>
      <c r="R29" s="37"/>
      <c r="S29" s="37" t="str">
        <f t="shared" si="5"/>
        <v>BeaverF0</v>
      </c>
      <c r="T29" s="37" t="str">
        <f t="shared" si="6"/>
        <v>1955F0</v>
      </c>
      <c r="U29" s="429">
        <v>10</v>
      </c>
      <c r="V29" s="1029">
        <v>0.1</v>
      </c>
      <c r="W29" s="598">
        <v>1E-3</v>
      </c>
      <c r="X29" s="429"/>
      <c r="Y29" s="37" t="str">
        <f t="shared" si="7"/>
        <v>F010</v>
      </c>
      <c r="Z29" s="37" t="str">
        <f t="shared" si="8"/>
        <v>F00.1</v>
      </c>
      <c r="AA29" s="37" t="str">
        <f t="shared" si="9"/>
        <v>F00.001</v>
      </c>
      <c r="AB29" s="498" t="str">
        <f t="shared" si="0"/>
        <v>F021</v>
      </c>
      <c r="AC29" s="276" t="s">
        <v>637</v>
      </c>
      <c r="AD29" s="572"/>
      <c r="AE29" s="572"/>
      <c r="AF29" s="572"/>
      <c r="AG29" s="21"/>
      <c r="AI29" s="276"/>
      <c r="AJ29" s="276"/>
      <c r="AK29" s="276"/>
      <c r="AL29" s="276"/>
      <c r="AM29" s="276"/>
      <c r="AN29" s="276"/>
    </row>
    <row r="30" spans="1:40">
      <c r="A30" s="947">
        <f t="shared" si="10"/>
        <v>23</v>
      </c>
      <c r="B30" s="948">
        <v>4</v>
      </c>
      <c r="C30" s="949">
        <v>20234</v>
      </c>
      <c r="D30" s="949" t="s">
        <v>177</v>
      </c>
      <c r="E30" s="950">
        <v>25</v>
      </c>
      <c r="F30" s="644">
        <v>1955</v>
      </c>
      <c r="G30" s="948" t="s">
        <v>148</v>
      </c>
      <c r="H30" s="645" t="s">
        <v>153</v>
      </c>
      <c r="I30" s="951">
        <v>1100</v>
      </c>
      <c r="J30" s="951">
        <v>17</v>
      </c>
      <c r="K30" s="952">
        <f t="shared" si="1"/>
        <v>10.625</v>
      </c>
      <c r="L30" s="644">
        <f t="shared" si="2"/>
        <v>15</v>
      </c>
      <c r="M30" s="935">
        <v>0.63680555555555551</v>
      </c>
      <c r="N30" s="936">
        <f t="shared" si="3"/>
        <v>0.63680555555555551</v>
      </c>
      <c r="O30" s="935">
        <v>0.64930555555555558</v>
      </c>
      <c r="P30" s="725">
        <f t="shared" si="4"/>
        <v>1.2500000000000067E-2</v>
      </c>
      <c r="Q30" s="622" t="s">
        <v>85</v>
      </c>
      <c r="R30" s="37"/>
      <c r="S30" s="37" t="str">
        <f t="shared" si="5"/>
        <v>CollingsworthF4</v>
      </c>
      <c r="T30" s="37" t="str">
        <f t="shared" si="6"/>
        <v>1955F4</v>
      </c>
      <c r="U30" s="429">
        <v>1000</v>
      </c>
      <c r="V30" s="1029">
        <v>10</v>
      </c>
      <c r="W30" s="598">
        <v>10</v>
      </c>
      <c r="X30" s="429"/>
      <c r="Y30" s="37" t="str">
        <f t="shared" si="7"/>
        <v>F41000</v>
      </c>
      <c r="Z30" s="37" t="str">
        <f t="shared" si="8"/>
        <v>F410</v>
      </c>
      <c r="AA30" s="37" t="str">
        <f t="shared" si="9"/>
        <v>F410</v>
      </c>
      <c r="AB30" s="498" t="str">
        <f t="shared" si="0"/>
        <v>F415</v>
      </c>
      <c r="AC30" s="276" t="s">
        <v>638</v>
      </c>
      <c r="AD30" s="572"/>
      <c r="AE30" s="572"/>
      <c r="AF30" s="572"/>
      <c r="AG30" s="21"/>
      <c r="AI30" s="276"/>
      <c r="AJ30" s="276"/>
      <c r="AK30" s="276"/>
      <c r="AL30" s="276"/>
      <c r="AM30" s="276"/>
      <c r="AN30" s="276"/>
    </row>
    <row r="31" spans="1:40" ht="15.75" customHeight="1">
      <c r="A31" s="947">
        <f t="shared" si="10"/>
        <v>24</v>
      </c>
      <c r="B31" s="948">
        <v>5</v>
      </c>
      <c r="C31" s="949">
        <v>20234</v>
      </c>
      <c r="D31" s="949" t="s">
        <v>177</v>
      </c>
      <c r="E31" s="950">
        <v>25</v>
      </c>
      <c r="F31" s="644">
        <v>1955</v>
      </c>
      <c r="G31" s="948" t="s">
        <v>143</v>
      </c>
      <c r="H31" s="645" t="s">
        <v>153</v>
      </c>
      <c r="I31" s="951">
        <v>1100</v>
      </c>
      <c r="J31" s="951">
        <v>17.5</v>
      </c>
      <c r="K31" s="952">
        <f t="shared" si="1"/>
        <v>10.9375</v>
      </c>
      <c r="L31" s="644">
        <f t="shared" si="2"/>
        <v>15</v>
      </c>
      <c r="M31" s="935">
        <v>0.64930555555555558</v>
      </c>
      <c r="N31" s="936">
        <f t="shared" si="3"/>
        <v>0.64930555555555558</v>
      </c>
      <c r="O31" s="725"/>
      <c r="P31" s="725">
        <f t="shared" si="4"/>
        <v>-0.64930555555555558</v>
      </c>
      <c r="Q31" s="622" t="s">
        <v>867</v>
      </c>
      <c r="R31" s="37"/>
      <c r="S31" s="37" t="str">
        <f t="shared" si="5"/>
        <v>WheelerF4</v>
      </c>
      <c r="T31" s="37" t="str">
        <f t="shared" si="6"/>
        <v>1955F4</v>
      </c>
      <c r="U31" s="429">
        <v>1000</v>
      </c>
      <c r="V31" s="1029">
        <v>10</v>
      </c>
      <c r="W31" s="598">
        <v>10</v>
      </c>
      <c r="X31" s="429"/>
      <c r="Y31" s="37" t="str">
        <f t="shared" si="7"/>
        <v>F41000</v>
      </c>
      <c r="Z31" s="37" t="str">
        <f t="shared" si="8"/>
        <v>F410</v>
      </c>
      <c r="AA31" s="37" t="str">
        <f t="shared" si="9"/>
        <v>F410</v>
      </c>
      <c r="AB31" s="498" t="str">
        <f t="shared" si="0"/>
        <v>F415</v>
      </c>
      <c r="AC31" s="572"/>
      <c r="AD31" s="572"/>
      <c r="AE31" s="572"/>
      <c r="AF31" s="572"/>
      <c r="AG31" s="21"/>
      <c r="AI31" s="276"/>
      <c r="AJ31" s="276"/>
      <c r="AK31" s="276"/>
      <c r="AL31" s="276"/>
      <c r="AM31" s="276"/>
      <c r="AN31" s="276"/>
    </row>
    <row r="32" spans="1:40" s="42" customFormat="1">
      <c r="A32" s="947">
        <f t="shared" si="10"/>
        <v>25</v>
      </c>
      <c r="B32" s="953">
        <v>6</v>
      </c>
      <c r="C32" s="954">
        <v>20243</v>
      </c>
      <c r="D32" s="954" t="s">
        <v>178</v>
      </c>
      <c r="E32" s="955">
        <v>3</v>
      </c>
      <c r="F32" s="956">
        <v>1955</v>
      </c>
      <c r="G32" s="953" t="s">
        <v>138</v>
      </c>
      <c r="H32" s="957" t="s">
        <v>149</v>
      </c>
      <c r="I32" s="958">
        <v>33</v>
      </c>
      <c r="J32" s="958">
        <v>5.7</v>
      </c>
      <c r="K32" s="952">
        <f t="shared" si="1"/>
        <v>0.106875</v>
      </c>
      <c r="L32" s="959">
        <f t="shared" si="2"/>
        <v>17</v>
      </c>
      <c r="M32" s="960">
        <v>0.72222222222222221</v>
      </c>
      <c r="N32" s="936">
        <f t="shared" si="3"/>
        <v>0.72222222222222221</v>
      </c>
      <c r="O32" s="961"/>
      <c r="P32" s="725">
        <f t="shared" si="4"/>
        <v>-0.72222222222222221</v>
      </c>
      <c r="Q32" s="631"/>
      <c r="R32" s="41"/>
      <c r="S32" s="37" t="str">
        <f t="shared" si="5"/>
        <v>HemphillF0</v>
      </c>
      <c r="T32" s="37" t="str">
        <f t="shared" si="6"/>
        <v>1955F0</v>
      </c>
      <c r="U32" s="429">
        <v>20</v>
      </c>
      <c r="V32" s="1029">
        <v>5</v>
      </c>
      <c r="W32" s="598">
        <v>0.1</v>
      </c>
      <c r="X32" s="429"/>
      <c r="Y32" s="37" t="str">
        <f t="shared" si="7"/>
        <v>F020</v>
      </c>
      <c r="Z32" s="37" t="str">
        <f t="shared" si="8"/>
        <v>F05</v>
      </c>
      <c r="AA32" s="37" t="str">
        <f t="shared" si="9"/>
        <v>F00.1</v>
      </c>
      <c r="AB32" s="498" t="str">
        <f t="shared" si="0"/>
        <v>F017</v>
      </c>
      <c r="AC32" s="572"/>
      <c r="AD32" s="572"/>
      <c r="AE32" s="572"/>
      <c r="AF32" s="572"/>
      <c r="AG32" s="21"/>
      <c r="AI32" s="276"/>
      <c r="AJ32" s="276"/>
      <c r="AK32" s="276"/>
      <c r="AL32" s="276"/>
      <c r="AM32" s="276"/>
      <c r="AN32" s="276"/>
    </row>
    <row r="33" spans="1:40" ht="51">
      <c r="A33" s="947">
        <f t="shared" si="10"/>
        <v>26</v>
      </c>
      <c r="B33" s="948">
        <v>7</v>
      </c>
      <c r="C33" s="949">
        <v>20256</v>
      </c>
      <c r="D33" s="949" t="s">
        <v>178</v>
      </c>
      <c r="E33" s="950">
        <v>16</v>
      </c>
      <c r="F33" s="644">
        <v>1955</v>
      </c>
      <c r="G33" s="948" t="s">
        <v>146</v>
      </c>
      <c r="H33" s="645" t="s">
        <v>149</v>
      </c>
      <c r="I33" s="951">
        <v>17</v>
      </c>
      <c r="J33" s="951">
        <v>2</v>
      </c>
      <c r="K33" s="952">
        <f t="shared" si="1"/>
        <v>1.9318181818181818E-2</v>
      </c>
      <c r="L33" s="644">
        <f t="shared" si="2"/>
        <v>15</v>
      </c>
      <c r="M33" s="935">
        <v>0.64583333333333337</v>
      </c>
      <c r="N33" s="936">
        <f t="shared" si="3"/>
        <v>0.64583333333333337</v>
      </c>
      <c r="O33" s="725"/>
      <c r="P33" s="725">
        <f t="shared" si="4"/>
        <v>-0.64583333333333337</v>
      </c>
      <c r="Q33" s="380" t="s">
        <v>1166</v>
      </c>
      <c r="R33" s="36"/>
      <c r="S33" s="37" t="str">
        <f t="shared" si="5"/>
        <v>ArmstrongF0</v>
      </c>
      <c r="T33" s="37" t="str">
        <f t="shared" si="6"/>
        <v>1955F0</v>
      </c>
      <c r="U33" s="429">
        <v>10</v>
      </c>
      <c r="V33" s="1029">
        <v>2</v>
      </c>
      <c r="W33" s="598">
        <v>0.01</v>
      </c>
      <c r="X33" s="429"/>
      <c r="Y33" s="37" t="str">
        <f t="shared" si="7"/>
        <v>F010</v>
      </c>
      <c r="Z33" s="37" t="str">
        <f t="shared" si="8"/>
        <v>F02</v>
      </c>
      <c r="AA33" s="37" t="str">
        <f t="shared" si="9"/>
        <v>F00.01</v>
      </c>
      <c r="AB33" s="498" t="str">
        <f t="shared" si="0"/>
        <v>F015</v>
      </c>
      <c r="AC33" s="572"/>
      <c r="AD33" s="572"/>
      <c r="AE33" s="572"/>
      <c r="AF33" s="572"/>
      <c r="AG33" s="21"/>
      <c r="AI33" s="276"/>
      <c r="AJ33" s="276"/>
      <c r="AK33" s="276"/>
      <c r="AL33" s="276"/>
      <c r="AM33" s="276"/>
      <c r="AN33" s="276"/>
    </row>
    <row r="34" spans="1:40">
      <c r="A34" s="947">
        <f t="shared" si="10"/>
        <v>27</v>
      </c>
      <c r="B34" s="948">
        <v>8</v>
      </c>
      <c r="C34" s="949">
        <v>20256</v>
      </c>
      <c r="D34" s="949" t="s">
        <v>178</v>
      </c>
      <c r="E34" s="950">
        <v>16</v>
      </c>
      <c r="F34" s="644">
        <v>1955</v>
      </c>
      <c r="G34" s="948" t="s">
        <v>146</v>
      </c>
      <c r="H34" s="645" t="s">
        <v>149</v>
      </c>
      <c r="I34" s="951">
        <v>17</v>
      </c>
      <c r="J34" s="951">
        <v>2</v>
      </c>
      <c r="K34" s="952">
        <f t="shared" si="1"/>
        <v>1.9318181818181818E-2</v>
      </c>
      <c r="L34" s="644">
        <f t="shared" si="2"/>
        <v>15</v>
      </c>
      <c r="M34" s="935">
        <v>0.64583333333333337</v>
      </c>
      <c r="N34" s="936">
        <f t="shared" si="3"/>
        <v>0.64583333333333337</v>
      </c>
      <c r="O34" s="725"/>
      <c r="P34" s="725">
        <f t="shared" si="4"/>
        <v>-0.64583333333333337</v>
      </c>
      <c r="Q34" s="622"/>
      <c r="R34" s="36"/>
      <c r="S34" s="37" t="str">
        <f t="shared" si="5"/>
        <v>ArmstrongF0</v>
      </c>
      <c r="T34" s="37" t="str">
        <f t="shared" si="6"/>
        <v>1955F0</v>
      </c>
      <c r="U34" s="429">
        <v>10</v>
      </c>
      <c r="V34" s="1029">
        <v>2</v>
      </c>
      <c r="W34" s="598">
        <v>0.01</v>
      </c>
      <c r="X34" s="429"/>
      <c r="Y34" s="37" t="str">
        <f t="shared" si="7"/>
        <v>F010</v>
      </c>
      <c r="Z34" s="37" t="str">
        <f t="shared" si="8"/>
        <v>F02</v>
      </c>
      <c r="AA34" s="37" t="str">
        <f t="shared" si="9"/>
        <v>F00.01</v>
      </c>
      <c r="AB34" s="498" t="str">
        <f t="shared" si="0"/>
        <v>F015</v>
      </c>
      <c r="AC34" s="572"/>
      <c r="AD34" s="572"/>
      <c r="AE34" s="572"/>
      <c r="AF34" s="572"/>
      <c r="AG34" s="21"/>
      <c r="AI34" s="276"/>
      <c r="AJ34" s="276"/>
      <c r="AK34" s="276"/>
      <c r="AL34" s="276"/>
      <c r="AM34" s="276"/>
      <c r="AN34" s="276"/>
    </row>
    <row r="35" spans="1:40">
      <c r="A35" s="947">
        <f t="shared" si="10"/>
        <v>28</v>
      </c>
      <c r="B35" s="948">
        <v>9</v>
      </c>
      <c r="C35" s="949">
        <v>20256</v>
      </c>
      <c r="D35" s="949" t="s">
        <v>178</v>
      </c>
      <c r="E35" s="950">
        <v>16</v>
      </c>
      <c r="F35" s="644">
        <v>1955</v>
      </c>
      <c r="G35" s="948" t="s">
        <v>141</v>
      </c>
      <c r="H35" s="645" t="s">
        <v>150</v>
      </c>
      <c r="I35" s="951">
        <v>17</v>
      </c>
      <c r="J35" s="951">
        <v>1</v>
      </c>
      <c r="K35" s="952">
        <f t="shared" si="1"/>
        <v>9.6590909090909088E-3</v>
      </c>
      <c r="L35" s="644">
        <f t="shared" si="2"/>
        <v>15</v>
      </c>
      <c r="M35" s="935">
        <v>0.64583333333333337</v>
      </c>
      <c r="N35" s="936">
        <f t="shared" si="3"/>
        <v>0.64583333333333337</v>
      </c>
      <c r="O35" s="725"/>
      <c r="P35" s="725">
        <f t="shared" si="4"/>
        <v>-0.64583333333333337</v>
      </c>
      <c r="Q35" s="622"/>
      <c r="R35" s="36"/>
      <c r="S35" s="37" t="str">
        <f t="shared" si="5"/>
        <v>CarsonF1</v>
      </c>
      <c r="T35" s="37" t="str">
        <f t="shared" si="6"/>
        <v>1955F1</v>
      </c>
      <c r="U35" s="429">
        <v>10</v>
      </c>
      <c r="V35" s="1029">
        <v>1</v>
      </c>
      <c r="W35" s="598">
        <v>0.01</v>
      </c>
      <c r="X35" s="429"/>
      <c r="Y35" s="37" t="str">
        <f t="shared" si="7"/>
        <v>F110</v>
      </c>
      <c r="Z35" s="37" t="str">
        <f t="shared" si="8"/>
        <v>F11</v>
      </c>
      <c r="AA35" s="37" t="str">
        <f t="shared" si="9"/>
        <v>F10.01</v>
      </c>
      <c r="AB35" s="498" t="str">
        <f t="shared" si="0"/>
        <v>F115</v>
      </c>
      <c r="AC35" s="572"/>
      <c r="AD35" s="572"/>
      <c r="AE35" s="572"/>
      <c r="AF35" s="572"/>
      <c r="AG35" s="21"/>
      <c r="AI35" s="276"/>
      <c r="AJ35" s="276"/>
      <c r="AK35" s="276"/>
      <c r="AL35" s="276"/>
      <c r="AM35" s="276"/>
      <c r="AN35" s="276"/>
    </row>
    <row r="36" spans="1:40">
      <c r="A36" s="947">
        <f t="shared" si="10"/>
        <v>29</v>
      </c>
      <c r="B36" s="948">
        <v>10</v>
      </c>
      <c r="C36" s="949">
        <v>20256</v>
      </c>
      <c r="D36" s="949" t="s">
        <v>178</v>
      </c>
      <c r="E36" s="950">
        <v>16</v>
      </c>
      <c r="F36" s="644">
        <v>1955</v>
      </c>
      <c r="G36" s="948" t="s">
        <v>140</v>
      </c>
      <c r="H36" s="645" t="s">
        <v>149</v>
      </c>
      <c r="I36" s="951">
        <v>67</v>
      </c>
      <c r="J36" s="951">
        <v>0.3</v>
      </c>
      <c r="K36" s="952">
        <f t="shared" si="1"/>
        <v>1.1420454545454546E-2</v>
      </c>
      <c r="L36" s="644">
        <f t="shared" si="2"/>
        <v>15</v>
      </c>
      <c r="M36" s="935">
        <v>0.64583333333333337</v>
      </c>
      <c r="N36" s="936">
        <f t="shared" si="3"/>
        <v>0.64583333333333337</v>
      </c>
      <c r="O36" s="725"/>
      <c r="P36" s="725">
        <f t="shared" si="4"/>
        <v>-0.64583333333333337</v>
      </c>
      <c r="Q36" s="622"/>
      <c r="R36" s="36"/>
      <c r="S36" s="37" t="str">
        <f t="shared" si="5"/>
        <v>PotterF0</v>
      </c>
      <c r="T36" s="37" t="str">
        <f t="shared" si="6"/>
        <v>1955F0</v>
      </c>
      <c r="U36" s="429">
        <v>50</v>
      </c>
      <c r="V36" s="1029">
        <v>0.2</v>
      </c>
      <c r="W36" s="598">
        <v>0.01</v>
      </c>
      <c r="X36" s="429"/>
      <c r="Y36" s="37" t="str">
        <f t="shared" si="7"/>
        <v>F050</v>
      </c>
      <c r="Z36" s="37" t="str">
        <f t="shared" si="8"/>
        <v>F00.2</v>
      </c>
      <c r="AA36" s="37" t="str">
        <f t="shared" si="9"/>
        <v>F00.01</v>
      </c>
      <c r="AB36" s="498" t="str">
        <f t="shared" si="0"/>
        <v>F015</v>
      </c>
      <c r="AC36" s="572"/>
      <c r="AD36" s="572"/>
      <c r="AE36" s="572"/>
      <c r="AF36" s="572"/>
      <c r="AG36" s="21"/>
      <c r="AI36" s="276"/>
      <c r="AJ36" s="276"/>
      <c r="AK36" s="276"/>
      <c r="AL36" s="276"/>
      <c r="AM36" s="276"/>
      <c r="AN36" s="276"/>
    </row>
    <row r="37" spans="1:40">
      <c r="A37" s="947">
        <f t="shared" si="10"/>
        <v>30</v>
      </c>
      <c r="B37" s="948">
        <v>11</v>
      </c>
      <c r="C37" s="949">
        <v>20256</v>
      </c>
      <c r="D37" s="949" t="s">
        <v>178</v>
      </c>
      <c r="E37" s="950">
        <v>16</v>
      </c>
      <c r="F37" s="644">
        <v>1955</v>
      </c>
      <c r="G37" s="948" t="s">
        <v>141</v>
      </c>
      <c r="H37" s="645" t="s">
        <v>149</v>
      </c>
      <c r="I37" s="951">
        <v>33</v>
      </c>
      <c r="J37" s="951">
        <v>0.3</v>
      </c>
      <c r="K37" s="952">
        <f t="shared" si="1"/>
        <v>5.6249999999999998E-3</v>
      </c>
      <c r="L37" s="644">
        <f t="shared" si="2"/>
        <v>16</v>
      </c>
      <c r="M37" s="935">
        <v>0.67152777777777783</v>
      </c>
      <c r="N37" s="936">
        <f t="shared" si="3"/>
        <v>0.67152777777777783</v>
      </c>
      <c r="O37" s="725"/>
      <c r="P37" s="725">
        <f t="shared" si="4"/>
        <v>-0.67152777777777783</v>
      </c>
      <c r="Q37" s="622"/>
      <c r="R37" s="37"/>
      <c r="S37" s="37" t="str">
        <f t="shared" si="5"/>
        <v>CarsonF0</v>
      </c>
      <c r="T37" s="37" t="str">
        <f t="shared" si="6"/>
        <v>1955F0</v>
      </c>
      <c r="U37" s="429">
        <v>20</v>
      </c>
      <c r="V37" s="1029">
        <v>0.2</v>
      </c>
      <c r="W37" s="598">
        <v>5.0000000000000001E-3</v>
      </c>
      <c r="X37" s="429"/>
      <c r="Y37" s="37" t="str">
        <f t="shared" si="7"/>
        <v>F020</v>
      </c>
      <c r="Z37" s="37" t="str">
        <f t="shared" si="8"/>
        <v>F00.2</v>
      </c>
      <c r="AA37" s="37" t="str">
        <f t="shared" si="9"/>
        <v>F00.005</v>
      </c>
      <c r="AB37" s="498" t="str">
        <f t="shared" si="0"/>
        <v>F016</v>
      </c>
      <c r="AC37" s="572"/>
      <c r="AD37" s="572"/>
      <c r="AE37" s="572"/>
      <c r="AF37" s="572"/>
      <c r="AG37" s="21"/>
      <c r="AI37" s="276"/>
      <c r="AJ37" s="276"/>
      <c r="AK37" s="276"/>
      <c r="AL37" s="276"/>
      <c r="AM37" s="276"/>
      <c r="AN37" s="276"/>
    </row>
    <row r="38" spans="1:40">
      <c r="A38" s="947">
        <f t="shared" si="10"/>
        <v>31</v>
      </c>
      <c r="B38" s="948">
        <v>12</v>
      </c>
      <c r="C38" s="949">
        <v>20256</v>
      </c>
      <c r="D38" s="949" t="s">
        <v>178</v>
      </c>
      <c r="E38" s="950">
        <v>16</v>
      </c>
      <c r="F38" s="644">
        <v>1955</v>
      </c>
      <c r="G38" s="948" t="s">
        <v>138</v>
      </c>
      <c r="H38" s="645" t="s">
        <v>150</v>
      </c>
      <c r="I38" s="951">
        <v>1320</v>
      </c>
      <c r="J38" s="951">
        <v>3.8</v>
      </c>
      <c r="K38" s="952">
        <f t="shared" si="1"/>
        <v>2.8499999999999996</v>
      </c>
      <c r="L38" s="644">
        <f t="shared" si="2"/>
        <v>17</v>
      </c>
      <c r="M38" s="935">
        <v>0.70833333333333337</v>
      </c>
      <c r="N38" s="936">
        <f t="shared" si="3"/>
        <v>0.70833333333333337</v>
      </c>
      <c r="O38" s="725"/>
      <c r="P38" s="725">
        <f t="shared" si="4"/>
        <v>-0.70833333333333337</v>
      </c>
      <c r="Q38" s="622"/>
      <c r="R38" s="37"/>
      <c r="S38" s="37" t="str">
        <f t="shared" si="5"/>
        <v>HemphillF1</v>
      </c>
      <c r="T38" s="37" t="str">
        <f t="shared" si="6"/>
        <v>1955F1</v>
      </c>
      <c r="U38" s="429">
        <v>1000</v>
      </c>
      <c r="V38" s="1029">
        <v>2</v>
      </c>
      <c r="W38" s="598">
        <v>2</v>
      </c>
      <c r="X38" s="429"/>
      <c r="Y38" s="37" t="str">
        <f t="shared" si="7"/>
        <v>F11000</v>
      </c>
      <c r="Z38" s="37" t="str">
        <f t="shared" si="8"/>
        <v>F12</v>
      </c>
      <c r="AA38" s="37" t="str">
        <f t="shared" si="9"/>
        <v>F12</v>
      </c>
      <c r="AB38" s="498" t="str">
        <f t="shared" si="0"/>
        <v>F117</v>
      </c>
      <c r="AC38" s="572"/>
      <c r="AD38" s="572"/>
      <c r="AE38" s="572"/>
      <c r="AF38" s="572"/>
      <c r="AG38" s="21"/>
      <c r="AI38" s="276"/>
      <c r="AJ38" s="276"/>
      <c r="AK38" s="276"/>
      <c r="AL38" s="276"/>
      <c r="AM38" s="276"/>
      <c r="AN38" s="276"/>
    </row>
    <row r="39" spans="1:40">
      <c r="A39" s="947">
        <f t="shared" si="10"/>
        <v>32</v>
      </c>
      <c r="B39" s="948">
        <v>13</v>
      </c>
      <c r="C39" s="949">
        <v>20256</v>
      </c>
      <c r="D39" s="949" t="s">
        <v>178</v>
      </c>
      <c r="E39" s="950">
        <v>16</v>
      </c>
      <c r="F39" s="644">
        <v>1955</v>
      </c>
      <c r="G39" s="948" t="s">
        <v>147</v>
      </c>
      <c r="H39" s="645" t="s">
        <v>149</v>
      </c>
      <c r="I39" s="951">
        <v>3</v>
      </c>
      <c r="J39" s="951">
        <v>0.1</v>
      </c>
      <c r="K39" s="952">
        <f t="shared" si="1"/>
        <v>1.7045454545454547E-4</v>
      </c>
      <c r="L39" s="644">
        <f t="shared" si="2"/>
        <v>18</v>
      </c>
      <c r="M39" s="935">
        <v>0.77083333333333337</v>
      </c>
      <c r="N39" s="936">
        <f t="shared" si="3"/>
        <v>0.77083333333333337</v>
      </c>
      <c r="O39" s="725"/>
      <c r="P39" s="725">
        <f t="shared" si="4"/>
        <v>-0.77083333333333337</v>
      </c>
      <c r="Q39" s="622"/>
      <c r="R39" s="37"/>
      <c r="S39" s="37" t="str">
        <f t="shared" si="5"/>
        <v>DonleyF0</v>
      </c>
      <c r="T39" s="37" t="str">
        <f t="shared" si="6"/>
        <v>1955F0</v>
      </c>
      <c r="U39" s="429">
        <v>2</v>
      </c>
      <c r="V39" s="1029">
        <v>0.1</v>
      </c>
      <c r="W39" s="598">
        <v>2.0000000000000001E-4</v>
      </c>
      <c r="X39" s="429"/>
      <c r="Y39" s="37" t="str">
        <f t="shared" si="7"/>
        <v>F02</v>
      </c>
      <c r="Z39" s="37" t="str">
        <f t="shared" si="8"/>
        <v>F00.1</v>
      </c>
      <c r="AA39" s="37" t="str">
        <f t="shared" si="9"/>
        <v>F00.0002</v>
      </c>
      <c r="AB39" s="498" t="str">
        <f t="shared" si="0"/>
        <v>F018</v>
      </c>
      <c r="AC39" s="572"/>
      <c r="AD39" s="572"/>
      <c r="AE39" s="572"/>
      <c r="AF39" s="572"/>
      <c r="AG39" s="21"/>
      <c r="AI39" s="276"/>
      <c r="AJ39" s="276"/>
      <c r="AK39" s="276"/>
      <c r="AL39" s="276"/>
      <c r="AM39" s="276"/>
      <c r="AN39" s="276"/>
    </row>
    <row r="40" spans="1:40">
      <c r="A40" s="947">
        <f t="shared" si="10"/>
        <v>33</v>
      </c>
      <c r="B40" s="948">
        <v>14</v>
      </c>
      <c r="C40" s="949">
        <v>20256</v>
      </c>
      <c r="D40" s="949" t="s">
        <v>178</v>
      </c>
      <c r="E40" s="950">
        <v>16</v>
      </c>
      <c r="F40" s="644">
        <v>1955</v>
      </c>
      <c r="G40" s="948" t="s">
        <v>147</v>
      </c>
      <c r="H40" s="645" t="s">
        <v>151</v>
      </c>
      <c r="I40" s="951">
        <v>20</v>
      </c>
      <c r="J40" s="951">
        <v>1</v>
      </c>
      <c r="K40" s="952">
        <f t="shared" si="1"/>
        <v>1.1363636363636364E-2</v>
      </c>
      <c r="L40" s="644">
        <f t="shared" si="2"/>
        <v>18</v>
      </c>
      <c r="M40" s="935">
        <v>0.77083333333333337</v>
      </c>
      <c r="N40" s="936">
        <f t="shared" si="3"/>
        <v>0.77083333333333337</v>
      </c>
      <c r="O40" s="725"/>
      <c r="P40" s="725">
        <f t="shared" si="4"/>
        <v>-0.77083333333333337</v>
      </c>
      <c r="Q40" s="622"/>
      <c r="R40" s="37"/>
      <c r="S40" s="37" t="str">
        <f t="shared" si="5"/>
        <v>DonleyF2</v>
      </c>
      <c r="T40" s="37" t="str">
        <f t="shared" si="6"/>
        <v>1955F2</v>
      </c>
      <c r="U40" s="429">
        <v>20</v>
      </c>
      <c r="V40" s="1029">
        <v>1</v>
      </c>
      <c r="W40" s="598">
        <v>0.01</v>
      </c>
      <c r="X40" s="429"/>
      <c r="Y40" s="37" t="str">
        <f t="shared" si="7"/>
        <v>F220</v>
      </c>
      <c r="Z40" s="37" t="str">
        <f t="shared" si="8"/>
        <v>F21</v>
      </c>
      <c r="AA40" s="37" t="str">
        <f t="shared" si="9"/>
        <v>F20.01</v>
      </c>
      <c r="AB40" s="498" t="str">
        <f t="shared" si="0"/>
        <v>F218</v>
      </c>
      <c r="AC40" s="572"/>
      <c r="AD40" s="572"/>
      <c r="AE40" s="572"/>
      <c r="AF40" s="572"/>
      <c r="AG40" s="21"/>
      <c r="AI40" s="276"/>
      <c r="AJ40" s="276"/>
      <c r="AK40" s="276"/>
      <c r="AL40" s="276"/>
      <c r="AM40" s="276"/>
      <c r="AN40" s="276"/>
    </row>
    <row r="41" spans="1:40">
      <c r="A41" s="947">
        <f t="shared" si="10"/>
        <v>34</v>
      </c>
      <c r="B41" s="948">
        <v>15</v>
      </c>
      <c r="C41" s="949">
        <v>20257</v>
      </c>
      <c r="D41" s="949" t="s">
        <v>178</v>
      </c>
      <c r="E41" s="950">
        <v>17</v>
      </c>
      <c r="F41" s="644">
        <v>1955</v>
      </c>
      <c r="G41" s="948" t="s">
        <v>148</v>
      </c>
      <c r="H41" s="645" t="s">
        <v>152</v>
      </c>
      <c r="I41" s="951">
        <v>67</v>
      </c>
      <c r="J41" s="951">
        <v>16.2</v>
      </c>
      <c r="K41" s="952">
        <f t="shared" si="1"/>
        <v>0.61670454545454545</v>
      </c>
      <c r="L41" s="644">
        <f t="shared" si="2"/>
        <v>19</v>
      </c>
      <c r="M41" s="935">
        <v>0.79861111111111116</v>
      </c>
      <c r="N41" s="936">
        <f t="shared" si="3"/>
        <v>0.79861111111111116</v>
      </c>
      <c r="O41" s="725"/>
      <c r="P41" s="725">
        <f t="shared" si="4"/>
        <v>-0.79861111111111116</v>
      </c>
      <c r="Q41" s="622" t="s">
        <v>90</v>
      </c>
      <c r="R41" s="37"/>
      <c r="S41" s="37" t="str">
        <f t="shared" si="5"/>
        <v>CollingsworthF3</v>
      </c>
      <c r="T41" s="37" t="str">
        <f t="shared" si="6"/>
        <v>1955F3</v>
      </c>
      <c r="U41" s="429">
        <v>50</v>
      </c>
      <c r="V41" s="1029">
        <v>10</v>
      </c>
      <c r="W41" s="598">
        <v>0.5</v>
      </c>
      <c r="X41" s="429"/>
      <c r="Y41" s="37" t="str">
        <f t="shared" si="7"/>
        <v>F350</v>
      </c>
      <c r="Z41" s="37" t="str">
        <f t="shared" si="8"/>
        <v>F310</v>
      </c>
      <c r="AA41" s="37" t="str">
        <f t="shared" si="9"/>
        <v>F30.5</v>
      </c>
      <c r="AB41" s="498" t="str">
        <f t="shared" si="0"/>
        <v>F319</v>
      </c>
      <c r="AC41" s="572"/>
      <c r="AD41" s="572"/>
      <c r="AE41" s="572"/>
      <c r="AF41" s="572"/>
      <c r="AG41" s="21"/>
      <c r="AI41" s="276"/>
      <c r="AJ41" s="276"/>
      <c r="AK41" s="276"/>
      <c r="AL41" s="276"/>
      <c r="AM41" s="276"/>
      <c r="AN41" s="276"/>
    </row>
    <row r="42" spans="1:40">
      <c r="A42" s="947">
        <f t="shared" si="10"/>
        <v>35</v>
      </c>
      <c r="B42" s="948">
        <v>16</v>
      </c>
      <c r="C42" s="949">
        <v>20258</v>
      </c>
      <c r="D42" s="949" t="s">
        <v>178</v>
      </c>
      <c r="E42" s="950">
        <v>18</v>
      </c>
      <c r="F42" s="644">
        <v>1955</v>
      </c>
      <c r="G42" s="948" t="s">
        <v>130</v>
      </c>
      <c r="H42" s="645" t="s">
        <v>149</v>
      </c>
      <c r="I42" s="951">
        <v>10</v>
      </c>
      <c r="J42" s="951">
        <v>0.1</v>
      </c>
      <c r="K42" s="952">
        <f t="shared" si="1"/>
        <v>5.6818181818181826E-4</v>
      </c>
      <c r="L42" s="644">
        <f t="shared" si="2"/>
        <v>20</v>
      </c>
      <c r="M42" s="935">
        <v>0.83333333333333337</v>
      </c>
      <c r="N42" s="936">
        <f t="shared" si="3"/>
        <v>0.83333333333333337</v>
      </c>
      <c r="O42" s="725"/>
      <c r="P42" s="725">
        <f t="shared" si="4"/>
        <v>-0.83333333333333337</v>
      </c>
      <c r="Q42" s="622"/>
      <c r="R42" s="37"/>
      <c r="S42" s="37" t="str">
        <f t="shared" si="5"/>
        <v>ShermanF0</v>
      </c>
      <c r="T42" s="37" t="str">
        <f t="shared" si="6"/>
        <v>1955F0</v>
      </c>
      <c r="U42" s="429">
        <v>10</v>
      </c>
      <c r="V42" s="1029">
        <v>0.1</v>
      </c>
      <c r="W42" s="598">
        <v>1E-3</v>
      </c>
      <c r="X42" s="429"/>
      <c r="Y42" s="37" t="str">
        <f t="shared" si="7"/>
        <v>F010</v>
      </c>
      <c r="Z42" s="37" t="str">
        <f t="shared" si="8"/>
        <v>F00.1</v>
      </c>
      <c r="AA42" s="37" t="str">
        <f t="shared" si="9"/>
        <v>F00.001</v>
      </c>
      <c r="AB42" s="498" t="str">
        <f t="shared" si="0"/>
        <v>F020</v>
      </c>
      <c r="AC42" s="572"/>
      <c r="AD42" s="572"/>
      <c r="AE42" s="572"/>
      <c r="AF42" s="572"/>
      <c r="AG42" s="21"/>
      <c r="AI42" s="276"/>
      <c r="AJ42" s="276"/>
      <c r="AK42" s="276"/>
      <c r="AL42" s="276"/>
      <c r="AM42" s="276"/>
      <c r="AN42" s="276"/>
    </row>
    <row r="43" spans="1:40">
      <c r="A43" s="947">
        <f t="shared" si="10"/>
        <v>36</v>
      </c>
      <c r="B43" s="948">
        <v>17</v>
      </c>
      <c r="C43" s="949">
        <v>20258</v>
      </c>
      <c r="D43" s="949" t="s">
        <v>178</v>
      </c>
      <c r="E43" s="950">
        <v>18</v>
      </c>
      <c r="F43" s="644">
        <v>1955</v>
      </c>
      <c r="G43" s="948" t="s">
        <v>130</v>
      </c>
      <c r="H43" s="645" t="s">
        <v>149</v>
      </c>
      <c r="I43" s="951">
        <v>10</v>
      </c>
      <c r="J43" s="951">
        <v>0.1</v>
      </c>
      <c r="K43" s="952">
        <f t="shared" si="1"/>
        <v>5.6818181818181826E-4</v>
      </c>
      <c r="L43" s="644">
        <f t="shared" si="2"/>
        <v>20</v>
      </c>
      <c r="M43" s="935">
        <v>0.83333333333333337</v>
      </c>
      <c r="N43" s="936">
        <f t="shared" si="3"/>
        <v>0.83333333333333337</v>
      </c>
      <c r="O43" s="725"/>
      <c r="P43" s="725">
        <f t="shared" si="4"/>
        <v>-0.83333333333333337</v>
      </c>
      <c r="Q43" s="622"/>
      <c r="R43" s="37"/>
      <c r="S43" s="37" t="str">
        <f t="shared" si="5"/>
        <v>ShermanF0</v>
      </c>
      <c r="T43" s="37" t="str">
        <f t="shared" si="6"/>
        <v>1955F0</v>
      </c>
      <c r="U43" s="429">
        <v>10</v>
      </c>
      <c r="V43" s="1029">
        <v>0.1</v>
      </c>
      <c r="W43" s="598">
        <v>1E-3</v>
      </c>
      <c r="X43" s="429"/>
      <c r="Y43" s="37" t="str">
        <f t="shared" si="7"/>
        <v>F010</v>
      </c>
      <c r="Z43" s="37" t="str">
        <f t="shared" si="8"/>
        <v>F00.1</v>
      </c>
      <c r="AA43" s="37" t="str">
        <f t="shared" si="9"/>
        <v>F00.001</v>
      </c>
      <c r="AB43" s="498" t="str">
        <f t="shared" si="0"/>
        <v>F020</v>
      </c>
      <c r="AC43" s="572"/>
      <c r="AD43" s="572"/>
      <c r="AE43" s="572"/>
      <c r="AF43" s="572"/>
      <c r="AG43" s="21"/>
      <c r="AI43" s="276"/>
      <c r="AJ43" s="276"/>
      <c r="AK43" s="276"/>
      <c r="AL43" s="276"/>
      <c r="AM43" s="276"/>
      <c r="AN43" s="276"/>
    </row>
    <row r="44" spans="1:40">
      <c r="A44" s="947">
        <f t="shared" si="10"/>
        <v>37</v>
      </c>
      <c r="B44" s="948">
        <v>18</v>
      </c>
      <c r="C44" s="949">
        <v>20258</v>
      </c>
      <c r="D44" s="949" t="s">
        <v>178</v>
      </c>
      <c r="E44" s="950">
        <v>18</v>
      </c>
      <c r="F44" s="644">
        <v>1955</v>
      </c>
      <c r="G44" s="948" t="s">
        <v>130</v>
      </c>
      <c r="H44" s="645" t="s">
        <v>149</v>
      </c>
      <c r="I44" s="951">
        <v>10</v>
      </c>
      <c r="J44" s="951">
        <v>0.1</v>
      </c>
      <c r="K44" s="952">
        <f t="shared" si="1"/>
        <v>5.6818181818181826E-4</v>
      </c>
      <c r="L44" s="644">
        <f t="shared" si="2"/>
        <v>20</v>
      </c>
      <c r="M44" s="935">
        <v>0.83333333333333337</v>
      </c>
      <c r="N44" s="936">
        <f t="shared" si="3"/>
        <v>0.83333333333333337</v>
      </c>
      <c r="O44" s="725"/>
      <c r="P44" s="725">
        <f t="shared" si="4"/>
        <v>-0.83333333333333337</v>
      </c>
      <c r="Q44" s="622"/>
      <c r="R44" s="37"/>
      <c r="S44" s="37" t="str">
        <f t="shared" si="5"/>
        <v>ShermanF0</v>
      </c>
      <c r="T44" s="37" t="str">
        <f t="shared" si="6"/>
        <v>1955F0</v>
      </c>
      <c r="U44" s="429">
        <v>10</v>
      </c>
      <c r="V44" s="1029">
        <v>0.1</v>
      </c>
      <c r="W44" s="598">
        <v>1E-3</v>
      </c>
      <c r="X44" s="429"/>
      <c r="Y44" s="37" t="str">
        <f t="shared" si="7"/>
        <v>F010</v>
      </c>
      <c r="Z44" s="37" t="str">
        <f t="shared" si="8"/>
        <v>F00.1</v>
      </c>
      <c r="AA44" s="37" t="str">
        <f t="shared" si="9"/>
        <v>F00.001</v>
      </c>
      <c r="AB44" s="498" t="str">
        <f t="shared" si="0"/>
        <v>F020</v>
      </c>
      <c r="AC44" s="572"/>
      <c r="AD44" s="572"/>
      <c r="AE44" s="572"/>
      <c r="AF44" s="572"/>
      <c r="AG44" s="21"/>
      <c r="AI44" s="276"/>
      <c r="AJ44" s="276"/>
      <c r="AK44" s="276"/>
      <c r="AL44" s="276"/>
      <c r="AM44" s="276"/>
      <c r="AN44" s="276"/>
    </row>
    <row r="45" spans="1:40">
      <c r="A45" s="947">
        <f t="shared" si="10"/>
        <v>38</v>
      </c>
      <c r="B45" s="948">
        <v>19</v>
      </c>
      <c r="C45" s="949">
        <v>20259</v>
      </c>
      <c r="D45" s="949" t="s">
        <v>178</v>
      </c>
      <c r="E45" s="950">
        <v>19</v>
      </c>
      <c r="F45" s="644">
        <v>1955</v>
      </c>
      <c r="G45" s="948" t="s">
        <v>130</v>
      </c>
      <c r="H45" s="645" t="s">
        <v>149</v>
      </c>
      <c r="I45" s="951">
        <v>10</v>
      </c>
      <c r="J45" s="951">
        <v>0.1</v>
      </c>
      <c r="K45" s="952">
        <f t="shared" si="1"/>
        <v>5.6818181818181826E-4</v>
      </c>
      <c r="L45" s="644">
        <f t="shared" si="2"/>
        <v>17</v>
      </c>
      <c r="M45" s="935">
        <v>0.73263888888888884</v>
      </c>
      <c r="N45" s="936">
        <f t="shared" si="3"/>
        <v>0.73263888888888884</v>
      </c>
      <c r="O45" s="725"/>
      <c r="P45" s="725">
        <f t="shared" si="4"/>
        <v>-0.73263888888888884</v>
      </c>
      <c r="Q45" s="622"/>
      <c r="R45" s="37"/>
      <c r="S45" s="37" t="str">
        <f t="shared" si="5"/>
        <v>ShermanF0</v>
      </c>
      <c r="T45" s="37" t="str">
        <f t="shared" si="6"/>
        <v>1955F0</v>
      </c>
      <c r="U45" s="429">
        <v>10</v>
      </c>
      <c r="V45" s="1029">
        <v>0.1</v>
      </c>
      <c r="W45" s="598">
        <v>1E-3</v>
      </c>
      <c r="X45" s="429"/>
      <c r="Y45" s="37" t="str">
        <f t="shared" si="7"/>
        <v>F010</v>
      </c>
      <c r="Z45" s="37" t="str">
        <f t="shared" si="8"/>
        <v>F00.1</v>
      </c>
      <c r="AA45" s="37" t="str">
        <f t="shared" si="9"/>
        <v>F00.001</v>
      </c>
      <c r="AB45" s="498" t="str">
        <f t="shared" si="0"/>
        <v>F017</v>
      </c>
      <c r="AC45" s="572"/>
      <c r="AD45" s="572"/>
      <c r="AE45" s="572"/>
      <c r="AF45" s="572"/>
      <c r="AG45" s="21"/>
      <c r="AI45" s="276"/>
      <c r="AJ45" s="276"/>
      <c r="AK45" s="276"/>
      <c r="AL45" s="276"/>
      <c r="AM45" s="276"/>
      <c r="AN45" s="276"/>
    </row>
    <row r="46" spans="1:40">
      <c r="A46" s="947">
        <f t="shared" si="10"/>
        <v>39</v>
      </c>
      <c r="B46" s="948">
        <v>1</v>
      </c>
      <c r="C46" s="949">
        <v>20629</v>
      </c>
      <c r="D46" s="949" t="s">
        <v>178</v>
      </c>
      <c r="E46" s="950">
        <v>23</v>
      </c>
      <c r="F46" s="644">
        <v>1956</v>
      </c>
      <c r="G46" s="948" t="s">
        <v>127</v>
      </c>
      <c r="H46" s="645" t="s">
        <v>150</v>
      </c>
      <c r="I46" s="951">
        <v>50</v>
      </c>
      <c r="J46" s="951">
        <v>2</v>
      </c>
      <c r="K46" s="952">
        <f t="shared" si="1"/>
        <v>5.6818181818181816E-2</v>
      </c>
      <c r="L46" s="644">
        <f t="shared" si="2"/>
        <v>20</v>
      </c>
      <c r="M46" s="935">
        <v>0.83333333333333337</v>
      </c>
      <c r="N46" s="936">
        <f t="shared" si="3"/>
        <v>0.83333333333333337</v>
      </c>
      <c r="O46" s="725"/>
      <c r="P46" s="725">
        <f t="shared" si="4"/>
        <v>-0.83333333333333337</v>
      </c>
      <c r="Q46" s="622"/>
      <c r="R46" s="37"/>
      <c r="S46" s="37" t="str">
        <f t="shared" si="5"/>
        <v>TexasF1</v>
      </c>
      <c r="T46" s="37" t="str">
        <f t="shared" si="6"/>
        <v>1956F1</v>
      </c>
      <c r="U46" s="429">
        <v>50</v>
      </c>
      <c r="V46" s="1029">
        <v>2</v>
      </c>
      <c r="W46" s="598">
        <v>0.05</v>
      </c>
      <c r="X46" s="429"/>
      <c r="Y46" s="37" t="str">
        <f t="shared" si="7"/>
        <v>F150</v>
      </c>
      <c r="Z46" s="37" t="str">
        <f t="shared" si="8"/>
        <v>F12</v>
      </c>
      <c r="AA46" s="37" t="str">
        <f t="shared" si="9"/>
        <v>F10.05</v>
      </c>
      <c r="AB46" s="498" t="str">
        <f t="shared" si="0"/>
        <v>F120</v>
      </c>
      <c r="AC46" s="572"/>
      <c r="AD46" s="572"/>
      <c r="AE46" s="572"/>
      <c r="AF46" s="572"/>
      <c r="AG46" s="21"/>
      <c r="AI46" s="276"/>
      <c r="AJ46" s="276"/>
      <c r="AK46" s="276"/>
      <c r="AL46" s="276"/>
      <c r="AM46" s="276"/>
      <c r="AN46" s="276"/>
    </row>
    <row r="47" spans="1:40">
      <c r="A47" s="947">
        <f t="shared" si="10"/>
        <v>40</v>
      </c>
      <c r="B47" s="948">
        <v>2</v>
      </c>
      <c r="C47" s="949">
        <v>20640</v>
      </c>
      <c r="D47" s="949" t="s">
        <v>179</v>
      </c>
      <c r="E47" s="950">
        <v>4</v>
      </c>
      <c r="F47" s="644">
        <v>1956</v>
      </c>
      <c r="G47" s="948" t="s">
        <v>145</v>
      </c>
      <c r="H47" s="645" t="s">
        <v>149</v>
      </c>
      <c r="I47" s="951">
        <v>33</v>
      </c>
      <c r="J47" s="951">
        <v>0.4</v>
      </c>
      <c r="K47" s="952">
        <f t="shared" si="1"/>
        <v>7.4999999999999997E-3</v>
      </c>
      <c r="L47" s="644">
        <f t="shared" si="2"/>
        <v>17</v>
      </c>
      <c r="M47" s="935">
        <v>0.70833333333333337</v>
      </c>
      <c r="N47" s="936">
        <f t="shared" si="3"/>
        <v>0.70833333333333337</v>
      </c>
      <c r="O47" s="725"/>
      <c r="P47" s="725">
        <f t="shared" si="4"/>
        <v>-0.70833333333333337</v>
      </c>
      <c r="Q47" s="622"/>
      <c r="R47" s="37"/>
      <c r="S47" s="37" t="str">
        <f t="shared" si="5"/>
        <v>RandallF0</v>
      </c>
      <c r="T47" s="37" t="str">
        <f t="shared" si="6"/>
        <v>1956F0</v>
      </c>
      <c r="U47" s="429">
        <v>20</v>
      </c>
      <c r="V47" s="1029">
        <v>0.2</v>
      </c>
      <c r="W47" s="598">
        <v>5.0000000000000001E-3</v>
      </c>
      <c r="X47" s="429"/>
      <c r="Y47" s="37" t="str">
        <f t="shared" si="7"/>
        <v>F020</v>
      </c>
      <c r="Z47" s="37" t="str">
        <f t="shared" si="8"/>
        <v>F00.2</v>
      </c>
      <c r="AA47" s="37" t="str">
        <f t="shared" si="9"/>
        <v>F00.005</v>
      </c>
      <c r="AB47" s="498" t="str">
        <f t="shared" si="0"/>
        <v>F017</v>
      </c>
      <c r="AC47" s="572"/>
      <c r="AD47" s="572"/>
      <c r="AE47" s="572"/>
      <c r="AF47" s="572"/>
      <c r="AG47" s="21"/>
    </row>
    <row r="48" spans="1:40">
      <c r="A48" s="947">
        <f t="shared" si="10"/>
        <v>41</v>
      </c>
      <c r="B48" s="948">
        <v>1</v>
      </c>
      <c r="C48" s="949">
        <v>20912</v>
      </c>
      <c r="D48" s="949" t="s">
        <v>176</v>
      </c>
      <c r="E48" s="950">
        <v>2</v>
      </c>
      <c r="F48" s="644">
        <v>1957</v>
      </c>
      <c r="G48" s="948" t="s">
        <v>143</v>
      </c>
      <c r="H48" s="645" t="s">
        <v>151</v>
      </c>
      <c r="I48" s="951">
        <v>33</v>
      </c>
      <c r="J48" s="951">
        <v>0.3</v>
      </c>
      <c r="K48" s="952">
        <f t="shared" si="1"/>
        <v>5.6249999999999998E-3</v>
      </c>
      <c r="L48" s="644">
        <f t="shared" si="2"/>
        <v>18</v>
      </c>
      <c r="M48" s="935">
        <v>0.75347222222222221</v>
      </c>
      <c r="N48" s="936">
        <f t="shared" si="3"/>
        <v>0.75347222222222221</v>
      </c>
      <c r="O48" s="725"/>
      <c r="P48" s="725">
        <f t="shared" si="4"/>
        <v>-0.75347222222222221</v>
      </c>
      <c r="Q48" s="622"/>
      <c r="R48" s="37"/>
      <c r="S48" s="37" t="str">
        <f t="shared" si="5"/>
        <v>WheelerF2</v>
      </c>
      <c r="T48" s="37" t="str">
        <f t="shared" si="6"/>
        <v>1957F2</v>
      </c>
      <c r="U48" s="429">
        <v>20</v>
      </c>
      <c r="V48" s="1029">
        <v>0.2</v>
      </c>
      <c r="W48" s="598">
        <v>5.0000000000000001E-3</v>
      </c>
      <c r="X48" s="429"/>
      <c r="Y48" s="37" t="str">
        <f t="shared" si="7"/>
        <v>F220</v>
      </c>
      <c r="Z48" s="37" t="str">
        <f t="shared" si="8"/>
        <v>F20.2</v>
      </c>
      <c r="AA48" s="37" t="str">
        <f t="shared" si="9"/>
        <v>F20.005</v>
      </c>
      <c r="AB48" s="498" t="str">
        <f t="shared" si="0"/>
        <v>F218</v>
      </c>
      <c r="AC48" s="572"/>
      <c r="AD48" s="572"/>
      <c r="AE48" s="572"/>
      <c r="AF48" s="572"/>
      <c r="AG48" s="21"/>
    </row>
    <row r="49" spans="1:33">
      <c r="A49" s="947">
        <f t="shared" si="10"/>
        <v>42</v>
      </c>
      <c r="B49" s="948">
        <v>2</v>
      </c>
      <c r="C49" s="949">
        <v>20951</v>
      </c>
      <c r="D49" s="949" t="s">
        <v>177</v>
      </c>
      <c r="E49" s="950">
        <v>11</v>
      </c>
      <c r="F49" s="644">
        <v>1957</v>
      </c>
      <c r="G49" s="948" t="s">
        <v>134</v>
      </c>
      <c r="H49" s="645" t="s">
        <v>150</v>
      </c>
      <c r="I49" s="951">
        <v>33</v>
      </c>
      <c r="J49" s="951">
        <v>7.4</v>
      </c>
      <c r="K49" s="952">
        <f t="shared" si="1"/>
        <v>0.13875000000000001</v>
      </c>
      <c r="L49" s="644">
        <f t="shared" si="2"/>
        <v>17</v>
      </c>
      <c r="M49" s="935">
        <v>0.71875</v>
      </c>
      <c r="N49" s="936">
        <f t="shared" si="3"/>
        <v>0.71875</v>
      </c>
      <c r="O49" s="725"/>
      <c r="P49" s="725">
        <f t="shared" si="4"/>
        <v>-0.71875</v>
      </c>
      <c r="Q49" s="622"/>
      <c r="R49" s="37"/>
      <c r="S49" s="37" t="str">
        <f t="shared" si="5"/>
        <v>HartleyF1</v>
      </c>
      <c r="T49" s="37" t="str">
        <f t="shared" si="6"/>
        <v>1957F1</v>
      </c>
      <c r="U49" s="429">
        <v>20</v>
      </c>
      <c r="V49" s="1029">
        <v>5</v>
      </c>
      <c r="W49" s="598">
        <v>0.1</v>
      </c>
      <c r="X49" s="429"/>
      <c r="Y49" s="37" t="str">
        <f t="shared" si="7"/>
        <v>F120</v>
      </c>
      <c r="Z49" s="37" t="str">
        <f t="shared" si="8"/>
        <v>F15</v>
      </c>
      <c r="AA49" s="37" t="str">
        <f t="shared" si="9"/>
        <v>F10.1</v>
      </c>
      <c r="AB49" s="498" t="str">
        <f t="shared" si="0"/>
        <v>F117</v>
      </c>
      <c r="AC49" s="572"/>
      <c r="AD49" s="572"/>
      <c r="AE49" s="572"/>
      <c r="AF49" s="572"/>
      <c r="AG49" s="21"/>
    </row>
    <row r="50" spans="1:33">
      <c r="A50" s="947">
        <f t="shared" si="10"/>
        <v>43</v>
      </c>
      <c r="B50" s="948">
        <v>3</v>
      </c>
      <c r="C50" s="949">
        <v>20955</v>
      </c>
      <c r="D50" s="949" t="s">
        <v>177</v>
      </c>
      <c r="E50" s="950">
        <v>15</v>
      </c>
      <c r="F50" s="644">
        <v>1957</v>
      </c>
      <c r="G50" s="948" t="s">
        <v>142</v>
      </c>
      <c r="H50" s="645" t="s">
        <v>150</v>
      </c>
      <c r="I50" s="951">
        <v>33</v>
      </c>
      <c r="J50" s="951">
        <v>8</v>
      </c>
      <c r="K50" s="952">
        <f t="shared" si="1"/>
        <v>0.15</v>
      </c>
      <c r="L50" s="644">
        <f t="shared" si="2"/>
        <v>15</v>
      </c>
      <c r="M50" s="935">
        <v>0.64583333333333337</v>
      </c>
      <c r="N50" s="936">
        <f t="shared" si="3"/>
        <v>0.64583333333333337</v>
      </c>
      <c r="O50" s="725"/>
      <c r="P50" s="725">
        <f t="shared" si="4"/>
        <v>-0.64583333333333337</v>
      </c>
      <c r="Q50" s="622" t="s">
        <v>1168</v>
      </c>
      <c r="R50" s="37"/>
      <c r="S50" s="37" t="str">
        <f t="shared" si="5"/>
        <v>GrayF1</v>
      </c>
      <c r="T50" s="37" t="str">
        <f t="shared" si="6"/>
        <v>1957F1</v>
      </c>
      <c r="U50" s="429">
        <v>20</v>
      </c>
      <c r="V50" s="1029">
        <v>5</v>
      </c>
      <c r="W50" s="598">
        <v>0.1</v>
      </c>
      <c r="X50" s="429"/>
      <c r="Y50" s="37" t="str">
        <f t="shared" si="7"/>
        <v>F120</v>
      </c>
      <c r="Z50" s="37" t="str">
        <f t="shared" si="8"/>
        <v>F15</v>
      </c>
      <c r="AA50" s="37" t="str">
        <f t="shared" si="9"/>
        <v>F10.1</v>
      </c>
      <c r="AB50" s="498" t="str">
        <f t="shared" si="0"/>
        <v>F115</v>
      </c>
      <c r="AC50" s="572"/>
      <c r="AD50" s="572"/>
      <c r="AE50" s="572"/>
      <c r="AF50" s="572"/>
      <c r="AG50" s="21"/>
    </row>
    <row r="51" spans="1:33" ht="25.5">
      <c r="A51" s="947">
        <f t="shared" si="10"/>
        <v>44</v>
      </c>
      <c r="B51" s="948">
        <v>4</v>
      </c>
      <c r="C51" s="949">
        <v>20955</v>
      </c>
      <c r="D51" s="949" t="s">
        <v>177</v>
      </c>
      <c r="E51" s="950">
        <v>15</v>
      </c>
      <c r="F51" s="644">
        <v>1957</v>
      </c>
      <c r="G51" s="948" t="s">
        <v>142</v>
      </c>
      <c r="H51" s="645" t="s">
        <v>150</v>
      </c>
      <c r="I51" s="951">
        <v>10</v>
      </c>
      <c r="J51" s="951">
        <v>0.1</v>
      </c>
      <c r="K51" s="952">
        <f t="shared" si="1"/>
        <v>5.6818181818181826E-4</v>
      </c>
      <c r="L51" s="644">
        <f t="shared" si="2"/>
        <v>17</v>
      </c>
      <c r="M51" s="935">
        <v>0.72222222222222221</v>
      </c>
      <c r="N51" s="936">
        <f t="shared" si="3"/>
        <v>0.72222222222222221</v>
      </c>
      <c r="O51" s="725"/>
      <c r="P51" s="725">
        <f t="shared" si="4"/>
        <v>-0.72222222222222221</v>
      </c>
      <c r="Q51" s="622" t="s">
        <v>1167</v>
      </c>
      <c r="R51" s="37"/>
      <c r="S51" s="37" t="str">
        <f t="shared" si="5"/>
        <v>GrayF1</v>
      </c>
      <c r="T51" s="37" t="str">
        <f t="shared" si="6"/>
        <v>1957F1</v>
      </c>
      <c r="U51" s="429">
        <v>10</v>
      </c>
      <c r="V51" s="1029">
        <v>0.1</v>
      </c>
      <c r="W51" s="598">
        <v>1E-3</v>
      </c>
      <c r="X51" s="429"/>
      <c r="Y51" s="37" t="str">
        <f t="shared" si="7"/>
        <v>F110</v>
      </c>
      <c r="Z51" s="37" t="str">
        <f t="shared" si="8"/>
        <v>F10.1</v>
      </c>
      <c r="AA51" s="37" t="str">
        <f t="shared" si="9"/>
        <v>F10.001</v>
      </c>
      <c r="AB51" s="498" t="str">
        <f t="shared" si="0"/>
        <v>F117</v>
      </c>
      <c r="AC51" s="572"/>
      <c r="AD51" s="572"/>
      <c r="AE51" s="572"/>
      <c r="AF51" s="572"/>
      <c r="AG51" s="21"/>
    </row>
    <row r="52" spans="1:33" ht="25.5">
      <c r="A52" s="947">
        <f t="shared" si="10"/>
        <v>45</v>
      </c>
      <c r="B52" s="948">
        <v>5</v>
      </c>
      <c r="C52" s="949">
        <v>20955</v>
      </c>
      <c r="D52" s="949" t="s">
        <v>177</v>
      </c>
      <c r="E52" s="950">
        <v>15</v>
      </c>
      <c r="F52" s="644">
        <v>1957</v>
      </c>
      <c r="G52" s="948" t="s">
        <v>147</v>
      </c>
      <c r="H52" s="645" t="s">
        <v>152</v>
      </c>
      <c r="I52" s="951">
        <v>50</v>
      </c>
      <c r="J52" s="951">
        <v>10.199999999999999</v>
      </c>
      <c r="K52" s="952">
        <f t="shared" si="1"/>
        <v>0.28977272727272724</v>
      </c>
      <c r="L52" s="644">
        <f t="shared" si="2"/>
        <v>18</v>
      </c>
      <c r="M52" s="935">
        <v>0.75</v>
      </c>
      <c r="N52" s="936">
        <f t="shared" si="3"/>
        <v>0.75</v>
      </c>
      <c r="O52" s="725"/>
      <c r="P52" s="725">
        <f t="shared" si="4"/>
        <v>-0.75</v>
      </c>
      <c r="Q52" s="622" t="s">
        <v>1169</v>
      </c>
      <c r="R52" s="37"/>
      <c r="S52" s="37" t="str">
        <f t="shared" si="5"/>
        <v>DonleyF3</v>
      </c>
      <c r="T52" s="37" t="str">
        <f t="shared" si="6"/>
        <v>1957F3</v>
      </c>
      <c r="U52" s="429">
        <v>50</v>
      </c>
      <c r="V52" s="1029">
        <v>10</v>
      </c>
      <c r="W52" s="598">
        <v>0.2</v>
      </c>
      <c r="X52" s="429"/>
      <c r="Y52" s="37" t="str">
        <f t="shared" si="7"/>
        <v>F350</v>
      </c>
      <c r="Z52" s="37" t="str">
        <f t="shared" si="8"/>
        <v>F310</v>
      </c>
      <c r="AA52" s="37" t="str">
        <f t="shared" si="9"/>
        <v>F30.2</v>
      </c>
      <c r="AB52" s="498" t="str">
        <f t="shared" si="0"/>
        <v>F318</v>
      </c>
      <c r="AC52" s="572"/>
      <c r="AD52" s="572"/>
      <c r="AE52" s="572"/>
      <c r="AF52" s="572"/>
      <c r="AG52" s="21"/>
    </row>
    <row r="53" spans="1:33">
      <c r="A53" s="947">
        <f t="shared" si="10"/>
        <v>46</v>
      </c>
      <c r="B53" s="948">
        <v>6</v>
      </c>
      <c r="C53" s="949">
        <v>20956</v>
      </c>
      <c r="D53" s="949" t="s">
        <v>177</v>
      </c>
      <c r="E53" s="950">
        <v>16</v>
      </c>
      <c r="F53" s="644">
        <v>1957</v>
      </c>
      <c r="G53" s="948" t="s">
        <v>137</v>
      </c>
      <c r="H53" s="645" t="s">
        <v>151</v>
      </c>
      <c r="I53" s="951">
        <v>10</v>
      </c>
      <c r="J53" s="951">
        <v>0.1</v>
      </c>
      <c r="K53" s="952">
        <f t="shared" si="1"/>
        <v>5.6818181818181826E-4</v>
      </c>
      <c r="L53" s="644">
        <f t="shared" si="2"/>
        <v>17</v>
      </c>
      <c r="M53" s="935">
        <v>0.70833333333333337</v>
      </c>
      <c r="N53" s="936">
        <f t="shared" si="3"/>
        <v>0.70833333333333337</v>
      </c>
      <c r="O53" s="725"/>
      <c r="P53" s="725">
        <f t="shared" si="4"/>
        <v>-0.70833333333333337</v>
      </c>
      <c r="Q53" s="622"/>
      <c r="R53" s="37"/>
      <c r="S53" s="37" t="str">
        <f t="shared" si="5"/>
        <v>RobertsF2</v>
      </c>
      <c r="T53" s="37" t="str">
        <f t="shared" si="6"/>
        <v>1957F2</v>
      </c>
      <c r="U53" s="429">
        <v>10</v>
      </c>
      <c r="V53" s="1029">
        <v>0.1</v>
      </c>
      <c r="W53" s="598">
        <v>1E-3</v>
      </c>
      <c r="X53" s="429"/>
      <c r="Y53" s="37" t="str">
        <f t="shared" si="7"/>
        <v>F210</v>
      </c>
      <c r="Z53" s="37" t="str">
        <f t="shared" si="8"/>
        <v>F20.1</v>
      </c>
      <c r="AA53" s="37" t="str">
        <f t="shared" si="9"/>
        <v>F20.001</v>
      </c>
      <c r="AB53" s="498" t="str">
        <f t="shared" si="0"/>
        <v>F217</v>
      </c>
      <c r="AC53" s="572"/>
      <c r="AD53" s="572"/>
      <c r="AE53" s="572"/>
      <c r="AF53" s="572"/>
      <c r="AG53" s="21"/>
    </row>
    <row r="54" spans="1:33">
      <c r="A54" s="947">
        <f t="shared" si="10"/>
        <v>47</v>
      </c>
      <c r="B54" s="948">
        <v>7</v>
      </c>
      <c r="C54" s="949">
        <v>20964</v>
      </c>
      <c r="D54" s="949" t="s">
        <v>177</v>
      </c>
      <c r="E54" s="950">
        <v>24</v>
      </c>
      <c r="F54" s="644">
        <v>1957</v>
      </c>
      <c r="G54" s="948" t="s">
        <v>144</v>
      </c>
      <c r="H54" s="645" t="s">
        <v>149</v>
      </c>
      <c r="I54" s="951">
        <v>10</v>
      </c>
      <c r="J54" s="951">
        <v>1</v>
      </c>
      <c r="K54" s="952">
        <f t="shared" si="1"/>
        <v>5.681818181818182E-3</v>
      </c>
      <c r="L54" s="644">
        <f t="shared" si="2"/>
        <v>11</v>
      </c>
      <c r="M54" s="935">
        <v>0.47916666666666669</v>
      </c>
      <c r="N54" s="936">
        <f t="shared" si="3"/>
        <v>0.47916666666666669</v>
      </c>
      <c r="O54" s="725"/>
      <c r="P54" s="725">
        <f t="shared" si="4"/>
        <v>-0.47916666666666669</v>
      </c>
      <c r="Q54" s="622"/>
      <c r="R54" s="37"/>
      <c r="S54" s="37" t="str">
        <f t="shared" si="5"/>
        <v>Deaf SmithF0</v>
      </c>
      <c r="T54" s="37" t="str">
        <f t="shared" si="6"/>
        <v>1957F0</v>
      </c>
      <c r="U54" s="429">
        <v>10</v>
      </c>
      <c r="V54" s="1029">
        <v>1</v>
      </c>
      <c r="W54" s="598">
        <v>5.0000000000000001E-3</v>
      </c>
      <c r="X54" s="429"/>
      <c r="Y54" s="37" t="str">
        <f t="shared" si="7"/>
        <v>F010</v>
      </c>
      <c r="Z54" s="37" t="str">
        <f t="shared" si="8"/>
        <v>F01</v>
      </c>
      <c r="AA54" s="37" t="str">
        <f t="shared" si="9"/>
        <v>F00.005</v>
      </c>
      <c r="AB54" s="498" t="str">
        <f t="shared" si="0"/>
        <v>F011</v>
      </c>
      <c r="AC54" s="572"/>
      <c r="AD54" s="572"/>
      <c r="AE54" s="572"/>
      <c r="AF54" s="572"/>
      <c r="AG54" s="21"/>
    </row>
    <row r="55" spans="1:33">
      <c r="A55" s="947">
        <f t="shared" si="10"/>
        <v>48</v>
      </c>
      <c r="B55" s="948">
        <v>8</v>
      </c>
      <c r="C55" s="949">
        <v>20964</v>
      </c>
      <c r="D55" s="949" t="s">
        <v>177</v>
      </c>
      <c r="E55" s="950">
        <v>24</v>
      </c>
      <c r="F55" s="644">
        <v>1957</v>
      </c>
      <c r="G55" s="948" t="s">
        <v>140</v>
      </c>
      <c r="H55" s="645" t="s">
        <v>149</v>
      </c>
      <c r="I55" s="951">
        <v>50</v>
      </c>
      <c r="J55" s="951">
        <v>0.3</v>
      </c>
      <c r="K55" s="952">
        <f t="shared" si="1"/>
        <v>8.5227272727272721E-3</v>
      </c>
      <c r="L55" s="644">
        <f t="shared" si="2"/>
        <v>13</v>
      </c>
      <c r="M55" s="935">
        <v>0.57638888888888895</v>
      </c>
      <c r="N55" s="936">
        <f t="shared" si="3"/>
        <v>0.57638888888888895</v>
      </c>
      <c r="O55" s="725"/>
      <c r="P55" s="725">
        <f t="shared" si="4"/>
        <v>-0.57638888888888895</v>
      </c>
      <c r="Q55" s="622"/>
      <c r="R55" s="37"/>
      <c r="S55" s="37" t="str">
        <f t="shared" si="5"/>
        <v>PotterF0</v>
      </c>
      <c r="T55" s="37" t="str">
        <f t="shared" si="6"/>
        <v>1957F0</v>
      </c>
      <c r="U55" s="429">
        <v>50</v>
      </c>
      <c r="V55" s="1029">
        <v>0.2</v>
      </c>
      <c r="W55" s="598">
        <v>5.0000000000000001E-3</v>
      </c>
      <c r="X55" s="429"/>
      <c r="Y55" s="37" t="str">
        <f t="shared" si="7"/>
        <v>F050</v>
      </c>
      <c r="Z55" s="37" t="str">
        <f t="shared" si="8"/>
        <v>F00.2</v>
      </c>
      <c r="AA55" s="37" t="str">
        <f t="shared" si="9"/>
        <v>F00.005</v>
      </c>
      <c r="AB55" s="498" t="str">
        <f t="shared" si="0"/>
        <v>F013</v>
      </c>
      <c r="AC55" s="572"/>
      <c r="AD55" s="572"/>
      <c r="AE55" s="572"/>
      <c r="AF55" s="572"/>
      <c r="AG55" s="21"/>
    </row>
    <row r="56" spans="1:33">
      <c r="A56" s="947">
        <f t="shared" si="10"/>
        <v>49</v>
      </c>
      <c r="B56" s="948">
        <v>9</v>
      </c>
      <c r="C56" s="949">
        <v>20981</v>
      </c>
      <c r="D56" s="949" t="s">
        <v>178</v>
      </c>
      <c r="E56" s="950">
        <v>10</v>
      </c>
      <c r="F56" s="644">
        <v>1957</v>
      </c>
      <c r="G56" s="948" t="s">
        <v>132</v>
      </c>
      <c r="H56" s="645" t="s">
        <v>151</v>
      </c>
      <c r="I56" s="951">
        <v>10</v>
      </c>
      <c r="J56" s="951">
        <v>0.1</v>
      </c>
      <c r="K56" s="952">
        <f t="shared" si="1"/>
        <v>5.6818181818181826E-4</v>
      </c>
      <c r="L56" s="644">
        <f t="shared" si="2"/>
        <v>17</v>
      </c>
      <c r="M56" s="935">
        <v>0.73958333333333337</v>
      </c>
      <c r="N56" s="936">
        <f t="shared" si="3"/>
        <v>0.73958333333333337</v>
      </c>
      <c r="O56" s="725"/>
      <c r="P56" s="725">
        <f t="shared" si="4"/>
        <v>-0.73958333333333337</v>
      </c>
      <c r="Q56" s="622"/>
      <c r="R56" s="37"/>
      <c r="S56" s="37" t="str">
        <f t="shared" si="5"/>
        <v>OchiltreeF2</v>
      </c>
      <c r="T56" s="37" t="str">
        <f t="shared" si="6"/>
        <v>1957F2</v>
      </c>
      <c r="U56" s="429">
        <v>10</v>
      </c>
      <c r="V56" s="1029">
        <v>0.1</v>
      </c>
      <c r="W56" s="598">
        <v>1E-3</v>
      </c>
      <c r="X56" s="429"/>
      <c r="Y56" s="37" t="str">
        <f t="shared" si="7"/>
        <v>F210</v>
      </c>
      <c r="Z56" s="37" t="str">
        <f t="shared" si="8"/>
        <v>F20.1</v>
      </c>
      <c r="AA56" s="37" t="str">
        <f t="shared" si="9"/>
        <v>F20.001</v>
      </c>
      <c r="AB56" s="498" t="str">
        <f t="shared" si="0"/>
        <v>F217</v>
      </c>
      <c r="AC56" s="572"/>
      <c r="AD56" s="572"/>
      <c r="AE56" s="572"/>
      <c r="AF56" s="572"/>
      <c r="AG56" s="21"/>
    </row>
    <row r="57" spans="1:33">
      <c r="A57" s="947">
        <f t="shared" si="10"/>
        <v>50</v>
      </c>
      <c r="B57" s="948">
        <v>10</v>
      </c>
      <c r="C57" s="949">
        <v>21106</v>
      </c>
      <c r="D57" s="949" t="s">
        <v>182</v>
      </c>
      <c r="E57" s="950">
        <v>13</v>
      </c>
      <c r="F57" s="644">
        <v>1957</v>
      </c>
      <c r="G57" s="948" t="s">
        <v>128</v>
      </c>
      <c r="H57" s="645" t="s">
        <v>149</v>
      </c>
      <c r="I57" s="951">
        <v>10</v>
      </c>
      <c r="J57" s="951">
        <v>0.1</v>
      </c>
      <c r="K57" s="952">
        <f t="shared" si="1"/>
        <v>5.6818181818181826E-4</v>
      </c>
      <c r="L57" s="644">
        <f t="shared" si="2"/>
        <v>17</v>
      </c>
      <c r="M57" s="935">
        <v>0.72222222222222221</v>
      </c>
      <c r="N57" s="936">
        <f t="shared" si="3"/>
        <v>0.72222222222222221</v>
      </c>
      <c r="O57" s="725"/>
      <c r="P57" s="725">
        <f t="shared" si="4"/>
        <v>-0.72222222222222221</v>
      </c>
      <c r="Q57" s="622"/>
      <c r="R57" s="37"/>
      <c r="S57" s="37" t="str">
        <f t="shared" si="5"/>
        <v>BeaverF0</v>
      </c>
      <c r="T57" s="37" t="str">
        <f t="shared" si="6"/>
        <v>1957F0</v>
      </c>
      <c r="U57" s="429">
        <v>10</v>
      </c>
      <c r="V57" s="1029">
        <v>0.1</v>
      </c>
      <c r="W57" s="598">
        <v>1E-3</v>
      </c>
      <c r="X57" s="429"/>
      <c r="Y57" s="37" t="str">
        <f t="shared" si="7"/>
        <v>F010</v>
      </c>
      <c r="Z57" s="37" t="str">
        <f t="shared" si="8"/>
        <v>F00.1</v>
      </c>
      <c r="AA57" s="37" t="str">
        <f t="shared" si="9"/>
        <v>F00.001</v>
      </c>
      <c r="AB57" s="498" t="str">
        <f t="shared" si="0"/>
        <v>F017</v>
      </c>
      <c r="AC57" s="572"/>
      <c r="AD57" s="572"/>
      <c r="AE57" s="572"/>
      <c r="AF57" s="572"/>
      <c r="AG57" s="21"/>
    </row>
    <row r="58" spans="1:33">
      <c r="A58" s="947">
        <f t="shared" si="10"/>
        <v>51</v>
      </c>
      <c r="B58" s="948">
        <v>1</v>
      </c>
      <c r="C58" s="949">
        <v>21322</v>
      </c>
      <c r="D58" s="949" t="s">
        <v>177</v>
      </c>
      <c r="E58" s="950">
        <v>17</v>
      </c>
      <c r="F58" s="644">
        <v>1958</v>
      </c>
      <c r="G58" s="948" t="s">
        <v>145</v>
      </c>
      <c r="H58" s="645" t="s">
        <v>149</v>
      </c>
      <c r="I58" s="951">
        <v>17</v>
      </c>
      <c r="J58" s="951">
        <v>0.3</v>
      </c>
      <c r="K58" s="952">
        <f t="shared" si="1"/>
        <v>2.8977272727272727E-3</v>
      </c>
      <c r="L58" s="644">
        <f t="shared" si="2"/>
        <v>1</v>
      </c>
      <c r="M58" s="935">
        <v>4.8611111111111112E-2</v>
      </c>
      <c r="N58" s="936">
        <f t="shared" si="3"/>
        <v>4.8611111111111112E-2</v>
      </c>
      <c r="O58" s="725"/>
      <c r="P58" s="725">
        <f t="shared" si="4"/>
        <v>-4.8611111111111112E-2</v>
      </c>
      <c r="Q58" s="622"/>
      <c r="R58" s="37"/>
      <c r="S58" s="37" t="str">
        <f t="shared" si="5"/>
        <v>RandallF0</v>
      </c>
      <c r="T58" s="37" t="str">
        <f t="shared" si="6"/>
        <v>1958F0</v>
      </c>
      <c r="U58" s="429">
        <v>10</v>
      </c>
      <c r="V58" s="1029">
        <v>0.2</v>
      </c>
      <c r="W58" s="598">
        <v>2E-3</v>
      </c>
      <c r="X58" s="429"/>
      <c r="Y58" s="37" t="str">
        <f t="shared" si="7"/>
        <v>F010</v>
      </c>
      <c r="Z58" s="37" t="str">
        <f t="shared" si="8"/>
        <v>F00.2</v>
      </c>
      <c r="AA58" s="37" t="str">
        <f t="shared" si="9"/>
        <v>F00.002</v>
      </c>
      <c r="AB58" s="498" t="str">
        <f t="shared" si="0"/>
        <v>F01</v>
      </c>
      <c r="AC58" s="572"/>
      <c r="AD58" s="572"/>
      <c r="AE58" s="572"/>
      <c r="AF58" s="572"/>
      <c r="AG58" s="21"/>
    </row>
    <row r="59" spans="1:33">
      <c r="A59" s="947">
        <f t="shared" si="10"/>
        <v>52</v>
      </c>
      <c r="B59" s="948">
        <v>2</v>
      </c>
      <c r="C59" s="949">
        <v>21352</v>
      </c>
      <c r="D59" s="949" t="s">
        <v>178</v>
      </c>
      <c r="E59" s="950">
        <v>16</v>
      </c>
      <c r="F59" s="644">
        <v>1958</v>
      </c>
      <c r="G59" s="948" t="s">
        <v>144</v>
      </c>
      <c r="H59" s="645" t="s">
        <v>150</v>
      </c>
      <c r="I59" s="951">
        <v>50</v>
      </c>
      <c r="J59" s="951">
        <v>3.3</v>
      </c>
      <c r="K59" s="952">
        <f t="shared" si="1"/>
        <v>9.3749999999999986E-2</v>
      </c>
      <c r="L59" s="644">
        <f t="shared" si="2"/>
        <v>17</v>
      </c>
      <c r="M59" s="935">
        <v>0.73958333333333337</v>
      </c>
      <c r="N59" s="936">
        <f t="shared" si="3"/>
        <v>0.73958333333333337</v>
      </c>
      <c r="O59" s="725"/>
      <c r="P59" s="725">
        <f t="shared" si="4"/>
        <v>-0.73958333333333337</v>
      </c>
      <c r="Q59" s="622"/>
      <c r="R59" s="37"/>
      <c r="S59" s="37" t="str">
        <f t="shared" si="5"/>
        <v>Deaf SmithF1</v>
      </c>
      <c r="T59" s="37" t="str">
        <f t="shared" si="6"/>
        <v>1958F1</v>
      </c>
      <c r="U59" s="429">
        <v>50</v>
      </c>
      <c r="V59" s="1029">
        <v>2</v>
      </c>
      <c r="W59" s="598">
        <v>0.05</v>
      </c>
      <c r="X59" s="429"/>
      <c r="Y59" s="37" t="str">
        <f t="shared" si="7"/>
        <v>F150</v>
      </c>
      <c r="Z59" s="37" t="str">
        <f t="shared" si="8"/>
        <v>F12</v>
      </c>
      <c r="AA59" s="37" t="str">
        <f t="shared" si="9"/>
        <v>F10.05</v>
      </c>
      <c r="AB59" s="498" t="str">
        <f t="shared" si="0"/>
        <v>F117</v>
      </c>
      <c r="AC59" s="572"/>
      <c r="AD59" s="572"/>
      <c r="AE59" s="572"/>
      <c r="AF59" s="572"/>
      <c r="AG59" s="21"/>
    </row>
    <row r="60" spans="1:33">
      <c r="A60" s="947">
        <f t="shared" si="10"/>
        <v>53</v>
      </c>
      <c r="B60" s="948">
        <v>3</v>
      </c>
      <c r="C60" s="949">
        <v>21356</v>
      </c>
      <c r="D60" s="949" t="s">
        <v>178</v>
      </c>
      <c r="E60" s="950">
        <v>20</v>
      </c>
      <c r="F60" s="644">
        <v>1958</v>
      </c>
      <c r="G60" s="948" t="s">
        <v>136</v>
      </c>
      <c r="H60" s="645" t="s">
        <v>150</v>
      </c>
      <c r="I60" s="951">
        <v>150</v>
      </c>
      <c r="J60" s="951">
        <v>0.3</v>
      </c>
      <c r="K60" s="952">
        <f t="shared" si="1"/>
        <v>2.5568181818181816E-2</v>
      </c>
      <c r="L60" s="644">
        <f t="shared" si="2"/>
        <v>1</v>
      </c>
      <c r="M60" s="935">
        <v>5.2083333333333336E-2</v>
      </c>
      <c r="N60" s="936">
        <f t="shared" si="3"/>
        <v>5.2083333333333336E-2</v>
      </c>
      <c r="O60" s="725"/>
      <c r="P60" s="725">
        <f t="shared" si="4"/>
        <v>-5.2083333333333336E-2</v>
      </c>
      <c r="Q60" s="622"/>
      <c r="R60" s="37"/>
      <c r="S60" s="37" t="str">
        <f t="shared" si="5"/>
        <v>HutchinsonF1</v>
      </c>
      <c r="T60" s="37" t="str">
        <f t="shared" si="6"/>
        <v>1958F1</v>
      </c>
      <c r="U60" s="429">
        <v>100</v>
      </c>
      <c r="V60" s="1029">
        <v>0.2</v>
      </c>
      <c r="W60" s="598">
        <v>0.02</v>
      </c>
      <c r="X60" s="429"/>
      <c r="Y60" s="37" t="str">
        <f t="shared" si="7"/>
        <v>F1100</v>
      </c>
      <c r="Z60" s="37" t="str">
        <f t="shared" si="8"/>
        <v>F10.2</v>
      </c>
      <c r="AA60" s="37" t="str">
        <f t="shared" si="9"/>
        <v>F10.02</v>
      </c>
      <c r="AB60" s="498" t="str">
        <f t="shared" si="0"/>
        <v>F11</v>
      </c>
      <c r="AC60" s="572"/>
      <c r="AD60" s="572"/>
      <c r="AE60" s="572"/>
      <c r="AF60" s="572"/>
      <c r="AG60" s="21"/>
    </row>
    <row r="61" spans="1:33">
      <c r="A61" s="947">
        <f t="shared" si="10"/>
        <v>54</v>
      </c>
      <c r="B61" s="948">
        <v>4</v>
      </c>
      <c r="C61" s="949">
        <v>21356</v>
      </c>
      <c r="D61" s="949" t="s">
        <v>178</v>
      </c>
      <c r="E61" s="950">
        <v>20</v>
      </c>
      <c r="F61" s="644">
        <v>1958</v>
      </c>
      <c r="G61" s="948" t="s">
        <v>142</v>
      </c>
      <c r="H61" s="645" t="s">
        <v>149</v>
      </c>
      <c r="I61" s="951">
        <v>33</v>
      </c>
      <c r="J61" s="951">
        <v>2</v>
      </c>
      <c r="K61" s="952">
        <f t="shared" si="1"/>
        <v>3.7499999999999999E-2</v>
      </c>
      <c r="L61" s="644">
        <f t="shared" si="2"/>
        <v>2</v>
      </c>
      <c r="M61" s="935">
        <v>0.11388888888888889</v>
      </c>
      <c r="N61" s="936">
        <f t="shared" si="3"/>
        <v>0.11388888888888889</v>
      </c>
      <c r="O61" s="725"/>
      <c r="P61" s="725">
        <f t="shared" si="4"/>
        <v>-0.11388888888888889</v>
      </c>
      <c r="Q61" s="622"/>
      <c r="R61" s="37"/>
      <c r="S61" s="37" t="str">
        <f t="shared" si="5"/>
        <v>GrayF0</v>
      </c>
      <c r="T61" s="37" t="str">
        <f t="shared" si="6"/>
        <v>1958F0</v>
      </c>
      <c r="U61" s="429">
        <v>20</v>
      </c>
      <c r="V61" s="1029">
        <v>2</v>
      </c>
      <c r="W61" s="598">
        <v>0.02</v>
      </c>
      <c r="X61" s="429"/>
      <c r="Y61" s="37" t="str">
        <f t="shared" si="7"/>
        <v>F020</v>
      </c>
      <c r="Z61" s="37" t="str">
        <f t="shared" si="8"/>
        <v>F02</v>
      </c>
      <c r="AA61" s="37" t="str">
        <f t="shared" si="9"/>
        <v>F00.02</v>
      </c>
      <c r="AB61" s="498" t="str">
        <f t="shared" si="0"/>
        <v>F02</v>
      </c>
      <c r="AC61" s="572"/>
      <c r="AD61" s="572"/>
      <c r="AE61" s="572"/>
      <c r="AF61" s="572"/>
      <c r="AG61" s="21"/>
    </row>
    <row r="62" spans="1:33">
      <c r="A62" s="947">
        <f t="shared" si="10"/>
        <v>55</v>
      </c>
      <c r="B62" s="948">
        <v>5</v>
      </c>
      <c r="C62" s="949">
        <v>21359</v>
      </c>
      <c r="D62" s="949" t="s">
        <v>178</v>
      </c>
      <c r="E62" s="950">
        <v>23</v>
      </c>
      <c r="F62" s="644">
        <v>1958</v>
      </c>
      <c r="G62" s="948" t="s">
        <v>142</v>
      </c>
      <c r="H62" s="645" t="s">
        <v>150</v>
      </c>
      <c r="I62" s="951">
        <v>17</v>
      </c>
      <c r="J62" s="951">
        <v>1</v>
      </c>
      <c r="K62" s="952">
        <f t="shared" si="1"/>
        <v>9.6590909090909088E-3</v>
      </c>
      <c r="L62" s="644">
        <f t="shared" si="2"/>
        <v>7</v>
      </c>
      <c r="M62" s="935">
        <v>0.29166666666666669</v>
      </c>
      <c r="N62" s="936">
        <f t="shared" si="3"/>
        <v>0.29166666666666669</v>
      </c>
      <c r="O62" s="725"/>
      <c r="P62" s="725">
        <f t="shared" si="4"/>
        <v>-0.29166666666666669</v>
      </c>
      <c r="Q62" s="622"/>
      <c r="R62" s="37"/>
      <c r="S62" s="37" t="str">
        <f t="shared" si="5"/>
        <v>GrayF1</v>
      </c>
      <c r="T62" s="37" t="str">
        <f t="shared" si="6"/>
        <v>1958F1</v>
      </c>
      <c r="U62" s="429">
        <v>10</v>
      </c>
      <c r="V62" s="1029">
        <v>1</v>
      </c>
      <c r="W62" s="598">
        <v>0.01</v>
      </c>
      <c r="X62" s="429"/>
      <c r="Y62" s="37" t="str">
        <f t="shared" si="7"/>
        <v>F110</v>
      </c>
      <c r="Z62" s="37" t="str">
        <f t="shared" si="8"/>
        <v>F11</v>
      </c>
      <c r="AA62" s="37" t="str">
        <f t="shared" si="9"/>
        <v>F10.01</v>
      </c>
      <c r="AB62" s="498" t="str">
        <f t="shared" si="0"/>
        <v>F17</v>
      </c>
      <c r="AC62" s="572"/>
      <c r="AD62" s="572"/>
      <c r="AE62" s="572"/>
      <c r="AF62" s="572"/>
      <c r="AG62" s="21"/>
    </row>
    <row r="63" spans="1:33">
      <c r="A63" s="947">
        <f t="shared" si="10"/>
        <v>56</v>
      </c>
      <c r="B63" s="948">
        <v>6</v>
      </c>
      <c r="C63" s="949">
        <v>21367</v>
      </c>
      <c r="D63" s="949" t="s">
        <v>179</v>
      </c>
      <c r="E63" s="950">
        <v>1</v>
      </c>
      <c r="F63" s="644">
        <v>1958</v>
      </c>
      <c r="G63" s="948" t="s">
        <v>127</v>
      </c>
      <c r="H63" s="645" t="s">
        <v>150</v>
      </c>
      <c r="I63" s="951">
        <v>440</v>
      </c>
      <c r="J63" s="951">
        <v>4.9000000000000004</v>
      </c>
      <c r="K63" s="952">
        <f t="shared" si="1"/>
        <v>1.2250000000000001</v>
      </c>
      <c r="L63" s="644">
        <f t="shared" si="2"/>
        <v>17</v>
      </c>
      <c r="M63" s="935">
        <v>0.70833333333333337</v>
      </c>
      <c r="N63" s="936">
        <f t="shared" si="3"/>
        <v>0.70833333333333337</v>
      </c>
      <c r="O63" s="725"/>
      <c r="P63" s="725">
        <f t="shared" si="4"/>
        <v>-0.70833333333333337</v>
      </c>
      <c r="Q63" s="622"/>
      <c r="R63" s="37"/>
      <c r="S63" s="37" t="str">
        <f t="shared" si="5"/>
        <v>TexasF1</v>
      </c>
      <c r="T63" s="37" t="str">
        <f t="shared" si="6"/>
        <v>1958F1</v>
      </c>
      <c r="U63" s="429">
        <v>200</v>
      </c>
      <c r="V63" s="1029">
        <v>2</v>
      </c>
      <c r="W63" s="598">
        <v>1</v>
      </c>
      <c r="X63" s="429"/>
      <c r="Y63" s="37" t="str">
        <f t="shared" si="7"/>
        <v>F1200</v>
      </c>
      <c r="Z63" s="37" t="str">
        <f t="shared" si="8"/>
        <v>F12</v>
      </c>
      <c r="AA63" s="37" t="str">
        <f t="shared" si="9"/>
        <v>F11</v>
      </c>
      <c r="AB63" s="498" t="str">
        <f t="shared" si="0"/>
        <v>F117</v>
      </c>
      <c r="AC63" s="572"/>
      <c r="AD63" s="572"/>
      <c r="AE63" s="572"/>
      <c r="AF63" s="572"/>
      <c r="AG63" s="21"/>
    </row>
    <row r="64" spans="1:33">
      <c r="A64" s="947">
        <f t="shared" si="10"/>
        <v>57</v>
      </c>
      <c r="B64" s="948">
        <v>7</v>
      </c>
      <c r="C64" s="949">
        <v>21381</v>
      </c>
      <c r="D64" s="949" t="s">
        <v>179</v>
      </c>
      <c r="E64" s="950">
        <v>15</v>
      </c>
      <c r="F64" s="644">
        <v>1958</v>
      </c>
      <c r="G64" s="948" t="s">
        <v>139</v>
      </c>
      <c r="H64" s="645" t="s">
        <v>149</v>
      </c>
      <c r="I64" s="951">
        <v>50</v>
      </c>
      <c r="J64" s="951">
        <v>4.3</v>
      </c>
      <c r="K64" s="952">
        <f t="shared" si="1"/>
        <v>0.1221590909090909</v>
      </c>
      <c r="L64" s="644">
        <f t="shared" si="2"/>
        <v>23</v>
      </c>
      <c r="M64" s="935">
        <v>0.97222222222222221</v>
      </c>
      <c r="N64" s="936">
        <f t="shared" si="3"/>
        <v>0.97222222222222221</v>
      </c>
      <c r="O64" s="725"/>
      <c r="P64" s="725">
        <f t="shared" si="4"/>
        <v>-0.97222222222222221</v>
      </c>
      <c r="Q64" s="622"/>
      <c r="R64" s="37"/>
      <c r="S64" s="37" t="str">
        <f t="shared" si="5"/>
        <v>OldhamF0</v>
      </c>
      <c r="T64" s="37" t="str">
        <f t="shared" si="6"/>
        <v>1958F0</v>
      </c>
      <c r="U64" s="429">
        <v>50</v>
      </c>
      <c r="V64" s="1029">
        <v>2</v>
      </c>
      <c r="W64" s="598">
        <v>0.1</v>
      </c>
      <c r="X64" s="429"/>
      <c r="Y64" s="37" t="str">
        <f t="shared" si="7"/>
        <v>F050</v>
      </c>
      <c r="Z64" s="37" t="str">
        <f t="shared" si="8"/>
        <v>F02</v>
      </c>
      <c r="AA64" s="37" t="str">
        <f t="shared" si="9"/>
        <v>F00.1</v>
      </c>
      <c r="AB64" s="498" t="str">
        <f t="shared" si="0"/>
        <v>F023</v>
      </c>
      <c r="AC64" s="572"/>
      <c r="AD64" s="572"/>
      <c r="AE64" s="572"/>
      <c r="AF64" s="572"/>
      <c r="AG64" s="21"/>
    </row>
    <row r="65" spans="1:33">
      <c r="A65" s="947">
        <f t="shared" si="10"/>
        <v>58</v>
      </c>
      <c r="B65" s="948">
        <v>8</v>
      </c>
      <c r="C65" s="949">
        <v>21388</v>
      </c>
      <c r="D65" s="949" t="s">
        <v>179</v>
      </c>
      <c r="E65" s="950">
        <v>22</v>
      </c>
      <c r="F65" s="644">
        <v>1958</v>
      </c>
      <c r="G65" s="948" t="s">
        <v>127</v>
      </c>
      <c r="H65" s="645" t="s">
        <v>150</v>
      </c>
      <c r="I65" s="951">
        <v>10</v>
      </c>
      <c r="J65" s="951">
        <v>0.1</v>
      </c>
      <c r="K65" s="952">
        <f t="shared" si="1"/>
        <v>5.6818181818181826E-4</v>
      </c>
      <c r="L65" s="644">
        <f t="shared" si="2"/>
        <v>18</v>
      </c>
      <c r="M65" s="935">
        <v>0.77083333333333337</v>
      </c>
      <c r="N65" s="936">
        <f t="shared" si="3"/>
        <v>0.77083333333333337</v>
      </c>
      <c r="O65" s="725"/>
      <c r="P65" s="725">
        <f t="shared" si="4"/>
        <v>-0.77083333333333337</v>
      </c>
      <c r="Q65" s="622"/>
      <c r="R65" s="37"/>
      <c r="S65" s="37" t="str">
        <f t="shared" si="5"/>
        <v>TexasF1</v>
      </c>
      <c r="T65" s="37" t="str">
        <f t="shared" si="6"/>
        <v>1958F1</v>
      </c>
      <c r="U65" s="429">
        <v>10</v>
      </c>
      <c r="V65" s="1029">
        <v>0.1</v>
      </c>
      <c r="W65" s="598">
        <v>1E-3</v>
      </c>
      <c r="X65" s="429"/>
      <c r="Y65" s="37" t="str">
        <f t="shared" si="7"/>
        <v>F110</v>
      </c>
      <c r="Z65" s="37" t="str">
        <f t="shared" si="8"/>
        <v>F10.1</v>
      </c>
      <c r="AA65" s="37" t="str">
        <f t="shared" si="9"/>
        <v>F10.001</v>
      </c>
      <c r="AB65" s="498" t="str">
        <f t="shared" si="0"/>
        <v>F118</v>
      </c>
      <c r="AC65" s="572"/>
      <c r="AD65" s="572"/>
      <c r="AE65" s="572"/>
      <c r="AF65" s="572"/>
      <c r="AG65" s="21"/>
    </row>
    <row r="66" spans="1:33">
      <c r="A66" s="947">
        <f t="shared" si="10"/>
        <v>59</v>
      </c>
      <c r="B66" s="948">
        <v>9</v>
      </c>
      <c r="C66" s="949">
        <v>21391</v>
      </c>
      <c r="D66" s="949" t="s">
        <v>179</v>
      </c>
      <c r="E66" s="950">
        <v>25</v>
      </c>
      <c r="F66" s="644">
        <v>1958</v>
      </c>
      <c r="G66" s="948" t="s">
        <v>134</v>
      </c>
      <c r="H66" s="645" t="s">
        <v>150</v>
      </c>
      <c r="I66" s="951">
        <v>10</v>
      </c>
      <c r="J66" s="951">
        <v>0.1</v>
      </c>
      <c r="K66" s="952">
        <f t="shared" si="1"/>
        <v>5.6818181818181826E-4</v>
      </c>
      <c r="L66" s="644">
        <f t="shared" si="2"/>
        <v>1</v>
      </c>
      <c r="M66" s="935">
        <v>6.9444444444444434E-2</v>
      </c>
      <c r="N66" s="936">
        <f t="shared" si="3"/>
        <v>6.9444444444444434E-2</v>
      </c>
      <c r="O66" s="725"/>
      <c r="P66" s="725">
        <f t="shared" si="4"/>
        <v>-6.9444444444444434E-2</v>
      </c>
      <c r="Q66" s="622"/>
      <c r="R66" s="37"/>
      <c r="S66" s="37" t="str">
        <f t="shared" si="5"/>
        <v>HartleyF1</v>
      </c>
      <c r="T66" s="37" t="str">
        <f t="shared" si="6"/>
        <v>1958F1</v>
      </c>
      <c r="U66" s="429">
        <v>10</v>
      </c>
      <c r="V66" s="1029">
        <v>0.1</v>
      </c>
      <c r="W66" s="598">
        <v>1E-3</v>
      </c>
      <c r="X66" s="429"/>
      <c r="Y66" s="37" t="str">
        <f t="shared" si="7"/>
        <v>F110</v>
      </c>
      <c r="Z66" s="37" t="str">
        <f t="shared" si="8"/>
        <v>F10.1</v>
      </c>
      <c r="AA66" s="37" t="str">
        <f t="shared" si="9"/>
        <v>F10.001</v>
      </c>
      <c r="AB66" s="498" t="str">
        <f t="shared" si="0"/>
        <v>F11</v>
      </c>
      <c r="AC66" s="572"/>
      <c r="AD66" s="572"/>
      <c r="AE66" s="572"/>
      <c r="AF66" s="572"/>
      <c r="AG66" s="21"/>
    </row>
    <row r="67" spans="1:33">
      <c r="A67" s="947">
        <f t="shared" si="10"/>
        <v>60</v>
      </c>
      <c r="B67" s="948">
        <v>10</v>
      </c>
      <c r="C67" s="949">
        <v>21393</v>
      </c>
      <c r="D67" s="949" t="s">
        <v>179</v>
      </c>
      <c r="E67" s="950">
        <v>27</v>
      </c>
      <c r="F67" s="644">
        <v>1958</v>
      </c>
      <c r="G67" s="948" t="s">
        <v>136</v>
      </c>
      <c r="H67" s="645" t="s">
        <v>149</v>
      </c>
      <c r="I67" s="951">
        <v>33</v>
      </c>
      <c r="J67" s="951">
        <v>2</v>
      </c>
      <c r="K67" s="952">
        <f t="shared" si="1"/>
        <v>3.7499999999999999E-2</v>
      </c>
      <c r="L67" s="644">
        <f t="shared" si="2"/>
        <v>16</v>
      </c>
      <c r="M67" s="935">
        <v>0.69444444444444453</v>
      </c>
      <c r="N67" s="936">
        <f t="shared" si="3"/>
        <v>0.69444444444444453</v>
      </c>
      <c r="O67" s="725"/>
      <c r="P67" s="725">
        <f t="shared" si="4"/>
        <v>-0.69444444444444453</v>
      </c>
      <c r="Q67" s="622"/>
      <c r="R67" s="37"/>
      <c r="S67" s="37" t="str">
        <f t="shared" si="5"/>
        <v>HutchinsonF0</v>
      </c>
      <c r="T67" s="37" t="str">
        <f t="shared" si="6"/>
        <v>1958F0</v>
      </c>
      <c r="U67" s="429">
        <v>20</v>
      </c>
      <c r="V67" s="1029">
        <v>2</v>
      </c>
      <c r="W67" s="598">
        <v>0.02</v>
      </c>
      <c r="X67" s="429"/>
      <c r="Y67" s="37" t="str">
        <f t="shared" si="7"/>
        <v>F020</v>
      </c>
      <c r="Z67" s="37" t="str">
        <f t="shared" si="8"/>
        <v>F02</v>
      </c>
      <c r="AA67" s="37" t="str">
        <f t="shared" si="9"/>
        <v>F00.02</v>
      </c>
      <c r="AB67" s="498" t="str">
        <f t="shared" si="0"/>
        <v>F016</v>
      </c>
      <c r="AC67" s="572"/>
      <c r="AD67" s="572"/>
      <c r="AE67" s="572"/>
      <c r="AF67" s="572"/>
      <c r="AG67" s="21"/>
    </row>
    <row r="68" spans="1:33">
      <c r="A68" s="947">
        <f t="shared" si="10"/>
        <v>61</v>
      </c>
      <c r="B68" s="948">
        <v>11</v>
      </c>
      <c r="C68" s="949">
        <v>21435</v>
      </c>
      <c r="D68" s="949" t="s">
        <v>181</v>
      </c>
      <c r="E68" s="950">
        <v>7</v>
      </c>
      <c r="F68" s="644">
        <v>1958</v>
      </c>
      <c r="G68" s="948" t="s">
        <v>127</v>
      </c>
      <c r="H68" s="645" t="s">
        <v>150</v>
      </c>
      <c r="I68" s="951">
        <v>100</v>
      </c>
      <c r="J68" s="951">
        <v>3.6</v>
      </c>
      <c r="K68" s="952">
        <f t="shared" si="1"/>
        <v>0.20454545454545453</v>
      </c>
      <c r="L68" s="644">
        <f t="shared" si="2"/>
        <v>16</v>
      </c>
      <c r="M68" s="935">
        <v>0.66666666666666663</v>
      </c>
      <c r="N68" s="936">
        <f t="shared" si="3"/>
        <v>0.66666666666666663</v>
      </c>
      <c r="O68" s="725"/>
      <c r="P68" s="725">
        <f t="shared" si="4"/>
        <v>-0.66666666666666663</v>
      </c>
      <c r="Q68" s="622"/>
      <c r="R68" s="37"/>
      <c r="S68" s="37" t="str">
        <f t="shared" si="5"/>
        <v>TexasF1</v>
      </c>
      <c r="T68" s="37" t="str">
        <f t="shared" si="6"/>
        <v>1958F1</v>
      </c>
      <c r="U68" s="429">
        <v>100</v>
      </c>
      <c r="V68" s="1029">
        <v>2</v>
      </c>
      <c r="W68" s="598">
        <v>0.2</v>
      </c>
      <c r="X68" s="429"/>
      <c r="Y68" s="37" t="str">
        <f t="shared" si="7"/>
        <v>F1100</v>
      </c>
      <c r="Z68" s="37" t="str">
        <f t="shared" si="8"/>
        <v>F12</v>
      </c>
      <c r="AA68" s="37" t="str">
        <f t="shared" si="9"/>
        <v>F10.2</v>
      </c>
      <c r="AB68" s="498" t="str">
        <f t="shared" si="0"/>
        <v>F116</v>
      </c>
      <c r="AC68" s="572"/>
      <c r="AD68" s="572"/>
      <c r="AE68" s="572"/>
      <c r="AF68" s="572"/>
      <c r="AG68" s="21"/>
    </row>
    <row r="69" spans="1:33">
      <c r="A69" s="947">
        <f t="shared" si="10"/>
        <v>62</v>
      </c>
      <c r="B69" s="948">
        <v>1</v>
      </c>
      <c r="C69" s="949">
        <v>21678</v>
      </c>
      <c r="D69" s="949" t="s">
        <v>177</v>
      </c>
      <c r="E69" s="950">
        <v>8</v>
      </c>
      <c r="F69" s="644">
        <v>1959</v>
      </c>
      <c r="G69" s="948" t="s">
        <v>136</v>
      </c>
      <c r="H69" s="645" t="s">
        <v>150</v>
      </c>
      <c r="I69" s="951">
        <v>13</v>
      </c>
      <c r="J69" s="951">
        <v>0.2</v>
      </c>
      <c r="K69" s="952">
        <f t="shared" si="1"/>
        <v>1.4772727272727272E-3</v>
      </c>
      <c r="L69" s="644">
        <f t="shared" si="2"/>
        <v>16</v>
      </c>
      <c r="M69" s="935">
        <v>0.66666666666666663</v>
      </c>
      <c r="N69" s="936">
        <f t="shared" si="3"/>
        <v>0.66666666666666663</v>
      </c>
      <c r="O69" s="725"/>
      <c r="P69" s="725">
        <f t="shared" si="4"/>
        <v>-0.66666666666666663</v>
      </c>
      <c r="Q69" s="622"/>
      <c r="R69" s="37"/>
      <c r="S69" s="37" t="str">
        <f t="shared" si="5"/>
        <v>HutchinsonF1</v>
      </c>
      <c r="T69" s="37" t="str">
        <f t="shared" si="6"/>
        <v>1959F1</v>
      </c>
      <c r="U69" s="429">
        <v>10</v>
      </c>
      <c r="V69" s="1029">
        <v>0.2</v>
      </c>
      <c r="W69" s="598">
        <v>1E-3</v>
      </c>
      <c r="X69" s="429"/>
      <c r="Y69" s="37" t="str">
        <f t="shared" si="7"/>
        <v>F110</v>
      </c>
      <c r="Z69" s="37" t="str">
        <f t="shared" si="8"/>
        <v>F10.2</v>
      </c>
      <c r="AA69" s="37" t="str">
        <f t="shared" si="9"/>
        <v>F10.001</v>
      </c>
      <c r="AB69" s="498" t="str">
        <f t="shared" si="0"/>
        <v>F116</v>
      </c>
      <c r="AC69" s="572"/>
      <c r="AD69" s="572"/>
      <c r="AE69" s="572"/>
      <c r="AF69" s="572"/>
      <c r="AG69" s="21"/>
    </row>
    <row r="70" spans="1:33">
      <c r="A70" s="947">
        <f t="shared" si="10"/>
        <v>63</v>
      </c>
      <c r="B70" s="948">
        <v>2</v>
      </c>
      <c r="C70" s="949">
        <v>21687</v>
      </c>
      <c r="D70" s="949" t="s">
        <v>177</v>
      </c>
      <c r="E70" s="950">
        <v>17</v>
      </c>
      <c r="F70" s="644">
        <v>1959</v>
      </c>
      <c r="G70" s="948" t="s">
        <v>136</v>
      </c>
      <c r="H70" s="645" t="s">
        <v>150</v>
      </c>
      <c r="I70" s="951">
        <v>100</v>
      </c>
      <c r="J70" s="951">
        <v>0.1</v>
      </c>
      <c r="K70" s="952">
        <f t="shared" si="1"/>
        <v>5.681818181818182E-3</v>
      </c>
      <c r="L70" s="644">
        <f t="shared" si="2"/>
        <v>16</v>
      </c>
      <c r="M70" s="935">
        <v>0.67291666666666661</v>
      </c>
      <c r="N70" s="936">
        <f t="shared" si="3"/>
        <v>0.67291666666666661</v>
      </c>
      <c r="O70" s="725"/>
      <c r="P70" s="725">
        <f t="shared" si="4"/>
        <v>-0.67291666666666661</v>
      </c>
      <c r="Q70" s="622"/>
      <c r="R70" s="37"/>
      <c r="S70" s="37" t="str">
        <f t="shared" si="5"/>
        <v>HutchinsonF1</v>
      </c>
      <c r="T70" s="37" t="str">
        <f t="shared" si="6"/>
        <v>1959F1</v>
      </c>
      <c r="U70" s="429">
        <v>100</v>
      </c>
      <c r="V70" s="1029">
        <v>0.1</v>
      </c>
      <c r="W70" s="598">
        <v>5.0000000000000001E-3</v>
      </c>
      <c r="X70" s="429"/>
      <c r="Y70" s="37" t="str">
        <f t="shared" si="7"/>
        <v>F1100</v>
      </c>
      <c r="Z70" s="37" t="str">
        <f t="shared" si="8"/>
        <v>F10.1</v>
      </c>
      <c r="AA70" s="37" t="str">
        <f t="shared" si="9"/>
        <v>F10.005</v>
      </c>
      <c r="AB70" s="498" t="str">
        <f t="shared" si="0"/>
        <v>F116</v>
      </c>
      <c r="AC70" s="572"/>
      <c r="AD70" s="572"/>
      <c r="AE70" s="572"/>
      <c r="AF70" s="572"/>
      <c r="AG70" s="21"/>
    </row>
    <row r="71" spans="1:33">
      <c r="A71" s="947">
        <f t="shared" si="10"/>
        <v>64</v>
      </c>
      <c r="B71" s="948">
        <v>3</v>
      </c>
      <c r="C71" s="949">
        <v>21695</v>
      </c>
      <c r="D71" s="949" t="s">
        <v>177</v>
      </c>
      <c r="E71" s="950">
        <v>25</v>
      </c>
      <c r="F71" s="644">
        <v>1959</v>
      </c>
      <c r="G71" s="948" t="s">
        <v>146</v>
      </c>
      <c r="H71" s="645" t="s">
        <v>149</v>
      </c>
      <c r="I71" s="951">
        <v>17</v>
      </c>
      <c r="J71" s="951">
        <v>0.4</v>
      </c>
      <c r="K71" s="952">
        <f t="shared" si="1"/>
        <v>3.8636363636363638E-3</v>
      </c>
      <c r="L71" s="644">
        <f t="shared" si="2"/>
        <v>22</v>
      </c>
      <c r="M71" s="935">
        <v>0.9375</v>
      </c>
      <c r="N71" s="936">
        <f t="shared" si="3"/>
        <v>0.9375</v>
      </c>
      <c r="O71" s="725"/>
      <c r="P71" s="725">
        <f t="shared" si="4"/>
        <v>-0.9375</v>
      </c>
      <c r="Q71" s="622"/>
      <c r="R71" s="37"/>
      <c r="S71" s="37" t="str">
        <f t="shared" si="5"/>
        <v>ArmstrongF0</v>
      </c>
      <c r="T71" s="37" t="str">
        <f t="shared" si="6"/>
        <v>1959F0</v>
      </c>
      <c r="U71" s="429">
        <v>10</v>
      </c>
      <c r="V71" s="1029">
        <v>0.2</v>
      </c>
      <c r="W71" s="598">
        <v>2E-3</v>
      </c>
      <c r="X71" s="429"/>
      <c r="Y71" s="37" t="str">
        <f t="shared" si="7"/>
        <v>F010</v>
      </c>
      <c r="Z71" s="37" t="str">
        <f t="shared" si="8"/>
        <v>F00.2</v>
      </c>
      <c r="AA71" s="37" t="str">
        <f t="shared" si="9"/>
        <v>F00.002</v>
      </c>
      <c r="AB71" s="498" t="str">
        <f t="shared" ref="AB71:AB134" si="11">CONCATENATE(H71,L71)</f>
        <v>F022</v>
      </c>
      <c r="AC71" s="572"/>
      <c r="AD71" s="572"/>
      <c r="AE71" s="572"/>
      <c r="AF71" s="572"/>
      <c r="AG71" s="21"/>
    </row>
    <row r="72" spans="1:33">
      <c r="A72" s="947">
        <f t="shared" si="10"/>
        <v>65</v>
      </c>
      <c r="B72" s="948">
        <v>4</v>
      </c>
      <c r="C72" s="949">
        <v>21741</v>
      </c>
      <c r="D72" s="949" t="s">
        <v>179</v>
      </c>
      <c r="E72" s="950">
        <v>10</v>
      </c>
      <c r="F72" s="644">
        <v>1959</v>
      </c>
      <c r="G72" s="948" t="s">
        <v>136</v>
      </c>
      <c r="H72" s="645" t="s">
        <v>150</v>
      </c>
      <c r="I72" s="951">
        <v>33</v>
      </c>
      <c r="J72" s="951">
        <v>0.5</v>
      </c>
      <c r="K72" s="952">
        <f t="shared" si="1"/>
        <v>9.3749999999999997E-3</v>
      </c>
      <c r="L72" s="644">
        <f t="shared" ref="L72:L135" si="12">HOUR(N72)</f>
        <v>17</v>
      </c>
      <c r="M72" s="935">
        <v>0.72916666666666663</v>
      </c>
      <c r="N72" s="936">
        <f t="shared" ref="N72:N135" si="13">+M72</f>
        <v>0.72916666666666663</v>
      </c>
      <c r="O72" s="725"/>
      <c r="P72" s="725">
        <f t="shared" ref="P72:P135" si="14">+O72-N72</f>
        <v>-0.72916666666666663</v>
      </c>
      <c r="Q72" s="622"/>
      <c r="R72" s="37"/>
      <c r="S72" s="37" t="str">
        <f t="shared" ref="S72:S135" si="15">CONCATENATE(G72,H72)</f>
        <v>HutchinsonF1</v>
      </c>
      <c r="T72" s="37" t="str">
        <f t="shared" ref="T72:T135" si="16">CONCATENATE(F72,H72)</f>
        <v>1959F1</v>
      </c>
      <c r="U72" s="429">
        <v>20</v>
      </c>
      <c r="V72" s="1029">
        <v>0.5</v>
      </c>
      <c r="W72" s="598">
        <v>5.0000000000000001E-3</v>
      </c>
      <c r="X72" s="429"/>
      <c r="Y72" s="37" t="str">
        <f t="shared" ref="Y72:Y135" si="17">CONCATENATE(H72,U72)</f>
        <v>F120</v>
      </c>
      <c r="Z72" s="37" t="str">
        <f t="shared" ref="Z72:Z135" si="18">CONCATENATE(H72,V72)</f>
        <v>F10.5</v>
      </c>
      <c r="AA72" s="37" t="str">
        <f t="shared" si="9"/>
        <v>F10.005</v>
      </c>
      <c r="AB72" s="498" t="str">
        <f t="shared" si="11"/>
        <v>F117</v>
      </c>
      <c r="AC72" s="572"/>
      <c r="AD72" s="572"/>
      <c r="AE72" s="572"/>
      <c r="AF72" s="572"/>
      <c r="AG72" s="21"/>
    </row>
    <row r="73" spans="1:33">
      <c r="A73" s="947">
        <f t="shared" si="10"/>
        <v>66</v>
      </c>
      <c r="B73" s="948">
        <v>5</v>
      </c>
      <c r="C73" s="949">
        <v>21745</v>
      </c>
      <c r="D73" s="949" t="s">
        <v>179</v>
      </c>
      <c r="E73" s="950">
        <v>14</v>
      </c>
      <c r="F73" s="644">
        <v>1959</v>
      </c>
      <c r="G73" s="948" t="s">
        <v>135</v>
      </c>
      <c r="H73" s="645" t="s">
        <v>150</v>
      </c>
      <c r="I73" s="951">
        <v>500</v>
      </c>
      <c r="J73" s="951">
        <v>10.9</v>
      </c>
      <c r="K73" s="952">
        <f t="shared" ref="K73:K136" si="19">+(I73/1760)*J73</f>
        <v>3.0965909090909096</v>
      </c>
      <c r="L73" s="644">
        <f t="shared" si="12"/>
        <v>19</v>
      </c>
      <c r="M73" s="935">
        <v>0.80208333333333337</v>
      </c>
      <c r="N73" s="936">
        <f t="shared" si="13"/>
        <v>0.80208333333333337</v>
      </c>
      <c r="O73" s="725"/>
      <c r="P73" s="725">
        <f t="shared" si="14"/>
        <v>-0.80208333333333337</v>
      </c>
      <c r="Q73" s="622"/>
      <c r="R73" s="37"/>
      <c r="S73" s="37" t="str">
        <f t="shared" si="15"/>
        <v>MooreF1</v>
      </c>
      <c r="T73" s="37" t="str">
        <f t="shared" si="16"/>
        <v>1959F1</v>
      </c>
      <c r="U73" s="429">
        <v>500</v>
      </c>
      <c r="V73" s="1029">
        <v>10</v>
      </c>
      <c r="W73" s="598">
        <v>2</v>
      </c>
      <c r="X73" s="429"/>
      <c r="Y73" s="37" t="str">
        <f t="shared" si="17"/>
        <v>F1500</v>
      </c>
      <c r="Z73" s="37" t="str">
        <f t="shared" si="18"/>
        <v>F110</v>
      </c>
      <c r="AA73" s="37" t="str">
        <f t="shared" ref="AA73:AA136" si="20">CONCATENATE(H73,W73)</f>
        <v>F12</v>
      </c>
      <c r="AB73" s="498" t="str">
        <f t="shared" si="11"/>
        <v>F119</v>
      </c>
      <c r="AC73" s="572"/>
      <c r="AD73" s="572"/>
      <c r="AE73" s="572"/>
      <c r="AF73" s="572"/>
      <c r="AG73" s="21"/>
    </row>
    <row r="74" spans="1:33">
      <c r="A74" s="947">
        <f t="shared" ref="A74:A137" si="21">+A73+1</f>
        <v>67</v>
      </c>
      <c r="B74" s="948">
        <v>6</v>
      </c>
      <c r="C74" s="949">
        <v>21817</v>
      </c>
      <c r="D74" s="949" t="s">
        <v>181</v>
      </c>
      <c r="E74" s="950">
        <v>24</v>
      </c>
      <c r="F74" s="644">
        <v>1959</v>
      </c>
      <c r="G74" s="948" t="s">
        <v>135</v>
      </c>
      <c r="H74" s="645" t="s">
        <v>149</v>
      </c>
      <c r="I74" s="951">
        <v>117</v>
      </c>
      <c r="J74" s="951">
        <v>0.1</v>
      </c>
      <c r="K74" s="952">
        <f t="shared" si="19"/>
        <v>6.6477272727272739E-3</v>
      </c>
      <c r="L74" s="644">
        <f t="shared" si="12"/>
        <v>14</v>
      </c>
      <c r="M74" s="935">
        <v>0.6020833333333333</v>
      </c>
      <c r="N74" s="936">
        <f t="shared" si="13"/>
        <v>0.6020833333333333</v>
      </c>
      <c r="O74" s="725"/>
      <c r="P74" s="725">
        <f t="shared" si="14"/>
        <v>-0.6020833333333333</v>
      </c>
      <c r="Q74" s="622"/>
      <c r="R74" s="37"/>
      <c r="S74" s="37" t="str">
        <f t="shared" si="15"/>
        <v>MooreF0</v>
      </c>
      <c r="T74" s="37" t="str">
        <f t="shared" si="16"/>
        <v>1959F0</v>
      </c>
      <c r="U74" s="429">
        <v>100</v>
      </c>
      <c r="V74" s="1029">
        <v>0.1</v>
      </c>
      <c r="W74" s="598">
        <v>5.0000000000000001E-3</v>
      </c>
      <c r="X74" s="429"/>
      <c r="Y74" s="37" t="str">
        <f t="shared" si="17"/>
        <v>F0100</v>
      </c>
      <c r="Z74" s="37" t="str">
        <f t="shared" si="18"/>
        <v>F00.1</v>
      </c>
      <c r="AA74" s="37" t="str">
        <f t="shared" si="20"/>
        <v>F00.005</v>
      </c>
      <c r="AB74" s="498" t="str">
        <f t="shared" si="11"/>
        <v>F014</v>
      </c>
      <c r="AC74" s="572"/>
      <c r="AD74" s="572"/>
      <c r="AE74" s="572"/>
      <c r="AF74" s="572"/>
      <c r="AG74" s="32"/>
    </row>
    <row r="75" spans="1:33">
      <c r="A75" s="947">
        <f t="shared" si="21"/>
        <v>68</v>
      </c>
      <c r="B75" s="948">
        <v>1</v>
      </c>
      <c r="C75" s="949">
        <v>22018</v>
      </c>
      <c r="D75" s="949" t="s">
        <v>176</v>
      </c>
      <c r="E75" s="950">
        <v>12</v>
      </c>
      <c r="F75" s="644">
        <v>1960</v>
      </c>
      <c r="G75" s="948" t="s">
        <v>126</v>
      </c>
      <c r="H75" s="645" t="s">
        <v>150</v>
      </c>
      <c r="I75" s="951">
        <v>300</v>
      </c>
      <c r="J75" s="951">
        <v>0.2</v>
      </c>
      <c r="K75" s="952">
        <f t="shared" si="19"/>
        <v>3.4090909090909088E-2</v>
      </c>
      <c r="L75" s="644">
        <f t="shared" si="12"/>
        <v>18</v>
      </c>
      <c r="M75" s="935">
        <v>0.77083333333333337</v>
      </c>
      <c r="N75" s="936">
        <f t="shared" si="13"/>
        <v>0.77083333333333337</v>
      </c>
      <c r="O75" s="725"/>
      <c r="P75" s="725">
        <f t="shared" si="14"/>
        <v>-0.77083333333333337</v>
      </c>
      <c r="Q75" s="622"/>
      <c r="R75" s="37"/>
      <c r="S75" s="37" t="str">
        <f t="shared" si="15"/>
        <v>CimarronF1</v>
      </c>
      <c r="T75" s="37" t="str">
        <f t="shared" si="16"/>
        <v>1960F1</v>
      </c>
      <c r="U75" s="429">
        <v>200</v>
      </c>
      <c r="V75" s="1029">
        <v>0.2</v>
      </c>
      <c r="W75" s="598">
        <v>0.02</v>
      </c>
      <c r="X75" s="429"/>
      <c r="Y75" s="37" t="str">
        <f t="shared" si="17"/>
        <v>F1200</v>
      </c>
      <c r="Z75" s="37" t="str">
        <f t="shared" si="18"/>
        <v>F10.2</v>
      </c>
      <c r="AA75" s="37" t="str">
        <f t="shared" si="20"/>
        <v>F10.02</v>
      </c>
      <c r="AB75" s="498" t="str">
        <f t="shared" si="11"/>
        <v>F118</v>
      </c>
      <c r="AC75" s="572"/>
      <c r="AD75" s="572"/>
      <c r="AE75" s="572"/>
      <c r="AF75" s="572"/>
      <c r="AG75" s="32"/>
    </row>
    <row r="76" spans="1:33">
      <c r="A76" s="947">
        <f t="shared" si="21"/>
        <v>69</v>
      </c>
      <c r="B76" s="948">
        <v>2</v>
      </c>
      <c r="C76" s="949">
        <v>22064</v>
      </c>
      <c r="D76" s="949" t="s">
        <v>177</v>
      </c>
      <c r="E76" s="950">
        <v>28</v>
      </c>
      <c r="F76" s="644">
        <v>1960</v>
      </c>
      <c r="G76" s="948" t="s">
        <v>145</v>
      </c>
      <c r="H76" s="645" t="s">
        <v>150</v>
      </c>
      <c r="I76" s="951">
        <v>33</v>
      </c>
      <c r="J76" s="951">
        <v>1.3</v>
      </c>
      <c r="K76" s="952">
        <f t="shared" si="19"/>
        <v>2.4375000000000001E-2</v>
      </c>
      <c r="L76" s="644">
        <f t="shared" si="12"/>
        <v>16</v>
      </c>
      <c r="M76" s="935">
        <v>0.67013888888888884</v>
      </c>
      <c r="N76" s="936">
        <f t="shared" si="13"/>
        <v>0.67013888888888884</v>
      </c>
      <c r="O76" s="725"/>
      <c r="P76" s="725">
        <f t="shared" si="14"/>
        <v>-0.67013888888888884</v>
      </c>
      <c r="Q76" s="622"/>
      <c r="R76" s="37"/>
      <c r="S76" s="37" t="str">
        <f t="shared" si="15"/>
        <v>RandallF1</v>
      </c>
      <c r="T76" s="37" t="str">
        <f t="shared" si="16"/>
        <v>1960F1</v>
      </c>
      <c r="U76" s="429">
        <v>20</v>
      </c>
      <c r="V76" s="1029">
        <v>1</v>
      </c>
      <c r="W76" s="598">
        <v>0.02</v>
      </c>
      <c r="X76" s="429"/>
      <c r="Y76" s="37" t="str">
        <f t="shared" si="17"/>
        <v>F120</v>
      </c>
      <c r="Z76" s="37" t="str">
        <f t="shared" si="18"/>
        <v>F11</v>
      </c>
      <c r="AA76" s="37" t="str">
        <f t="shared" si="20"/>
        <v>F10.02</v>
      </c>
      <c r="AB76" s="498" t="str">
        <f t="shared" si="11"/>
        <v>F116</v>
      </c>
      <c r="AC76" s="572"/>
      <c r="AD76" s="572"/>
      <c r="AE76" s="572"/>
      <c r="AF76" s="572"/>
      <c r="AG76" s="32"/>
    </row>
    <row r="77" spans="1:33">
      <c r="A77" s="947">
        <f t="shared" si="21"/>
        <v>70</v>
      </c>
      <c r="B77" s="948">
        <v>3</v>
      </c>
      <c r="C77" s="949">
        <v>22064</v>
      </c>
      <c r="D77" s="949" t="s">
        <v>177</v>
      </c>
      <c r="E77" s="950">
        <v>28</v>
      </c>
      <c r="F77" s="644">
        <v>1960</v>
      </c>
      <c r="G77" s="948" t="s">
        <v>145</v>
      </c>
      <c r="H77" s="645" t="s">
        <v>149</v>
      </c>
      <c r="I77" s="951">
        <v>7</v>
      </c>
      <c r="J77" s="951">
        <v>0.1</v>
      </c>
      <c r="K77" s="952">
        <f t="shared" si="19"/>
        <v>3.9772727272727269E-4</v>
      </c>
      <c r="L77" s="644">
        <f t="shared" si="12"/>
        <v>16</v>
      </c>
      <c r="M77" s="935">
        <v>0.67222222222222217</v>
      </c>
      <c r="N77" s="936">
        <f t="shared" si="13"/>
        <v>0.67222222222222217</v>
      </c>
      <c r="O77" s="725"/>
      <c r="P77" s="725">
        <f t="shared" si="14"/>
        <v>-0.67222222222222217</v>
      </c>
      <c r="Q77" s="622"/>
      <c r="R77" s="37"/>
      <c r="S77" s="37" t="str">
        <f t="shared" si="15"/>
        <v>RandallF0</v>
      </c>
      <c r="T77" s="37" t="str">
        <f t="shared" si="16"/>
        <v>1960F0</v>
      </c>
      <c r="U77" s="429">
        <v>5</v>
      </c>
      <c r="V77" s="1029">
        <v>0.1</v>
      </c>
      <c r="W77" s="598">
        <v>2.0000000000000001E-4</v>
      </c>
      <c r="X77" s="429"/>
      <c r="Y77" s="37" t="str">
        <f t="shared" si="17"/>
        <v>F05</v>
      </c>
      <c r="Z77" s="37" t="str">
        <f t="shared" si="18"/>
        <v>F00.1</v>
      </c>
      <c r="AA77" s="37" t="str">
        <f t="shared" si="20"/>
        <v>F00.0002</v>
      </c>
      <c r="AB77" s="498" t="str">
        <f t="shared" si="11"/>
        <v>F016</v>
      </c>
      <c r="AC77" s="572"/>
      <c r="AD77" s="572"/>
      <c r="AE77" s="572"/>
      <c r="AF77" s="572"/>
      <c r="AG77" s="32"/>
    </row>
    <row r="78" spans="1:33">
      <c r="A78" s="947">
        <f t="shared" si="21"/>
        <v>71</v>
      </c>
      <c r="B78" s="948">
        <v>4</v>
      </c>
      <c r="C78" s="949">
        <v>22064</v>
      </c>
      <c r="D78" s="949" t="s">
        <v>177</v>
      </c>
      <c r="E78" s="950">
        <v>28</v>
      </c>
      <c r="F78" s="644">
        <v>1960</v>
      </c>
      <c r="G78" s="948" t="s">
        <v>145</v>
      </c>
      <c r="H78" s="645" t="s">
        <v>149</v>
      </c>
      <c r="I78" s="951">
        <v>3</v>
      </c>
      <c r="J78" s="951">
        <v>0.1</v>
      </c>
      <c r="K78" s="952">
        <f t="shared" si="19"/>
        <v>1.7045454545454547E-4</v>
      </c>
      <c r="L78" s="644">
        <f t="shared" si="12"/>
        <v>17</v>
      </c>
      <c r="M78" s="935">
        <v>0.70833333333333337</v>
      </c>
      <c r="N78" s="936">
        <f t="shared" si="13"/>
        <v>0.70833333333333337</v>
      </c>
      <c r="O78" s="725"/>
      <c r="P78" s="725">
        <f t="shared" si="14"/>
        <v>-0.70833333333333337</v>
      </c>
      <c r="Q78" s="622"/>
      <c r="R78" s="37"/>
      <c r="S78" s="37" t="str">
        <f t="shared" si="15"/>
        <v>RandallF0</v>
      </c>
      <c r="T78" s="37" t="str">
        <f t="shared" si="16"/>
        <v>1960F0</v>
      </c>
      <c r="U78" s="429">
        <v>2</v>
      </c>
      <c r="V78" s="1029">
        <v>0.1</v>
      </c>
      <c r="W78" s="598">
        <v>2.0000000000000001E-4</v>
      </c>
      <c r="X78" s="429"/>
      <c r="Y78" s="37" t="str">
        <f t="shared" si="17"/>
        <v>F02</v>
      </c>
      <c r="Z78" s="37" t="str">
        <f t="shared" si="18"/>
        <v>F00.1</v>
      </c>
      <c r="AA78" s="37" t="str">
        <f t="shared" si="20"/>
        <v>F00.0002</v>
      </c>
      <c r="AB78" s="498" t="str">
        <f t="shared" si="11"/>
        <v>F017</v>
      </c>
      <c r="AC78" s="572"/>
      <c r="AD78" s="572"/>
      <c r="AE78" s="572"/>
      <c r="AF78" s="572"/>
      <c r="AG78" s="32"/>
    </row>
    <row r="79" spans="1:33">
      <c r="A79" s="947">
        <f t="shared" si="21"/>
        <v>72</v>
      </c>
      <c r="B79" s="948">
        <v>5</v>
      </c>
      <c r="C79" s="949">
        <v>22075</v>
      </c>
      <c r="D79" s="949" t="s">
        <v>178</v>
      </c>
      <c r="E79" s="950">
        <v>8</v>
      </c>
      <c r="F79" s="644">
        <v>1960</v>
      </c>
      <c r="G79" s="948" t="s">
        <v>141</v>
      </c>
      <c r="H79" s="645" t="s">
        <v>149</v>
      </c>
      <c r="I79" s="951">
        <v>33</v>
      </c>
      <c r="J79" s="951">
        <v>0.5</v>
      </c>
      <c r="K79" s="952">
        <f t="shared" si="19"/>
        <v>9.3749999999999997E-3</v>
      </c>
      <c r="L79" s="644">
        <f t="shared" si="12"/>
        <v>1</v>
      </c>
      <c r="M79" s="935">
        <v>4.1666666666666664E-2</v>
      </c>
      <c r="N79" s="936">
        <f t="shared" si="13"/>
        <v>4.1666666666666664E-2</v>
      </c>
      <c r="O79" s="725"/>
      <c r="P79" s="725">
        <f t="shared" si="14"/>
        <v>-4.1666666666666664E-2</v>
      </c>
      <c r="Q79" s="622"/>
      <c r="R79" s="36"/>
      <c r="S79" s="37" t="str">
        <f t="shared" si="15"/>
        <v>CarsonF0</v>
      </c>
      <c r="T79" s="37" t="str">
        <f t="shared" si="16"/>
        <v>1960F0</v>
      </c>
      <c r="U79" s="429">
        <v>20</v>
      </c>
      <c r="V79" s="1029">
        <v>0.5</v>
      </c>
      <c r="W79" s="598">
        <v>5.0000000000000001E-3</v>
      </c>
      <c r="X79" s="429"/>
      <c r="Y79" s="37" t="str">
        <f t="shared" si="17"/>
        <v>F020</v>
      </c>
      <c r="Z79" s="37" t="str">
        <f t="shared" si="18"/>
        <v>F00.5</v>
      </c>
      <c r="AA79" s="37" t="str">
        <f t="shared" si="20"/>
        <v>F00.005</v>
      </c>
      <c r="AB79" s="498" t="str">
        <f t="shared" si="11"/>
        <v>F01</v>
      </c>
      <c r="AC79" s="572"/>
      <c r="AD79" s="572"/>
      <c r="AE79" s="572"/>
      <c r="AF79" s="572"/>
      <c r="AG79" s="32"/>
    </row>
    <row r="80" spans="1:33">
      <c r="A80" s="947">
        <f t="shared" si="21"/>
        <v>73</v>
      </c>
      <c r="B80" s="948">
        <v>6</v>
      </c>
      <c r="C80" s="949">
        <v>22075</v>
      </c>
      <c r="D80" s="949" t="s">
        <v>178</v>
      </c>
      <c r="E80" s="950">
        <v>8</v>
      </c>
      <c r="F80" s="644">
        <v>1960</v>
      </c>
      <c r="G80" s="948" t="s">
        <v>147</v>
      </c>
      <c r="H80" s="645" t="s">
        <v>151</v>
      </c>
      <c r="I80" s="951">
        <v>10</v>
      </c>
      <c r="J80" s="951">
        <v>0.1</v>
      </c>
      <c r="K80" s="952">
        <f t="shared" si="19"/>
        <v>5.6818181818181826E-4</v>
      </c>
      <c r="L80" s="644">
        <f t="shared" si="12"/>
        <v>16</v>
      </c>
      <c r="M80" s="935">
        <v>0.68402777777777779</v>
      </c>
      <c r="N80" s="936">
        <f t="shared" si="13"/>
        <v>0.68402777777777779</v>
      </c>
      <c r="O80" s="725"/>
      <c r="P80" s="725">
        <f t="shared" si="14"/>
        <v>-0.68402777777777779</v>
      </c>
      <c r="Q80" s="622"/>
      <c r="R80" s="36"/>
      <c r="S80" s="37" t="str">
        <f t="shared" si="15"/>
        <v>DonleyF2</v>
      </c>
      <c r="T80" s="37" t="str">
        <f t="shared" si="16"/>
        <v>1960F2</v>
      </c>
      <c r="U80" s="429">
        <v>10</v>
      </c>
      <c r="V80" s="1029">
        <v>0.1</v>
      </c>
      <c r="W80" s="598">
        <v>1E-3</v>
      </c>
      <c r="X80" s="429"/>
      <c r="Y80" s="37" t="str">
        <f t="shared" si="17"/>
        <v>F210</v>
      </c>
      <c r="Z80" s="37" t="str">
        <f t="shared" si="18"/>
        <v>F20.1</v>
      </c>
      <c r="AA80" s="37" t="str">
        <f t="shared" si="20"/>
        <v>F20.001</v>
      </c>
      <c r="AB80" s="498" t="str">
        <f t="shared" si="11"/>
        <v>F216</v>
      </c>
      <c r="AC80" s="572"/>
      <c r="AD80" s="572"/>
      <c r="AE80" s="572"/>
      <c r="AF80" s="572"/>
      <c r="AG80" s="32"/>
    </row>
    <row r="81" spans="1:33">
      <c r="A81" s="947">
        <f t="shared" si="21"/>
        <v>74</v>
      </c>
      <c r="B81" s="948">
        <v>7</v>
      </c>
      <c r="C81" s="949">
        <v>22076</v>
      </c>
      <c r="D81" s="949" t="s">
        <v>178</v>
      </c>
      <c r="E81" s="950">
        <v>9</v>
      </c>
      <c r="F81" s="644">
        <v>1960</v>
      </c>
      <c r="G81" s="948" t="s">
        <v>135</v>
      </c>
      <c r="H81" s="645" t="s">
        <v>149</v>
      </c>
      <c r="I81" s="951">
        <v>23</v>
      </c>
      <c r="J81" s="951">
        <v>0.1</v>
      </c>
      <c r="K81" s="952">
        <f t="shared" si="19"/>
        <v>1.3068181818181818E-3</v>
      </c>
      <c r="L81" s="644">
        <f t="shared" si="12"/>
        <v>0</v>
      </c>
      <c r="M81" s="935">
        <v>1.0416666666666666E-2</v>
      </c>
      <c r="N81" s="936">
        <f t="shared" si="13"/>
        <v>1.0416666666666666E-2</v>
      </c>
      <c r="O81" s="725"/>
      <c r="P81" s="725">
        <f t="shared" si="14"/>
        <v>-1.0416666666666666E-2</v>
      </c>
      <c r="Q81" s="622"/>
      <c r="R81" s="36"/>
      <c r="S81" s="37" t="str">
        <f t="shared" si="15"/>
        <v>MooreF0</v>
      </c>
      <c r="T81" s="37" t="str">
        <f t="shared" si="16"/>
        <v>1960F0</v>
      </c>
      <c r="U81" s="429">
        <v>20</v>
      </c>
      <c r="V81" s="1029">
        <v>0.1</v>
      </c>
      <c r="W81" s="598">
        <v>1E-3</v>
      </c>
      <c r="X81" s="429"/>
      <c r="Y81" s="37" t="str">
        <f t="shared" si="17"/>
        <v>F020</v>
      </c>
      <c r="Z81" s="37" t="str">
        <f t="shared" si="18"/>
        <v>F00.1</v>
      </c>
      <c r="AA81" s="37" t="str">
        <f t="shared" si="20"/>
        <v>F00.001</v>
      </c>
      <c r="AB81" s="498" t="str">
        <f t="shared" si="11"/>
        <v>F00</v>
      </c>
      <c r="AC81" s="572"/>
      <c r="AD81" s="572"/>
      <c r="AE81" s="572"/>
      <c r="AF81" s="572"/>
      <c r="AG81" s="32"/>
    </row>
    <row r="82" spans="1:33">
      <c r="A82" s="947">
        <f t="shared" si="21"/>
        <v>75</v>
      </c>
      <c r="B82" s="948">
        <v>8</v>
      </c>
      <c r="C82" s="949">
        <v>22076</v>
      </c>
      <c r="D82" s="949" t="s">
        <v>178</v>
      </c>
      <c r="E82" s="950">
        <v>9</v>
      </c>
      <c r="F82" s="644">
        <v>1960</v>
      </c>
      <c r="G82" s="948" t="s">
        <v>140</v>
      </c>
      <c r="H82" s="645" t="s">
        <v>150</v>
      </c>
      <c r="I82" s="951">
        <v>33</v>
      </c>
      <c r="J82" s="951">
        <v>1</v>
      </c>
      <c r="K82" s="952">
        <f t="shared" si="19"/>
        <v>1.8749999999999999E-2</v>
      </c>
      <c r="L82" s="644">
        <f t="shared" si="12"/>
        <v>19</v>
      </c>
      <c r="M82" s="935">
        <v>0.81597222222222221</v>
      </c>
      <c r="N82" s="936">
        <f t="shared" si="13"/>
        <v>0.81597222222222221</v>
      </c>
      <c r="O82" s="725"/>
      <c r="P82" s="725">
        <f t="shared" si="14"/>
        <v>-0.81597222222222221</v>
      </c>
      <c r="Q82" s="622"/>
      <c r="R82" s="36"/>
      <c r="S82" s="37" t="str">
        <f t="shared" si="15"/>
        <v>PotterF1</v>
      </c>
      <c r="T82" s="37" t="str">
        <f t="shared" si="16"/>
        <v>1960F1</v>
      </c>
      <c r="U82" s="429">
        <v>20</v>
      </c>
      <c r="V82" s="1029">
        <v>1</v>
      </c>
      <c r="W82" s="598">
        <v>0.01</v>
      </c>
      <c r="X82" s="429"/>
      <c r="Y82" s="37" t="str">
        <f t="shared" si="17"/>
        <v>F120</v>
      </c>
      <c r="Z82" s="37" t="str">
        <f t="shared" si="18"/>
        <v>F11</v>
      </c>
      <c r="AA82" s="37" t="str">
        <f t="shared" si="20"/>
        <v>F10.01</v>
      </c>
      <c r="AB82" s="498" t="str">
        <f t="shared" si="11"/>
        <v>F119</v>
      </c>
      <c r="AC82" s="572"/>
      <c r="AD82" s="572"/>
      <c r="AE82" s="572"/>
      <c r="AF82" s="572"/>
      <c r="AG82" s="32"/>
    </row>
    <row r="83" spans="1:33">
      <c r="A83" s="947">
        <f t="shared" si="21"/>
        <v>76</v>
      </c>
      <c r="B83" s="948">
        <v>9</v>
      </c>
      <c r="C83" s="949">
        <v>22077</v>
      </c>
      <c r="D83" s="949" t="s">
        <v>178</v>
      </c>
      <c r="E83" s="950">
        <v>10</v>
      </c>
      <c r="F83" s="644">
        <v>1960</v>
      </c>
      <c r="G83" s="948" t="s">
        <v>144</v>
      </c>
      <c r="H83" s="645" t="s">
        <v>149</v>
      </c>
      <c r="I83" s="951">
        <v>10</v>
      </c>
      <c r="J83" s="951">
        <v>0.1</v>
      </c>
      <c r="K83" s="952">
        <f t="shared" si="19"/>
        <v>5.6818181818181826E-4</v>
      </c>
      <c r="L83" s="644">
        <f t="shared" si="12"/>
        <v>17</v>
      </c>
      <c r="M83" s="935">
        <v>0.72916666666666663</v>
      </c>
      <c r="N83" s="936">
        <f t="shared" si="13"/>
        <v>0.72916666666666663</v>
      </c>
      <c r="O83" s="725"/>
      <c r="P83" s="725">
        <f t="shared" si="14"/>
        <v>-0.72916666666666663</v>
      </c>
      <c r="Q83" s="622"/>
      <c r="R83" s="36"/>
      <c r="S83" s="37" t="str">
        <f t="shared" si="15"/>
        <v>Deaf SmithF0</v>
      </c>
      <c r="T83" s="37" t="str">
        <f t="shared" si="16"/>
        <v>1960F0</v>
      </c>
      <c r="U83" s="429">
        <v>10</v>
      </c>
      <c r="V83" s="1029">
        <v>0.1</v>
      </c>
      <c r="W83" s="598">
        <v>1E-3</v>
      </c>
      <c r="X83" s="429"/>
      <c r="Y83" s="37" t="str">
        <f t="shared" si="17"/>
        <v>F010</v>
      </c>
      <c r="Z83" s="37" t="str">
        <f t="shared" si="18"/>
        <v>F00.1</v>
      </c>
      <c r="AA83" s="37" t="str">
        <f t="shared" si="20"/>
        <v>F00.001</v>
      </c>
      <c r="AB83" s="498" t="str">
        <f t="shared" si="11"/>
        <v>F017</v>
      </c>
      <c r="AC83" s="572"/>
      <c r="AD83" s="572"/>
      <c r="AE83" s="572"/>
      <c r="AF83" s="572"/>
      <c r="AG83" s="32"/>
    </row>
    <row r="84" spans="1:33">
      <c r="A84" s="947">
        <f t="shared" si="21"/>
        <v>77</v>
      </c>
      <c r="B84" s="948">
        <v>10</v>
      </c>
      <c r="C84" s="949">
        <v>22077</v>
      </c>
      <c r="D84" s="949" t="s">
        <v>178</v>
      </c>
      <c r="E84" s="950">
        <v>10</v>
      </c>
      <c r="F84" s="644">
        <v>1960</v>
      </c>
      <c r="G84" s="948" t="s">
        <v>140</v>
      </c>
      <c r="H84" s="645" t="s">
        <v>149</v>
      </c>
      <c r="I84" s="951">
        <v>10</v>
      </c>
      <c r="J84" s="951">
        <v>0.1</v>
      </c>
      <c r="K84" s="952">
        <f t="shared" si="19"/>
        <v>5.6818181818181826E-4</v>
      </c>
      <c r="L84" s="644">
        <f t="shared" si="12"/>
        <v>19</v>
      </c>
      <c r="M84" s="935">
        <v>0.82361111111111107</v>
      </c>
      <c r="N84" s="936">
        <f t="shared" si="13"/>
        <v>0.82361111111111107</v>
      </c>
      <c r="O84" s="725"/>
      <c r="P84" s="725">
        <f t="shared" si="14"/>
        <v>-0.82361111111111107</v>
      </c>
      <c r="Q84" s="622"/>
      <c r="R84" s="36"/>
      <c r="S84" s="37" t="str">
        <f t="shared" si="15"/>
        <v>PotterF0</v>
      </c>
      <c r="T84" s="37" t="str">
        <f t="shared" si="16"/>
        <v>1960F0</v>
      </c>
      <c r="U84" s="429">
        <v>10</v>
      </c>
      <c r="V84" s="1029">
        <v>0.1</v>
      </c>
      <c r="W84" s="598">
        <v>1E-3</v>
      </c>
      <c r="X84" s="429"/>
      <c r="Y84" s="37" t="str">
        <f t="shared" si="17"/>
        <v>F010</v>
      </c>
      <c r="Z84" s="37" t="str">
        <f t="shared" si="18"/>
        <v>F00.1</v>
      </c>
      <c r="AA84" s="37" t="str">
        <f t="shared" si="20"/>
        <v>F00.001</v>
      </c>
      <c r="AB84" s="498" t="str">
        <f t="shared" si="11"/>
        <v>F019</v>
      </c>
      <c r="AC84" s="572"/>
      <c r="AD84" s="572"/>
      <c r="AE84" s="572"/>
      <c r="AF84" s="572"/>
    </row>
    <row r="85" spans="1:33">
      <c r="A85" s="947">
        <f t="shared" si="21"/>
        <v>78</v>
      </c>
      <c r="B85" s="948">
        <v>11</v>
      </c>
      <c r="C85" s="949">
        <v>22082</v>
      </c>
      <c r="D85" s="949" t="s">
        <v>178</v>
      </c>
      <c r="E85" s="950">
        <v>15</v>
      </c>
      <c r="F85" s="644">
        <v>1960</v>
      </c>
      <c r="G85" s="948" t="s">
        <v>128</v>
      </c>
      <c r="H85" s="645" t="s">
        <v>150</v>
      </c>
      <c r="I85" s="951">
        <v>10</v>
      </c>
      <c r="J85" s="951">
        <v>0.1</v>
      </c>
      <c r="K85" s="952">
        <f t="shared" si="19"/>
        <v>5.6818181818181826E-4</v>
      </c>
      <c r="L85" s="644">
        <f t="shared" si="12"/>
        <v>1</v>
      </c>
      <c r="M85" s="935">
        <v>4.1666666666666664E-2</v>
      </c>
      <c r="N85" s="936">
        <f t="shared" si="13"/>
        <v>4.1666666666666664E-2</v>
      </c>
      <c r="O85" s="725"/>
      <c r="P85" s="725">
        <f t="shared" si="14"/>
        <v>-4.1666666666666664E-2</v>
      </c>
      <c r="Q85" s="622"/>
      <c r="R85" s="37"/>
      <c r="S85" s="37" t="str">
        <f t="shared" si="15"/>
        <v>BeaverF1</v>
      </c>
      <c r="T85" s="37" t="str">
        <f t="shared" si="16"/>
        <v>1960F1</v>
      </c>
      <c r="U85" s="429">
        <v>10</v>
      </c>
      <c r="V85" s="1029">
        <v>0.1</v>
      </c>
      <c r="W85" s="598">
        <v>1E-3</v>
      </c>
      <c r="X85" s="429"/>
      <c r="Y85" s="37" t="str">
        <f t="shared" si="17"/>
        <v>F110</v>
      </c>
      <c r="Z85" s="37" t="str">
        <f t="shared" si="18"/>
        <v>F10.1</v>
      </c>
      <c r="AA85" s="37" t="str">
        <f t="shared" si="20"/>
        <v>F10.001</v>
      </c>
      <c r="AB85" s="498" t="str">
        <f t="shared" si="11"/>
        <v>F11</v>
      </c>
      <c r="AC85" s="572"/>
      <c r="AD85" s="572"/>
      <c r="AE85" s="572"/>
      <c r="AF85" s="572"/>
    </row>
    <row r="86" spans="1:33">
      <c r="A86" s="947">
        <f t="shared" si="21"/>
        <v>79</v>
      </c>
      <c r="B86" s="948">
        <v>12</v>
      </c>
      <c r="C86" s="949">
        <v>22082</v>
      </c>
      <c r="D86" s="949" t="s">
        <v>178</v>
      </c>
      <c r="E86" s="950">
        <v>15</v>
      </c>
      <c r="F86" s="644">
        <v>1960</v>
      </c>
      <c r="G86" s="948" t="s">
        <v>132</v>
      </c>
      <c r="H86" s="645" t="s">
        <v>150</v>
      </c>
      <c r="I86" s="951">
        <v>23</v>
      </c>
      <c r="J86" s="951">
        <v>0.4</v>
      </c>
      <c r="K86" s="952">
        <f t="shared" si="19"/>
        <v>5.2272727272727271E-3</v>
      </c>
      <c r="L86" s="644">
        <f t="shared" si="12"/>
        <v>17</v>
      </c>
      <c r="M86" s="935">
        <v>0.74305555555555547</v>
      </c>
      <c r="N86" s="936">
        <f t="shared" si="13"/>
        <v>0.74305555555555547</v>
      </c>
      <c r="O86" s="725"/>
      <c r="P86" s="725">
        <f t="shared" si="14"/>
        <v>-0.74305555555555547</v>
      </c>
      <c r="Q86" s="622"/>
      <c r="R86" s="37"/>
      <c r="S86" s="37" t="str">
        <f t="shared" si="15"/>
        <v>OchiltreeF1</v>
      </c>
      <c r="T86" s="37" t="str">
        <f t="shared" si="16"/>
        <v>1960F1</v>
      </c>
      <c r="U86" s="429">
        <v>20</v>
      </c>
      <c r="V86" s="1029">
        <v>0.2</v>
      </c>
      <c r="W86" s="598">
        <v>5.0000000000000001E-3</v>
      </c>
      <c r="X86" s="429"/>
      <c r="Y86" s="37" t="str">
        <f t="shared" si="17"/>
        <v>F120</v>
      </c>
      <c r="Z86" s="37" t="str">
        <f t="shared" si="18"/>
        <v>F10.2</v>
      </c>
      <c r="AA86" s="37" t="str">
        <f t="shared" si="20"/>
        <v>F10.005</v>
      </c>
      <c r="AB86" s="498" t="str">
        <f t="shared" si="11"/>
        <v>F117</v>
      </c>
      <c r="AC86" s="572"/>
      <c r="AD86" s="572"/>
      <c r="AE86" s="572"/>
      <c r="AF86" s="572"/>
    </row>
    <row r="87" spans="1:33">
      <c r="A87" s="947">
        <f t="shared" si="21"/>
        <v>80</v>
      </c>
      <c r="B87" s="948">
        <v>13</v>
      </c>
      <c r="C87" s="949">
        <v>22082</v>
      </c>
      <c r="D87" s="949" t="s">
        <v>178</v>
      </c>
      <c r="E87" s="950">
        <v>15</v>
      </c>
      <c r="F87" s="644">
        <v>1960</v>
      </c>
      <c r="G87" s="948" t="s">
        <v>132</v>
      </c>
      <c r="H87" s="645" t="s">
        <v>150</v>
      </c>
      <c r="I87" s="951">
        <v>27</v>
      </c>
      <c r="J87" s="951">
        <v>0.7</v>
      </c>
      <c r="K87" s="952">
        <f t="shared" si="19"/>
        <v>1.0738636363636363E-2</v>
      </c>
      <c r="L87" s="644">
        <f t="shared" si="12"/>
        <v>18</v>
      </c>
      <c r="M87" s="935">
        <v>0.75</v>
      </c>
      <c r="N87" s="936">
        <f t="shared" si="13"/>
        <v>0.75</v>
      </c>
      <c r="O87" s="725"/>
      <c r="P87" s="725">
        <f t="shared" si="14"/>
        <v>-0.75</v>
      </c>
      <c r="Q87" s="622"/>
      <c r="R87" s="37"/>
      <c r="S87" s="37" t="str">
        <f t="shared" si="15"/>
        <v>OchiltreeF1</v>
      </c>
      <c r="T87" s="37" t="str">
        <f t="shared" si="16"/>
        <v>1960F1</v>
      </c>
      <c r="U87" s="429">
        <v>20</v>
      </c>
      <c r="V87" s="1029">
        <v>0.5</v>
      </c>
      <c r="W87" s="598">
        <v>0.01</v>
      </c>
      <c r="X87" s="429"/>
      <c r="Y87" s="37" t="str">
        <f t="shared" si="17"/>
        <v>F120</v>
      </c>
      <c r="Z87" s="37" t="str">
        <f t="shared" si="18"/>
        <v>F10.5</v>
      </c>
      <c r="AA87" s="37" t="str">
        <f t="shared" si="20"/>
        <v>F10.01</v>
      </c>
      <c r="AB87" s="498" t="str">
        <f t="shared" si="11"/>
        <v>F118</v>
      </c>
      <c r="AC87" s="572"/>
      <c r="AD87" s="572"/>
      <c r="AE87" s="572"/>
      <c r="AF87" s="572"/>
    </row>
    <row r="88" spans="1:33">
      <c r="A88" s="947">
        <f t="shared" si="21"/>
        <v>81</v>
      </c>
      <c r="B88" s="948">
        <v>1</v>
      </c>
      <c r="C88" s="949">
        <v>22405</v>
      </c>
      <c r="D88" s="949" t="s">
        <v>177</v>
      </c>
      <c r="E88" s="950">
        <v>4</v>
      </c>
      <c r="F88" s="644">
        <v>1961</v>
      </c>
      <c r="G88" s="948" t="s">
        <v>138</v>
      </c>
      <c r="H88" s="645" t="s">
        <v>149</v>
      </c>
      <c r="I88" s="951">
        <v>33</v>
      </c>
      <c r="J88" s="951">
        <v>8.4</v>
      </c>
      <c r="K88" s="952">
        <f t="shared" si="19"/>
        <v>0.1575</v>
      </c>
      <c r="L88" s="644">
        <f t="shared" si="12"/>
        <v>14</v>
      </c>
      <c r="M88" s="935">
        <v>0.58333333333333337</v>
      </c>
      <c r="N88" s="936">
        <f t="shared" si="13"/>
        <v>0.58333333333333337</v>
      </c>
      <c r="O88" s="725"/>
      <c r="P88" s="725">
        <f t="shared" si="14"/>
        <v>-0.58333333333333337</v>
      </c>
      <c r="Q88" s="622"/>
      <c r="R88" s="37"/>
      <c r="S88" s="37" t="str">
        <f t="shared" si="15"/>
        <v>HemphillF0</v>
      </c>
      <c r="T88" s="37" t="str">
        <f t="shared" si="16"/>
        <v>1961F0</v>
      </c>
      <c r="U88" s="429">
        <v>20</v>
      </c>
      <c r="V88" s="1029">
        <v>5</v>
      </c>
      <c r="W88" s="598">
        <v>0.1</v>
      </c>
      <c r="X88" s="429"/>
      <c r="Y88" s="37" t="str">
        <f t="shared" si="17"/>
        <v>F020</v>
      </c>
      <c r="Z88" s="37" t="str">
        <f t="shared" si="18"/>
        <v>F05</v>
      </c>
      <c r="AA88" s="37" t="str">
        <f t="shared" si="20"/>
        <v>F00.1</v>
      </c>
      <c r="AB88" s="498" t="str">
        <f t="shared" si="11"/>
        <v>F014</v>
      </c>
      <c r="AC88" s="572"/>
      <c r="AD88" s="572"/>
      <c r="AE88" s="572"/>
      <c r="AF88" s="572"/>
    </row>
    <row r="89" spans="1:33">
      <c r="A89" s="947">
        <f t="shared" si="21"/>
        <v>82</v>
      </c>
      <c r="B89" s="948">
        <v>2</v>
      </c>
      <c r="C89" s="949">
        <v>22417</v>
      </c>
      <c r="D89" s="949" t="s">
        <v>177</v>
      </c>
      <c r="E89" s="950">
        <v>16</v>
      </c>
      <c r="F89" s="644">
        <v>1961</v>
      </c>
      <c r="G89" s="948" t="s">
        <v>141</v>
      </c>
      <c r="H89" s="645" t="s">
        <v>151</v>
      </c>
      <c r="I89" s="951">
        <v>33</v>
      </c>
      <c r="J89" s="951">
        <v>0.5</v>
      </c>
      <c r="K89" s="952">
        <f t="shared" si="19"/>
        <v>9.3749999999999997E-3</v>
      </c>
      <c r="L89" s="644">
        <f t="shared" si="12"/>
        <v>16</v>
      </c>
      <c r="M89" s="935">
        <v>0.69791666666666663</v>
      </c>
      <c r="N89" s="936">
        <f t="shared" si="13"/>
        <v>0.69791666666666663</v>
      </c>
      <c r="O89" s="725"/>
      <c r="P89" s="725">
        <f t="shared" si="14"/>
        <v>-0.69791666666666663</v>
      </c>
      <c r="Q89" s="622"/>
      <c r="R89" s="37"/>
      <c r="S89" s="37" t="str">
        <f t="shared" si="15"/>
        <v>CarsonF2</v>
      </c>
      <c r="T89" s="37" t="str">
        <f t="shared" si="16"/>
        <v>1961F2</v>
      </c>
      <c r="U89" s="429">
        <v>20</v>
      </c>
      <c r="V89" s="1029">
        <v>0.5</v>
      </c>
      <c r="W89" s="598">
        <v>5.0000000000000001E-3</v>
      </c>
      <c r="X89" s="429"/>
      <c r="Y89" s="37" t="str">
        <f t="shared" si="17"/>
        <v>F220</v>
      </c>
      <c r="Z89" s="37" t="str">
        <f t="shared" si="18"/>
        <v>F20.5</v>
      </c>
      <c r="AA89" s="37" t="str">
        <f t="shared" si="20"/>
        <v>F20.005</v>
      </c>
      <c r="AB89" s="498" t="str">
        <f t="shared" si="11"/>
        <v>F216</v>
      </c>
      <c r="AC89" s="572"/>
      <c r="AD89" s="572"/>
      <c r="AE89" s="572"/>
      <c r="AF89" s="572"/>
    </row>
    <row r="90" spans="1:33">
      <c r="A90" s="947">
        <f t="shared" si="21"/>
        <v>83</v>
      </c>
      <c r="B90" s="948">
        <v>3</v>
      </c>
      <c r="C90" s="949">
        <v>22417</v>
      </c>
      <c r="D90" s="949" t="s">
        <v>177</v>
      </c>
      <c r="E90" s="950">
        <v>16</v>
      </c>
      <c r="F90" s="644">
        <v>1961</v>
      </c>
      <c r="G90" s="948" t="s">
        <v>142</v>
      </c>
      <c r="H90" s="645" t="s">
        <v>149</v>
      </c>
      <c r="I90" s="951">
        <v>33</v>
      </c>
      <c r="J90" s="951">
        <v>0.2</v>
      </c>
      <c r="K90" s="952">
        <f t="shared" si="19"/>
        <v>3.7499999999999999E-3</v>
      </c>
      <c r="L90" s="644">
        <f t="shared" si="12"/>
        <v>17</v>
      </c>
      <c r="M90" s="935">
        <v>0.73611111111111116</v>
      </c>
      <c r="N90" s="936">
        <f t="shared" si="13"/>
        <v>0.73611111111111116</v>
      </c>
      <c r="O90" s="725"/>
      <c r="P90" s="725">
        <f t="shared" si="14"/>
        <v>-0.73611111111111116</v>
      </c>
      <c r="Q90" s="622"/>
      <c r="R90" s="37"/>
      <c r="S90" s="37" t="str">
        <f t="shared" si="15"/>
        <v>GrayF0</v>
      </c>
      <c r="T90" s="37" t="str">
        <f t="shared" si="16"/>
        <v>1961F0</v>
      </c>
      <c r="U90" s="429">
        <v>20</v>
      </c>
      <c r="V90" s="1029">
        <v>0.2</v>
      </c>
      <c r="W90" s="598">
        <v>2E-3</v>
      </c>
      <c r="X90" s="429"/>
      <c r="Y90" s="37" t="str">
        <f t="shared" si="17"/>
        <v>F020</v>
      </c>
      <c r="Z90" s="37" t="str">
        <f t="shared" si="18"/>
        <v>F00.2</v>
      </c>
      <c r="AA90" s="37" t="str">
        <f t="shared" si="20"/>
        <v>F00.002</v>
      </c>
      <c r="AB90" s="498" t="str">
        <f t="shared" si="11"/>
        <v>F017</v>
      </c>
      <c r="AC90" s="572"/>
      <c r="AD90" s="572"/>
      <c r="AE90" s="572"/>
      <c r="AF90" s="572"/>
    </row>
    <row r="91" spans="1:33">
      <c r="A91" s="947">
        <f t="shared" si="21"/>
        <v>84</v>
      </c>
      <c r="B91" s="948">
        <v>4</v>
      </c>
      <c r="C91" s="949">
        <v>22434</v>
      </c>
      <c r="D91" s="949" t="s">
        <v>178</v>
      </c>
      <c r="E91" s="950">
        <v>2</v>
      </c>
      <c r="F91" s="644">
        <v>1961</v>
      </c>
      <c r="G91" s="948" t="s">
        <v>142</v>
      </c>
      <c r="H91" s="645" t="s">
        <v>151</v>
      </c>
      <c r="I91" s="951">
        <v>23</v>
      </c>
      <c r="J91" s="951">
        <v>0.5</v>
      </c>
      <c r="K91" s="952">
        <f t="shared" si="19"/>
        <v>6.5340909090909087E-3</v>
      </c>
      <c r="L91" s="644">
        <f t="shared" si="12"/>
        <v>14</v>
      </c>
      <c r="M91" s="935">
        <v>0.60416666666666663</v>
      </c>
      <c r="N91" s="936">
        <f t="shared" si="13"/>
        <v>0.60416666666666663</v>
      </c>
      <c r="O91" s="725"/>
      <c r="P91" s="725">
        <f t="shared" si="14"/>
        <v>-0.60416666666666663</v>
      </c>
      <c r="Q91" s="622"/>
      <c r="R91" s="37"/>
      <c r="S91" s="37" t="str">
        <f t="shared" si="15"/>
        <v>GrayF2</v>
      </c>
      <c r="T91" s="37" t="str">
        <f t="shared" si="16"/>
        <v>1961F2</v>
      </c>
      <c r="U91" s="429">
        <v>20</v>
      </c>
      <c r="V91" s="1029">
        <v>0.5</v>
      </c>
      <c r="W91" s="598">
        <v>5.0000000000000001E-3</v>
      </c>
      <c r="X91" s="429"/>
      <c r="Y91" s="37" t="str">
        <f t="shared" si="17"/>
        <v>F220</v>
      </c>
      <c r="Z91" s="37" t="str">
        <f t="shared" si="18"/>
        <v>F20.5</v>
      </c>
      <c r="AA91" s="37" t="str">
        <f t="shared" si="20"/>
        <v>F20.005</v>
      </c>
      <c r="AB91" s="498" t="str">
        <f t="shared" si="11"/>
        <v>F214</v>
      </c>
      <c r="AC91" s="572"/>
      <c r="AD91" s="572"/>
      <c r="AE91" s="572"/>
      <c r="AF91" s="572"/>
    </row>
    <row r="92" spans="1:33">
      <c r="A92" s="947">
        <f t="shared" si="21"/>
        <v>85</v>
      </c>
      <c r="B92" s="948">
        <v>5</v>
      </c>
      <c r="C92" s="949">
        <v>22435</v>
      </c>
      <c r="D92" s="949" t="s">
        <v>178</v>
      </c>
      <c r="E92" s="950">
        <v>3</v>
      </c>
      <c r="F92" s="644">
        <v>1961</v>
      </c>
      <c r="G92" s="948" t="s">
        <v>127</v>
      </c>
      <c r="H92" s="645" t="s">
        <v>151</v>
      </c>
      <c r="I92" s="951">
        <v>10</v>
      </c>
      <c r="J92" s="951">
        <v>0.1</v>
      </c>
      <c r="K92" s="952">
        <f t="shared" si="19"/>
        <v>5.6818181818181826E-4</v>
      </c>
      <c r="L92" s="644">
        <f t="shared" si="12"/>
        <v>17</v>
      </c>
      <c r="M92" s="935">
        <v>0.73958333333333337</v>
      </c>
      <c r="N92" s="936">
        <f t="shared" si="13"/>
        <v>0.73958333333333337</v>
      </c>
      <c r="O92" s="725"/>
      <c r="P92" s="725">
        <f t="shared" si="14"/>
        <v>-0.73958333333333337</v>
      </c>
      <c r="Q92" s="622"/>
      <c r="R92" s="37"/>
      <c r="S92" s="37" t="str">
        <f t="shared" si="15"/>
        <v>TexasF2</v>
      </c>
      <c r="T92" s="37" t="str">
        <f t="shared" si="16"/>
        <v>1961F2</v>
      </c>
      <c r="U92" s="429">
        <v>10</v>
      </c>
      <c r="V92" s="1029">
        <v>0.1</v>
      </c>
      <c r="W92" s="598">
        <v>1E-3</v>
      </c>
      <c r="X92" s="429"/>
      <c r="Y92" s="37" t="str">
        <f t="shared" si="17"/>
        <v>F210</v>
      </c>
      <c r="Z92" s="37" t="str">
        <f t="shared" si="18"/>
        <v>F20.1</v>
      </c>
      <c r="AA92" s="37" t="str">
        <f t="shared" si="20"/>
        <v>F20.001</v>
      </c>
      <c r="AB92" s="498" t="str">
        <f t="shared" si="11"/>
        <v>F217</v>
      </c>
      <c r="AC92" s="572"/>
      <c r="AD92" s="572"/>
      <c r="AE92" s="572"/>
      <c r="AF92" s="572"/>
    </row>
    <row r="93" spans="1:33">
      <c r="A93" s="947">
        <f t="shared" si="21"/>
        <v>86</v>
      </c>
      <c r="B93" s="948">
        <v>6</v>
      </c>
      <c r="C93" s="949">
        <v>22435</v>
      </c>
      <c r="D93" s="949" t="s">
        <v>178</v>
      </c>
      <c r="E93" s="950">
        <v>3</v>
      </c>
      <c r="F93" s="644">
        <v>1961</v>
      </c>
      <c r="G93" s="948" t="s">
        <v>128</v>
      </c>
      <c r="H93" s="645" t="s">
        <v>151</v>
      </c>
      <c r="I93" s="951">
        <v>33</v>
      </c>
      <c r="J93" s="951">
        <v>1.3</v>
      </c>
      <c r="K93" s="952">
        <f t="shared" si="19"/>
        <v>2.4375000000000001E-2</v>
      </c>
      <c r="L93" s="644">
        <f t="shared" si="12"/>
        <v>18</v>
      </c>
      <c r="M93" s="935">
        <v>0.75</v>
      </c>
      <c r="N93" s="936">
        <f t="shared" si="13"/>
        <v>0.75</v>
      </c>
      <c r="O93" s="725"/>
      <c r="P93" s="725">
        <f t="shared" si="14"/>
        <v>-0.75</v>
      </c>
      <c r="Q93" s="622"/>
      <c r="R93" s="37"/>
      <c r="S93" s="37" t="str">
        <f t="shared" si="15"/>
        <v>BeaverF2</v>
      </c>
      <c r="T93" s="37" t="str">
        <f t="shared" si="16"/>
        <v>1961F2</v>
      </c>
      <c r="U93" s="429">
        <v>20</v>
      </c>
      <c r="V93" s="1029">
        <v>1</v>
      </c>
      <c r="W93" s="598">
        <v>0.02</v>
      </c>
      <c r="X93" s="429"/>
      <c r="Y93" s="37" t="str">
        <f t="shared" si="17"/>
        <v>F220</v>
      </c>
      <c r="Z93" s="37" t="str">
        <f t="shared" si="18"/>
        <v>F21</v>
      </c>
      <c r="AA93" s="37" t="str">
        <f t="shared" si="20"/>
        <v>F20.02</v>
      </c>
      <c r="AB93" s="498" t="str">
        <f t="shared" si="11"/>
        <v>F218</v>
      </c>
      <c r="AC93" s="572"/>
      <c r="AD93" s="572"/>
      <c r="AE93" s="572"/>
      <c r="AF93" s="572"/>
    </row>
    <row r="94" spans="1:33">
      <c r="A94" s="947">
        <f t="shared" si="21"/>
        <v>87</v>
      </c>
      <c r="B94" s="948">
        <v>7</v>
      </c>
      <c r="C94" s="949">
        <v>22435</v>
      </c>
      <c r="D94" s="949" t="s">
        <v>178</v>
      </c>
      <c r="E94" s="950">
        <v>3</v>
      </c>
      <c r="F94" s="644">
        <v>1961</v>
      </c>
      <c r="G94" s="948" t="s">
        <v>139</v>
      </c>
      <c r="H94" s="645" t="s">
        <v>149</v>
      </c>
      <c r="I94" s="951">
        <v>50</v>
      </c>
      <c r="J94" s="951">
        <v>27.3</v>
      </c>
      <c r="K94" s="952">
        <f t="shared" si="19"/>
        <v>0.77556818181818177</v>
      </c>
      <c r="L94" s="644">
        <f t="shared" si="12"/>
        <v>20</v>
      </c>
      <c r="M94" s="935">
        <v>0.83333333333333337</v>
      </c>
      <c r="N94" s="936">
        <f t="shared" si="13"/>
        <v>0.83333333333333337</v>
      </c>
      <c r="O94" s="725"/>
      <c r="P94" s="725">
        <f t="shared" si="14"/>
        <v>-0.83333333333333337</v>
      </c>
      <c r="Q94" s="622"/>
      <c r="R94" s="37"/>
      <c r="S94" s="37" t="str">
        <f t="shared" si="15"/>
        <v>OldhamF0</v>
      </c>
      <c r="T94" s="37" t="str">
        <f t="shared" si="16"/>
        <v>1961F0</v>
      </c>
      <c r="U94" s="429">
        <v>50</v>
      </c>
      <c r="V94" s="1029">
        <v>20</v>
      </c>
      <c r="W94" s="598">
        <v>0.5</v>
      </c>
      <c r="X94" s="429"/>
      <c r="Y94" s="37" t="str">
        <f t="shared" si="17"/>
        <v>F050</v>
      </c>
      <c r="Z94" s="37" t="str">
        <f t="shared" si="18"/>
        <v>F020</v>
      </c>
      <c r="AA94" s="37" t="str">
        <f t="shared" si="20"/>
        <v>F00.5</v>
      </c>
      <c r="AB94" s="498" t="str">
        <f t="shared" si="11"/>
        <v>F020</v>
      </c>
      <c r="AC94" s="572"/>
      <c r="AD94" s="572"/>
      <c r="AE94" s="572"/>
      <c r="AF94" s="572"/>
    </row>
    <row r="95" spans="1:33" ht="51">
      <c r="A95" s="947">
        <f t="shared" si="21"/>
        <v>88</v>
      </c>
      <c r="B95" s="948">
        <v>8</v>
      </c>
      <c r="C95" s="949">
        <v>22437</v>
      </c>
      <c r="D95" s="949" t="s">
        <v>178</v>
      </c>
      <c r="E95" s="950">
        <v>5</v>
      </c>
      <c r="F95" s="644">
        <v>1961</v>
      </c>
      <c r="G95" s="948" t="s">
        <v>129</v>
      </c>
      <c r="H95" s="645" t="s">
        <v>150</v>
      </c>
      <c r="I95" s="951">
        <v>500</v>
      </c>
      <c r="J95" s="951">
        <v>23.9</v>
      </c>
      <c r="K95" s="952">
        <f t="shared" si="19"/>
        <v>6.7897727272727275</v>
      </c>
      <c r="L95" s="644">
        <f t="shared" si="12"/>
        <v>15</v>
      </c>
      <c r="M95" s="935">
        <v>0.625</v>
      </c>
      <c r="N95" s="936">
        <f t="shared" si="13"/>
        <v>0.625</v>
      </c>
      <c r="O95" s="725"/>
      <c r="P95" s="725">
        <f t="shared" si="14"/>
        <v>-0.625</v>
      </c>
      <c r="Q95" s="380" t="s">
        <v>1170</v>
      </c>
      <c r="R95" s="37"/>
      <c r="S95" s="37" t="str">
        <f t="shared" si="15"/>
        <v>DallamF1</v>
      </c>
      <c r="T95" s="37" t="str">
        <f t="shared" si="16"/>
        <v>1961F1</v>
      </c>
      <c r="U95" s="429">
        <v>500</v>
      </c>
      <c r="V95" s="1029">
        <v>20</v>
      </c>
      <c r="W95" s="598">
        <v>5</v>
      </c>
      <c r="X95" s="429"/>
      <c r="Y95" s="37" t="str">
        <f t="shared" si="17"/>
        <v>F1500</v>
      </c>
      <c r="Z95" s="37" t="str">
        <f t="shared" si="18"/>
        <v>F120</v>
      </c>
      <c r="AA95" s="37" t="str">
        <f t="shared" si="20"/>
        <v>F15</v>
      </c>
      <c r="AB95" s="498" t="str">
        <f t="shared" si="11"/>
        <v>F115</v>
      </c>
      <c r="AC95" s="572"/>
      <c r="AD95" s="572"/>
      <c r="AE95" s="572"/>
      <c r="AF95" s="572"/>
    </row>
    <row r="96" spans="1:33">
      <c r="A96" s="947">
        <f t="shared" si="21"/>
        <v>89</v>
      </c>
      <c r="B96" s="948">
        <v>9</v>
      </c>
      <c r="C96" s="949">
        <v>22437</v>
      </c>
      <c r="D96" s="949" t="s">
        <v>178</v>
      </c>
      <c r="E96" s="950">
        <v>5</v>
      </c>
      <c r="F96" s="644">
        <v>1961</v>
      </c>
      <c r="G96" s="948" t="s">
        <v>129</v>
      </c>
      <c r="H96" s="645" t="s">
        <v>150</v>
      </c>
      <c r="I96" s="951">
        <v>150</v>
      </c>
      <c r="J96" s="951">
        <v>20</v>
      </c>
      <c r="K96" s="952">
        <f t="shared" si="19"/>
        <v>1.7045454545454544</v>
      </c>
      <c r="L96" s="644">
        <f t="shared" si="12"/>
        <v>15</v>
      </c>
      <c r="M96" s="935">
        <v>0.625</v>
      </c>
      <c r="N96" s="936">
        <f t="shared" si="13"/>
        <v>0.625</v>
      </c>
      <c r="O96" s="725"/>
      <c r="P96" s="725">
        <f t="shared" si="14"/>
        <v>-0.625</v>
      </c>
      <c r="Q96" s="622"/>
      <c r="R96" s="37"/>
      <c r="S96" s="37" t="str">
        <f t="shared" si="15"/>
        <v>DallamF1</v>
      </c>
      <c r="T96" s="37" t="str">
        <f t="shared" si="16"/>
        <v>1961F1</v>
      </c>
      <c r="U96" s="429">
        <v>100</v>
      </c>
      <c r="V96" s="1029">
        <v>20</v>
      </c>
      <c r="W96" s="598">
        <v>1</v>
      </c>
      <c r="X96" s="429"/>
      <c r="Y96" s="37" t="str">
        <f t="shared" si="17"/>
        <v>F1100</v>
      </c>
      <c r="Z96" s="37" t="str">
        <f t="shared" si="18"/>
        <v>F120</v>
      </c>
      <c r="AA96" s="37" t="str">
        <f t="shared" si="20"/>
        <v>F11</v>
      </c>
      <c r="AB96" s="498" t="str">
        <f t="shared" si="11"/>
        <v>F115</v>
      </c>
      <c r="AC96" s="572"/>
      <c r="AD96" s="572"/>
      <c r="AE96" s="572"/>
      <c r="AF96" s="572"/>
    </row>
    <row r="97" spans="1:32">
      <c r="A97" s="947">
        <f t="shared" si="21"/>
        <v>90</v>
      </c>
      <c r="B97" s="948">
        <v>10</v>
      </c>
      <c r="C97" s="949">
        <v>22437</v>
      </c>
      <c r="D97" s="949" t="s">
        <v>178</v>
      </c>
      <c r="E97" s="950">
        <v>5</v>
      </c>
      <c r="F97" s="644">
        <v>1961</v>
      </c>
      <c r="G97" s="948" t="s">
        <v>129</v>
      </c>
      <c r="H97" s="645" t="s">
        <v>150</v>
      </c>
      <c r="I97" s="951">
        <v>33</v>
      </c>
      <c r="J97" s="951">
        <v>12</v>
      </c>
      <c r="K97" s="952">
        <f t="shared" si="19"/>
        <v>0.22499999999999998</v>
      </c>
      <c r="L97" s="644">
        <f t="shared" si="12"/>
        <v>15</v>
      </c>
      <c r="M97" s="935">
        <v>0.625</v>
      </c>
      <c r="N97" s="936">
        <f t="shared" si="13"/>
        <v>0.625</v>
      </c>
      <c r="O97" s="725"/>
      <c r="P97" s="725">
        <f t="shared" si="14"/>
        <v>-0.625</v>
      </c>
      <c r="Q97" s="622"/>
      <c r="R97" s="37"/>
      <c r="S97" s="37" t="str">
        <f t="shared" si="15"/>
        <v>DallamF1</v>
      </c>
      <c r="T97" s="37" t="str">
        <f t="shared" si="16"/>
        <v>1961F1</v>
      </c>
      <c r="U97" s="429">
        <v>20</v>
      </c>
      <c r="V97" s="1029">
        <v>10</v>
      </c>
      <c r="W97" s="598">
        <v>0.2</v>
      </c>
      <c r="X97" s="429"/>
      <c r="Y97" s="37" t="str">
        <f t="shared" si="17"/>
        <v>F120</v>
      </c>
      <c r="Z97" s="37" t="str">
        <f t="shared" si="18"/>
        <v>F110</v>
      </c>
      <c r="AA97" s="37" t="str">
        <f t="shared" si="20"/>
        <v>F10.2</v>
      </c>
      <c r="AB97" s="498" t="str">
        <f t="shared" si="11"/>
        <v>F115</v>
      </c>
      <c r="AC97" s="572"/>
      <c r="AD97" s="572"/>
      <c r="AE97" s="572"/>
      <c r="AF97" s="572"/>
    </row>
    <row r="98" spans="1:32">
      <c r="A98" s="947">
        <f t="shared" si="21"/>
        <v>91</v>
      </c>
      <c r="B98" s="948">
        <v>11</v>
      </c>
      <c r="C98" s="949">
        <v>22437</v>
      </c>
      <c r="D98" s="949" t="s">
        <v>178</v>
      </c>
      <c r="E98" s="950">
        <v>5</v>
      </c>
      <c r="F98" s="644">
        <v>1961</v>
      </c>
      <c r="G98" s="948" t="s">
        <v>129</v>
      </c>
      <c r="H98" s="645" t="s">
        <v>150</v>
      </c>
      <c r="I98" s="951">
        <v>333</v>
      </c>
      <c r="J98" s="951">
        <v>21.8</v>
      </c>
      <c r="K98" s="952">
        <f t="shared" si="19"/>
        <v>4.1246590909090912</v>
      </c>
      <c r="L98" s="644">
        <f t="shared" si="12"/>
        <v>15</v>
      </c>
      <c r="M98" s="935">
        <v>0.625</v>
      </c>
      <c r="N98" s="936">
        <f t="shared" si="13"/>
        <v>0.625</v>
      </c>
      <c r="O98" s="725"/>
      <c r="P98" s="725">
        <f t="shared" si="14"/>
        <v>-0.625</v>
      </c>
      <c r="Q98" s="622"/>
      <c r="R98" s="37"/>
      <c r="S98" s="37" t="str">
        <f t="shared" si="15"/>
        <v>DallamF1</v>
      </c>
      <c r="T98" s="37" t="str">
        <f t="shared" si="16"/>
        <v>1961F1</v>
      </c>
      <c r="U98" s="429">
        <v>200</v>
      </c>
      <c r="V98" s="1029">
        <v>20</v>
      </c>
      <c r="W98" s="598">
        <v>2</v>
      </c>
      <c r="X98" s="429"/>
      <c r="Y98" s="37" t="str">
        <f t="shared" si="17"/>
        <v>F1200</v>
      </c>
      <c r="Z98" s="37" t="str">
        <f t="shared" si="18"/>
        <v>F120</v>
      </c>
      <c r="AA98" s="37" t="str">
        <f t="shared" si="20"/>
        <v>F12</v>
      </c>
      <c r="AB98" s="498" t="str">
        <f t="shared" si="11"/>
        <v>F115</v>
      </c>
      <c r="AC98" s="572"/>
      <c r="AD98" s="572"/>
      <c r="AE98" s="572"/>
      <c r="AF98" s="572"/>
    </row>
    <row r="99" spans="1:32">
      <c r="A99" s="947">
        <f t="shared" si="21"/>
        <v>92</v>
      </c>
      <c r="B99" s="948">
        <v>12</v>
      </c>
      <c r="C99" s="949">
        <v>22437</v>
      </c>
      <c r="D99" s="949" t="s">
        <v>178</v>
      </c>
      <c r="E99" s="950">
        <v>5</v>
      </c>
      <c r="F99" s="644">
        <v>1961</v>
      </c>
      <c r="G99" s="948" t="s">
        <v>126</v>
      </c>
      <c r="H99" s="645" t="s">
        <v>151</v>
      </c>
      <c r="I99" s="951">
        <v>150</v>
      </c>
      <c r="J99" s="951">
        <v>28.5</v>
      </c>
      <c r="K99" s="952">
        <f t="shared" si="19"/>
        <v>2.4289772727272725</v>
      </c>
      <c r="L99" s="644">
        <f t="shared" si="12"/>
        <v>17</v>
      </c>
      <c r="M99" s="935">
        <v>0.71875</v>
      </c>
      <c r="N99" s="936">
        <f t="shared" si="13"/>
        <v>0.71875</v>
      </c>
      <c r="O99" s="725"/>
      <c r="P99" s="725">
        <f t="shared" si="14"/>
        <v>-0.71875</v>
      </c>
      <c r="Q99" s="622"/>
      <c r="R99" s="37"/>
      <c r="S99" s="37" t="str">
        <f t="shared" si="15"/>
        <v>CimarronF2</v>
      </c>
      <c r="T99" s="37" t="str">
        <f t="shared" si="16"/>
        <v>1961F2</v>
      </c>
      <c r="U99" s="429">
        <v>100</v>
      </c>
      <c r="V99" s="1029">
        <v>20</v>
      </c>
      <c r="W99" s="598">
        <v>2</v>
      </c>
      <c r="X99" s="429"/>
      <c r="Y99" s="37" t="str">
        <f t="shared" si="17"/>
        <v>F2100</v>
      </c>
      <c r="Z99" s="37" t="str">
        <f t="shared" si="18"/>
        <v>F220</v>
      </c>
      <c r="AA99" s="37" t="str">
        <f t="shared" si="20"/>
        <v>F22</v>
      </c>
      <c r="AB99" s="498" t="str">
        <f t="shared" si="11"/>
        <v>F217</v>
      </c>
      <c r="AC99" s="572"/>
      <c r="AD99" s="572"/>
      <c r="AE99" s="572"/>
      <c r="AF99" s="572"/>
    </row>
    <row r="100" spans="1:32">
      <c r="A100" s="947">
        <f t="shared" si="21"/>
        <v>93</v>
      </c>
      <c r="B100" s="948">
        <v>13</v>
      </c>
      <c r="C100" s="949">
        <v>22439</v>
      </c>
      <c r="D100" s="949" t="s">
        <v>178</v>
      </c>
      <c r="E100" s="950">
        <v>7</v>
      </c>
      <c r="F100" s="644">
        <v>1961</v>
      </c>
      <c r="G100" s="948" t="s">
        <v>137</v>
      </c>
      <c r="H100" s="645" t="s">
        <v>149</v>
      </c>
      <c r="I100" s="951">
        <v>33</v>
      </c>
      <c r="J100" s="951">
        <v>20</v>
      </c>
      <c r="K100" s="952">
        <f t="shared" si="19"/>
        <v>0.375</v>
      </c>
      <c r="L100" s="644">
        <f t="shared" si="12"/>
        <v>0</v>
      </c>
      <c r="M100" s="935">
        <v>2.0833333333333332E-2</v>
      </c>
      <c r="N100" s="936">
        <f t="shared" si="13"/>
        <v>2.0833333333333332E-2</v>
      </c>
      <c r="O100" s="725"/>
      <c r="P100" s="725">
        <f t="shared" si="14"/>
        <v>-2.0833333333333332E-2</v>
      </c>
      <c r="Q100" s="622"/>
      <c r="R100" s="37"/>
      <c r="S100" s="37" t="str">
        <f t="shared" si="15"/>
        <v>RobertsF0</v>
      </c>
      <c r="T100" s="37" t="str">
        <f t="shared" si="16"/>
        <v>1961F0</v>
      </c>
      <c r="U100" s="429">
        <v>20</v>
      </c>
      <c r="V100" s="1029">
        <v>20</v>
      </c>
      <c r="W100" s="598">
        <v>0.2</v>
      </c>
      <c r="X100" s="429"/>
      <c r="Y100" s="37" t="str">
        <f t="shared" si="17"/>
        <v>F020</v>
      </c>
      <c r="Z100" s="37" t="str">
        <f t="shared" si="18"/>
        <v>F020</v>
      </c>
      <c r="AA100" s="37" t="str">
        <f t="shared" si="20"/>
        <v>F00.2</v>
      </c>
      <c r="AB100" s="498" t="str">
        <f t="shared" si="11"/>
        <v>F00</v>
      </c>
      <c r="AC100" s="572"/>
      <c r="AD100" s="572"/>
      <c r="AE100" s="572"/>
      <c r="AF100" s="572"/>
    </row>
    <row r="101" spans="1:32">
      <c r="A101" s="947">
        <f t="shared" si="21"/>
        <v>94</v>
      </c>
      <c r="B101" s="948">
        <v>14</v>
      </c>
      <c r="C101" s="949">
        <v>22439</v>
      </c>
      <c r="D101" s="949" t="s">
        <v>178</v>
      </c>
      <c r="E101" s="950">
        <v>7</v>
      </c>
      <c r="F101" s="644">
        <v>1961</v>
      </c>
      <c r="G101" s="948" t="s">
        <v>127</v>
      </c>
      <c r="H101" s="645" t="s">
        <v>149</v>
      </c>
      <c r="I101" s="951">
        <v>10</v>
      </c>
      <c r="J101" s="951">
        <v>0.1</v>
      </c>
      <c r="K101" s="952">
        <f t="shared" si="19"/>
        <v>5.6818181818181826E-4</v>
      </c>
      <c r="L101" s="644">
        <f t="shared" si="12"/>
        <v>20</v>
      </c>
      <c r="M101" s="935">
        <v>0.83333333333333337</v>
      </c>
      <c r="N101" s="936">
        <f t="shared" si="13"/>
        <v>0.83333333333333337</v>
      </c>
      <c r="O101" s="725"/>
      <c r="P101" s="725">
        <f t="shared" si="14"/>
        <v>-0.83333333333333337</v>
      </c>
      <c r="Q101" s="622"/>
      <c r="R101" s="37"/>
      <c r="S101" s="37" t="str">
        <f t="shared" si="15"/>
        <v>TexasF0</v>
      </c>
      <c r="T101" s="37" t="str">
        <f t="shared" si="16"/>
        <v>1961F0</v>
      </c>
      <c r="U101" s="429">
        <v>10</v>
      </c>
      <c r="V101" s="1029">
        <v>0.1</v>
      </c>
      <c r="W101" s="598">
        <v>1E-3</v>
      </c>
      <c r="X101" s="429"/>
      <c r="Y101" s="37" t="str">
        <f t="shared" si="17"/>
        <v>F010</v>
      </c>
      <c r="Z101" s="37" t="str">
        <f t="shared" si="18"/>
        <v>F00.1</v>
      </c>
      <c r="AA101" s="37" t="str">
        <f t="shared" si="20"/>
        <v>F00.001</v>
      </c>
      <c r="AB101" s="498" t="str">
        <f t="shared" si="11"/>
        <v>F020</v>
      </c>
      <c r="AC101" s="572"/>
      <c r="AD101" s="572"/>
      <c r="AE101" s="572"/>
      <c r="AF101" s="572"/>
    </row>
    <row r="102" spans="1:32">
      <c r="A102" s="947">
        <f t="shared" si="21"/>
        <v>95</v>
      </c>
      <c r="B102" s="948">
        <v>15</v>
      </c>
      <c r="C102" s="949">
        <v>22476</v>
      </c>
      <c r="D102" s="949" t="s">
        <v>179</v>
      </c>
      <c r="E102" s="950">
        <v>14</v>
      </c>
      <c r="F102" s="644">
        <v>1961</v>
      </c>
      <c r="G102" s="948" t="s">
        <v>147</v>
      </c>
      <c r="H102" s="645" t="s">
        <v>150</v>
      </c>
      <c r="I102" s="951">
        <v>33</v>
      </c>
      <c r="J102" s="951">
        <v>0.5</v>
      </c>
      <c r="K102" s="952">
        <f t="shared" si="19"/>
        <v>9.3749999999999997E-3</v>
      </c>
      <c r="L102" s="644">
        <f t="shared" si="12"/>
        <v>20</v>
      </c>
      <c r="M102" s="935">
        <v>0.83333333333333337</v>
      </c>
      <c r="N102" s="936">
        <f t="shared" si="13"/>
        <v>0.83333333333333337</v>
      </c>
      <c r="O102" s="725"/>
      <c r="P102" s="725">
        <f t="shared" si="14"/>
        <v>-0.83333333333333337</v>
      </c>
      <c r="Q102" s="622"/>
      <c r="R102" s="37"/>
      <c r="S102" s="37" t="str">
        <f t="shared" si="15"/>
        <v>DonleyF1</v>
      </c>
      <c r="T102" s="37" t="str">
        <f t="shared" si="16"/>
        <v>1961F1</v>
      </c>
      <c r="U102" s="429">
        <v>20</v>
      </c>
      <c r="V102" s="1029">
        <v>0.5</v>
      </c>
      <c r="W102" s="598">
        <v>5.0000000000000001E-3</v>
      </c>
      <c r="X102" s="429"/>
      <c r="Y102" s="37" t="str">
        <f t="shared" si="17"/>
        <v>F120</v>
      </c>
      <c r="Z102" s="37" t="str">
        <f t="shared" si="18"/>
        <v>F10.5</v>
      </c>
      <c r="AA102" s="37" t="str">
        <f t="shared" si="20"/>
        <v>F10.005</v>
      </c>
      <c r="AB102" s="498" t="str">
        <f t="shared" si="11"/>
        <v>F120</v>
      </c>
      <c r="AC102" s="572"/>
      <c r="AD102" s="572"/>
      <c r="AE102" s="572"/>
      <c r="AF102" s="572"/>
    </row>
    <row r="103" spans="1:32">
      <c r="A103" s="947">
        <f t="shared" si="21"/>
        <v>96</v>
      </c>
      <c r="B103" s="948">
        <v>1</v>
      </c>
      <c r="C103" s="949">
        <v>22783</v>
      </c>
      <c r="D103" s="949" t="s">
        <v>177</v>
      </c>
      <c r="E103" s="950">
        <v>17</v>
      </c>
      <c r="F103" s="644">
        <v>1962</v>
      </c>
      <c r="G103" s="948" t="s">
        <v>126</v>
      </c>
      <c r="H103" s="645" t="s">
        <v>149</v>
      </c>
      <c r="I103" s="951">
        <v>10</v>
      </c>
      <c r="J103" s="951">
        <v>0.1</v>
      </c>
      <c r="K103" s="952">
        <f t="shared" si="19"/>
        <v>5.6818181818181826E-4</v>
      </c>
      <c r="L103" s="644">
        <f t="shared" si="12"/>
        <v>14</v>
      </c>
      <c r="M103" s="935">
        <v>0.59861111111111109</v>
      </c>
      <c r="N103" s="936">
        <f t="shared" si="13"/>
        <v>0.59861111111111109</v>
      </c>
      <c r="O103" s="725"/>
      <c r="P103" s="725">
        <f t="shared" si="14"/>
        <v>-0.59861111111111109</v>
      </c>
      <c r="Q103" s="622"/>
      <c r="R103" s="37"/>
      <c r="S103" s="37" t="str">
        <f t="shared" si="15"/>
        <v>CimarronF0</v>
      </c>
      <c r="T103" s="37" t="str">
        <f t="shared" si="16"/>
        <v>1962F0</v>
      </c>
      <c r="U103" s="429">
        <v>10</v>
      </c>
      <c r="V103" s="1029">
        <v>0.1</v>
      </c>
      <c r="W103" s="598">
        <v>1E-3</v>
      </c>
      <c r="X103" s="429"/>
      <c r="Y103" s="37" t="str">
        <f t="shared" si="17"/>
        <v>F010</v>
      </c>
      <c r="Z103" s="37" t="str">
        <f t="shared" si="18"/>
        <v>F00.1</v>
      </c>
      <c r="AA103" s="37" t="str">
        <f t="shared" si="20"/>
        <v>F00.001</v>
      </c>
      <c r="AB103" s="498" t="str">
        <f t="shared" si="11"/>
        <v>F014</v>
      </c>
      <c r="AC103" s="572"/>
      <c r="AD103" s="572"/>
      <c r="AE103" s="572"/>
      <c r="AF103" s="572"/>
    </row>
    <row r="104" spans="1:32">
      <c r="A104" s="947">
        <f t="shared" si="21"/>
        <v>97</v>
      </c>
      <c r="B104" s="948">
        <v>2</v>
      </c>
      <c r="C104" s="949">
        <v>22793</v>
      </c>
      <c r="D104" s="949" t="s">
        <v>177</v>
      </c>
      <c r="E104" s="950">
        <v>27</v>
      </c>
      <c r="F104" s="644">
        <v>1962</v>
      </c>
      <c r="G104" s="948" t="s">
        <v>131</v>
      </c>
      <c r="H104" s="645" t="s">
        <v>150</v>
      </c>
      <c r="I104" s="951">
        <v>50</v>
      </c>
      <c r="J104" s="951">
        <v>4.5</v>
      </c>
      <c r="K104" s="952">
        <f t="shared" si="19"/>
        <v>0.12784090909090909</v>
      </c>
      <c r="L104" s="644">
        <f t="shared" si="12"/>
        <v>16</v>
      </c>
      <c r="M104" s="935">
        <v>0.6875</v>
      </c>
      <c r="N104" s="936">
        <f t="shared" si="13"/>
        <v>0.6875</v>
      </c>
      <c r="O104" s="725"/>
      <c r="P104" s="725">
        <f t="shared" si="14"/>
        <v>-0.6875</v>
      </c>
      <c r="Q104" s="622" t="s">
        <v>1265</v>
      </c>
      <c r="R104" s="37"/>
      <c r="S104" s="37" t="str">
        <f t="shared" si="15"/>
        <v>HansfordF1</v>
      </c>
      <c r="T104" s="37" t="str">
        <f t="shared" si="16"/>
        <v>1962F1</v>
      </c>
      <c r="U104" s="429">
        <v>50</v>
      </c>
      <c r="V104" s="1029">
        <v>2</v>
      </c>
      <c r="W104" s="598">
        <v>0.1</v>
      </c>
      <c r="X104" s="429"/>
      <c r="Y104" s="37" t="str">
        <f t="shared" si="17"/>
        <v>F150</v>
      </c>
      <c r="Z104" s="37" t="str">
        <f t="shared" si="18"/>
        <v>F12</v>
      </c>
      <c r="AA104" s="37" t="str">
        <f t="shared" si="20"/>
        <v>F10.1</v>
      </c>
      <c r="AB104" s="498" t="str">
        <f t="shared" si="11"/>
        <v>F116</v>
      </c>
      <c r="AC104" s="572"/>
      <c r="AD104" s="572"/>
      <c r="AE104" s="572"/>
      <c r="AF104" s="572"/>
    </row>
    <row r="105" spans="1:32">
      <c r="A105" s="947">
        <f t="shared" si="21"/>
        <v>98</v>
      </c>
      <c r="B105" s="948">
        <v>3</v>
      </c>
      <c r="C105" s="949">
        <v>22793</v>
      </c>
      <c r="D105" s="949" t="s">
        <v>177</v>
      </c>
      <c r="E105" s="950">
        <v>27</v>
      </c>
      <c r="F105" s="644">
        <v>1962</v>
      </c>
      <c r="G105" s="948" t="s">
        <v>133</v>
      </c>
      <c r="H105" s="645" t="s">
        <v>150</v>
      </c>
      <c r="I105" s="951">
        <v>10</v>
      </c>
      <c r="J105" s="951">
        <v>0.1</v>
      </c>
      <c r="K105" s="952">
        <f t="shared" si="19"/>
        <v>5.6818181818181826E-4</v>
      </c>
      <c r="L105" s="644">
        <f t="shared" si="12"/>
        <v>16</v>
      </c>
      <c r="M105" s="935">
        <v>0.6875</v>
      </c>
      <c r="N105" s="936">
        <f t="shared" si="13"/>
        <v>0.6875</v>
      </c>
      <c r="O105" s="725"/>
      <c r="P105" s="725">
        <f t="shared" si="14"/>
        <v>-0.6875</v>
      </c>
      <c r="Q105" s="622"/>
      <c r="R105" s="37"/>
      <c r="S105" s="37" t="str">
        <f t="shared" si="15"/>
        <v>LipscombF1</v>
      </c>
      <c r="T105" s="37" t="str">
        <f t="shared" si="16"/>
        <v>1962F1</v>
      </c>
      <c r="U105" s="429">
        <v>10</v>
      </c>
      <c r="V105" s="1029">
        <v>0.1</v>
      </c>
      <c r="W105" s="598">
        <v>1E-3</v>
      </c>
      <c r="X105" s="429"/>
      <c r="Y105" s="37" t="str">
        <f t="shared" si="17"/>
        <v>F110</v>
      </c>
      <c r="Z105" s="37" t="str">
        <f t="shared" si="18"/>
        <v>F10.1</v>
      </c>
      <c r="AA105" s="37" t="str">
        <f t="shared" si="20"/>
        <v>F10.001</v>
      </c>
      <c r="AB105" s="498" t="str">
        <f t="shared" si="11"/>
        <v>F116</v>
      </c>
      <c r="AC105" s="572"/>
      <c r="AD105" s="572"/>
      <c r="AE105" s="572"/>
      <c r="AF105" s="572"/>
    </row>
    <row r="106" spans="1:32">
      <c r="A106" s="947">
        <f t="shared" si="21"/>
        <v>99</v>
      </c>
      <c r="B106" s="948">
        <v>4</v>
      </c>
      <c r="C106" s="949">
        <v>22793</v>
      </c>
      <c r="D106" s="949" t="s">
        <v>177</v>
      </c>
      <c r="E106" s="950">
        <v>27</v>
      </c>
      <c r="F106" s="644">
        <v>1962</v>
      </c>
      <c r="G106" s="948" t="s">
        <v>133</v>
      </c>
      <c r="H106" s="645" t="s">
        <v>151</v>
      </c>
      <c r="I106" s="951">
        <v>10</v>
      </c>
      <c r="J106" s="951">
        <v>0.1</v>
      </c>
      <c r="K106" s="952">
        <f t="shared" si="19"/>
        <v>5.6818181818181826E-4</v>
      </c>
      <c r="L106" s="644">
        <f t="shared" si="12"/>
        <v>16</v>
      </c>
      <c r="M106" s="935">
        <v>0.6875</v>
      </c>
      <c r="N106" s="936">
        <f t="shared" si="13"/>
        <v>0.6875</v>
      </c>
      <c r="O106" s="725"/>
      <c r="P106" s="725">
        <f t="shared" si="14"/>
        <v>-0.6875</v>
      </c>
      <c r="Q106" s="622"/>
      <c r="R106" s="37"/>
      <c r="S106" s="37" t="str">
        <f t="shared" si="15"/>
        <v>LipscombF2</v>
      </c>
      <c r="T106" s="37" t="str">
        <f t="shared" si="16"/>
        <v>1962F2</v>
      </c>
      <c r="U106" s="429">
        <v>10</v>
      </c>
      <c r="V106" s="1029">
        <v>0.1</v>
      </c>
      <c r="W106" s="598">
        <v>1E-3</v>
      </c>
      <c r="X106" s="429"/>
      <c r="Y106" s="37" t="str">
        <f t="shared" si="17"/>
        <v>F210</v>
      </c>
      <c r="Z106" s="37" t="str">
        <f t="shared" si="18"/>
        <v>F20.1</v>
      </c>
      <c r="AA106" s="37" t="str">
        <f t="shared" si="20"/>
        <v>F20.001</v>
      </c>
      <c r="AB106" s="498" t="str">
        <f t="shared" si="11"/>
        <v>F216</v>
      </c>
      <c r="AC106" s="572"/>
      <c r="AD106" s="572"/>
      <c r="AE106" s="572"/>
      <c r="AF106" s="572"/>
    </row>
    <row r="107" spans="1:32">
      <c r="A107" s="947">
        <f t="shared" si="21"/>
        <v>100</v>
      </c>
      <c r="B107" s="948">
        <v>5</v>
      </c>
      <c r="C107" s="949">
        <v>22793</v>
      </c>
      <c r="D107" s="949" t="s">
        <v>177</v>
      </c>
      <c r="E107" s="950">
        <v>27</v>
      </c>
      <c r="F107" s="644">
        <v>1962</v>
      </c>
      <c r="G107" s="948" t="s">
        <v>128</v>
      </c>
      <c r="H107" s="645" t="s">
        <v>149</v>
      </c>
      <c r="I107" s="951">
        <v>10</v>
      </c>
      <c r="J107" s="951">
        <v>0.1</v>
      </c>
      <c r="K107" s="952">
        <f t="shared" si="19"/>
        <v>5.6818181818181826E-4</v>
      </c>
      <c r="L107" s="644">
        <f t="shared" si="12"/>
        <v>17</v>
      </c>
      <c r="M107" s="935">
        <v>0.72916666666666663</v>
      </c>
      <c r="N107" s="936">
        <f t="shared" si="13"/>
        <v>0.72916666666666663</v>
      </c>
      <c r="O107" s="725"/>
      <c r="P107" s="725">
        <f t="shared" si="14"/>
        <v>-0.72916666666666663</v>
      </c>
      <c r="Q107" s="622"/>
      <c r="R107" s="37"/>
      <c r="S107" s="37" t="str">
        <f t="shared" si="15"/>
        <v>BeaverF0</v>
      </c>
      <c r="T107" s="37" t="str">
        <f t="shared" si="16"/>
        <v>1962F0</v>
      </c>
      <c r="U107" s="429">
        <v>10</v>
      </c>
      <c r="V107" s="1029">
        <v>0.1</v>
      </c>
      <c r="W107" s="598">
        <v>1E-3</v>
      </c>
      <c r="X107" s="429"/>
      <c r="Y107" s="37" t="str">
        <f t="shared" si="17"/>
        <v>F010</v>
      </c>
      <c r="Z107" s="37" t="str">
        <f t="shared" si="18"/>
        <v>F00.1</v>
      </c>
      <c r="AA107" s="37" t="str">
        <f t="shared" si="20"/>
        <v>F00.001</v>
      </c>
      <c r="AB107" s="498" t="str">
        <f t="shared" si="11"/>
        <v>F017</v>
      </c>
      <c r="AC107" s="572"/>
      <c r="AD107" s="572"/>
      <c r="AE107" s="572"/>
      <c r="AF107" s="572"/>
    </row>
    <row r="108" spans="1:32">
      <c r="A108" s="947">
        <f t="shared" si="21"/>
        <v>101</v>
      </c>
      <c r="B108" s="948">
        <v>6</v>
      </c>
      <c r="C108" s="949">
        <v>22793</v>
      </c>
      <c r="D108" s="949" t="s">
        <v>177</v>
      </c>
      <c r="E108" s="950">
        <v>27</v>
      </c>
      <c r="F108" s="644">
        <v>1962</v>
      </c>
      <c r="G108" s="948" t="s">
        <v>132</v>
      </c>
      <c r="H108" s="645" t="s">
        <v>150</v>
      </c>
      <c r="I108" s="951">
        <v>50</v>
      </c>
      <c r="J108" s="951">
        <v>1.5</v>
      </c>
      <c r="K108" s="952">
        <f t="shared" si="19"/>
        <v>4.261363636363636E-2</v>
      </c>
      <c r="L108" s="644">
        <f t="shared" si="12"/>
        <v>17</v>
      </c>
      <c r="M108" s="935">
        <v>0.72916666666666663</v>
      </c>
      <c r="N108" s="936">
        <f t="shared" si="13"/>
        <v>0.72916666666666663</v>
      </c>
      <c r="O108" s="725"/>
      <c r="P108" s="725">
        <f t="shared" si="14"/>
        <v>-0.72916666666666663</v>
      </c>
      <c r="Q108" s="622"/>
      <c r="R108" s="37"/>
      <c r="S108" s="37" t="str">
        <f t="shared" si="15"/>
        <v>OchiltreeF1</v>
      </c>
      <c r="T108" s="37" t="str">
        <f t="shared" si="16"/>
        <v>1962F1</v>
      </c>
      <c r="U108" s="429">
        <v>50</v>
      </c>
      <c r="V108" s="1029">
        <v>1</v>
      </c>
      <c r="W108" s="598">
        <v>0.02</v>
      </c>
      <c r="X108" s="429"/>
      <c r="Y108" s="37" t="str">
        <f t="shared" si="17"/>
        <v>F150</v>
      </c>
      <c r="Z108" s="37" t="str">
        <f t="shared" si="18"/>
        <v>F11</v>
      </c>
      <c r="AA108" s="37" t="str">
        <f t="shared" si="20"/>
        <v>F10.02</v>
      </c>
      <c r="AB108" s="498" t="str">
        <f t="shared" si="11"/>
        <v>F117</v>
      </c>
      <c r="AC108" s="572"/>
      <c r="AD108" s="572"/>
      <c r="AE108" s="572"/>
      <c r="AF108" s="572"/>
    </row>
    <row r="109" spans="1:32">
      <c r="A109" s="947">
        <f t="shared" si="21"/>
        <v>102</v>
      </c>
      <c r="B109" s="948">
        <v>7</v>
      </c>
      <c r="C109" s="949">
        <v>22793</v>
      </c>
      <c r="D109" s="949" t="s">
        <v>177</v>
      </c>
      <c r="E109" s="950">
        <v>27</v>
      </c>
      <c r="F109" s="644">
        <v>1962</v>
      </c>
      <c r="G109" s="948" t="s">
        <v>132</v>
      </c>
      <c r="H109" s="645" t="s">
        <v>151</v>
      </c>
      <c r="I109" s="951">
        <v>83</v>
      </c>
      <c r="J109" s="951">
        <v>1</v>
      </c>
      <c r="K109" s="952">
        <f t="shared" si="19"/>
        <v>4.7159090909090907E-2</v>
      </c>
      <c r="L109" s="644">
        <f t="shared" si="12"/>
        <v>17</v>
      </c>
      <c r="M109" s="935">
        <v>0.72916666666666663</v>
      </c>
      <c r="N109" s="936">
        <f t="shared" si="13"/>
        <v>0.72916666666666663</v>
      </c>
      <c r="O109" s="725"/>
      <c r="P109" s="725">
        <f t="shared" si="14"/>
        <v>-0.72916666666666663</v>
      </c>
      <c r="Q109" s="622"/>
      <c r="R109" s="37"/>
      <c r="S109" s="37" t="str">
        <f t="shared" si="15"/>
        <v>OchiltreeF2</v>
      </c>
      <c r="T109" s="37" t="str">
        <f t="shared" si="16"/>
        <v>1962F2</v>
      </c>
      <c r="U109" s="429">
        <v>50</v>
      </c>
      <c r="V109" s="1029">
        <v>1</v>
      </c>
      <c r="W109" s="598">
        <v>0.02</v>
      </c>
      <c r="X109" s="429"/>
      <c r="Y109" s="37" t="str">
        <f t="shared" si="17"/>
        <v>F250</v>
      </c>
      <c r="Z109" s="37" t="str">
        <f t="shared" si="18"/>
        <v>F21</v>
      </c>
      <c r="AA109" s="37" t="str">
        <f t="shared" si="20"/>
        <v>F20.02</v>
      </c>
      <c r="AB109" s="498" t="str">
        <f t="shared" si="11"/>
        <v>F217</v>
      </c>
      <c r="AC109" s="572"/>
      <c r="AD109" s="572"/>
      <c r="AE109" s="572"/>
      <c r="AF109" s="572"/>
    </row>
    <row r="110" spans="1:32">
      <c r="A110" s="947">
        <f t="shared" si="21"/>
        <v>103</v>
      </c>
      <c r="B110" s="948">
        <v>8</v>
      </c>
      <c r="C110" s="949">
        <v>22793</v>
      </c>
      <c r="D110" s="949" t="s">
        <v>177</v>
      </c>
      <c r="E110" s="950">
        <v>27</v>
      </c>
      <c r="F110" s="644">
        <v>1962</v>
      </c>
      <c r="G110" s="948" t="s">
        <v>132</v>
      </c>
      <c r="H110" s="645" t="s">
        <v>152</v>
      </c>
      <c r="I110" s="951">
        <v>200</v>
      </c>
      <c r="J110" s="951">
        <v>4.5</v>
      </c>
      <c r="K110" s="952">
        <f t="shared" si="19"/>
        <v>0.51136363636363635</v>
      </c>
      <c r="L110" s="644">
        <f t="shared" si="12"/>
        <v>17</v>
      </c>
      <c r="M110" s="935">
        <v>0.72916666666666663</v>
      </c>
      <c r="N110" s="936">
        <f t="shared" si="13"/>
        <v>0.72916666666666663</v>
      </c>
      <c r="O110" s="725"/>
      <c r="P110" s="725">
        <f t="shared" si="14"/>
        <v>-0.72916666666666663</v>
      </c>
      <c r="Q110" s="622"/>
      <c r="R110" s="37"/>
      <c r="S110" s="37" t="str">
        <f t="shared" si="15"/>
        <v>OchiltreeF3</v>
      </c>
      <c r="T110" s="37" t="str">
        <f t="shared" si="16"/>
        <v>1962F3</v>
      </c>
      <c r="U110" s="429">
        <v>200</v>
      </c>
      <c r="V110" s="1029">
        <v>2</v>
      </c>
      <c r="W110" s="598">
        <v>0.5</v>
      </c>
      <c r="X110" s="429"/>
      <c r="Y110" s="37" t="str">
        <f t="shared" si="17"/>
        <v>F3200</v>
      </c>
      <c r="Z110" s="37" t="str">
        <f t="shared" si="18"/>
        <v>F32</v>
      </c>
      <c r="AA110" s="37" t="str">
        <f t="shared" si="20"/>
        <v>F30.5</v>
      </c>
      <c r="AB110" s="498" t="str">
        <f t="shared" si="11"/>
        <v>F317</v>
      </c>
      <c r="AC110" s="572"/>
      <c r="AD110" s="572"/>
      <c r="AE110" s="572"/>
      <c r="AF110" s="572"/>
    </row>
    <row r="111" spans="1:32">
      <c r="A111" s="947">
        <f t="shared" si="21"/>
        <v>104</v>
      </c>
      <c r="B111" s="948">
        <v>9</v>
      </c>
      <c r="C111" s="949">
        <v>22800</v>
      </c>
      <c r="D111" s="949" t="s">
        <v>178</v>
      </c>
      <c r="E111" s="950">
        <v>3</v>
      </c>
      <c r="F111" s="644">
        <v>1962</v>
      </c>
      <c r="G111" s="948" t="s">
        <v>132</v>
      </c>
      <c r="H111" s="645" t="s">
        <v>150</v>
      </c>
      <c r="I111" s="951">
        <v>10</v>
      </c>
      <c r="J111" s="951">
        <v>0.1</v>
      </c>
      <c r="K111" s="952">
        <f t="shared" si="19"/>
        <v>5.6818181818181826E-4</v>
      </c>
      <c r="L111" s="644">
        <f t="shared" si="12"/>
        <v>16</v>
      </c>
      <c r="M111" s="935">
        <v>0.66666666666666663</v>
      </c>
      <c r="N111" s="936">
        <f t="shared" si="13"/>
        <v>0.66666666666666663</v>
      </c>
      <c r="O111" s="725"/>
      <c r="P111" s="725">
        <f t="shared" si="14"/>
        <v>-0.66666666666666663</v>
      </c>
      <c r="Q111" s="622"/>
      <c r="R111" s="37"/>
      <c r="S111" s="37" t="str">
        <f t="shared" si="15"/>
        <v>OchiltreeF1</v>
      </c>
      <c r="T111" s="37" t="str">
        <f t="shared" si="16"/>
        <v>1962F1</v>
      </c>
      <c r="U111" s="429">
        <v>10</v>
      </c>
      <c r="V111" s="1029">
        <v>0.1</v>
      </c>
      <c r="W111" s="598">
        <v>1E-3</v>
      </c>
      <c r="X111" s="429"/>
      <c r="Y111" s="37" t="str">
        <f t="shared" si="17"/>
        <v>F110</v>
      </c>
      <c r="Z111" s="37" t="str">
        <f t="shared" si="18"/>
        <v>F10.1</v>
      </c>
      <c r="AA111" s="37" t="str">
        <f t="shared" si="20"/>
        <v>F10.001</v>
      </c>
      <c r="AB111" s="498" t="str">
        <f t="shared" si="11"/>
        <v>F116</v>
      </c>
      <c r="AC111" s="572"/>
      <c r="AD111" s="572"/>
      <c r="AE111" s="572"/>
      <c r="AF111" s="572"/>
    </row>
    <row r="112" spans="1:32" ht="38.25">
      <c r="A112" s="947">
        <f t="shared" si="21"/>
        <v>105</v>
      </c>
      <c r="B112" s="948">
        <v>10</v>
      </c>
      <c r="C112" s="949">
        <v>22803</v>
      </c>
      <c r="D112" s="949" t="s">
        <v>178</v>
      </c>
      <c r="E112" s="950">
        <v>6</v>
      </c>
      <c r="F112" s="644">
        <v>1962</v>
      </c>
      <c r="G112" s="948" t="s">
        <v>131</v>
      </c>
      <c r="H112" s="645" t="s">
        <v>149</v>
      </c>
      <c r="I112" s="951">
        <v>27</v>
      </c>
      <c r="J112" s="951">
        <v>1</v>
      </c>
      <c r="K112" s="952">
        <f t="shared" si="19"/>
        <v>1.5340909090909091E-2</v>
      </c>
      <c r="L112" s="644">
        <f t="shared" si="12"/>
        <v>17</v>
      </c>
      <c r="M112" s="935">
        <v>0.70833333333333337</v>
      </c>
      <c r="N112" s="936">
        <f t="shared" si="13"/>
        <v>0.70833333333333337</v>
      </c>
      <c r="O112" s="725">
        <v>0.73958333333333337</v>
      </c>
      <c r="P112" s="725">
        <f t="shared" si="14"/>
        <v>3.125E-2</v>
      </c>
      <c r="Q112" s="622" t="s">
        <v>1173</v>
      </c>
      <c r="R112" s="37"/>
      <c r="S112" s="37" t="str">
        <f t="shared" si="15"/>
        <v>HansfordF0</v>
      </c>
      <c r="T112" s="37" t="str">
        <f t="shared" si="16"/>
        <v>1962F0</v>
      </c>
      <c r="U112" s="429">
        <v>20</v>
      </c>
      <c r="V112" s="1029">
        <v>1</v>
      </c>
      <c r="W112" s="598">
        <v>0.01</v>
      </c>
      <c r="X112" s="429"/>
      <c r="Y112" s="37" t="str">
        <f t="shared" si="17"/>
        <v>F020</v>
      </c>
      <c r="Z112" s="37" t="str">
        <f t="shared" si="18"/>
        <v>F01</v>
      </c>
      <c r="AA112" s="37" t="str">
        <f t="shared" si="20"/>
        <v>F00.01</v>
      </c>
      <c r="AB112" s="498" t="str">
        <f t="shared" si="11"/>
        <v>F017</v>
      </c>
      <c r="AC112" s="572"/>
      <c r="AD112" s="572"/>
      <c r="AE112" s="572"/>
      <c r="AF112" s="572"/>
    </row>
    <row r="113" spans="1:32">
      <c r="A113" s="947">
        <f t="shared" si="21"/>
        <v>106</v>
      </c>
      <c r="B113" s="948">
        <v>11</v>
      </c>
      <c r="C113" s="949">
        <v>22803</v>
      </c>
      <c r="D113" s="949" t="s">
        <v>178</v>
      </c>
      <c r="E113" s="950">
        <v>6</v>
      </c>
      <c r="F113" s="644">
        <v>1962</v>
      </c>
      <c r="G113" s="948" t="s">
        <v>131</v>
      </c>
      <c r="H113" s="645" t="s">
        <v>150</v>
      </c>
      <c r="I113" s="951">
        <v>1320</v>
      </c>
      <c r="J113" s="951">
        <v>2.5</v>
      </c>
      <c r="K113" s="952">
        <f t="shared" si="19"/>
        <v>1.875</v>
      </c>
      <c r="L113" s="644">
        <f t="shared" si="12"/>
        <v>17</v>
      </c>
      <c r="M113" s="935">
        <v>0.70833333333333337</v>
      </c>
      <c r="N113" s="936">
        <f t="shared" si="13"/>
        <v>0.70833333333333337</v>
      </c>
      <c r="O113" s="725">
        <v>0.73958333333333337</v>
      </c>
      <c r="P113" s="725">
        <f t="shared" si="14"/>
        <v>3.125E-2</v>
      </c>
      <c r="Q113" s="622" t="s">
        <v>1172</v>
      </c>
      <c r="R113" s="37"/>
      <c r="S113" s="37" t="str">
        <f t="shared" si="15"/>
        <v>HansfordF1</v>
      </c>
      <c r="T113" s="37" t="str">
        <f t="shared" si="16"/>
        <v>1962F1</v>
      </c>
      <c r="U113" s="429">
        <v>1000</v>
      </c>
      <c r="V113" s="1029">
        <v>2</v>
      </c>
      <c r="W113" s="598">
        <v>1</v>
      </c>
      <c r="X113" s="429"/>
      <c r="Y113" s="37" t="str">
        <f t="shared" si="17"/>
        <v>F11000</v>
      </c>
      <c r="Z113" s="37" t="str">
        <f t="shared" si="18"/>
        <v>F12</v>
      </c>
      <c r="AA113" s="37" t="str">
        <f t="shared" si="20"/>
        <v>F11</v>
      </c>
      <c r="AB113" s="498" t="str">
        <f t="shared" si="11"/>
        <v>F117</v>
      </c>
      <c r="AC113" s="572"/>
      <c r="AD113" s="572"/>
      <c r="AE113" s="572"/>
      <c r="AF113" s="572"/>
    </row>
    <row r="114" spans="1:32" ht="25.5">
      <c r="A114" s="947">
        <f t="shared" si="21"/>
        <v>107</v>
      </c>
      <c r="B114" s="948">
        <v>12</v>
      </c>
      <c r="C114" s="949">
        <v>22803</v>
      </c>
      <c r="D114" s="949" t="s">
        <v>178</v>
      </c>
      <c r="E114" s="950">
        <v>6</v>
      </c>
      <c r="F114" s="644">
        <v>1962</v>
      </c>
      <c r="G114" s="948" t="s">
        <v>127</v>
      </c>
      <c r="H114" s="645" t="s">
        <v>149</v>
      </c>
      <c r="I114" s="951">
        <v>10</v>
      </c>
      <c r="J114" s="951">
        <v>0.1</v>
      </c>
      <c r="K114" s="952">
        <f t="shared" si="19"/>
        <v>5.6818181818181826E-4</v>
      </c>
      <c r="L114" s="644">
        <f t="shared" si="12"/>
        <v>18</v>
      </c>
      <c r="M114" s="935">
        <v>0.75</v>
      </c>
      <c r="N114" s="936">
        <f t="shared" si="13"/>
        <v>0.75</v>
      </c>
      <c r="O114" s="725"/>
      <c r="P114" s="725">
        <f t="shared" si="14"/>
        <v>-0.75</v>
      </c>
      <c r="Q114" s="622" t="s">
        <v>1171</v>
      </c>
      <c r="R114" s="37"/>
      <c r="S114" s="37" t="str">
        <f t="shared" si="15"/>
        <v>TexasF0</v>
      </c>
      <c r="T114" s="37" t="str">
        <f t="shared" si="16"/>
        <v>1962F0</v>
      </c>
      <c r="U114" s="429">
        <v>10</v>
      </c>
      <c r="V114" s="1029">
        <v>0.1</v>
      </c>
      <c r="W114" s="598">
        <v>1E-3</v>
      </c>
      <c r="X114" s="429"/>
      <c r="Y114" s="37" t="str">
        <f t="shared" si="17"/>
        <v>F010</v>
      </c>
      <c r="Z114" s="37" t="str">
        <f t="shared" si="18"/>
        <v>F00.1</v>
      </c>
      <c r="AA114" s="37" t="str">
        <f t="shared" si="20"/>
        <v>F00.001</v>
      </c>
      <c r="AB114" s="498" t="str">
        <f t="shared" si="11"/>
        <v>F018</v>
      </c>
      <c r="AC114" s="572"/>
      <c r="AD114" s="572"/>
      <c r="AE114" s="572"/>
      <c r="AF114" s="572"/>
    </row>
    <row r="115" spans="1:32">
      <c r="A115" s="947">
        <f t="shared" si="21"/>
        <v>108</v>
      </c>
      <c r="B115" s="948">
        <v>13</v>
      </c>
      <c r="C115" s="949">
        <v>22803</v>
      </c>
      <c r="D115" s="949" t="s">
        <v>178</v>
      </c>
      <c r="E115" s="950">
        <v>6</v>
      </c>
      <c r="F115" s="644">
        <v>1962</v>
      </c>
      <c r="G115" s="948" t="s">
        <v>138</v>
      </c>
      <c r="H115" s="645" t="s">
        <v>149</v>
      </c>
      <c r="I115" s="951">
        <v>100</v>
      </c>
      <c r="J115" s="951">
        <v>2</v>
      </c>
      <c r="K115" s="952">
        <f t="shared" si="19"/>
        <v>0.11363636363636363</v>
      </c>
      <c r="L115" s="644">
        <f t="shared" si="12"/>
        <v>23</v>
      </c>
      <c r="M115" s="935">
        <v>0.96527777777777779</v>
      </c>
      <c r="N115" s="936">
        <f t="shared" si="13"/>
        <v>0.96527777777777779</v>
      </c>
      <c r="O115" s="725">
        <v>0.97222222222222221</v>
      </c>
      <c r="P115" s="725">
        <f t="shared" si="14"/>
        <v>6.9444444444444198E-3</v>
      </c>
      <c r="Q115" s="622" t="s">
        <v>1174</v>
      </c>
      <c r="R115" s="37"/>
      <c r="S115" s="37" t="str">
        <f t="shared" si="15"/>
        <v>HemphillF0</v>
      </c>
      <c r="T115" s="37" t="str">
        <f t="shared" si="16"/>
        <v>1962F0</v>
      </c>
      <c r="U115" s="429">
        <v>100</v>
      </c>
      <c r="V115" s="1029">
        <v>2</v>
      </c>
      <c r="W115" s="598">
        <v>0.1</v>
      </c>
      <c r="X115" s="429"/>
      <c r="Y115" s="37" t="str">
        <f t="shared" si="17"/>
        <v>F0100</v>
      </c>
      <c r="Z115" s="37" t="str">
        <f t="shared" si="18"/>
        <v>F02</v>
      </c>
      <c r="AA115" s="37" t="str">
        <f t="shared" si="20"/>
        <v>F00.1</v>
      </c>
      <c r="AB115" s="498" t="str">
        <f t="shared" si="11"/>
        <v>F023</v>
      </c>
      <c r="AC115" s="572"/>
      <c r="AD115" s="572"/>
      <c r="AE115" s="572"/>
      <c r="AF115" s="572"/>
    </row>
    <row r="116" spans="1:32">
      <c r="A116" s="947">
        <f t="shared" si="21"/>
        <v>109</v>
      </c>
      <c r="B116" s="948">
        <v>14</v>
      </c>
      <c r="C116" s="949">
        <v>22805</v>
      </c>
      <c r="D116" s="949" t="s">
        <v>178</v>
      </c>
      <c r="E116" s="950">
        <v>8</v>
      </c>
      <c r="F116" s="644">
        <v>1962</v>
      </c>
      <c r="G116" s="948" t="s">
        <v>127</v>
      </c>
      <c r="H116" s="645" t="s">
        <v>150</v>
      </c>
      <c r="I116" s="951">
        <v>10</v>
      </c>
      <c r="J116" s="951">
        <v>0.1</v>
      </c>
      <c r="K116" s="952">
        <f t="shared" si="19"/>
        <v>5.6818181818181826E-4</v>
      </c>
      <c r="L116" s="644">
        <f t="shared" si="12"/>
        <v>18</v>
      </c>
      <c r="M116" s="935">
        <v>0.77083333333333337</v>
      </c>
      <c r="N116" s="936">
        <f t="shared" si="13"/>
        <v>0.77083333333333337</v>
      </c>
      <c r="O116" s="725"/>
      <c r="P116" s="725">
        <f t="shared" si="14"/>
        <v>-0.77083333333333337</v>
      </c>
      <c r="Q116" s="622" t="s">
        <v>1176</v>
      </c>
      <c r="R116" s="37"/>
      <c r="S116" s="37" t="str">
        <f t="shared" si="15"/>
        <v>TexasF1</v>
      </c>
      <c r="T116" s="37" t="str">
        <f t="shared" si="16"/>
        <v>1962F1</v>
      </c>
      <c r="U116" s="429">
        <v>10</v>
      </c>
      <c r="V116" s="1029">
        <v>0.1</v>
      </c>
      <c r="W116" s="598">
        <v>1E-3</v>
      </c>
      <c r="X116" s="429"/>
      <c r="Y116" s="37" t="str">
        <f t="shared" si="17"/>
        <v>F110</v>
      </c>
      <c r="Z116" s="37" t="str">
        <f t="shared" si="18"/>
        <v>F10.1</v>
      </c>
      <c r="AA116" s="37" t="str">
        <f t="shared" si="20"/>
        <v>F10.001</v>
      </c>
      <c r="AB116" s="498" t="str">
        <f t="shared" si="11"/>
        <v>F118</v>
      </c>
      <c r="AC116" s="572"/>
      <c r="AD116" s="572"/>
      <c r="AE116" s="572"/>
      <c r="AF116" s="572"/>
    </row>
    <row r="117" spans="1:32">
      <c r="A117" s="947">
        <f t="shared" si="21"/>
        <v>110</v>
      </c>
      <c r="B117" s="948">
        <v>15</v>
      </c>
      <c r="C117" s="949">
        <v>22805</v>
      </c>
      <c r="D117" s="949" t="s">
        <v>178</v>
      </c>
      <c r="E117" s="950">
        <v>8</v>
      </c>
      <c r="F117" s="644">
        <v>1962</v>
      </c>
      <c r="G117" s="948" t="s">
        <v>128</v>
      </c>
      <c r="H117" s="645" t="s">
        <v>150</v>
      </c>
      <c r="I117" s="951">
        <v>10</v>
      </c>
      <c r="J117" s="951">
        <v>0.1</v>
      </c>
      <c r="K117" s="952">
        <f t="shared" si="19"/>
        <v>5.6818181818181826E-4</v>
      </c>
      <c r="L117" s="644">
        <f t="shared" si="12"/>
        <v>20</v>
      </c>
      <c r="M117" s="935">
        <v>0.84027777777777779</v>
      </c>
      <c r="N117" s="936">
        <f t="shared" si="13"/>
        <v>0.84027777777777779</v>
      </c>
      <c r="O117" s="725"/>
      <c r="P117" s="725">
        <f t="shared" si="14"/>
        <v>-0.84027777777777779</v>
      </c>
      <c r="Q117" s="622" t="s">
        <v>1177</v>
      </c>
      <c r="R117" s="37"/>
      <c r="S117" s="37" t="str">
        <f t="shared" si="15"/>
        <v>BeaverF1</v>
      </c>
      <c r="T117" s="37" t="str">
        <f t="shared" si="16"/>
        <v>1962F1</v>
      </c>
      <c r="U117" s="429">
        <v>10</v>
      </c>
      <c r="V117" s="1029">
        <v>0.1</v>
      </c>
      <c r="W117" s="598">
        <v>1E-3</v>
      </c>
      <c r="X117" s="429"/>
      <c r="Y117" s="37" t="str">
        <f t="shared" si="17"/>
        <v>F110</v>
      </c>
      <c r="Z117" s="37" t="str">
        <f t="shared" si="18"/>
        <v>F10.1</v>
      </c>
      <c r="AA117" s="37" t="str">
        <f t="shared" si="20"/>
        <v>F10.001</v>
      </c>
      <c r="AB117" s="498" t="str">
        <f t="shared" si="11"/>
        <v>F120</v>
      </c>
      <c r="AC117" s="572"/>
      <c r="AD117" s="572"/>
      <c r="AE117" s="572"/>
      <c r="AF117" s="572"/>
    </row>
    <row r="118" spans="1:32">
      <c r="A118" s="947">
        <f t="shared" si="21"/>
        <v>111</v>
      </c>
      <c r="B118" s="948">
        <v>16</v>
      </c>
      <c r="C118" s="949">
        <v>22805</v>
      </c>
      <c r="D118" s="949" t="s">
        <v>178</v>
      </c>
      <c r="E118" s="950">
        <v>8</v>
      </c>
      <c r="F118" s="644">
        <v>1962</v>
      </c>
      <c r="G118" s="948" t="s">
        <v>128</v>
      </c>
      <c r="H118" s="645" t="s">
        <v>149</v>
      </c>
      <c r="I118" s="951">
        <v>10</v>
      </c>
      <c r="J118" s="951">
        <v>0.1</v>
      </c>
      <c r="K118" s="952">
        <f t="shared" si="19"/>
        <v>5.6818181818181826E-4</v>
      </c>
      <c r="L118" s="644">
        <f t="shared" si="12"/>
        <v>20</v>
      </c>
      <c r="M118" s="935">
        <v>0.84375</v>
      </c>
      <c r="N118" s="936">
        <f t="shared" si="13"/>
        <v>0.84375</v>
      </c>
      <c r="O118" s="725"/>
      <c r="P118" s="725">
        <f t="shared" si="14"/>
        <v>-0.84375</v>
      </c>
      <c r="Q118" s="622" t="s">
        <v>1175</v>
      </c>
      <c r="R118" s="37"/>
      <c r="S118" s="37" t="str">
        <f t="shared" si="15"/>
        <v>BeaverF0</v>
      </c>
      <c r="T118" s="37" t="str">
        <f t="shared" si="16"/>
        <v>1962F0</v>
      </c>
      <c r="U118" s="429">
        <v>10</v>
      </c>
      <c r="V118" s="1029">
        <v>0.1</v>
      </c>
      <c r="W118" s="598">
        <v>1E-3</v>
      </c>
      <c r="X118" s="429"/>
      <c r="Y118" s="37" t="str">
        <f t="shared" si="17"/>
        <v>F010</v>
      </c>
      <c r="Z118" s="37" t="str">
        <f t="shared" si="18"/>
        <v>F00.1</v>
      </c>
      <c r="AA118" s="37" t="str">
        <f t="shared" si="20"/>
        <v>F00.001</v>
      </c>
      <c r="AB118" s="498" t="str">
        <f t="shared" si="11"/>
        <v>F020</v>
      </c>
      <c r="AC118" s="572"/>
      <c r="AD118" s="572"/>
      <c r="AE118" s="572"/>
      <c r="AF118" s="572"/>
    </row>
    <row r="119" spans="1:32">
      <c r="A119" s="947">
        <f t="shared" si="21"/>
        <v>112</v>
      </c>
      <c r="B119" s="948">
        <v>17</v>
      </c>
      <c r="C119" s="949">
        <v>22805</v>
      </c>
      <c r="D119" s="949" t="s">
        <v>178</v>
      </c>
      <c r="E119" s="950">
        <v>8</v>
      </c>
      <c r="F119" s="644">
        <v>1962</v>
      </c>
      <c r="G119" s="948" t="s">
        <v>128</v>
      </c>
      <c r="H119" s="645" t="s">
        <v>149</v>
      </c>
      <c r="I119" s="951">
        <v>10</v>
      </c>
      <c r="J119" s="951">
        <v>0.1</v>
      </c>
      <c r="K119" s="952">
        <f t="shared" si="19"/>
        <v>5.6818181818181826E-4</v>
      </c>
      <c r="L119" s="644">
        <f t="shared" si="12"/>
        <v>20</v>
      </c>
      <c r="M119" s="935">
        <v>0.84375</v>
      </c>
      <c r="N119" s="936">
        <f t="shared" si="13"/>
        <v>0.84375</v>
      </c>
      <c r="O119" s="725"/>
      <c r="P119" s="725">
        <f t="shared" si="14"/>
        <v>-0.84375</v>
      </c>
      <c r="Q119" s="622" t="s">
        <v>1178</v>
      </c>
      <c r="R119" s="37"/>
      <c r="S119" s="37" t="str">
        <f t="shared" si="15"/>
        <v>BeaverF0</v>
      </c>
      <c r="T119" s="37" t="str">
        <f t="shared" si="16"/>
        <v>1962F0</v>
      </c>
      <c r="U119" s="429">
        <v>10</v>
      </c>
      <c r="V119" s="1029">
        <v>0.1</v>
      </c>
      <c r="W119" s="598">
        <v>1E-3</v>
      </c>
      <c r="X119" s="429"/>
      <c r="Y119" s="37" t="str">
        <f t="shared" si="17"/>
        <v>F010</v>
      </c>
      <c r="Z119" s="37" t="str">
        <f t="shared" si="18"/>
        <v>F00.1</v>
      </c>
      <c r="AA119" s="37" t="str">
        <f t="shared" si="20"/>
        <v>F00.001</v>
      </c>
      <c r="AB119" s="498" t="str">
        <f t="shared" si="11"/>
        <v>F020</v>
      </c>
      <c r="AC119" s="572"/>
      <c r="AD119" s="572"/>
      <c r="AE119" s="572"/>
      <c r="AF119" s="572"/>
    </row>
    <row r="120" spans="1:32">
      <c r="A120" s="947">
        <f t="shared" si="21"/>
        <v>113</v>
      </c>
      <c r="B120" s="948">
        <v>18</v>
      </c>
      <c r="C120" s="949">
        <v>22805</v>
      </c>
      <c r="D120" s="949" t="s">
        <v>178</v>
      </c>
      <c r="E120" s="950">
        <v>8</v>
      </c>
      <c r="F120" s="644">
        <v>1962</v>
      </c>
      <c r="G120" s="948" t="s">
        <v>128</v>
      </c>
      <c r="H120" s="645" t="s">
        <v>150</v>
      </c>
      <c r="I120" s="951">
        <v>10</v>
      </c>
      <c r="J120" s="951">
        <v>0.1</v>
      </c>
      <c r="K120" s="952">
        <f t="shared" si="19"/>
        <v>5.6818181818181826E-4</v>
      </c>
      <c r="L120" s="644">
        <f t="shared" si="12"/>
        <v>20</v>
      </c>
      <c r="M120" s="935">
        <v>0.84375</v>
      </c>
      <c r="N120" s="936">
        <f t="shared" si="13"/>
        <v>0.84375</v>
      </c>
      <c r="O120" s="725"/>
      <c r="P120" s="725">
        <f t="shared" si="14"/>
        <v>-0.84375</v>
      </c>
      <c r="Q120" s="622" t="s">
        <v>65</v>
      </c>
      <c r="R120" s="37"/>
      <c r="S120" s="37" t="str">
        <f t="shared" si="15"/>
        <v>BeaverF1</v>
      </c>
      <c r="T120" s="37" t="str">
        <f t="shared" si="16"/>
        <v>1962F1</v>
      </c>
      <c r="U120" s="429">
        <v>10</v>
      </c>
      <c r="V120" s="1029">
        <v>0.1</v>
      </c>
      <c r="W120" s="598">
        <v>1E-3</v>
      </c>
      <c r="X120" s="429"/>
      <c r="Y120" s="37" t="str">
        <f t="shared" si="17"/>
        <v>F110</v>
      </c>
      <c r="Z120" s="37" t="str">
        <f t="shared" si="18"/>
        <v>F10.1</v>
      </c>
      <c r="AA120" s="37" t="str">
        <f t="shared" si="20"/>
        <v>F10.001</v>
      </c>
      <c r="AB120" s="498" t="str">
        <f t="shared" si="11"/>
        <v>F120</v>
      </c>
      <c r="AC120" s="572"/>
      <c r="AD120" s="572"/>
      <c r="AE120" s="572"/>
      <c r="AF120" s="572"/>
    </row>
    <row r="121" spans="1:32">
      <c r="A121" s="947">
        <f t="shared" si="21"/>
        <v>114</v>
      </c>
      <c r="B121" s="948">
        <v>19</v>
      </c>
      <c r="C121" s="949">
        <v>22811</v>
      </c>
      <c r="D121" s="949" t="s">
        <v>178</v>
      </c>
      <c r="E121" s="950">
        <v>14</v>
      </c>
      <c r="F121" s="644">
        <v>1962</v>
      </c>
      <c r="G121" s="948" t="s">
        <v>145</v>
      </c>
      <c r="H121" s="645" t="s">
        <v>151</v>
      </c>
      <c r="I121" s="951">
        <v>67</v>
      </c>
      <c r="J121" s="951">
        <v>1.4</v>
      </c>
      <c r="K121" s="952">
        <f t="shared" si="19"/>
        <v>5.3295454545454549E-2</v>
      </c>
      <c r="L121" s="644">
        <f t="shared" si="12"/>
        <v>15</v>
      </c>
      <c r="M121" s="935">
        <v>0.625</v>
      </c>
      <c r="N121" s="936">
        <f t="shared" si="13"/>
        <v>0.625</v>
      </c>
      <c r="O121" s="725"/>
      <c r="P121" s="725">
        <f t="shared" si="14"/>
        <v>-0.625</v>
      </c>
      <c r="Q121" s="622" t="s">
        <v>1180</v>
      </c>
      <c r="R121" s="37"/>
      <c r="S121" s="37" t="str">
        <f t="shared" si="15"/>
        <v>RandallF2</v>
      </c>
      <c r="T121" s="37" t="str">
        <f t="shared" si="16"/>
        <v>1962F2</v>
      </c>
      <c r="U121" s="429">
        <v>50</v>
      </c>
      <c r="V121" s="1029">
        <v>1</v>
      </c>
      <c r="W121" s="598">
        <v>0.05</v>
      </c>
      <c r="X121" s="429"/>
      <c r="Y121" s="37" t="str">
        <f t="shared" si="17"/>
        <v>F250</v>
      </c>
      <c r="Z121" s="37" t="str">
        <f t="shared" si="18"/>
        <v>F21</v>
      </c>
      <c r="AA121" s="37" t="str">
        <f t="shared" si="20"/>
        <v>F20.05</v>
      </c>
      <c r="AB121" s="498" t="str">
        <f t="shared" si="11"/>
        <v>F215</v>
      </c>
      <c r="AC121" s="572"/>
      <c r="AD121" s="572"/>
      <c r="AE121" s="572"/>
      <c r="AF121" s="572"/>
    </row>
    <row r="122" spans="1:32" ht="25.5">
      <c r="A122" s="947">
        <f t="shared" si="21"/>
        <v>115</v>
      </c>
      <c r="B122" s="948">
        <v>20</v>
      </c>
      <c r="C122" s="949">
        <v>22811</v>
      </c>
      <c r="D122" s="949" t="s">
        <v>178</v>
      </c>
      <c r="E122" s="950">
        <v>14</v>
      </c>
      <c r="F122" s="644">
        <v>1962</v>
      </c>
      <c r="G122" s="948" t="s">
        <v>145</v>
      </c>
      <c r="H122" s="645" t="s">
        <v>150</v>
      </c>
      <c r="I122" s="951">
        <v>13</v>
      </c>
      <c r="J122" s="951">
        <v>4.7</v>
      </c>
      <c r="K122" s="952">
        <f t="shared" si="19"/>
        <v>3.4715909090909089E-2</v>
      </c>
      <c r="L122" s="644">
        <f t="shared" si="12"/>
        <v>19</v>
      </c>
      <c r="M122" s="935">
        <v>0.81944444444444453</v>
      </c>
      <c r="N122" s="936">
        <f t="shared" si="13"/>
        <v>0.81944444444444453</v>
      </c>
      <c r="O122" s="725"/>
      <c r="P122" s="725">
        <f t="shared" si="14"/>
        <v>-0.81944444444444453</v>
      </c>
      <c r="Q122" s="622" t="s">
        <v>1181</v>
      </c>
      <c r="R122" s="37"/>
      <c r="S122" s="37" t="str">
        <f t="shared" si="15"/>
        <v>RandallF1</v>
      </c>
      <c r="T122" s="37" t="str">
        <f t="shared" si="16"/>
        <v>1962F1</v>
      </c>
      <c r="U122" s="429">
        <v>10</v>
      </c>
      <c r="V122" s="1029">
        <v>2</v>
      </c>
      <c r="W122" s="598">
        <v>0.02</v>
      </c>
      <c r="X122" s="429"/>
      <c r="Y122" s="37" t="str">
        <f t="shared" si="17"/>
        <v>F110</v>
      </c>
      <c r="Z122" s="37" t="str">
        <f t="shared" si="18"/>
        <v>F12</v>
      </c>
      <c r="AA122" s="37" t="str">
        <f t="shared" si="20"/>
        <v>F10.02</v>
      </c>
      <c r="AB122" s="498" t="str">
        <f t="shared" si="11"/>
        <v>F119</v>
      </c>
      <c r="AC122" s="572"/>
      <c r="AD122" s="572"/>
      <c r="AE122" s="572"/>
      <c r="AF122" s="572"/>
    </row>
    <row r="123" spans="1:32">
      <c r="A123" s="947">
        <f t="shared" si="21"/>
        <v>116</v>
      </c>
      <c r="B123" s="948">
        <v>21</v>
      </c>
      <c r="C123" s="949">
        <v>22811</v>
      </c>
      <c r="D123" s="949" t="s">
        <v>178</v>
      </c>
      <c r="E123" s="950">
        <v>14</v>
      </c>
      <c r="F123" s="644">
        <v>1962</v>
      </c>
      <c r="G123" s="948" t="s">
        <v>145</v>
      </c>
      <c r="H123" s="645" t="s">
        <v>150</v>
      </c>
      <c r="I123" s="951">
        <v>27</v>
      </c>
      <c r="J123" s="951">
        <v>2</v>
      </c>
      <c r="K123" s="952">
        <f t="shared" si="19"/>
        <v>3.0681818181818182E-2</v>
      </c>
      <c r="L123" s="644">
        <f t="shared" si="12"/>
        <v>19</v>
      </c>
      <c r="M123" s="935">
        <v>0.83125000000000004</v>
      </c>
      <c r="N123" s="936">
        <f t="shared" si="13"/>
        <v>0.83125000000000004</v>
      </c>
      <c r="O123" s="725"/>
      <c r="P123" s="725">
        <f t="shared" si="14"/>
        <v>-0.83125000000000004</v>
      </c>
      <c r="Q123" s="622" t="s">
        <v>1179</v>
      </c>
      <c r="R123" s="37"/>
      <c r="S123" s="37" t="str">
        <f t="shared" si="15"/>
        <v>RandallF1</v>
      </c>
      <c r="T123" s="37" t="str">
        <f t="shared" si="16"/>
        <v>1962F1</v>
      </c>
      <c r="U123" s="429">
        <v>20</v>
      </c>
      <c r="V123" s="1029">
        <v>2</v>
      </c>
      <c r="W123" s="598">
        <v>0.02</v>
      </c>
      <c r="X123" s="429"/>
      <c r="Y123" s="37" t="str">
        <f t="shared" si="17"/>
        <v>F120</v>
      </c>
      <c r="Z123" s="37" t="str">
        <f t="shared" si="18"/>
        <v>F12</v>
      </c>
      <c r="AA123" s="37" t="str">
        <f t="shared" si="20"/>
        <v>F10.02</v>
      </c>
      <c r="AB123" s="498" t="str">
        <f t="shared" si="11"/>
        <v>F119</v>
      </c>
      <c r="AC123" s="572"/>
      <c r="AD123" s="572"/>
      <c r="AE123" s="572"/>
      <c r="AF123" s="572"/>
    </row>
    <row r="124" spans="1:32" ht="25.5">
      <c r="A124" s="947">
        <f t="shared" si="21"/>
        <v>117</v>
      </c>
      <c r="B124" s="948">
        <v>22</v>
      </c>
      <c r="C124" s="949">
        <v>22811</v>
      </c>
      <c r="D124" s="949" t="s">
        <v>178</v>
      </c>
      <c r="E124" s="950">
        <v>14</v>
      </c>
      <c r="F124" s="644">
        <v>1962</v>
      </c>
      <c r="G124" s="948" t="s">
        <v>145</v>
      </c>
      <c r="H124" s="645" t="s">
        <v>149</v>
      </c>
      <c r="I124" s="951">
        <v>33</v>
      </c>
      <c r="J124" s="951">
        <v>2</v>
      </c>
      <c r="K124" s="952">
        <f t="shared" si="19"/>
        <v>3.7499999999999999E-2</v>
      </c>
      <c r="L124" s="644">
        <f t="shared" si="12"/>
        <v>20</v>
      </c>
      <c r="M124" s="935">
        <v>0.84097222222222223</v>
      </c>
      <c r="N124" s="936">
        <f t="shared" si="13"/>
        <v>0.84097222222222223</v>
      </c>
      <c r="O124" s="725"/>
      <c r="P124" s="725">
        <f t="shared" si="14"/>
        <v>-0.84097222222222223</v>
      </c>
      <c r="Q124" s="380" t="s">
        <v>1182</v>
      </c>
      <c r="R124" s="37"/>
      <c r="S124" s="37" t="str">
        <f t="shared" si="15"/>
        <v>RandallF0</v>
      </c>
      <c r="T124" s="37" t="str">
        <f t="shared" si="16"/>
        <v>1962F0</v>
      </c>
      <c r="U124" s="429">
        <v>20</v>
      </c>
      <c r="V124" s="1029">
        <v>2</v>
      </c>
      <c r="W124" s="598">
        <v>0.02</v>
      </c>
      <c r="X124" s="429"/>
      <c r="Y124" s="37" t="str">
        <f t="shared" si="17"/>
        <v>F020</v>
      </c>
      <c r="Z124" s="37" t="str">
        <f t="shared" si="18"/>
        <v>F02</v>
      </c>
      <c r="AA124" s="37" t="str">
        <f t="shared" si="20"/>
        <v>F00.02</v>
      </c>
      <c r="AB124" s="498" t="str">
        <f t="shared" si="11"/>
        <v>F020</v>
      </c>
      <c r="AC124" s="572"/>
      <c r="AD124" s="572"/>
      <c r="AE124" s="572"/>
      <c r="AF124" s="572"/>
    </row>
    <row r="125" spans="1:32">
      <c r="A125" s="947">
        <f t="shared" si="21"/>
        <v>118</v>
      </c>
      <c r="B125" s="948">
        <v>23</v>
      </c>
      <c r="C125" s="949">
        <v>22811</v>
      </c>
      <c r="D125" s="949" t="s">
        <v>178</v>
      </c>
      <c r="E125" s="950">
        <v>14</v>
      </c>
      <c r="F125" s="644">
        <v>1962</v>
      </c>
      <c r="G125" s="948" t="s">
        <v>140</v>
      </c>
      <c r="H125" s="645" t="s">
        <v>150</v>
      </c>
      <c r="I125" s="951">
        <v>33</v>
      </c>
      <c r="J125" s="951">
        <v>0.5</v>
      </c>
      <c r="K125" s="952">
        <f t="shared" si="19"/>
        <v>9.3749999999999997E-3</v>
      </c>
      <c r="L125" s="644">
        <f t="shared" si="12"/>
        <v>21</v>
      </c>
      <c r="M125" s="935">
        <v>0.875</v>
      </c>
      <c r="N125" s="936">
        <f t="shared" si="13"/>
        <v>0.875</v>
      </c>
      <c r="O125" s="725"/>
      <c r="P125" s="725">
        <f t="shared" si="14"/>
        <v>-0.875</v>
      </c>
      <c r="Q125" s="622"/>
      <c r="R125" s="37"/>
      <c r="S125" s="37" t="str">
        <f t="shared" si="15"/>
        <v>PotterF1</v>
      </c>
      <c r="T125" s="37" t="str">
        <f t="shared" si="16"/>
        <v>1962F1</v>
      </c>
      <c r="U125" s="429">
        <v>20</v>
      </c>
      <c r="V125" s="1029">
        <v>0.5</v>
      </c>
      <c r="W125" s="598">
        <v>5.0000000000000001E-3</v>
      </c>
      <c r="X125" s="429"/>
      <c r="Y125" s="37" t="str">
        <f t="shared" si="17"/>
        <v>F120</v>
      </c>
      <c r="Z125" s="37" t="str">
        <f t="shared" si="18"/>
        <v>F10.5</v>
      </c>
      <c r="AA125" s="37" t="str">
        <f t="shared" si="20"/>
        <v>F10.005</v>
      </c>
      <c r="AB125" s="498" t="str">
        <f t="shared" si="11"/>
        <v>F121</v>
      </c>
      <c r="AC125" s="572"/>
      <c r="AD125" s="572"/>
      <c r="AE125" s="572"/>
      <c r="AF125" s="572"/>
    </row>
    <row r="126" spans="1:32">
      <c r="A126" s="947">
        <f t="shared" si="21"/>
        <v>119</v>
      </c>
      <c r="B126" s="948">
        <v>24</v>
      </c>
      <c r="C126" s="949">
        <v>22819</v>
      </c>
      <c r="D126" s="949" t="s">
        <v>178</v>
      </c>
      <c r="E126" s="950">
        <v>22</v>
      </c>
      <c r="F126" s="644">
        <v>1962</v>
      </c>
      <c r="G126" s="948" t="s">
        <v>128</v>
      </c>
      <c r="H126" s="645" t="s">
        <v>149</v>
      </c>
      <c r="I126" s="951">
        <v>10</v>
      </c>
      <c r="J126" s="951">
        <v>0.1</v>
      </c>
      <c r="K126" s="952">
        <f t="shared" si="19"/>
        <v>5.6818181818181826E-4</v>
      </c>
      <c r="L126" s="644">
        <f t="shared" si="12"/>
        <v>22</v>
      </c>
      <c r="M126" s="935">
        <v>0.95347222222222217</v>
      </c>
      <c r="N126" s="936">
        <f t="shared" si="13"/>
        <v>0.95347222222222217</v>
      </c>
      <c r="O126" s="725"/>
      <c r="P126" s="725">
        <f t="shared" si="14"/>
        <v>-0.95347222222222217</v>
      </c>
      <c r="Q126" s="622"/>
      <c r="R126" s="37"/>
      <c r="S126" s="37" t="str">
        <f t="shared" si="15"/>
        <v>BeaverF0</v>
      </c>
      <c r="T126" s="37" t="str">
        <f t="shared" si="16"/>
        <v>1962F0</v>
      </c>
      <c r="U126" s="429">
        <v>10</v>
      </c>
      <c r="V126" s="1029">
        <v>0.1</v>
      </c>
      <c r="W126" s="598">
        <v>1E-3</v>
      </c>
      <c r="X126" s="429"/>
      <c r="Y126" s="37" t="str">
        <f t="shared" si="17"/>
        <v>F010</v>
      </c>
      <c r="Z126" s="37" t="str">
        <f t="shared" si="18"/>
        <v>F00.1</v>
      </c>
      <c r="AA126" s="37" t="str">
        <f t="shared" si="20"/>
        <v>F00.001</v>
      </c>
      <c r="AB126" s="498" t="str">
        <f t="shared" si="11"/>
        <v>F022</v>
      </c>
      <c r="AC126" s="572"/>
      <c r="AD126" s="572"/>
      <c r="AE126" s="572"/>
      <c r="AF126" s="572"/>
    </row>
    <row r="127" spans="1:32">
      <c r="A127" s="947">
        <f t="shared" si="21"/>
        <v>120</v>
      </c>
      <c r="B127" s="948">
        <v>25</v>
      </c>
      <c r="C127" s="949">
        <v>22821</v>
      </c>
      <c r="D127" s="949" t="s">
        <v>178</v>
      </c>
      <c r="E127" s="950">
        <v>24</v>
      </c>
      <c r="F127" s="644">
        <v>1962</v>
      </c>
      <c r="G127" s="948" t="s">
        <v>140</v>
      </c>
      <c r="H127" s="645" t="s">
        <v>151</v>
      </c>
      <c r="I127" s="951">
        <v>27</v>
      </c>
      <c r="J127" s="951">
        <v>1.5</v>
      </c>
      <c r="K127" s="952">
        <f t="shared" si="19"/>
        <v>2.3011363636363635E-2</v>
      </c>
      <c r="L127" s="644">
        <f t="shared" si="12"/>
        <v>0</v>
      </c>
      <c r="M127" s="935">
        <v>3.472222222222222E-3</v>
      </c>
      <c r="N127" s="936">
        <f t="shared" si="13"/>
        <v>3.472222222222222E-3</v>
      </c>
      <c r="O127" s="725"/>
      <c r="P127" s="725">
        <f t="shared" si="14"/>
        <v>-3.472222222222222E-3</v>
      </c>
      <c r="Q127" s="622"/>
      <c r="R127" s="37"/>
      <c r="S127" s="37" t="str">
        <f t="shared" si="15"/>
        <v>PotterF2</v>
      </c>
      <c r="T127" s="37" t="str">
        <f t="shared" si="16"/>
        <v>1962F2</v>
      </c>
      <c r="U127" s="429">
        <v>20</v>
      </c>
      <c r="V127" s="1029">
        <v>1</v>
      </c>
      <c r="W127" s="598">
        <v>0.02</v>
      </c>
      <c r="X127" s="429"/>
      <c r="Y127" s="37" t="str">
        <f t="shared" si="17"/>
        <v>F220</v>
      </c>
      <c r="Z127" s="37" t="str">
        <f t="shared" si="18"/>
        <v>F21</v>
      </c>
      <c r="AA127" s="37" t="str">
        <f t="shared" si="20"/>
        <v>F20.02</v>
      </c>
      <c r="AB127" s="498" t="str">
        <f t="shared" si="11"/>
        <v>F20</v>
      </c>
      <c r="AC127" s="572"/>
      <c r="AD127" s="572"/>
      <c r="AE127" s="572"/>
      <c r="AF127" s="572"/>
    </row>
    <row r="128" spans="1:32">
      <c r="A128" s="947">
        <f t="shared" si="21"/>
        <v>121</v>
      </c>
      <c r="B128" s="948">
        <v>26</v>
      </c>
      <c r="C128" s="949">
        <v>22888</v>
      </c>
      <c r="D128" s="949" t="s">
        <v>180</v>
      </c>
      <c r="E128" s="950">
        <v>30</v>
      </c>
      <c r="F128" s="644">
        <v>1962</v>
      </c>
      <c r="G128" s="948" t="s">
        <v>126</v>
      </c>
      <c r="H128" s="645" t="s">
        <v>150</v>
      </c>
      <c r="I128" s="951">
        <v>10</v>
      </c>
      <c r="J128" s="951">
        <v>0.1</v>
      </c>
      <c r="K128" s="952">
        <f t="shared" si="19"/>
        <v>5.6818181818181826E-4</v>
      </c>
      <c r="L128" s="644">
        <f t="shared" si="12"/>
        <v>19</v>
      </c>
      <c r="M128" s="935">
        <v>0.79166666666666663</v>
      </c>
      <c r="N128" s="936">
        <f t="shared" si="13"/>
        <v>0.79166666666666663</v>
      </c>
      <c r="O128" s="725"/>
      <c r="P128" s="725">
        <f t="shared" si="14"/>
        <v>-0.79166666666666663</v>
      </c>
      <c r="Q128" s="622"/>
      <c r="R128" s="37"/>
      <c r="S128" s="37" t="str">
        <f t="shared" si="15"/>
        <v>CimarronF1</v>
      </c>
      <c r="T128" s="37" t="str">
        <f t="shared" si="16"/>
        <v>1962F1</v>
      </c>
      <c r="U128" s="429">
        <v>10</v>
      </c>
      <c r="V128" s="1029">
        <v>0.1</v>
      </c>
      <c r="W128" s="598">
        <v>1E-3</v>
      </c>
      <c r="X128" s="429"/>
      <c r="Y128" s="37" t="str">
        <f t="shared" si="17"/>
        <v>F110</v>
      </c>
      <c r="Z128" s="37" t="str">
        <f t="shared" si="18"/>
        <v>F10.1</v>
      </c>
      <c r="AA128" s="37" t="str">
        <f t="shared" si="20"/>
        <v>F10.001</v>
      </c>
      <c r="AB128" s="498" t="str">
        <f t="shared" si="11"/>
        <v>F119</v>
      </c>
      <c r="AC128" s="572"/>
      <c r="AD128" s="572"/>
      <c r="AE128" s="572"/>
      <c r="AF128" s="572"/>
    </row>
    <row r="129" spans="1:32">
      <c r="A129" s="947">
        <f t="shared" si="21"/>
        <v>122</v>
      </c>
      <c r="B129" s="948">
        <v>1</v>
      </c>
      <c r="C129" s="949">
        <v>23135</v>
      </c>
      <c r="D129" s="949" t="s">
        <v>177</v>
      </c>
      <c r="E129" s="950">
        <v>4</v>
      </c>
      <c r="F129" s="644">
        <v>1963</v>
      </c>
      <c r="G129" s="948" t="s">
        <v>136</v>
      </c>
      <c r="H129" s="645" t="s">
        <v>149</v>
      </c>
      <c r="I129" s="951">
        <v>33</v>
      </c>
      <c r="J129" s="951">
        <v>1</v>
      </c>
      <c r="K129" s="952">
        <f t="shared" si="19"/>
        <v>1.8749999999999999E-2</v>
      </c>
      <c r="L129" s="644">
        <f t="shared" si="12"/>
        <v>15</v>
      </c>
      <c r="M129" s="935">
        <v>0.625</v>
      </c>
      <c r="N129" s="936">
        <f t="shared" si="13"/>
        <v>0.625</v>
      </c>
      <c r="O129" s="725"/>
      <c r="P129" s="725">
        <f t="shared" si="14"/>
        <v>-0.625</v>
      </c>
      <c r="Q129" s="622"/>
      <c r="R129" s="37"/>
      <c r="S129" s="37" t="str">
        <f t="shared" si="15"/>
        <v>HutchinsonF0</v>
      </c>
      <c r="T129" s="37" t="str">
        <f t="shared" si="16"/>
        <v>1963F0</v>
      </c>
      <c r="U129" s="429">
        <v>20</v>
      </c>
      <c r="V129" s="1029">
        <v>1</v>
      </c>
      <c r="W129" s="598">
        <v>0.01</v>
      </c>
      <c r="X129" s="429"/>
      <c r="Y129" s="37" t="str">
        <f t="shared" si="17"/>
        <v>F020</v>
      </c>
      <c r="Z129" s="37" t="str">
        <f t="shared" si="18"/>
        <v>F01</v>
      </c>
      <c r="AA129" s="37" t="str">
        <f t="shared" si="20"/>
        <v>F00.01</v>
      </c>
      <c r="AB129" s="498" t="str">
        <f t="shared" si="11"/>
        <v>F015</v>
      </c>
      <c r="AC129" s="572"/>
      <c r="AD129" s="572"/>
      <c r="AE129" s="572"/>
      <c r="AF129" s="572"/>
    </row>
    <row r="130" spans="1:32">
      <c r="A130" s="947">
        <f t="shared" si="21"/>
        <v>123</v>
      </c>
      <c r="B130" s="948">
        <v>2</v>
      </c>
      <c r="C130" s="949">
        <v>23177</v>
      </c>
      <c r="D130" s="949" t="s">
        <v>178</v>
      </c>
      <c r="E130" s="950">
        <v>15</v>
      </c>
      <c r="F130" s="644">
        <v>1963</v>
      </c>
      <c r="G130" s="948" t="s">
        <v>127</v>
      </c>
      <c r="H130" s="645" t="s">
        <v>150</v>
      </c>
      <c r="I130" s="951">
        <v>10</v>
      </c>
      <c r="J130" s="951">
        <v>0.1</v>
      </c>
      <c r="K130" s="952">
        <f t="shared" si="19"/>
        <v>5.6818181818181826E-4</v>
      </c>
      <c r="L130" s="644">
        <f t="shared" si="12"/>
        <v>23</v>
      </c>
      <c r="M130" s="935">
        <v>0.97916666666666663</v>
      </c>
      <c r="N130" s="936">
        <f t="shared" si="13"/>
        <v>0.97916666666666663</v>
      </c>
      <c r="O130" s="725"/>
      <c r="P130" s="725">
        <f t="shared" si="14"/>
        <v>-0.97916666666666663</v>
      </c>
      <c r="Q130" s="622"/>
      <c r="R130" s="37"/>
      <c r="S130" s="37" t="str">
        <f t="shared" si="15"/>
        <v>TexasF1</v>
      </c>
      <c r="T130" s="37" t="str">
        <f t="shared" si="16"/>
        <v>1963F1</v>
      </c>
      <c r="U130" s="429">
        <v>10</v>
      </c>
      <c r="V130" s="1029">
        <v>0.1</v>
      </c>
      <c r="W130" s="598">
        <v>1E-3</v>
      </c>
      <c r="X130" s="429"/>
      <c r="Y130" s="37" t="str">
        <f t="shared" si="17"/>
        <v>F110</v>
      </c>
      <c r="Z130" s="37" t="str">
        <f t="shared" si="18"/>
        <v>F10.1</v>
      </c>
      <c r="AA130" s="37" t="str">
        <f t="shared" si="20"/>
        <v>F10.001</v>
      </c>
      <c r="AB130" s="498" t="str">
        <f t="shared" si="11"/>
        <v>F123</v>
      </c>
      <c r="AC130" s="572"/>
      <c r="AD130" s="572"/>
      <c r="AE130" s="572"/>
      <c r="AF130" s="572"/>
    </row>
    <row r="131" spans="1:32">
      <c r="A131" s="947">
        <f t="shared" si="21"/>
        <v>124</v>
      </c>
      <c r="B131" s="948">
        <v>3</v>
      </c>
      <c r="C131" s="949">
        <v>23203</v>
      </c>
      <c r="D131" s="949" t="s">
        <v>179</v>
      </c>
      <c r="E131" s="950">
        <v>11</v>
      </c>
      <c r="F131" s="644">
        <v>1963</v>
      </c>
      <c r="G131" s="948" t="s">
        <v>134</v>
      </c>
      <c r="H131" s="645" t="s">
        <v>149</v>
      </c>
      <c r="I131" s="951">
        <v>33</v>
      </c>
      <c r="J131" s="951">
        <v>0.8</v>
      </c>
      <c r="K131" s="952">
        <f t="shared" si="19"/>
        <v>1.4999999999999999E-2</v>
      </c>
      <c r="L131" s="644">
        <f t="shared" si="12"/>
        <v>21</v>
      </c>
      <c r="M131" s="935">
        <v>0.875</v>
      </c>
      <c r="N131" s="936">
        <f t="shared" si="13"/>
        <v>0.875</v>
      </c>
      <c r="O131" s="725"/>
      <c r="P131" s="725">
        <f t="shared" si="14"/>
        <v>-0.875</v>
      </c>
      <c r="Q131" s="622"/>
      <c r="R131" s="37"/>
      <c r="S131" s="37" t="str">
        <f t="shared" si="15"/>
        <v>HartleyF0</v>
      </c>
      <c r="T131" s="37" t="str">
        <f t="shared" si="16"/>
        <v>1963F0</v>
      </c>
      <c r="U131" s="429">
        <v>20</v>
      </c>
      <c r="V131" s="1029">
        <v>0.5</v>
      </c>
      <c r="W131" s="598">
        <v>0.01</v>
      </c>
      <c r="X131" s="429"/>
      <c r="Y131" s="37" t="str">
        <f t="shared" si="17"/>
        <v>F020</v>
      </c>
      <c r="Z131" s="37" t="str">
        <f t="shared" si="18"/>
        <v>F00.5</v>
      </c>
      <c r="AA131" s="37" t="str">
        <f t="shared" si="20"/>
        <v>F00.01</v>
      </c>
      <c r="AB131" s="498" t="str">
        <f t="shared" si="11"/>
        <v>F021</v>
      </c>
      <c r="AC131" s="572"/>
      <c r="AD131" s="572"/>
      <c r="AE131" s="572"/>
      <c r="AF131" s="572"/>
    </row>
    <row r="132" spans="1:32">
      <c r="A132" s="947">
        <f t="shared" si="21"/>
        <v>125</v>
      </c>
      <c r="B132" s="948">
        <v>4</v>
      </c>
      <c r="C132" s="949">
        <v>23207</v>
      </c>
      <c r="D132" s="949" t="s">
        <v>179</v>
      </c>
      <c r="E132" s="950">
        <v>15</v>
      </c>
      <c r="F132" s="644">
        <v>1963</v>
      </c>
      <c r="G132" s="948" t="s">
        <v>128</v>
      </c>
      <c r="H132" s="645" t="s">
        <v>152</v>
      </c>
      <c r="I132" s="951">
        <v>10</v>
      </c>
      <c r="J132" s="951">
        <v>0.1</v>
      </c>
      <c r="K132" s="952">
        <f t="shared" si="19"/>
        <v>5.6818181818181826E-4</v>
      </c>
      <c r="L132" s="644">
        <f t="shared" si="12"/>
        <v>20</v>
      </c>
      <c r="M132" s="935">
        <v>0.84375</v>
      </c>
      <c r="N132" s="936">
        <f t="shared" si="13"/>
        <v>0.84375</v>
      </c>
      <c r="O132" s="725"/>
      <c r="P132" s="725">
        <f t="shared" si="14"/>
        <v>-0.84375</v>
      </c>
      <c r="Q132" s="622"/>
      <c r="R132" s="37"/>
      <c r="S132" s="37" t="str">
        <f t="shared" si="15"/>
        <v>BeaverF3</v>
      </c>
      <c r="T132" s="37" t="str">
        <f t="shared" si="16"/>
        <v>1963F3</v>
      </c>
      <c r="U132" s="429">
        <v>10</v>
      </c>
      <c r="V132" s="1029">
        <v>0.1</v>
      </c>
      <c r="W132" s="598">
        <v>1E-3</v>
      </c>
      <c r="X132" s="429"/>
      <c r="Y132" s="37" t="str">
        <f t="shared" si="17"/>
        <v>F310</v>
      </c>
      <c r="Z132" s="37" t="str">
        <f t="shared" si="18"/>
        <v>F30.1</v>
      </c>
      <c r="AA132" s="37" t="str">
        <f t="shared" si="20"/>
        <v>F30.001</v>
      </c>
      <c r="AB132" s="498" t="str">
        <f t="shared" si="11"/>
        <v>F320</v>
      </c>
      <c r="AC132" s="572"/>
      <c r="AD132" s="572"/>
      <c r="AE132" s="572"/>
      <c r="AF132" s="572"/>
    </row>
    <row r="133" spans="1:32">
      <c r="A133" s="947">
        <f t="shared" si="21"/>
        <v>126</v>
      </c>
      <c r="B133" s="948">
        <v>5</v>
      </c>
      <c r="C133" s="949">
        <v>23207</v>
      </c>
      <c r="D133" s="949" t="s">
        <v>179</v>
      </c>
      <c r="E133" s="950">
        <v>15</v>
      </c>
      <c r="F133" s="644">
        <v>1963</v>
      </c>
      <c r="G133" s="948" t="s">
        <v>128</v>
      </c>
      <c r="H133" s="645" t="s">
        <v>151</v>
      </c>
      <c r="I133" s="951">
        <v>10</v>
      </c>
      <c r="J133" s="951">
        <v>0.1</v>
      </c>
      <c r="K133" s="952">
        <f t="shared" si="19"/>
        <v>5.6818181818181826E-4</v>
      </c>
      <c r="L133" s="644">
        <f t="shared" si="12"/>
        <v>20</v>
      </c>
      <c r="M133" s="935">
        <v>0.84722222222222221</v>
      </c>
      <c r="N133" s="936">
        <f t="shared" si="13"/>
        <v>0.84722222222222221</v>
      </c>
      <c r="O133" s="725"/>
      <c r="P133" s="725">
        <f t="shared" si="14"/>
        <v>-0.84722222222222221</v>
      </c>
      <c r="Q133" s="622"/>
      <c r="R133" s="37"/>
      <c r="S133" s="37" t="str">
        <f t="shared" si="15"/>
        <v>BeaverF2</v>
      </c>
      <c r="T133" s="37" t="str">
        <f t="shared" si="16"/>
        <v>1963F2</v>
      </c>
      <c r="U133" s="429">
        <v>10</v>
      </c>
      <c r="V133" s="1029">
        <v>0.1</v>
      </c>
      <c r="W133" s="598">
        <v>1E-3</v>
      </c>
      <c r="X133" s="429"/>
      <c r="Y133" s="37" t="str">
        <f t="shared" si="17"/>
        <v>F210</v>
      </c>
      <c r="Z133" s="37" t="str">
        <f t="shared" si="18"/>
        <v>F20.1</v>
      </c>
      <c r="AA133" s="37" t="str">
        <f t="shared" si="20"/>
        <v>F20.001</v>
      </c>
      <c r="AB133" s="498" t="str">
        <f t="shared" si="11"/>
        <v>F220</v>
      </c>
      <c r="AC133" s="572"/>
      <c r="AD133" s="572"/>
      <c r="AE133" s="572"/>
      <c r="AF133" s="572"/>
    </row>
    <row r="134" spans="1:32">
      <c r="A134" s="947">
        <f t="shared" si="21"/>
        <v>127</v>
      </c>
      <c r="B134" s="948">
        <v>1</v>
      </c>
      <c r="C134" s="949">
        <v>23507</v>
      </c>
      <c r="D134" s="949" t="s">
        <v>177</v>
      </c>
      <c r="E134" s="950">
        <v>10</v>
      </c>
      <c r="F134" s="644">
        <v>1964</v>
      </c>
      <c r="G134" s="948" t="s">
        <v>126</v>
      </c>
      <c r="H134" s="645" t="s">
        <v>149</v>
      </c>
      <c r="I134" s="951">
        <v>10</v>
      </c>
      <c r="J134" s="951">
        <v>0.1</v>
      </c>
      <c r="K134" s="952">
        <f t="shared" si="19"/>
        <v>5.6818181818181826E-4</v>
      </c>
      <c r="L134" s="644">
        <f t="shared" si="12"/>
        <v>15</v>
      </c>
      <c r="M134" s="935">
        <v>0.625</v>
      </c>
      <c r="N134" s="936">
        <f t="shared" si="13"/>
        <v>0.625</v>
      </c>
      <c r="O134" s="725"/>
      <c r="P134" s="725">
        <f t="shared" si="14"/>
        <v>-0.625</v>
      </c>
      <c r="Q134" s="622"/>
      <c r="R134" s="37"/>
      <c r="S134" s="37" t="str">
        <f t="shared" si="15"/>
        <v>CimarronF0</v>
      </c>
      <c r="T134" s="37" t="str">
        <f t="shared" si="16"/>
        <v>1964F0</v>
      </c>
      <c r="U134" s="429">
        <v>10</v>
      </c>
      <c r="V134" s="1029">
        <v>0.1</v>
      </c>
      <c r="W134" s="598">
        <v>1E-3</v>
      </c>
      <c r="X134" s="429"/>
      <c r="Y134" s="37" t="str">
        <f t="shared" si="17"/>
        <v>F010</v>
      </c>
      <c r="Z134" s="37" t="str">
        <f t="shared" si="18"/>
        <v>F00.1</v>
      </c>
      <c r="AA134" s="37" t="str">
        <f t="shared" si="20"/>
        <v>F00.001</v>
      </c>
      <c r="AB134" s="498" t="str">
        <f t="shared" si="11"/>
        <v>F015</v>
      </c>
      <c r="AC134" s="572"/>
      <c r="AD134" s="572"/>
      <c r="AE134" s="572"/>
      <c r="AF134" s="572"/>
    </row>
    <row r="135" spans="1:32">
      <c r="A135" s="947">
        <f t="shared" si="21"/>
        <v>128</v>
      </c>
      <c r="B135" s="948">
        <v>2</v>
      </c>
      <c r="C135" s="949">
        <v>23540</v>
      </c>
      <c r="D135" s="949" t="s">
        <v>178</v>
      </c>
      <c r="E135" s="950">
        <v>12</v>
      </c>
      <c r="F135" s="644">
        <v>1964</v>
      </c>
      <c r="G135" s="948" t="s">
        <v>144</v>
      </c>
      <c r="H135" s="645" t="s">
        <v>149</v>
      </c>
      <c r="I135" s="951">
        <v>13</v>
      </c>
      <c r="J135" s="951">
        <v>0.5</v>
      </c>
      <c r="K135" s="952">
        <f t="shared" si="19"/>
        <v>3.6931818181818181E-3</v>
      </c>
      <c r="L135" s="644">
        <f t="shared" si="12"/>
        <v>15</v>
      </c>
      <c r="M135" s="935">
        <v>0.625</v>
      </c>
      <c r="N135" s="936">
        <f t="shared" si="13"/>
        <v>0.625</v>
      </c>
      <c r="O135" s="725"/>
      <c r="P135" s="725">
        <f t="shared" si="14"/>
        <v>-0.625</v>
      </c>
      <c r="Q135" s="622"/>
      <c r="R135" s="37"/>
      <c r="S135" s="37" t="str">
        <f t="shared" si="15"/>
        <v>Deaf SmithF0</v>
      </c>
      <c r="T135" s="37" t="str">
        <f t="shared" si="16"/>
        <v>1964F0</v>
      </c>
      <c r="U135" s="429">
        <v>10</v>
      </c>
      <c r="V135" s="1029">
        <v>0.5</v>
      </c>
      <c r="W135" s="598">
        <v>2E-3</v>
      </c>
      <c r="X135" s="429"/>
      <c r="Y135" s="37" t="str">
        <f t="shared" si="17"/>
        <v>F010</v>
      </c>
      <c r="Z135" s="37" t="str">
        <f t="shared" si="18"/>
        <v>F00.5</v>
      </c>
      <c r="AA135" s="37" t="str">
        <f t="shared" si="20"/>
        <v>F00.002</v>
      </c>
      <c r="AB135" s="498" t="str">
        <f t="shared" ref="AB135:AB198" si="22">CONCATENATE(H135,L135)</f>
        <v>F015</v>
      </c>
      <c r="AC135" s="572"/>
      <c r="AD135" s="572"/>
      <c r="AE135" s="572"/>
      <c r="AF135" s="572"/>
    </row>
    <row r="136" spans="1:32">
      <c r="A136" s="947">
        <f t="shared" si="21"/>
        <v>129</v>
      </c>
      <c r="B136" s="948">
        <v>3</v>
      </c>
      <c r="C136" s="949">
        <v>23550</v>
      </c>
      <c r="D136" s="949" t="s">
        <v>178</v>
      </c>
      <c r="E136" s="950">
        <v>22</v>
      </c>
      <c r="F136" s="644">
        <v>1964</v>
      </c>
      <c r="G136" s="948" t="s">
        <v>138</v>
      </c>
      <c r="H136" s="645" t="s">
        <v>149</v>
      </c>
      <c r="I136" s="951">
        <v>17</v>
      </c>
      <c r="J136" s="951">
        <v>1</v>
      </c>
      <c r="K136" s="952">
        <f t="shared" si="19"/>
        <v>9.6590909090909088E-3</v>
      </c>
      <c r="L136" s="644">
        <f t="shared" ref="L136:L199" si="23">HOUR(N136)</f>
        <v>17</v>
      </c>
      <c r="M136" s="935">
        <v>0.72916666666666663</v>
      </c>
      <c r="N136" s="936">
        <f t="shared" ref="N136:N199" si="24">+M136</f>
        <v>0.72916666666666663</v>
      </c>
      <c r="O136" s="725"/>
      <c r="P136" s="725">
        <f t="shared" ref="P136:P199" si="25">+O136-N136</f>
        <v>-0.72916666666666663</v>
      </c>
      <c r="Q136" s="622"/>
      <c r="R136" s="37"/>
      <c r="S136" s="37" t="str">
        <f t="shared" ref="S136:S199" si="26">CONCATENATE(G136,H136)</f>
        <v>HemphillF0</v>
      </c>
      <c r="T136" s="37" t="str">
        <f t="shared" ref="T136:T199" si="27">CONCATENATE(F136,H136)</f>
        <v>1964F0</v>
      </c>
      <c r="U136" s="429">
        <v>10</v>
      </c>
      <c r="V136" s="1029">
        <v>1</v>
      </c>
      <c r="W136" s="598">
        <v>0.01</v>
      </c>
      <c r="X136" s="429"/>
      <c r="Y136" s="37" t="str">
        <f t="shared" ref="Y136:Y199" si="28">CONCATENATE(H136,U136)</f>
        <v>F010</v>
      </c>
      <c r="Z136" s="37" t="str">
        <f t="shared" ref="Z136:Z199" si="29">CONCATENATE(H136,V136)</f>
        <v>F01</v>
      </c>
      <c r="AA136" s="37" t="str">
        <f t="shared" si="20"/>
        <v>F00.01</v>
      </c>
      <c r="AB136" s="498" t="str">
        <f t="shared" si="22"/>
        <v>F017</v>
      </c>
      <c r="AC136" s="572"/>
      <c r="AD136" s="572"/>
      <c r="AE136" s="572"/>
      <c r="AF136" s="572"/>
    </row>
    <row r="137" spans="1:32">
      <c r="A137" s="947">
        <f t="shared" si="21"/>
        <v>130</v>
      </c>
      <c r="B137" s="948">
        <v>4</v>
      </c>
      <c r="C137" s="949">
        <v>23608</v>
      </c>
      <c r="D137" s="949" t="s">
        <v>180</v>
      </c>
      <c r="E137" s="950">
        <v>19</v>
      </c>
      <c r="F137" s="644">
        <v>1964</v>
      </c>
      <c r="G137" s="948" t="s">
        <v>135</v>
      </c>
      <c r="H137" s="645" t="s">
        <v>151</v>
      </c>
      <c r="I137" s="951">
        <v>33</v>
      </c>
      <c r="J137" s="951">
        <v>0.5</v>
      </c>
      <c r="K137" s="952">
        <f t="shared" ref="K137:K200" si="30">+(I137/1760)*J137</f>
        <v>9.3749999999999997E-3</v>
      </c>
      <c r="L137" s="644">
        <f t="shared" si="23"/>
        <v>18</v>
      </c>
      <c r="M137" s="935">
        <v>0.77083333333333337</v>
      </c>
      <c r="N137" s="936">
        <f t="shared" si="24"/>
        <v>0.77083333333333337</v>
      </c>
      <c r="O137" s="725"/>
      <c r="P137" s="725">
        <f t="shared" si="25"/>
        <v>-0.77083333333333337</v>
      </c>
      <c r="Q137" s="622"/>
      <c r="R137" s="37"/>
      <c r="S137" s="37" t="str">
        <f t="shared" si="26"/>
        <v>MooreF2</v>
      </c>
      <c r="T137" s="37" t="str">
        <f t="shared" si="27"/>
        <v>1964F2</v>
      </c>
      <c r="U137" s="429">
        <v>20</v>
      </c>
      <c r="V137" s="1029">
        <v>0.5</v>
      </c>
      <c r="W137" s="598">
        <v>5.0000000000000001E-3</v>
      </c>
      <c r="X137" s="429"/>
      <c r="Y137" s="37" t="str">
        <f t="shared" si="28"/>
        <v>F220</v>
      </c>
      <c r="Z137" s="37" t="str">
        <f t="shared" si="29"/>
        <v>F20.5</v>
      </c>
      <c r="AA137" s="37" t="str">
        <f t="shared" ref="AA137:AA200" si="31">CONCATENATE(H137,W137)</f>
        <v>F20.005</v>
      </c>
      <c r="AB137" s="498" t="str">
        <f t="shared" si="22"/>
        <v>F218</v>
      </c>
      <c r="AC137" s="572"/>
      <c r="AD137" s="572"/>
      <c r="AE137" s="572"/>
      <c r="AF137" s="572"/>
    </row>
    <row r="138" spans="1:32">
      <c r="A138" s="947">
        <f t="shared" ref="A138:A201" si="32">+A137+1</f>
        <v>131</v>
      </c>
      <c r="B138" s="948">
        <v>1</v>
      </c>
      <c r="C138" s="949">
        <v>23866</v>
      </c>
      <c r="D138" s="949" t="s">
        <v>177</v>
      </c>
      <c r="E138" s="950">
        <v>4</v>
      </c>
      <c r="F138" s="644">
        <v>1965</v>
      </c>
      <c r="G138" s="948" t="s">
        <v>140</v>
      </c>
      <c r="H138" s="645" t="s">
        <v>151</v>
      </c>
      <c r="I138" s="951">
        <v>20</v>
      </c>
      <c r="J138" s="951">
        <v>1</v>
      </c>
      <c r="K138" s="952">
        <f t="shared" si="30"/>
        <v>1.1363636363636364E-2</v>
      </c>
      <c r="L138" s="644">
        <f t="shared" si="23"/>
        <v>18</v>
      </c>
      <c r="M138" s="935">
        <v>0.77777777777777779</v>
      </c>
      <c r="N138" s="936">
        <f t="shared" si="24"/>
        <v>0.77777777777777779</v>
      </c>
      <c r="O138" s="725"/>
      <c r="P138" s="725">
        <f t="shared" si="25"/>
        <v>-0.77777777777777779</v>
      </c>
      <c r="Q138" s="622"/>
      <c r="R138" s="37"/>
      <c r="S138" s="37" t="str">
        <f t="shared" si="26"/>
        <v>PotterF2</v>
      </c>
      <c r="T138" s="37" t="str">
        <f t="shared" si="27"/>
        <v>1965F2</v>
      </c>
      <c r="U138" s="429">
        <v>20</v>
      </c>
      <c r="V138" s="1029">
        <v>1</v>
      </c>
      <c r="W138" s="598">
        <v>0.01</v>
      </c>
      <c r="X138" s="429"/>
      <c r="Y138" s="37" t="str">
        <f t="shared" si="28"/>
        <v>F220</v>
      </c>
      <c r="Z138" s="37" t="str">
        <f t="shared" si="29"/>
        <v>F21</v>
      </c>
      <c r="AA138" s="37" t="str">
        <f t="shared" si="31"/>
        <v>F20.01</v>
      </c>
      <c r="AB138" s="498" t="str">
        <f t="shared" si="22"/>
        <v>F218</v>
      </c>
      <c r="AC138" s="572"/>
      <c r="AD138" s="572"/>
      <c r="AE138" s="572"/>
      <c r="AF138" s="572"/>
    </row>
    <row r="139" spans="1:32">
      <c r="A139" s="947">
        <f t="shared" si="32"/>
        <v>132</v>
      </c>
      <c r="B139" s="948">
        <v>2</v>
      </c>
      <c r="C139" s="949">
        <v>23866</v>
      </c>
      <c r="D139" s="949" t="s">
        <v>177</v>
      </c>
      <c r="E139" s="950">
        <v>4</v>
      </c>
      <c r="F139" s="644">
        <v>1965</v>
      </c>
      <c r="G139" s="948" t="s">
        <v>134</v>
      </c>
      <c r="H139" s="645" t="s">
        <v>149</v>
      </c>
      <c r="I139" s="951">
        <v>33</v>
      </c>
      <c r="J139" s="951">
        <v>4.5999999999999996</v>
      </c>
      <c r="K139" s="952">
        <f t="shared" si="30"/>
        <v>8.6249999999999993E-2</v>
      </c>
      <c r="L139" s="644">
        <f t="shared" si="23"/>
        <v>20</v>
      </c>
      <c r="M139" s="935">
        <v>0.83333333333333337</v>
      </c>
      <c r="N139" s="936">
        <f t="shared" si="24"/>
        <v>0.83333333333333337</v>
      </c>
      <c r="O139" s="725"/>
      <c r="P139" s="725">
        <f t="shared" si="25"/>
        <v>-0.83333333333333337</v>
      </c>
      <c r="Q139" s="622"/>
      <c r="R139" s="37"/>
      <c r="S139" s="37" t="str">
        <f t="shared" si="26"/>
        <v>HartleyF0</v>
      </c>
      <c r="T139" s="37" t="str">
        <f t="shared" si="27"/>
        <v>1965F0</v>
      </c>
      <c r="U139" s="429">
        <v>20</v>
      </c>
      <c r="V139" s="1029">
        <v>2</v>
      </c>
      <c r="W139" s="598">
        <v>0.05</v>
      </c>
      <c r="X139" s="429"/>
      <c r="Y139" s="37" t="str">
        <f t="shared" si="28"/>
        <v>F020</v>
      </c>
      <c r="Z139" s="37" t="str">
        <f t="shared" si="29"/>
        <v>F02</v>
      </c>
      <c r="AA139" s="37" t="str">
        <f t="shared" si="31"/>
        <v>F00.05</v>
      </c>
      <c r="AB139" s="498" t="str">
        <f t="shared" si="22"/>
        <v>F020</v>
      </c>
      <c r="AC139" s="572"/>
      <c r="AD139" s="572"/>
      <c r="AE139" s="572"/>
      <c r="AF139" s="572"/>
    </row>
    <row r="140" spans="1:32">
      <c r="A140" s="947">
        <f t="shared" si="32"/>
        <v>133</v>
      </c>
      <c r="B140" s="948">
        <v>3</v>
      </c>
      <c r="C140" s="949">
        <v>23866</v>
      </c>
      <c r="D140" s="949" t="s">
        <v>177</v>
      </c>
      <c r="E140" s="950">
        <v>4</v>
      </c>
      <c r="F140" s="644">
        <v>1965</v>
      </c>
      <c r="G140" s="948" t="s">
        <v>136</v>
      </c>
      <c r="H140" s="645" t="s">
        <v>151</v>
      </c>
      <c r="I140" s="951">
        <v>100</v>
      </c>
      <c r="J140" s="951">
        <v>0.5</v>
      </c>
      <c r="K140" s="952">
        <f t="shared" si="30"/>
        <v>2.8409090909090908E-2</v>
      </c>
      <c r="L140" s="644">
        <f t="shared" si="23"/>
        <v>20</v>
      </c>
      <c r="M140" s="935">
        <v>0.83611111111111114</v>
      </c>
      <c r="N140" s="936">
        <f t="shared" si="24"/>
        <v>0.83611111111111114</v>
      </c>
      <c r="O140" s="725"/>
      <c r="P140" s="725">
        <f t="shared" si="25"/>
        <v>-0.83611111111111114</v>
      </c>
      <c r="Q140" s="622"/>
      <c r="R140" s="37"/>
      <c r="S140" s="37" t="str">
        <f t="shared" si="26"/>
        <v>HutchinsonF2</v>
      </c>
      <c r="T140" s="37" t="str">
        <f t="shared" si="27"/>
        <v>1965F2</v>
      </c>
      <c r="U140" s="429">
        <v>100</v>
      </c>
      <c r="V140" s="1029">
        <v>0.5</v>
      </c>
      <c r="W140" s="598">
        <v>0.02</v>
      </c>
      <c r="X140" s="429"/>
      <c r="Y140" s="37" t="str">
        <f t="shared" si="28"/>
        <v>F2100</v>
      </c>
      <c r="Z140" s="37" t="str">
        <f t="shared" si="29"/>
        <v>F20.5</v>
      </c>
      <c r="AA140" s="37" t="str">
        <f t="shared" si="31"/>
        <v>F20.02</v>
      </c>
      <c r="AB140" s="498" t="str">
        <f t="shared" si="22"/>
        <v>F220</v>
      </c>
      <c r="AC140" s="572"/>
      <c r="AD140" s="572"/>
      <c r="AE140" s="572"/>
      <c r="AF140" s="572"/>
    </row>
    <row r="141" spans="1:32">
      <c r="A141" s="947">
        <f t="shared" si="32"/>
        <v>134</v>
      </c>
      <c r="B141" s="948">
        <v>4</v>
      </c>
      <c r="C141" s="949">
        <v>23869</v>
      </c>
      <c r="D141" s="949" t="s">
        <v>177</v>
      </c>
      <c r="E141" s="950">
        <v>7</v>
      </c>
      <c r="F141" s="644">
        <v>1965</v>
      </c>
      <c r="G141" s="948" t="s">
        <v>143</v>
      </c>
      <c r="H141" s="645" t="s">
        <v>149</v>
      </c>
      <c r="I141" s="951">
        <v>17</v>
      </c>
      <c r="J141" s="951">
        <v>0.8</v>
      </c>
      <c r="K141" s="952">
        <f t="shared" si="30"/>
        <v>7.7272727272727276E-3</v>
      </c>
      <c r="L141" s="644">
        <f t="shared" si="23"/>
        <v>18</v>
      </c>
      <c r="M141" s="935">
        <v>0.78472222222222221</v>
      </c>
      <c r="N141" s="936">
        <f t="shared" si="24"/>
        <v>0.78472222222222221</v>
      </c>
      <c r="O141" s="725"/>
      <c r="P141" s="725">
        <f t="shared" si="25"/>
        <v>-0.78472222222222221</v>
      </c>
      <c r="Q141" s="622"/>
      <c r="R141" s="37"/>
      <c r="S141" s="37" t="str">
        <f t="shared" si="26"/>
        <v>WheelerF0</v>
      </c>
      <c r="T141" s="37" t="str">
        <f t="shared" si="27"/>
        <v>1965F0</v>
      </c>
      <c r="U141" s="429">
        <v>10</v>
      </c>
      <c r="V141" s="1029">
        <v>0.5</v>
      </c>
      <c r="W141" s="598">
        <v>5.0000000000000001E-3</v>
      </c>
      <c r="X141" s="429"/>
      <c r="Y141" s="37" t="str">
        <f t="shared" si="28"/>
        <v>F010</v>
      </c>
      <c r="Z141" s="37" t="str">
        <f t="shared" si="29"/>
        <v>F00.5</v>
      </c>
      <c r="AA141" s="37" t="str">
        <f t="shared" si="31"/>
        <v>F00.005</v>
      </c>
      <c r="AB141" s="498" t="str">
        <f t="shared" si="22"/>
        <v>F018</v>
      </c>
      <c r="AC141" s="572"/>
      <c r="AD141" s="572"/>
      <c r="AE141" s="572"/>
      <c r="AF141" s="572"/>
    </row>
    <row r="142" spans="1:32">
      <c r="A142" s="947">
        <f t="shared" si="32"/>
        <v>135</v>
      </c>
      <c r="B142" s="948">
        <v>5</v>
      </c>
      <c r="C142" s="949">
        <v>23887</v>
      </c>
      <c r="D142" s="949" t="s">
        <v>177</v>
      </c>
      <c r="E142" s="950">
        <v>25</v>
      </c>
      <c r="F142" s="644">
        <v>1965</v>
      </c>
      <c r="G142" s="948" t="s">
        <v>138</v>
      </c>
      <c r="H142" s="645" t="s">
        <v>149</v>
      </c>
      <c r="I142" s="951">
        <v>10</v>
      </c>
      <c r="J142" s="951">
        <v>0.1</v>
      </c>
      <c r="K142" s="952">
        <f t="shared" si="30"/>
        <v>5.6818181818181826E-4</v>
      </c>
      <c r="L142" s="644">
        <f t="shared" si="23"/>
        <v>19</v>
      </c>
      <c r="M142" s="935">
        <v>0.81944444444444453</v>
      </c>
      <c r="N142" s="936">
        <f t="shared" si="24"/>
        <v>0.81944444444444453</v>
      </c>
      <c r="O142" s="725"/>
      <c r="P142" s="725">
        <f t="shared" si="25"/>
        <v>-0.81944444444444453</v>
      </c>
      <c r="Q142" s="622"/>
      <c r="R142" s="37"/>
      <c r="S142" s="37" t="str">
        <f t="shared" si="26"/>
        <v>HemphillF0</v>
      </c>
      <c r="T142" s="37" t="str">
        <f t="shared" si="27"/>
        <v>1965F0</v>
      </c>
      <c r="U142" s="429">
        <v>10</v>
      </c>
      <c r="V142" s="1029">
        <v>0.1</v>
      </c>
      <c r="W142" s="598">
        <v>1E-3</v>
      </c>
      <c r="X142" s="429"/>
      <c r="Y142" s="37" t="str">
        <f t="shared" si="28"/>
        <v>F010</v>
      </c>
      <c r="Z142" s="37" t="str">
        <f t="shared" si="29"/>
        <v>F00.1</v>
      </c>
      <c r="AA142" s="37" t="str">
        <f t="shared" si="31"/>
        <v>F00.001</v>
      </c>
      <c r="AB142" s="498" t="str">
        <f t="shared" si="22"/>
        <v>F019</v>
      </c>
      <c r="AC142" s="572"/>
      <c r="AD142" s="572"/>
      <c r="AE142" s="572"/>
      <c r="AF142" s="572"/>
    </row>
    <row r="143" spans="1:32">
      <c r="A143" s="947">
        <f t="shared" si="32"/>
        <v>136</v>
      </c>
      <c r="B143" s="948">
        <v>6</v>
      </c>
      <c r="C143" s="949">
        <v>23896</v>
      </c>
      <c r="D143" s="949" t="s">
        <v>178</v>
      </c>
      <c r="E143" s="950">
        <v>3</v>
      </c>
      <c r="F143" s="644">
        <v>1965</v>
      </c>
      <c r="G143" s="948" t="s">
        <v>136</v>
      </c>
      <c r="H143" s="645" t="s">
        <v>149</v>
      </c>
      <c r="I143" s="951">
        <v>17</v>
      </c>
      <c r="J143" s="951">
        <v>0.2</v>
      </c>
      <c r="K143" s="952">
        <f t="shared" si="30"/>
        <v>1.9318181818181819E-3</v>
      </c>
      <c r="L143" s="644">
        <f t="shared" si="23"/>
        <v>21</v>
      </c>
      <c r="M143" s="935">
        <v>0.875</v>
      </c>
      <c r="N143" s="936">
        <f t="shared" si="24"/>
        <v>0.875</v>
      </c>
      <c r="O143" s="725"/>
      <c r="P143" s="725">
        <f t="shared" si="25"/>
        <v>-0.875</v>
      </c>
      <c r="Q143" s="622"/>
      <c r="R143" s="37"/>
      <c r="S143" s="37" t="str">
        <f t="shared" si="26"/>
        <v>HutchinsonF0</v>
      </c>
      <c r="T143" s="37" t="str">
        <f t="shared" si="27"/>
        <v>1965F0</v>
      </c>
      <c r="U143" s="429">
        <v>10</v>
      </c>
      <c r="V143" s="1029">
        <v>0.2</v>
      </c>
      <c r="W143" s="598">
        <v>2E-3</v>
      </c>
      <c r="X143" s="429"/>
      <c r="Y143" s="37" t="str">
        <f t="shared" si="28"/>
        <v>F010</v>
      </c>
      <c r="Z143" s="37" t="str">
        <f t="shared" si="29"/>
        <v>F00.2</v>
      </c>
      <c r="AA143" s="37" t="str">
        <f t="shared" si="31"/>
        <v>F00.002</v>
      </c>
      <c r="AB143" s="498" t="str">
        <f t="shared" si="22"/>
        <v>F021</v>
      </c>
      <c r="AC143" s="572"/>
      <c r="AD143" s="572"/>
      <c r="AE143" s="572"/>
      <c r="AF143" s="572"/>
    </row>
    <row r="144" spans="1:32">
      <c r="A144" s="947">
        <f t="shared" si="32"/>
        <v>137</v>
      </c>
      <c r="B144" s="948">
        <v>7</v>
      </c>
      <c r="C144" s="949">
        <v>23896</v>
      </c>
      <c r="D144" s="949" t="s">
        <v>178</v>
      </c>
      <c r="E144" s="950">
        <v>3</v>
      </c>
      <c r="F144" s="644">
        <v>1965</v>
      </c>
      <c r="G144" s="948" t="s">
        <v>148</v>
      </c>
      <c r="H144" s="645" t="s">
        <v>152</v>
      </c>
      <c r="I144" s="951">
        <v>33</v>
      </c>
      <c r="J144" s="951">
        <v>8.8000000000000007</v>
      </c>
      <c r="K144" s="952">
        <f t="shared" si="30"/>
        <v>0.16500000000000001</v>
      </c>
      <c r="L144" s="644">
        <f t="shared" si="23"/>
        <v>22</v>
      </c>
      <c r="M144" s="935">
        <v>0.91666666666666663</v>
      </c>
      <c r="N144" s="936">
        <f t="shared" si="24"/>
        <v>0.91666666666666663</v>
      </c>
      <c r="O144" s="725"/>
      <c r="P144" s="725">
        <f t="shared" si="25"/>
        <v>-0.91666666666666663</v>
      </c>
      <c r="Q144" s="622"/>
      <c r="R144" s="37"/>
      <c r="S144" s="37" t="str">
        <f t="shared" si="26"/>
        <v>CollingsworthF3</v>
      </c>
      <c r="T144" s="37" t="str">
        <f t="shared" si="27"/>
        <v>1965F3</v>
      </c>
      <c r="U144" s="429">
        <v>20</v>
      </c>
      <c r="V144" s="1029">
        <v>5</v>
      </c>
      <c r="W144" s="598">
        <v>0.1</v>
      </c>
      <c r="X144" s="429"/>
      <c r="Y144" s="37" t="str">
        <f t="shared" si="28"/>
        <v>F320</v>
      </c>
      <c r="Z144" s="37" t="str">
        <f t="shared" si="29"/>
        <v>F35</v>
      </c>
      <c r="AA144" s="37" t="str">
        <f t="shared" si="31"/>
        <v>F30.1</v>
      </c>
      <c r="AB144" s="498" t="str">
        <f t="shared" si="22"/>
        <v>F322</v>
      </c>
      <c r="AC144" s="572"/>
      <c r="AD144" s="572"/>
      <c r="AE144" s="572"/>
      <c r="AF144" s="572"/>
    </row>
    <row r="145" spans="1:32">
      <c r="A145" s="947">
        <f t="shared" si="32"/>
        <v>138</v>
      </c>
      <c r="B145" s="948">
        <v>8</v>
      </c>
      <c r="C145" s="949">
        <v>23897</v>
      </c>
      <c r="D145" s="949" t="s">
        <v>178</v>
      </c>
      <c r="E145" s="950">
        <v>4</v>
      </c>
      <c r="F145" s="644">
        <v>1965</v>
      </c>
      <c r="G145" s="948" t="s">
        <v>143</v>
      </c>
      <c r="H145" s="645" t="s">
        <v>152</v>
      </c>
      <c r="I145" s="951">
        <v>50</v>
      </c>
      <c r="J145" s="951">
        <v>6.8</v>
      </c>
      <c r="K145" s="952">
        <f t="shared" si="30"/>
        <v>0.19318181818181818</v>
      </c>
      <c r="L145" s="644">
        <f t="shared" si="23"/>
        <v>21</v>
      </c>
      <c r="M145" s="935">
        <v>0.875</v>
      </c>
      <c r="N145" s="936">
        <f t="shared" si="24"/>
        <v>0.875</v>
      </c>
      <c r="O145" s="725"/>
      <c r="P145" s="725">
        <f t="shared" si="25"/>
        <v>-0.875</v>
      </c>
      <c r="Q145" s="622"/>
      <c r="R145" s="37"/>
      <c r="S145" s="37" t="str">
        <f t="shared" si="26"/>
        <v>WheelerF3</v>
      </c>
      <c r="T145" s="37" t="str">
        <f t="shared" si="27"/>
        <v>1965F3</v>
      </c>
      <c r="U145" s="429">
        <v>50</v>
      </c>
      <c r="V145" s="1029">
        <v>5</v>
      </c>
      <c r="W145" s="598">
        <v>0.1</v>
      </c>
      <c r="X145" s="429"/>
      <c r="Y145" s="37" t="str">
        <f t="shared" si="28"/>
        <v>F350</v>
      </c>
      <c r="Z145" s="37" t="str">
        <f t="shared" si="29"/>
        <v>F35</v>
      </c>
      <c r="AA145" s="37" t="str">
        <f t="shared" si="31"/>
        <v>F30.1</v>
      </c>
      <c r="AB145" s="498" t="str">
        <f t="shared" si="22"/>
        <v>F321</v>
      </c>
      <c r="AC145" s="572"/>
      <c r="AD145" s="572"/>
      <c r="AE145" s="572"/>
      <c r="AF145" s="572"/>
    </row>
    <row r="146" spans="1:32">
      <c r="A146" s="947">
        <f t="shared" si="32"/>
        <v>139</v>
      </c>
      <c r="B146" s="948">
        <v>9</v>
      </c>
      <c r="C146" s="949">
        <v>23902</v>
      </c>
      <c r="D146" s="949" t="s">
        <v>178</v>
      </c>
      <c r="E146" s="950">
        <v>9</v>
      </c>
      <c r="F146" s="644">
        <v>1965</v>
      </c>
      <c r="G146" s="948" t="s">
        <v>132</v>
      </c>
      <c r="H146" s="645" t="s">
        <v>149</v>
      </c>
      <c r="I146" s="951">
        <v>17</v>
      </c>
      <c r="J146" s="951">
        <v>0.5</v>
      </c>
      <c r="K146" s="952">
        <f t="shared" si="30"/>
        <v>4.8295454545454544E-3</v>
      </c>
      <c r="L146" s="644">
        <f t="shared" si="23"/>
        <v>15</v>
      </c>
      <c r="M146" s="935">
        <v>0.625</v>
      </c>
      <c r="N146" s="936">
        <f t="shared" si="24"/>
        <v>0.625</v>
      </c>
      <c r="O146" s="725"/>
      <c r="P146" s="725">
        <f t="shared" si="25"/>
        <v>-0.625</v>
      </c>
      <c r="Q146" s="622"/>
      <c r="R146" s="36"/>
      <c r="S146" s="37" t="str">
        <f t="shared" si="26"/>
        <v>OchiltreeF0</v>
      </c>
      <c r="T146" s="37" t="str">
        <f t="shared" si="27"/>
        <v>1965F0</v>
      </c>
      <c r="U146" s="429">
        <v>10</v>
      </c>
      <c r="V146" s="1029">
        <v>0.5</v>
      </c>
      <c r="W146" s="598">
        <v>5.0000000000000001E-3</v>
      </c>
      <c r="X146" s="429"/>
      <c r="Y146" s="37" t="str">
        <f t="shared" si="28"/>
        <v>F010</v>
      </c>
      <c r="Z146" s="37" t="str">
        <f t="shared" si="29"/>
        <v>F00.5</v>
      </c>
      <c r="AA146" s="37" t="str">
        <f t="shared" si="31"/>
        <v>F00.005</v>
      </c>
      <c r="AB146" s="498" t="str">
        <f t="shared" si="22"/>
        <v>F015</v>
      </c>
      <c r="AC146" s="572"/>
      <c r="AD146" s="572"/>
      <c r="AE146" s="572"/>
      <c r="AF146" s="572"/>
    </row>
    <row r="147" spans="1:32">
      <c r="A147" s="947">
        <f t="shared" si="32"/>
        <v>140</v>
      </c>
      <c r="B147" s="948">
        <v>10</v>
      </c>
      <c r="C147" s="949">
        <v>23902</v>
      </c>
      <c r="D147" s="949" t="s">
        <v>178</v>
      </c>
      <c r="E147" s="950">
        <v>9</v>
      </c>
      <c r="F147" s="644">
        <v>1965</v>
      </c>
      <c r="G147" s="948" t="s">
        <v>135</v>
      </c>
      <c r="H147" s="645" t="s">
        <v>151</v>
      </c>
      <c r="I147" s="951">
        <v>17</v>
      </c>
      <c r="J147" s="951">
        <v>0.2</v>
      </c>
      <c r="K147" s="952">
        <f t="shared" si="30"/>
        <v>1.9318181818181819E-3</v>
      </c>
      <c r="L147" s="644">
        <f t="shared" si="23"/>
        <v>20</v>
      </c>
      <c r="M147" s="935">
        <v>0.83333333333333337</v>
      </c>
      <c r="N147" s="936">
        <f t="shared" si="24"/>
        <v>0.83333333333333337</v>
      </c>
      <c r="O147" s="725"/>
      <c r="P147" s="725">
        <f t="shared" si="25"/>
        <v>-0.83333333333333337</v>
      </c>
      <c r="Q147" s="622"/>
      <c r="R147" s="36"/>
      <c r="S147" s="37" t="str">
        <f t="shared" si="26"/>
        <v>MooreF2</v>
      </c>
      <c r="T147" s="37" t="str">
        <f t="shared" si="27"/>
        <v>1965F2</v>
      </c>
      <c r="U147" s="429">
        <v>10</v>
      </c>
      <c r="V147" s="1029">
        <v>0.2</v>
      </c>
      <c r="W147" s="598">
        <v>2E-3</v>
      </c>
      <c r="X147" s="429"/>
      <c r="Y147" s="37" t="str">
        <f t="shared" si="28"/>
        <v>F210</v>
      </c>
      <c r="Z147" s="37" t="str">
        <f t="shared" si="29"/>
        <v>F20.2</v>
      </c>
      <c r="AA147" s="37" t="str">
        <f t="shared" si="31"/>
        <v>F20.002</v>
      </c>
      <c r="AB147" s="498" t="str">
        <f t="shared" si="22"/>
        <v>F220</v>
      </c>
      <c r="AC147" s="572"/>
      <c r="AD147" s="572"/>
      <c r="AE147" s="572"/>
      <c r="AF147" s="572"/>
    </row>
    <row r="148" spans="1:32">
      <c r="A148" s="947">
        <f t="shared" si="32"/>
        <v>141</v>
      </c>
      <c r="B148" s="948">
        <v>11</v>
      </c>
      <c r="C148" s="949">
        <v>23907</v>
      </c>
      <c r="D148" s="949" t="s">
        <v>178</v>
      </c>
      <c r="E148" s="950">
        <v>14</v>
      </c>
      <c r="F148" s="644">
        <v>1965</v>
      </c>
      <c r="G148" s="948" t="s">
        <v>135</v>
      </c>
      <c r="H148" s="645" t="s">
        <v>151</v>
      </c>
      <c r="I148" s="951">
        <v>10</v>
      </c>
      <c r="J148" s="951">
        <v>0.1</v>
      </c>
      <c r="K148" s="952">
        <f t="shared" si="30"/>
        <v>5.6818181818181826E-4</v>
      </c>
      <c r="L148" s="644">
        <f t="shared" si="23"/>
        <v>17</v>
      </c>
      <c r="M148" s="935">
        <v>0.71875</v>
      </c>
      <c r="N148" s="936">
        <f t="shared" si="24"/>
        <v>0.71875</v>
      </c>
      <c r="O148" s="725"/>
      <c r="P148" s="725">
        <f t="shared" si="25"/>
        <v>-0.71875</v>
      </c>
      <c r="Q148" s="622"/>
      <c r="R148" s="36"/>
      <c r="S148" s="37" t="str">
        <f t="shared" si="26"/>
        <v>MooreF2</v>
      </c>
      <c r="T148" s="37" t="str">
        <f t="shared" si="27"/>
        <v>1965F2</v>
      </c>
      <c r="U148" s="429">
        <v>10</v>
      </c>
      <c r="V148" s="1029">
        <v>0.1</v>
      </c>
      <c r="W148" s="598">
        <v>1E-3</v>
      </c>
      <c r="X148" s="429"/>
      <c r="Y148" s="37" t="str">
        <f t="shared" si="28"/>
        <v>F210</v>
      </c>
      <c r="Z148" s="37" t="str">
        <f t="shared" si="29"/>
        <v>F20.1</v>
      </c>
      <c r="AA148" s="37" t="str">
        <f t="shared" si="31"/>
        <v>F20.001</v>
      </c>
      <c r="AB148" s="498" t="str">
        <f t="shared" si="22"/>
        <v>F217</v>
      </c>
      <c r="AC148" s="572"/>
      <c r="AD148" s="572"/>
      <c r="AE148" s="572"/>
      <c r="AF148" s="572"/>
    </row>
    <row r="149" spans="1:32">
      <c r="A149" s="947">
        <f t="shared" si="32"/>
        <v>142</v>
      </c>
      <c r="B149" s="948">
        <v>12</v>
      </c>
      <c r="C149" s="949">
        <v>23918</v>
      </c>
      <c r="D149" s="949" t="s">
        <v>178</v>
      </c>
      <c r="E149" s="950">
        <v>25</v>
      </c>
      <c r="F149" s="644">
        <v>1965</v>
      </c>
      <c r="G149" s="948" t="s">
        <v>136</v>
      </c>
      <c r="H149" s="645" t="s">
        <v>149</v>
      </c>
      <c r="I149" s="951">
        <v>17</v>
      </c>
      <c r="J149" s="951">
        <v>0.1</v>
      </c>
      <c r="K149" s="952">
        <f t="shared" si="30"/>
        <v>9.6590909090909095E-4</v>
      </c>
      <c r="L149" s="644">
        <f t="shared" si="23"/>
        <v>19</v>
      </c>
      <c r="M149" s="935">
        <v>0.79166666666666663</v>
      </c>
      <c r="N149" s="936">
        <f t="shared" si="24"/>
        <v>0.79166666666666663</v>
      </c>
      <c r="O149" s="725"/>
      <c r="P149" s="725">
        <f t="shared" si="25"/>
        <v>-0.79166666666666663</v>
      </c>
      <c r="Q149" s="622"/>
      <c r="R149" s="36"/>
      <c r="S149" s="37" t="str">
        <f t="shared" si="26"/>
        <v>HutchinsonF0</v>
      </c>
      <c r="T149" s="37" t="str">
        <f t="shared" si="27"/>
        <v>1965F0</v>
      </c>
      <c r="U149" s="429">
        <v>10</v>
      </c>
      <c r="V149" s="1029">
        <v>0.1</v>
      </c>
      <c r="W149" s="598">
        <v>1E-3</v>
      </c>
      <c r="X149" s="429"/>
      <c r="Y149" s="37" t="str">
        <f t="shared" si="28"/>
        <v>F010</v>
      </c>
      <c r="Z149" s="37" t="str">
        <f t="shared" si="29"/>
        <v>F00.1</v>
      </c>
      <c r="AA149" s="37" t="str">
        <f t="shared" si="31"/>
        <v>F00.001</v>
      </c>
      <c r="AB149" s="498" t="str">
        <f t="shared" si="22"/>
        <v>F019</v>
      </c>
      <c r="AC149" s="572"/>
      <c r="AD149" s="572"/>
      <c r="AE149" s="572"/>
      <c r="AF149" s="572"/>
    </row>
    <row r="150" spans="1:32">
      <c r="A150" s="947">
        <f t="shared" si="32"/>
        <v>143</v>
      </c>
      <c r="B150" s="948">
        <v>1</v>
      </c>
      <c r="C150" s="949">
        <v>24272</v>
      </c>
      <c r="D150" s="949" t="s">
        <v>178</v>
      </c>
      <c r="E150" s="950">
        <v>14</v>
      </c>
      <c r="F150" s="644">
        <v>1966</v>
      </c>
      <c r="G150" s="948" t="s">
        <v>135</v>
      </c>
      <c r="H150" s="645" t="s">
        <v>150</v>
      </c>
      <c r="I150" s="951">
        <v>17</v>
      </c>
      <c r="J150" s="951">
        <v>1</v>
      </c>
      <c r="K150" s="952">
        <f t="shared" si="30"/>
        <v>9.6590909090909088E-3</v>
      </c>
      <c r="L150" s="644">
        <f t="shared" si="23"/>
        <v>16</v>
      </c>
      <c r="M150" s="935">
        <v>0.66666666666666663</v>
      </c>
      <c r="N150" s="936">
        <f t="shared" si="24"/>
        <v>0.66666666666666663</v>
      </c>
      <c r="O150" s="725"/>
      <c r="P150" s="725">
        <f t="shared" si="25"/>
        <v>-0.66666666666666663</v>
      </c>
      <c r="Q150" s="622"/>
      <c r="R150" s="36"/>
      <c r="S150" s="37" t="str">
        <f t="shared" si="26"/>
        <v>MooreF1</v>
      </c>
      <c r="T150" s="37" t="str">
        <f t="shared" si="27"/>
        <v>1966F1</v>
      </c>
      <c r="U150" s="429">
        <v>10</v>
      </c>
      <c r="V150" s="1029">
        <v>1</v>
      </c>
      <c r="W150" s="598">
        <v>0.01</v>
      </c>
      <c r="X150" s="429"/>
      <c r="Y150" s="37" t="str">
        <f t="shared" si="28"/>
        <v>F110</v>
      </c>
      <c r="Z150" s="37" t="str">
        <f t="shared" si="29"/>
        <v>F11</v>
      </c>
      <c r="AA150" s="37" t="str">
        <f t="shared" si="31"/>
        <v>F10.01</v>
      </c>
      <c r="AB150" s="498" t="str">
        <f t="shared" si="22"/>
        <v>F116</v>
      </c>
      <c r="AC150" s="572"/>
      <c r="AD150" s="572"/>
      <c r="AE150" s="572"/>
      <c r="AF150" s="572"/>
    </row>
    <row r="151" spans="1:32">
      <c r="A151" s="947">
        <f t="shared" si="32"/>
        <v>144</v>
      </c>
      <c r="B151" s="948">
        <v>2</v>
      </c>
      <c r="C151" s="949">
        <v>24272</v>
      </c>
      <c r="D151" s="949" t="s">
        <v>178</v>
      </c>
      <c r="E151" s="950">
        <v>14</v>
      </c>
      <c r="F151" s="644">
        <v>1966</v>
      </c>
      <c r="G151" s="948" t="s">
        <v>142</v>
      </c>
      <c r="H151" s="645" t="s">
        <v>151</v>
      </c>
      <c r="I151" s="951">
        <v>27</v>
      </c>
      <c r="J151" s="951">
        <v>1</v>
      </c>
      <c r="K151" s="952">
        <f t="shared" si="30"/>
        <v>1.5340909090909091E-2</v>
      </c>
      <c r="L151" s="644">
        <f t="shared" si="23"/>
        <v>21</v>
      </c>
      <c r="M151" s="935">
        <v>0.90277777777777779</v>
      </c>
      <c r="N151" s="936">
        <f t="shared" si="24"/>
        <v>0.90277777777777779</v>
      </c>
      <c r="O151" s="725"/>
      <c r="P151" s="725">
        <f t="shared" si="25"/>
        <v>-0.90277777777777779</v>
      </c>
      <c r="Q151" s="622"/>
      <c r="R151" s="36"/>
      <c r="S151" s="37" t="str">
        <f t="shared" si="26"/>
        <v>GrayF2</v>
      </c>
      <c r="T151" s="37" t="str">
        <f t="shared" si="27"/>
        <v>1966F2</v>
      </c>
      <c r="U151" s="429">
        <v>20</v>
      </c>
      <c r="V151" s="1029">
        <v>1</v>
      </c>
      <c r="W151" s="598">
        <v>0.01</v>
      </c>
      <c r="X151" s="429"/>
      <c r="Y151" s="37" t="str">
        <f t="shared" si="28"/>
        <v>F220</v>
      </c>
      <c r="Z151" s="37" t="str">
        <f t="shared" si="29"/>
        <v>F21</v>
      </c>
      <c r="AA151" s="37" t="str">
        <f t="shared" si="31"/>
        <v>F20.01</v>
      </c>
      <c r="AB151" s="498" t="str">
        <f t="shared" si="22"/>
        <v>F221</v>
      </c>
      <c r="AC151" s="572"/>
      <c r="AD151" s="572"/>
      <c r="AE151" s="572"/>
      <c r="AF151" s="572"/>
    </row>
    <row r="152" spans="1:32">
      <c r="A152" s="947">
        <f t="shared" si="32"/>
        <v>145</v>
      </c>
      <c r="B152" s="948">
        <v>3</v>
      </c>
      <c r="C152" s="949">
        <v>24275</v>
      </c>
      <c r="D152" s="949" t="s">
        <v>178</v>
      </c>
      <c r="E152" s="950">
        <v>17</v>
      </c>
      <c r="F152" s="644">
        <v>1966</v>
      </c>
      <c r="G152" s="948" t="s">
        <v>136</v>
      </c>
      <c r="H152" s="645" t="s">
        <v>149</v>
      </c>
      <c r="I152" s="951">
        <v>23</v>
      </c>
      <c r="J152" s="951">
        <v>1</v>
      </c>
      <c r="K152" s="952">
        <f t="shared" si="30"/>
        <v>1.3068181818181817E-2</v>
      </c>
      <c r="L152" s="644">
        <f t="shared" si="23"/>
        <v>16</v>
      </c>
      <c r="M152" s="935">
        <v>0.67361111111111116</v>
      </c>
      <c r="N152" s="936">
        <f t="shared" si="24"/>
        <v>0.67361111111111116</v>
      </c>
      <c r="O152" s="725"/>
      <c r="P152" s="725">
        <f t="shared" si="25"/>
        <v>-0.67361111111111116</v>
      </c>
      <c r="Q152" s="622"/>
      <c r="R152" s="36"/>
      <c r="S152" s="37" t="str">
        <f t="shared" si="26"/>
        <v>HutchinsonF0</v>
      </c>
      <c r="T152" s="37" t="str">
        <f t="shared" si="27"/>
        <v>1966F0</v>
      </c>
      <c r="U152" s="429">
        <v>20</v>
      </c>
      <c r="V152" s="1029">
        <v>1</v>
      </c>
      <c r="W152" s="598">
        <v>0.01</v>
      </c>
      <c r="X152" s="429"/>
      <c r="Y152" s="37" t="str">
        <f t="shared" si="28"/>
        <v>F020</v>
      </c>
      <c r="Z152" s="37" t="str">
        <f t="shared" si="29"/>
        <v>F01</v>
      </c>
      <c r="AA152" s="37" t="str">
        <f t="shared" si="31"/>
        <v>F00.01</v>
      </c>
      <c r="AB152" s="498" t="str">
        <f t="shared" si="22"/>
        <v>F016</v>
      </c>
      <c r="AC152" s="572"/>
      <c r="AD152" s="572"/>
      <c r="AE152" s="572"/>
      <c r="AF152" s="572"/>
    </row>
    <row r="153" spans="1:32">
      <c r="A153" s="947">
        <f t="shared" si="32"/>
        <v>146</v>
      </c>
      <c r="B153" s="948">
        <v>4</v>
      </c>
      <c r="C153" s="949">
        <v>24278</v>
      </c>
      <c r="D153" s="949" t="s">
        <v>178</v>
      </c>
      <c r="E153" s="950">
        <v>20</v>
      </c>
      <c r="F153" s="644">
        <v>1966</v>
      </c>
      <c r="G153" s="948" t="s">
        <v>129</v>
      </c>
      <c r="H153" s="645" t="s">
        <v>149</v>
      </c>
      <c r="I153" s="951">
        <v>20</v>
      </c>
      <c r="J153" s="951">
        <v>1</v>
      </c>
      <c r="K153" s="952">
        <f t="shared" si="30"/>
        <v>1.1363636363636364E-2</v>
      </c>
      <c r="L153" s="644">
        <f t="shared" si="23"/>
        <v>22</v>
      </c>
      <c r="M153" s="935">
        <v>0.93958333333333333</v>
      </c>
      <c r="N153" s="936">
        <f t="shared" si="24"/>
        <v>0.93958333333333333</v>
      </c>
      <c r="O153" s="725"/>
      <c r="P153" s="725">
        <f t="shared" si="25"/>
        <v>-0.93958333333333333</v>
      </c>
      <c r="Q153" s="622"/>
      <c r="R153" s="36"/>
      <c r="S153" s="37" t="str">
        <f t="shared" si="26"/>
        <v>DallamF0</v>
      </c>
      <c r="T153" s="37" t="str">
        <f t="shared" si="27"/>
        <v>1966F0</v>
      </c>
      <c r="U153" s="429">
        <v>20</v>
      </c>
      <c r="V153" s="1029">
        <v>1</v>
      </c>
      <c r="W153" s="598">
        <v>0.01</v>
      </c>
      <c r="X153" s="429"/>
      <c r="Y153" s="37" t="str">
        <f t="shared" si="28"/>
        <v>F020</v>
      </c>
      <c r="Z153" s="37" t="str">
        <f t="shared" si="29"/>
        <v>F01</v>
      </c>
      <c r="AA153" s="37" t="str">
        <f t="shared" si="31"/>
        <v>F00.01</v>
      </c>
      <c r="AB153" s="498" t="str">
        <f t="shared" si="22"/>
        <v>F022</v>
      </c>
      <c r="AC153" s="572"/>
      <c r="AD153" s="572"/>
      <c r="AE153" s="572"/>
      <c r="AF153" s="572"/>
    </row>
    <row r="154" spans="1:32">
      <c r="A154" s="947">
        <f t="shared" si="32"/>
        <v>147</v>
      </c>
      <c r="B154" s="948">
        <v>5</v>
      </c>
      <c r="C154" s="949">
        <v>24283</v>
      </c>
      <c r="D154" s="949" t="s">
        <v>178</v>
      </c>
      <c r="E154" s="950">
        <v>25</v>
      </c>
      <c r="F154" s="644">
        <v>1966</v>
      </c>
      <c r="G154" s="948" t="s">
        <v>129</v>
      </c>
      <c r="H154" s="645" t="s">
        <v>149</v>
      </c>
      <c r="I154" s="951">
        <v>33</v>
      </c>
      <c r="J154" s="951">
        <v>2</v>
      </c>
      <c r="K154" s="952">
        <f t="shared" si="30"/>
        <v>3.7499999999999999E-2</v>
      </c>
      <c r="L154" s="644">
        <f t="shared" si="23"/>
        <v>17</v>
      </c>
      <c r="M154" s="935">
        <v>0.73055555555555562</v>
      </c>
      <c r="N154" s="936">
        <f t="shared" si="24"/>
        <v>0.73055555555555562</v>
      </c>
      <c r="O154" s="725"/>
      <c r="P154" s="725">
        <f t="shared" si="25"/>
        <v>-0.73055555555555562</v>
      </c>
      <c r="Q154" s="622"/>
      <c r="R154" s="36"/>
      <c r="S154" s="37" t="str">
        <f t="shared" si="26"/>
        <v>DallamF0</v>
      </c>
      <c r="T154" s="37" t="str">
        <f t="shared" si="27"/>
        <v>1966F0</v>
      </c>
      <c r="U154" s="429">
        <v>20</v>
      </c>
      <c r="V154" s="1029">
        <v>2</v>
      </c>
      <c r="W154" s="598">
        <v>0.02</v>
      </c>
      <c r="X154" s="429"/>
      <c r="Y154" s="37" t="str">
        <f t="shared" si="28"/>
        <v>F020</v>
      </c>
      <c r="Z154" s="37" t="str">
        <f t="shared" si="29"/>
        <v>F02</v>
      </c>
      <c r="AA154" s="37" t="str">
        <f t="shared" si="31"/>
        <v>F00.02</v>
      </c>
      <c r="AB154" s="498" t="str">
        <f t="shared" si="22"/>
        <v>F017</v>
      </c>
      <c r="AC154" s="572"/>
      <c r="AD154" s="572"/>
      <c r="AE154" s="572"/>
      <c r="AF154" s="572"/>
    </row>
    <row r="155" spans="1:32">
      <c r="A155" s="947">
        <f t="shared" si="32"/>
        <v>148</v>
      </c>
      <c r="B155" s="948">
        <v>6</v>
      </c>
      <c r="C155" s="949">
        <v>24307</v>
      </c>
      <c r="D155" s="949" t="s">
        <v>179</v>
      </c>
      <c r="E155" s="950">
        <v>19</v>
      </c>
      <c r="F155" s="644">
        <v>1966</v>
      </c>
      <c r="G155" s="948" t="s">
        <v>133</v>
      </c>
      <c r="H155" s="645" t="s">
        <v>149</v>
      </c>
      <c r="I155" s="951">
        <v>10</v>
      </c>
      <c r="J155" s="951">
        <v>1</v>
      </c>
      <c r="K155" s="952">
        <f t="shared" si="30"/>
        <v>5.681818181818182E-3</v>
      </c>
      <c r="L155" s="644">
        <f t="shared" si="23"/>
        <v>13</v>
      </c>
      <c r="M155" s="935">
        <v>0.5805555555555556</v>
      </c>
      <c r="N155" s="936">
        <f t="shared" si="24"/>
        <v>0.5805555555555556</v>
      </c>
      <c r="O155" s="725"/>
      <c r="P155" s="725">
        <f t="shared" si="25"/>
        <v>-0.5805555555555556</v>
      </c>
      <c r="Q155" s="622"/>
      <c r="R155" s="36"/>
      <c r="S155" s="37" t="str">
        <f t="shared" si="26"/>
        <v>LipscombF0</v>
      </c>
      <c r="T155" s="37" t="str">
        <f t="shared" si="27"/>
        <v>1966F0</v>
      </c>
      <c r="U155" s="429">
        <v>10</v>
      </c>
      <c r="V155" s="1029">
        <v>1</v>
      </c>
      <c r="W155" s="598">
        <v>5.0000000000000001E-3</v>
      </c>
      <c r="X155" s="429"/>
      <c r="Y155" s="37" t="str">
        <f t="shared" si="28"/>
        <v>F010</v>
      </c>
      <c r="Z155" s="37" t="str">
        <f t="shared" si="29"/>
        <v>F01</v>
      </c>
      <c r="AA155" s="37" t="str">
        <f t="shared" si="31"/>
        <v>F00.005</v>
      </c>
      <c r="AB155" s="498" t="str">
        <f t="shared" si="22"/>
        <v>F013</v>
      </c>
      <c r="AC155" s="572"/>
      <c r="AD155" s="572"/>
      <c r="AE155" s="572"/>
      <c r="AF155" s="572"/>
    </row>
    <row r="156" spans="1:32">
      <c r="A156" s="947">
        <f t="shared" si="32"/>
        <v>149</v>
      </c>
      <c r="B156" s="948">
        <v>7</v>
      </c>
      <c r="C156" s="949">
        <v>24307</v>
      </c>
      <c r="D156" s="949" t="s">
        <v>179</v>
      </c>
      <c r="E156" s="950">
        <v>19</v>
      </c>
      <c r="F156" s="644">
        <v>1966</v>
      </c>
      <c r="G156" s="948" t="s">
        <v>133</v>
      </c>
      <c r="H156" s="645" t="s">
        <v>149</v>
      </c>
      <c r="I156" s="951">
        <v>17</v>
      </c>
      <c r="J156" s="951">
        <v>1.5</v>
      </c>
      <c r="K156" s="952">
        <f t="shared" si="30"/>
        <v>1.4488636363636363E-2</v>
      </c>
      <c r="L156" s="644">
        <f t="shared" si="23"/>
        <v>13</v>
      </c>
      <c r="M156" s="935">
        <v>0.5805555555555556</v>
      </c>
      <c r="N156" s="936">
        <f t="shared" si="24"/>
        <v>0.5805555555555556</v>
      </c>
      <c r="O156" s="725"/>
      <c r="P156" s="725">
        <f t="shared" si="25"/>
        <v>-0.5805555555555556</v>
      </c>
      <c r="Q156" s="622"/>
      <c r="R156" s="36"/>
      <c r="S156" s="37" t="str">
        <f t="shared" si="26"/>
        <v>LipscombF0</v>
      </c>
      <c r="T156" s="37" t="str">
        <f t="shared" si="27"/>
        <v>1966F0</v>
      </c>
      <c r="U156" s="429">
        <v>10</v>
      </c>
      <c r="V156" s="1029">
        <v>1</v>
      </c>
      <c r="W156" s="598">
        <v>0.01</v>
      </c>
      <c r="X156" s="429"/>
      <c r="Y156" s="37" t="str">
        <f t="shared" si="28"/>
        <v>F010</v>
      </c>
      <c r="Z156" s="37" t="str">
        <f t="shared" si="29"/>
        <v>F01</v>
      </c>
      <c r="AA156" s="37" t="str">
        <f t="shared" si="31"/>
        <v>F00.01</v>
      </c>
      <c r="AB156" s="498" t="str">
        <f t="shared" si="22"/>
        <v>F013</v>
      </c>
      <c r="AC156" s="572"/>
      <c r="AD156" s="572"/>
      <c r="AE156" s="572"/>
      <c r="AF156" s="572"/>
    </row>
    <row r="157" spans="1:32">
      <c r="A157" s="947">
        <f t="shared" si="32"/>
        <v>150</v>
      </c>
      <c r="B157" s="948">
        <v>8</v>
      </c>
      <c r="C157" s="949">
        <v>24328</v>
      </c>
      <c r="D157" s="949" t="s">
        <v>180</v>
      </c>
      <c r="E157" s="950">
        <v>9</v>
      </c>
      <c r="F157" s="644">
        <v>1966</v>
      </c>
      <c r="G157" s="948" t="s">
        <v>136</v>
      </c>
      <c r="H157" s="645" t="s">
        <v>149</v>
      </c>
      <c r="I157" s="951">
        <v>27</v>
      </c>
      <c r="J157" s="951">
        <v>2.7</v>
      </c>
      <c r="K157" s="952">
        <f t="shared" si="30"/>
        <v>4.1420454545454545E-2</v>
      </c>
      <c r="L157" s="644">
        <f t="shared" si="23"/>
        <v>19</v>
      </c>
      <c r="M157" s="935">
        <v>0.82291666666666663</v>
      </c>
      <c r="N157" s="936">
        <f t="shared" si="24"/>
        <v>0.82291666666666663</v>
      </c>
      <c r="O157" s="725"/>
      <c r="P157" s="725">
        <f t="shared" si="25"/>
        <v>-0.82291666666666663</v>
      </c>
      <c r="Q157" s="622"/>
      <c r="R157" s="36"/>
      <c r="S157" s="37" t="str">
        <f t="shared" si="26"/>
        <v>HutchinsonF0</v>
      </c>
      <c r="T157" s="37" t="str">
        <f t="shared" si="27"/>
        <v>1966F0</v>
      </c>
      <c r="U157" s="429">
        <v>20</v>
      </c>
      <c r="V157" s="1029">
        <v>2</v>
      </c>
      <c r="W157" s="598">
        <v>0.02</v>
      </c>
      <c r="X157" s="429"/>
      <c r="Y157" s="37" t="str">
        <f t="shared" si="28"/>
        <v>F020</v>
      </c>
      <c r="Z157" s="37" t="str">
        <f t="shared" si="29"/>
        <v>F02</v>
      </c>
      <c r="AA157" s="37" t="str">
        <f t="shared" si="31"/>
        <v>F00.02</v>
      </c>
      <c r="AB157" s="498" t="str">
        <f t="shared" si="22"/>
        <v>F019</v>
      </c>
      <c r="AC157" s="572"/>
      <c r="AD157" s="572"/>
      <c r="AE157" s="572"/>
      <c r="AF157" s="572"/>
    </row>
    <row r="158" spans="1:32">
      <c r="A158" s="947">
        <f t="shared" si="32"/>
        <v>151</v>
      </c>
      <c r="B158" s="948">
        <v>9</v>
      </c>
      <c r="C158" s="949">
        <v>24328</v>
      </c>
      <c r="D158" s="949" t="s">
        <v>180</v>
      </c>
      <c r="E158" s="950">
        <v>9</v>
      </c>
      <c r="F158" s="644">
        <v>1966</v>
      </c>
      <c r="G158" s="948" t="s">
        <v>134</v>
      </c>
      <c r="H158" s="645" t="s">
        <v>149</v>
      </c>
      <c r="I158" s="951">
        <v>33</v>
      </c>
      <c r="J158" s="951">
        <v>1</v>
      </c>
      <c r="K158" s="952">
        <f t="shared" si="30"/>
        <v>1.8749999999999999E-2</v>
      </c>
      <c r="L158" s="644">
        <f t="shared" si="23"/>
        <v>21</v>
      </c>
      <c r="M158" s="935">
        <v>0.89583333333333337</v>
      </c>
      <c r="N158" s="936">
        <f t="shared" si="24"/>
        <v>0.89583333333333337</v>
      </c>
      <c r="O158" s="725"/>
      <c r="P158" s="725">
        <f t="shared" si="25"/>
        <v>-0.89583333333333337</v>
      </c>
      <c r="Q158" s="622"/>
      <c r="R158" s="36"/>
      <c r="S158" s="37" t="str">
        <f t="shared" si="26"/>
        <v>HartleyF0</v>
      </c>
      <c r="T158" s="37" t="str">
        <f t="shared" si="27"/>
        <v>1966F0</v>
      </c>
      <c r="U158" s="429">
        <v>20</v>
      </c>
      <c r="V158" s="1029">
        <v>1</v>
      </c>
      <c r="W158" s="598">
        <v>0.01</v>
      </c>
      <c r="X158" s="429"/>
      <c r="Y158" s="37" t="str">
        <f t="shared" si="28"/>
        <v>F020</v>
      </c>
      <c r="Z158" s="37" t="str">
        <f t="shared" si="29"/>
        <v>F01</v>
      </c>
      <c r="AA158" s="37" t="str">
        <f t="shared" si="31"/>
        <v>F00.01</v>
      </c>
      <c r="AB158" s="498" t="str">
        <f t="shared" si="22"/>
        <v>F021</v>
      </c>
      <c r="AC158" s="572"/>
      <c r="AD158" s="572"/>
      <c r="AE158" s="572"/>
      <c r="AF158" s="572"/>
    </row>
    <row r="159" spans="1:32">
      <c r="A159" s="947">
        <f t="shared" si="32"/>
        <v>152</v>
      </c>
      <c r="B159" s="948">
        <v>10</v>
      </c>
      <c r="C159" s="949">
        <v>24337</v>
      </c>
      <c r="D159" s="949" t="s">
        <v>180</v>
      </c>
      <c r="E159" s="950">
        <v>18</v>
      </c>
      <c r="F159" s="644">
        <v>1966</v>
      </c>
      <c r="G159" s="948" t="s">
        <v>148</v>
      </c>
      <c r="H159" s="645" t="s">
        <v>149</v>
      </c>
      <c r="I159" s="951">
        <v>23</v>
      </c>
      <c r="J159" s="951">
        <v>1</v>
      </c>
      <c r="K159" s="952">
        <f t="shared" si="30"/>
        <v>1.3068181818181817E-2</v>
      </c>
      <c r="L159" s="644">
        <f t="shared" si="23"/>
        <v>16</v>
      </c>
      <c r="M159" s="935">
        <v>0.66666666666666663</v>
      </c>
      <c r="N159" s="936">
        <f t="shared" si="24"/>
        <v>0.66666666666666663</v>
      </c>
      <c r="O159" s="725"/>
      <c r="P159" s="725">
        <f t="shared" si="25"/>
        <v>-0.66666666666666663</v>
      </c>
      <c r="Q159" s="622"/>
      <c r="R159" s="36"/>
      <c r="S159" s="37" t="str">
        <f t="shared" si="26"/>
        <v>CollingsworthF0</v>
      </c>
      <c r="T159" s="37" t="str">
        <f t="shared" si="27"/>
        <v>1966F0</v>
      </c>
      <c r="U159" s="429">
        <v>20</v>
      </c>
      <c r="V159" s="1029">
        <v>1</v>
      </c>
      <c r="W159" s="598">
        <v>0.01</v>
      </c>
      <c r="X159" s="429"/>
      <c r="Y159" s="37" t="str">
        <f t="shared" si="28"/>
        <v>F020</v>
      </c>
      <c r="Z159" s="37" t="str">
        <f t="shared" si="29"/>
        <v>F01</v>
      </c>
      <c r="AA159" s="37" t="str">
        <f t="shared" si="31"/>
        <v>F00.01</v>
      </c>
      <c r="AB159" s="498" t="str">
        <f t="shared" si="22"/>
        <v>F016</v>
      </c>
      <c r="AC159" s="572"/>
      <c r="AD159" s="572"/>
      <c r="AE159" s="572"/>
      <c r="AF159" s="572"/>
    </row>
    <row r="160" spans="1:32">
      <c r="A160" s="947">
        <f t="shared" si="32"/>
        <v>153</v>
      </c>
      <c r="B160" s="948">
        <v>11</v>
      </c>
      <c r="C160" s="949">
        <v>24337</v>
      </c>
      <c r="D160" s="949" t="s">
        <v>180</v>
      </c>
      <c r="E160" s="950">
        <v>18</v>
      </c>
      <c r="F160" s="644">
        <v>1966</v>
      </c>
      <c r="G160" s="948" t="s">
        <v>148</v>
      </c>
      <c r="H160" s="645" t="s">
        <v>150</v>
      </c>
      <c r="I160" s="951">
        <v>33</v>
      </c>
      <c r="J160" s="951">
        <v>2</v>
      </c>
      <c r="K160" s="952">
        <f t="shared" si="30"/>
        <v>3.7499999999999999E-2</v>
      </c>
      <c r="L160" s="644">
        <f t="shared" si="23"/>
        <v>16</v>
      </c>
      <c r="M160" s="935">
        <v>0.66666666666666663</v>
      </c>
      <c r="N160" s="936">
        <f t="shared" si="24"/>
        <v>0.66666666666666663</v>
      </c>
      <c r="O160" s="725"/>
      <c r="P160" s="725">
        <f t="shared" si="25"/>
        <v>-0.66666666666666663</v>
      </c>
      <c r="Q160" s="622"/>
      <c r="R160" s="36"/>
      <c r="S160" s="37" t="str">
        <f t="shared" si="26"/>
        <v>CollingsworthF1</v>
      </c>
      <c r="T160" s="37" t="str">
        <f t="shared" si="27"/>
        <v>1966F1</v>
      </c>
      <c r="U160" s="429">
        <v>20</v>
      </c>
      <c r="V160" s="1029">
        <v>2</v>
      </c>
      <c r="W160" s="598">
        <v>0.02</v>
      </c>
      <c r="X160" s="429"/>
      <c r="Y160" s="37" t="str">
        <f t="shared" si="28"/>
        <v>F120</v>
      </c>
      <c r="Z160" s="37" t="str">
        <f t="shared" si="29"/>
        <v>F12</v>
      </c>
      <c r="AA160" s="37" t="str">
        <f t="shared" si="31"/>
        <v>F10.02</v>
      </c>
      <c r="AB160" s="498" t="str">
        <f t="shared" si="22"/>
        <v>F116</v>
      </c>
      <c r="AC160" s="572"/>
      <c r="AD160" s="572"/>
      <c r="AE160" s="572"/>
      <c r="AF160" s="572"/>
    </row>
    <row r="161" spans="1:32">
      <c r="A161" s="947">
        <f t="shared" si="32"/>
        <v>154</v>
      </c>
      <c r="B161" s="948">
        <v>12</v>
      </c>
      <c r="C161" s="949">
        <v>24367</v>
      </c>
      <c r="D161" s="949" t="s">
        <v>181</v>
      </c>
      <c r="E161" s="950">
        <v>17</v>
      </c>
      <c r="F161" s="644">
        <v>1966</v>
      </c>
      <c r="G161" s="948" t="s">
        <v>140</v>
      </c>
      <c r="H161" s="645" t="s">
        <v>150</v>
      </c>
      <c r="I161" s="951">
        <v>13</v>
      </c>
      <c r="J161" s="951">
        <v>1</v>
      </c>
      <c r="K161" s="952">
        <f t="shared" si="30"/>
        <v>7.3863636363636362E-3</v>
      </c>
      <c r="L161" s="644">
        <f t="shared" si="23"/>
        <v>12</v>
      </c>
      <c r="M161" s="935">
        <v>0.53125</v>
      </c>
      <c r="N161" s="936">
        <f t="shared" si="24"/>
        <v>0.53125</v>
      </c>
      <c r="O161" s="725"/>
      <c r="P161" s="725">
        <f t="shared" si="25"/>
        <v>-0.53125</v>
      </c>
      <c r="Q161" s="622"/>
      <c r="R161" s="36"/>
      <c r="S161" s="37" t="str">
        <f t="shared" si="26"/>
        <v>PotterF1</v>
      </c>
      <c r="T161" s="37" t="str">
        <f t="shared" si="27"/>
        <v>1966F1</v>
      </c>
      <c r="U161" s="429">
        <v>10</v>
      </c>
      <c r="V161" s="1029">
        <v>1</v>
      </c>
      <c r="W161" s="598">
        <v>5.0000000000000001E-3</v>
      </c>
      <c r="X161" s="429"/>
      <c r="Y161" s="37" t="str">
        <f t="shared" si="28"/>
        <v>F110</v>
      </c>
      <c r="Z161" s="37" t="str">
        <f t="shared" si="29"/>
        <v>F11</v>
      </c>
      <c r="AA161" s="37" t="str">
        <f t="shared" si="31"/>
        <v>F10.005</v>
      </c>
      <c r="AB161" s="498" t="str">
        <f t="shared" si="22"/>
        <v>F112</v>
      </c>
      <c r="AC161" s="572"/>
      <c r="AD161" s="572"/>
      <c r="AE161" s="572"/>
      <c r="AF161" s="572"/>
    </row>
    <row r="162" spans="1:32">
      <c r="A162" s="947">
        <f t="shared" si="32"/>
        <v>155</v>
      </c>
      <c r="B162" s="948">
        <v>1</v>
      </c>
      <c r="C162" s="949">
        <v>24550</v>
      </c>
      <c r="D162" s="949" t="s">
        <v>175</v>
      </c>
      <c r="E162" s="950">
        <v>19</v>
      </c>
      <c r="F162" s="644">
        <v>1967</v>
      </c>
      <c r="G162" s="948" t="s">
        <v>144</v>
      </c>
      <c r="H162" s="645" t="s">
        <v>149</v>
      </c>
      <c r="I162" s="951">
        <v>10</v>
      </c>
      <c r="J162" s="951">
        <v>0.5</v>
      </c>
      <c r="K162" s="952">
        <f t="shared" si="30"/>
        <v>2.840909090909091E-3</v>
      </c>
      <c r="L162" s="644">
        <f t="shared" si="23"/>
        <v>18</v>
      </c>
      <c r="M162" s="935">
        <v>0.75</v>
      </c>
      <c r="N162" s="936">
        <f t="shared" si="24"/>
        <v>0.75</v>
      </c>
      <c r="O162" s="725"/>
      <c r="P162" s="725">
        <f t="shared" si="25"/>
        <v>-0.75</v>
      </c>
      <c r="Q162" s="622"/>
      <c r="R162" s="37"/>
      <c r="S162" s="37" t="str">
        <f t="shared" si="26"/>
        <v>Deaf SmithF0</v>
      </c>
      <c r="T162" s="37" t="str">
        <f t="shared" si="27"/>
        <v>1967F0</v>
      </c>
      <c r="U162" s="429">
        <v>10</v>
      </c>
      <c r="V162" s="1029">
        <v>0.5</v>
      </c>
      <c r="W162" s="598">
        <v>2E-3</v>
      </c>
      <c r="X162" s="429"/>
      <c r="Y162" s="37" t="str">
        <f t="shared" si="28"/>
        <v>F010</v>
      </c>
      <c r="Z162" s="37" t="str">
        <f t="shared" si="29"/>
        <v>F00.5</v>
      </c>
      <c r="AA162" s="37" t="str">
        <f t="shared" si="31"/>
        <v>F00.002</v>
      </c>
      <c r="AB162" s="498" t="str">
        <f t="shared" si="22"/>
        <v>F018</v>
      </c>
      <c r="AC162" s="572"/>
      <c r="AD162" s="572"/>
      <c r="AE162" s="572"/>
      <c r="AF162" s="572"/>
    </row>
    <row r="163" spans="1:32">
      <c r="A163" s="947">
        <f t="shared" si="32"/>
        <v>156</v>
      </c>
      <c r="B163" s="948">
        <v>2</v>
      </c>
      <c r="C163" s="949">
        <v>24550</v>
      </c>
      <c r="D163" s="949" t="s">
        <v>175</v>
      </c>
      <c r="E163" s="950">
        <v>19</v>
      </c>
      <c r="F163" s="644">
        <v>1967</v>
      </c>
      <c r="G163" s="948" t="s">
        <v>144</v>
      </c>
      <c r="H163" s="645" t="s">
        <v>149</v>
      </c>
      <c r="I163" s="951">
        <v>10</v>
      </c>
      <c r="J163" s="951">
        <v>0.5</v>
      </c>
      <c r="K163" s="952">
        <f t="shared" si="30"/>
        <v>2.840909090909091E-3</v>
      </c>
      <c r="L163" s="644">
        <f t="shared" si="23"/>
        <v>18</v>
      </c>
      <c r="M163" s="935">
        <v>0.75</v>
      </c>
      <c r="N163" s="936">
        <f t="shared" si="24"/>
        <v>0.75</v>
      </c>
      <c r="O163" s="725"/>
      <c r="P163" s="725">
        <f t="shared" si="25"/>
        <v>-0.75</v>
      </c>
      <c r="Q163" s="622"/>
      <c r="R163" s="37"/>
      <c r="S163" s="37" t="str">
        <f t="shared" si="26"/>
        <v>Deaf SmithF0</v>
      </c>
      <c r="T163" s="37" t="str">
        <f t="shared" si="27"/>
        <v>1967F0</v>
      </c>
      <c r="U163" s="429">
        <v>10</v>
      </c>
      <c r="V163" s="1029">
        <v>0.5</v>
      </c>
      <c r="W163" s="598">
        <v>2E-3</v>
      </c>
      <c r="X163" s="429"/>
      <c r="Y163" s="37" t="str">
        <f t="shared" si="28"/>
        <v>F010</v>
      </c>
      <c r="Z163" s="37" t="str">
        <f t="shared" si="29"/>
        <v>F00.5</v>
      </c>
      <c r="AA163" s="37" t="str">
        <f t="shared" si="31"/>
        <v>F00.002</v>
      </c>
      <c r="AB163" s="498" t="str">
        <f t="shared" si="22"/>
        <v>F018</v>
      </c>
      <c r="AC163" s="572"/>
      <c r="AD163" s="572"/>
      <c r="AE163" s="572"/>
      <c r="AF163" s="572"/>
    </row>
    <row r="164" spans="1:32">
      <c r="A164" s="947">
        <f t="shared" si="32"/>
        <v>157</v>
      </c>
      <c r="B164" s="948">
        <v>3</v>
      </c>
      <c r="C164" s="949">
        <v>24582</v>
      </c>
      <c r="D164" s="949" t="s">
        <v>176</v>
      </c>
      <c r="E164" s="950">
        <v>20</v>
      </c>
      <c r="F164" s="644">
        <v>1967</v>
      </c>
      <c r="G164" s="948" t="s">
        <v>132</v>
      </c>
      <c r="H164" s="645" t="s">
        <v>150</v>
      </c>
      <c r="I164" s="951">
        <v>100</v>
      </c>
      <c r="J164" s="951">
        <v>0.3</v>
      </c>
      <c r="K164" s="952">
        <f t="shared" si="30"/>
        <v>1.7045454545454544E-2</v>
      </c>
      <c r="L164" s="644">
        <f t="shared" si="23"/>
        <v>18</v>
      </c>
      <c r="M164" s="935">
        <v>0.78125</v>
      </c>
      <c r="N164" s="936">
        <f t="shared" si="24"/>
        <v>0.78125</v>
      </c>
      <c r="O164" s="725"/>
      <c r="P164" s="725">
        <f t="shared" si="25"/>
        <v>-0.78125</v>
      </c>
      <c r="Q164" s="622"/>
      <c r="R164" s="37"/>
      <c r="S164" s="37" t="str">
        <f t="shared" si="26"/>
        <v>OchiltreeF1</v>
      </c>
      <c r="T164" s="37" t="str">
        <f t="shared" si="27"/>
        <v>1967F1</v>
      </c>
      <c r="U164" s="429">
        <v>100</v>
      </c>
      <c r="V164" s="1029">
        <v>0.2</v>
      </c>
      <c r="W164" s="598">
        <v>0.01</v>
      </c>
      <c r="X164" s="429"/>
      <c r="Y164" s="37" t="str">
        <f t="shared" si="28"/>
        <v>F1100</v>
      </c>
      <c r="Z164" s="37" t="str">
        <f t="shared" si="29"/>
        <v>F10.2</v>
      </c>
      <c r="AA164" s="37" t="str">
        <f t="shared" si="31"/>
        <v>F10.01</v>
      </c>
      <c r="AB164" s="498" t="str">
        <f t="shared" si="22"/>
        <v>F118</v>
      </c>
      <c r="AC164" s="572"/>
      <c r="AD164" s="572"/>
      <c r="AE164" s="572"/>
      <c r="AF164" s="572"/>
    </row>
    <row r="165" spans="1:32">
      <c r="A165" s="947">
        <f t="shared" si="32"/>
        <v>158</v>
      </c>
      <c r="B165" s="948">
        <v>4</v>
      </c>
      <c r="C165" s="949">
        <v>24597</v>
      </c>
      <c r="D165" s="949" t="s">
        <v>177</v>
      </c>
      <c r="E165" s="950">
        <v>5</v>
      </c>
      <c r="F165" s="644">
        <v>1967</v>
      </c>
      <c r="G165" s="948" t="s">
        <v>145</v>
      </c>
      <c r="H165" s="645" t="s">
        <v>149</v>
      </c>
      <c r="I165" s="951">
        <v>33</v>
      </c>
      <c r="J165" s="951">
        <v>0.1</v>
      </c>
      <c r="K165" s="952">
        <f t="shared" si="30"/>
        <v>1.8749999999999999E-3</v>
      </c>
      <c r="L165" s="644">
        <f t="shared" si="23"/>
        <v>13</v>
      </c>
      <c r="M165" s="935">
        <v>0.57638888888888895</v>
      </c>
      <c r="N165" s="936">
        <f t="shared" si="24"/>
        <v>0.57638888888888895</v>
      </c>
      <c r="O165" s="725"/>
      <c r="P165" s="725">
        <f t="shared" si="25"/>
        <v>-0.57638888888888895</v>
      </c>
      <c r="Q165" s="622"/>
      <c r="R165" s="37"/>
      <c r="S165" s="37" t="str">
        <f t="shared" si="26"/>
        <v>RandallF0</v>
      </c>
      <c r="T165" s="37" t="str">
        <f t="shared" si="27"/>
        <v>1967F0</v>
      </c>
      <c r="U165" s="429">
        <v>20</v>
      </c>
      <c r="V165" s="1029">
        <v>0.1</v>
      </c>
      <c r="W165" s="598">
        <v>2E-3</v>
      </c>
      <c r="X165" s="429"/>
      <c r="Y165" s="37" t="str">
        <f t="shared" si="28"/>
        <v>F020</v>
      </c>
      <c r="Z165" s="37" t="str">
        <f t="shared" si="29"/>
        <v>F00.1</v>
      </c>
      <c r="AA165" s="37" t="str">
        <f t="shared" si="31"/>
        <v>F00.002</v>
      </c>
      <c r="AB165" s="498" t="str">
        <f t="shared" si="22"/>
        <v>F013</v>
      </c>
      <c r="AC165" s="572"/>
      <c r="AD165" s="572"/>
      <c r="AE165" s="572"/>
      <c r="AF165" s="572"/>
    </row>
    <row r="166" spans="1:32">
      <c r="A166" s="947">
        <f t="shared" si="32"/>
        <v>159</v>
      </c>
      <c r="B166" s="948">
        <v>5</v>
      </c>
      <c r="C166" s="949">
        <v>24597</v>
      </c>
      <c r="D166" s="949" t="s">
        <v>177</v>
      </c>
      <c r="E166" s="950">
        <v>5</v>
      </c>
      <c r="F166" s="644">
        <v>1967</v>
      </c>
      <c r="G166" s="948" t="s">
        <v>141</v>
      </c>
      <c r="H166" s="645" t="s">
        <v>149</v>
      </c>
      <c r="I166" s="951">
        <v>17</v>
      </c>
      <c r="J166" s="951">
        <v>0.5</v>
      </c>
      <c r="K166" s="952">
        <f t="shared" si="30"/>
        <v>4.8295454545454544E-3</v>
      </c>
      <c r="L166" s="644">
        <f t="shared" si="23"/>
        <v>15</v>
      </c>
      <c r="M166" s="935">
        <v>0.65625</v>
      </c>
      <c r="N166" s="936">
        <f t="shared" si="24"/>
        <v>0.65625</v>
      </c>
      <c r="O166" s="725"/>
      <c r="P166" s="725">
        <f t="shared" si="25"/>
        <v>-0.65625</v>
      </c>
      <c r="Q166" s="622"/>
      <c r="R166" s="37"/>
      <c r="S166" s="37" t="str">
        <f t="shared" si="26"/>
        <v>CarsonF0</v>
      </c>
      <c r="T166" s="37" t="str">
        <f t="shared" si="27"/>
        <v>1967F0</v>
      </c>
      <c r="U166" s="429">
        <v>10</v>
      </c>
      <c r="V166" s="1029">
        <v>0.5</v>
      </c>
      <c r="W166" s="598">
        <v>5.0000000000000001E-3</v>
      </c>
      <c r="X166" s="429"/>
      <c r="Y166" s="37" t="str">
        <f t="shared" si="28"/>
        <v>F010</v>
      </c>
      <c r="Z166" s="37" t="str">
        <f t="shared" si="29"/>
        <v>F00.5</v>
      </c>
      <c r="AA166" s="37" t="str">
        <f t="shared" si="31"/>
        <v>F00.005</v>
      </c>
      <c r="AB166" s="498" t="str">
        <f t="shared" si="22"/>
        <v>F015</v>
      </c>
      <c r="AC166" s="572"/>
      <c r="AD166" s="572"/>
      <c r="AE166" s="572"/>
      <c r="AF166" s="572"/>
    </row>
    <row r="167" spans="1:32">
      <c r="A167" s="947">
        <f t="shared" si="32"/>
        <v>160</v>
      </c>
      <c r="B167" s="948">
        <v>6</v>
      </c>
      <c r="C167" s="949">
        <v>24597</v>
      </c>
      <c r="D167" s="949" t="s">
        <v>177</v>
      </c>
      <c r="E167" s="950">
        <v>5</v>
      </c>
      <c r="F167" s="644">
        <v>1967</v>
      </c>
      <c r="G167" s="948" t="s">
        <v>141</v>
      </c>
      <c r="H167" s="645" t="s">
        <v>149</v>
      </c>
      <c r="I167" s="951">
        <v>3</v>
      </c>
      <c r="J167" s="951">
        <v>0.1</v>
      </c>
      <c r="K167" s="952">
        <f t="shared" si="30"/>
        <v>1.7045454545454547E-4</v>
      </c>
      <c r="L167" s="644">
        <f t="shared" si="23"/>
        <v>16</v>
      </c>
      <c r="M167" s="935">
        <v>0.69097222222222221</v>
      </c>
      <c r="N167" s="936">
        <f t="shared" si="24"/>
        <v>0.69097222222222221</v>
      </c>
      <c r="O167" s="725"/>
      <c r="P167" s="725">
        <f t="shared" si="25"/>
        <v>-0.69097222222222221</v>
      </c>
      <c r="Q167" s="622"/>
      <c r="R167" s="37"/>
      <c r="S167" s="37" t="str">
        <f t="shared" si="26"/>
        <v>CarsonF0</v>
      </c>
      <c r="T167" s="37" t="str">
        <f t="shared" si="27"/>
        <v>1967F0</v>
      </c>
      <c r="U167" s="429">
        <v>2</v>
      </c>
      <c r="V167" s="1029">
        <v>0.1</v>
      </c>
      <c r="W167" s="598">
        <v>2.0000000000000001E-4</v>
      </c>
      <c r="X167" s="429"/>
      <c r="Y167" s="37" t="str">
        <f t="shared" si="28"/>
        <v>F02</v>
      </c>
      <c r="Z167" s="37" t="str">
        <f t="shared" si="29"/>
        <v>F00.1</v>
      </c>
      <c r="AA167" s="37" t="str">
        <f t="shared" si="31"/>
        <v>F00.0002</v>
      </c>
      <c r="AB167" s="498" t="str">
        <f t="shared" si="22"/>
        <v>F016</v>
      </c>
      <c r="AC167" s="572"/>
      <c r="AD167" s="572"/>
      <c r="AE167" s="572"/>
      <c r="AF167" s="572"/>
    </row>
    <row r="168" spans="1:32">
      <c r="A168" s="947">
        <f t="shared" si="32"/>
        <v>161</v>
      </c>
      <c r="B168" s="948">
        <v>7</v>
      </c>
      <c r="C168" s="949">
        <v>24597</v>
      </c>
      <c r="D168" s="949" t="s">
        <v>177</v>
      </c>
      <c r="E168" s="950">
        <v>5</v>
      </c>
      <c r="F168" s="644">
        <v>1967</v>
      </c>
      <c r="G168" s="948" t="s">
        <v>141</v>
      </c>
      <c r="H168" s="645" t="s">
        <v>151</v>
      </c>
      <c r="I168" s="951">
        <v>100</v>
      </c>
      <c r="J168" s="951">
        <v>16.2</v>
      </c>
      <c r="K168" s="952">
        <f t="shared" si="30"/>
        <v>0.92045454545454541</v>
      </c>
      <c r="L168" s="644">
        <f t="shared" si="23"/>
        <v>16</v>
      </c>
      <c r="M168" s="935">
        <v>0.69097222222222221</v>
      </c>
      <c r="N168" s="936">
        <f t="shared" si="24"/>
        <v>0.69097222222222221</v>
      </c>
      <c r="O168" s="725"/>
      <c r="P168" s="725">
        <f t="shared" si="25"/>
        <v>-0.69097222222222221</v>
      </c>
      <c r="Q168" s="622"/>
      <c r="R168" s="37"/>
      <c r="S168" s="37" t="str">
        <f t="shared" si="26"/>
        <v>CarsonF2</v>
      </c>
      <c r="T168" s="37" t="str">
        <f t="shared" si="27"/>
        <v>1967F2</v>
      </c>
      <c r="U168" s="429">
        <v>100</v>
      </c>
      <c r="V168" s="1029">
        <v>10</v>
      </c>
      <c r="W168" s="598">
        <v>0.5</v>
      </c>
      <c r="X168" s="429"/>
      <c r="Y168" s="37" t="str">
        <f t="shared" si="28"/>
        <v>F2100</v>
      </c>
      <c r="Z168" s="37" t="str">
        <f t="shared" si="29"/>
        <v>F210</v>
      </c>
      <c r="AA168" s="37" t="str">
        <f t="shared" si="31"/>
        <v>F20.5</v>
      </c>
      <c r="AB168" s="498" t="str">
        <f t="shared" si="22"/>
        <v>F216</v>
      </c>
      <c r="AC168" s="572"/>
      <c r="AD168" s="572"/>
      <c r="AE168" s="572"/>
      <c r="AF168" s="572"/>
    </row>
    <row r="169" spans="1:32">
      <c r="A169" s="947">
        <f t="shared" si="32"/>
        <v>162</v>
      </c>
      <c r="B169" s="948">
        <v>8</v>
      </c>
      <c r="C169" s="949">
        <v>24597</v>
      </c>
      <c r="D169" s="949" t="s">
        <v>177</v>
      </c>
      <c r="E169" s="950">
        <v>5</v>
      </c>
      <c r="F169" s="644">
        <v>1967</v>
      </c>
      <c r="G169" s="948" t="s">
        <v>142</v>
      </c>
      <c r="H169" s="645" t="s">
        <v>150</v>
      </c>
      <c r="I169" s="951">
        <v>33</v>
      </c>
      <c r="J169" s="951">
        <v>0.1</v>
      </c>
      <c r="K169" s="952">
        <f t="shared" si="30"/>
        <v>1.8749999999999999E-3</v>
      </c>
      <c r="L169" s="644">
        <f t="shared" si="23"/>
        <v>16</v>
      </c>
      <c r="M169" s="935">
        <v>0.69791666666666663</v>
      </c>
      <c r="N169" s="936">
        <f t="shared" si="24"/>
        <v>0.69791666666666663</v>
      </c>
      <c r="O169" s="725"/>
      <c r="P169" s="725">
        <f t="shared" si="25"/>
        <v>-0.69791666666666663</v>
      </c>
      <c r="Q169" s="622"/>
      <c r="R169" s="37"/>
      <c r="S169" s="37" t="str">
        <f t="shared" si="26"/>
        <v>GrayF1</v>
      </c>
      <c r="T169" s="37" t="str">
        <f t="shared" si="27"/>
        <v>1967F1</v>
      </c>
      <c r="U169" s="429">
        <v>20</v>
      </c>
      <c r="V169" s="1029">
        <v>0.1</v>
      </c>
      <c r="W169" s="598">
        <v>2E-3</v>
      </c>
      <c r="X169" s="429"/>
      <c r="Y169" s="37" t="str">
        <f t="shared" si="28"/>
        <v>F120</v>
      </c>
      <c r="Z169" s="37" t="str">
        <f t="shared" si="29"/>
        <v>F10.1</v>
      </c>
      <c r="AA169" s="37" t="str">
        <f t="shared" si="31"/>
        <v>F10.002</v>
      </c>
      <c r="AB169" s="498" t="str">
        <f t="shared" si="22"/>
        <v>F116</v>
      </c>
      <c r="AC169" s="572"/>
      <c r="AD169" s="572"/>
      <c r="AE169" s="572"/>
      <c r="AF169" s="572"/>
    </row>
    <row r="170" spans="1:32">
      <c r="A170" s="947">
        <f t="shared" si="32"/>
        <v>163</v>
      </c>
      <c r="B170" s="948">
        <v>9</v>
      </c>
      <c r="C170" s="949">
        <v>24597</v>
      </c>
      <c r="D170" s="949" t="s">
        <v>177</v>
      </c>
      <c r="E170" s="950">
        <v>5</v>
      </c>
      <c r="F170" s="644">
        <v>1967</v>
      </c>
      <c r="G170" s="948" t="s">
        <v>135</v>
      </c>
      <c r="H170" s="645" t="s">
        <v>151</v>
      </c>
      <c r="I170" s="951">
        <v>67</v>
      </c>
      <c r="J170" s="951">
        <v>2.2999999999999998</v>
      </c>
      <c r="K170" s="952">
        <f t="shared" si="30"/>
        <v>8.755681818181818E-2</v>
      </c>
      <c r="L170" s="644">
        <f t="shared" si="23"/>
        <v>16</v>
      </c>
      <c r="M170" s="935">
        <v>0.69791666666666663</v>
      </c>
      <c r="N170" s="936">
        <f t="shared" si="24"/>
        <v>0.69791666666666663</v>
      </c>
      <c r="O170" s="725"/>
      <c r="P170" s="725">
        <f t="shared" si="25"/>
        <v>-0.69791666666666663</v>
      </c>
      <c r="Q170" s="622"/>
      <c r="R170" s="37"/>
      <c r="S170" s="37" t="str">
        <f t="shared" si="26"/>
        <v>MooreF2</v>
      </c>
      <c r="T170" s="37" t="str">
        <f t="shared" si="27"/>
        <v>1967F2</v>
      </c>
      <c r="U170" s="429">
        <v>50</v>
      </c>
      <c r="V170" s="1029">
        <v>2</v>
      </c>
      <c r="W170" s="598">
        <v>0.05</v>
      </c>
      <c r="X170" s="429"/>
      <c r="Y170" s="37" t="str">
        <f t="shared" si="28"/>
        <v>F250</v>
      </c>
      <c r="Z170" s="37" t="str">
        <f t="shared" si="29"/>
        <v>F22</v>
      </c>
      <c r="AA170" s="37" t="str">
        <f t="shared" si="31"/>
        <v>F20.05</v>
      </c>
      <c r="AB170" s="498" t="str">
        <f t="shared" si="22"/>
        <v>F216</v>
      </c>
      <c r="AC170" s="572"/>
      <c r="AD170" s="572"/>
      <c r="AE170" s="572"/>
      <c r="AF170" s="572"/>
    </row>
    <row r="171" spans="1:32">
      <c r="A171" s="947">
        <f t="shared" si="32"/>
        <v>164</v>
      </c>
      <c r="B171" s="948">
        <v>10</v>
      </c>
      <c r="C171" s="949">
        <v>24622</v>
      </c>
      <c r="D171" s="949" t="s">
        <v>177</v>
      </c>
      <c r="E171" s="950">
        <v>30</v>
      </c>
      <c r="F171" s="644">
        <v>1967</v>
      </c>
      <c r="G171" s="948" t="s">
        <v>139</v>
      </c>
      <c r="H171" s="645" t="s">
        <v>149</v>
      </c>
      <c r="I171" s="951">
        <v>17</v>
      </c>
      <c r="J171" s="951">
        <v>1</v>
      </c>
      <c r="K171" s="952">
        <f t="shared" si="30"/>
        <v>9.6590909090909088E-3</v>
      </c>
      <c r="L171" s="644">
        <f t="shared" si="23"/>
        <v>19</v>
      </c>
      <c r="M171" s="935">
        <v>0.79166666666666663</v>
      </c>
      <c r="N171" s="936">
        <f t="shared" si="24"/>
        <v>0.79166666666666663</v>
      </c>
      <c r="O171" s="725"/>
      <c r="P171" s="725">
        <f t="shared" si="25"/>
        <v>-0.79166666666666663</v>
      </c>
      <c r="Q171" s="622"/>
      <c r="R171" s="37"/>
      <c r="S171" s="37" t="str">
        <f t="shared" si="26"/>
        <v>OldhamF0</v>
      </c>
      <c r="T171" s="37" t="str">
        <f t="shared" si="27"/>
        <v>1967F0</v>
      </c>
      <c r="U171" s="429">
        <v>10</v>
      </c>
      <c r="V171" s="1029">
        <v>1</v>
      </c>
      <c r="W171" s="598">
        <v>0.01</v>
      </c>
      <c r="X171" s="429"/>
      <c r="Y171" s="37" t="str">
        <f t="shared" si="28"/>
        <v>F010</v>
      </c>
      <c r="Z171" s="37" t="str">
        <f t="shared" si="29"/>
        <v>F01</v>
      </c>
      <c r="AA171" s="37" t="str">
        <f t="shared" si="31"/>
        <v>F00.01</v>
      </c>
      <c r="AB171" s="498" t="str">
        <f t="shared" si="22"/>
        <v>F019</v>
      </c>
      <c r="AC171" s="572"/>
      <c r="AD171" s="572"/>
      <c r="AE171" s="572"/>
      <c r="AF171" s="572"/>
    </row>
    <row r="172" spans="1:32">
      <c r="A172" s="947">
        <f t="shared" si="32"/>
        <v>165</v>
      </c>
      <c r="B172" s="948">
        <v>11</v>
      </c>
      <c r="C172" s="949">
        <v>24623</v>
      </c>
      <c r="D172" s="949" t="s">
        <v>177</v>
      </c>
      <c r="E172" s="950">
        <v>31</v>
      </c>
      <c r="F172" s="644">
        <v>1967</v>
      </c>
      <c r="G172" s="948" t="s">
        <v>128</v>
      </c>
      <c r="H172" s="645" t="s">
        <v>150</v>
      </c>
      <c r="I172" s="951">
        <v>440</v>
      </c>
      <c r="J172" s="951">
        <v>0.8</v>
      </c>
      <c r="K172" s="952">
        <f t="shared" si="30"/>
        <v>0.2</v>
      </c>
      <c r="L172" s="644">
        <f t="shared" si="23"/>
        <v>21</v>
      </c>
      <c r="M172" s="935">
        <v>0.88194444444444453</v>
      </c>
      <c r="N172" s="936">
        <f t="shared" si="24"/>
        <v>0.88194444444444453</v>
      </c>
      <c r="O172" s="725"/>
      <c r="P172" s="725">
        <f t="shared" si="25"/>
        <v>-0.88194444444444453</v>
      </c>
      <c r="Q172" s="622"/>
      <c r="R172" s="37"/>
      <c r="S172" s="37" t="str">
        <f t="shared" si="26"/>
        <v>BeaverF1</v>
      </c>
      <c r="T172" s="37" t="str">
        <f t="shared" si="27"/>
        <v>1967F1</v>
      </c>
      <c r="U172" s="429">
        <v>200</v>
      </c>
      <c r="V172" s="1029">
        <v>0.5</v>
      </c>
      <c r="W172" s="598">
        <v>0.2</v>
      </c>
      <c r="X172" s="429"/>
      <c r="Y172" s="37" t="str">
        <f t="shared" si="28"/>
        <v>F1200</v>
      </c>
      <c r="Z172" s="37" t="str">
        <f t="shared" si="29"/>
        <v>F10.5</v>
      </c>
      <c r="AA172" s="37" t="str">
        <f t="shared" si="31"/>
        <v>F10.2</v>
      </c>
      <c r="AB172" s="498" t="str">
        <f t="shared" si="22"/>
        <v>F121</v>
      </c>
      <c r="AC172" s="572"/>
      <c r="AD172" s="572"/>
      <c r="AE172" s="572"/>
      <c r="AF172" s="572"/>
    </row>
    <row r="173" spans="1:32">
      <c r="A173" s="947">
        <f t="shared" si="32"/>
        <v>166</v>
      </c>
      <c r="B173" s="948">
        <v>12</v>
      </c>
      <c r="C173" s="949">
        <v>24624</v>
      </c>
      <c r="D173" s="949" t="s">
        <v>178</v>
      </c>
      <c r="E173" s="950">
        <v>1</v>
      </c>
      <c r="F173" s="644">
        <v>1967</v>
      </c>
      <c r="G173" s="948" t="s">
        <v>144</v>
      </c>
      <c r="H173" s="645" t="s">
        <v>151</v>
      </c>
      <c r="I173" s="951">
        <v>33</v>
      </c>
      <c r="J173" s="951">
        <v>4.7</v>
      </c>
      <c r="K173" s="952">
        <f t="shared" si="30"/>
        <v>8.8124999999999995E-2</v>
      </c>
      <c r="L173" s="644">
        <f t="shared" si="23"/>
        <v>15</v>
      </c>
      <c r="M173" s="935">
        <v>0.625</v>
      </c>
      <c r="N173" s="936">
        <f t="shared" si="24"/>
        <v>0.625</v>
      </c>
      <c r="O173" s="725"/>
      <c r="P173" s="725">
        <f t="shared" si="25"/>
        <v>-0.625</v>
      </c>
      <c r="Q173" s="622"/>
      <c r="R173" s="37"/>
      <c r="S173" s="37" t="str">
        <f t="shared" si="26"/>
        <v>Deaf SmithF2</v>
      </c>
      <c r="T173" s="37" t="str">
        <f t="shared" si="27"/>
        <v>1967F2</v>
      </c>
      <c r="U173" s="429">
        <v>20</v>
      </c>
      <c r="V173" s="1029">
        <v>2</v>
      </c>
      <c r="W173" s="598">
        <v>0.05</v>
      </c>
      <c r="X173" s="429"/>
      <c r="Y173" s="37" t="str">
        <f t="shared" si="28"/>
        <v>F220</v>
      </c>
      <c r="Z173" s="37" t="str">
        <f t="shared" si="29"/>
        <v>F22</v>
      </c>
      <c r="AA173" s="37" t="str">
        <f t="shared" si="31"/>
        <v>F20.05</v>
      </c>
      <c r="AB173" s="498" t="str">
        <f t="shared" si="22"/>
        <v>F215</v>
      </c>
      <c r="AC173" s="572"/>
      <c r="AD173" s="572"/>
      <c r="AE173" s="572"/>
      <c r="AF173" s="572"/>
    </row>
    <row r="174" spans="1:32">
      <c r="A174" s="947">
        <f t="shared" si="32"/>
        <v>167</v>
      </c>
      <c r="B174" s="948">
        <v>13</v>
      </c>
      <c r="C174" s="949">
        <v>24632</v>
      </c>
      <c r="D174" s="949" t="s">
        <v>178</v>
      </c>
      <c r="E174" s="950">
        <v>9</v>
      </c>
      <c r="F174" s="644">
        <v>1967</v>
      </c>
      <c r="G174" s="948" t="s">
        <v>133</v>
      </c>
      <c r="H174" s="645" t="s">
        <v>150</v>
      </c>
      <c r="I174" s="951">
        <v>37</v>
      </c>
      <c r="J174" s="951">
        <v>2</v>
      </c>
      <c r="K174" s="952">
        <f t="shared" si="30"/>
        <v>4.2045454545454546E-2</v>
      </c>
      <c r="L174" s="644">
        <f t="shared" si="23"/>
        <v>17</v>
      </c>
      <c r="M174" s="935">
        <v>0.70833333333333337</v>
      </c>
      <c r="N174" s="936">
        <f t="shared" si="24"/>
        <v>0.70833333333333337</v>
      </c>
      <c r="O174" s="725"/>
      <c r="P174" s="725">
        <f t="shared" si="25"/>
        <v>-0.70833333333333337</v>
      </c>
      <c r="Q174" s="622"/>
      <c r="R174" s="37"/>
      <c r="S174" s="37" t="str">
        <f t="shared" si="26"/>
        <v>LipscombF1</v>
      </c>
      <c r="T174" s="37" t="str">
        <f t="shared" si="27"/>
        <v>1967F1</v>
      </c>
      <c r="U174" s="429">
        <v>20</v>
      </c>
      <c r="V174" s="1029">
        <v>2</v>
      </c>
      <c r="W174" s="598">
        <v>0.02</v>
      </c>
      <c r="X174" s="429"/>
      <c r="Y174" s="37" t="str">
        <f t="shared" si="28"/>
        <v>F120</v>
      </c>
      <c r="Z174" s="37" t="str">
        <f t="shared" si="29"/>
        <v>F12</v>
      </c>
      <c r="AA174" s="37" t="str">
        <f t="shared" si="31"/>
        <v>F10.02</v>
      </c>
      <c r="AB174" s="498" t="str">
        <f t="shared" si="22"/>
        <v>F117</v>
      </c>
      <c r="AC174" s="572"/>
      <c r="AD174" s="572"/>
      <c r="AE174" s="572"/>
      <c r="AF174" s="572"/>
    </row>
    <row r="175" spans="1:32">
      <c r="A175" s="947">
        <f t="shared" si="32"/>
        <v>168</v>
      </c>
      <c r="B175" s="948">
        <v>14</v>
      </c>
      <c r="C175" s="949">
        <v>24637</v>
      </c>
      <c r="D175" s="949" t="s">
        <v>178</v>
      </c>
      <c r="E175" s="950">
        <v>14</v>
      </c>
      <c r="F175" s="644">
        <v>1967</v>
      </c>
      <c r="G175" s="948" t="s">
        <v>127</v>
      </c>
      <c r="H175" s="645" t="s">
        <v>149</v>
      </c>
      <c r="I175" s="951">
        <v>10</v>
      </c>
      <c r="J175" s="951">
        <v>0.1</v>
      </c>
      <c r="K175" s="952">
        <f t="shared" si="30"/>
        <v>5.6818181818181826E-4</v>
      </c>
      <c r="L175" s="644">
        <f t="shared" si="23"/>
        <v>21</v>
      </c>
      <c r="M175" s="935">
        <v>0.89166666666666661</v>
      </c>
      <c r="N175" s="936">
        <f t="shared" si="24"/>
        <v>0.89166666666666661</v>
      </c>
      <c r="O175" s="725"/>
      <c r="P175" s="725">
        <f t="shared" si="25"/>
        <v>-0.89166666666666661</v>
      </c>
      <c r="Q175" s="622"/>
      <c r="R175" s="37"/>
      <c r="S175" s="37" t="str">
        <f t="shared" si="26"/>
        <v>TexasF0</v>
      </c>
      <c r="T175" s="37" t="str">
        <f t="shared" si="27"/>
        <v>1967F0</v>
      </c>
      <c r="U175" s="429">
        <v>10</v>
      </c>
      <c r="V175" s="1029">
        <v>0.1</v>
      </c>
      <c r="W175" s="598">
        <v>1E-3</v>
      </c>
      <c r="X175" s="429"/>
      <c r="Y175" s="37" t="str">
        <f t="shared" si="28"/>
        <v>F010</v>
      </c>
      <c r="Z175" s="37" t="str">
        <f t="shared" si="29"/>
        <v>F00.1</v>
      </c>
      <c r="AA175" s="37" t="str">
        <f t="shared" si="31"/>
        <v>F00.001</v>
      </c>
      <c r="AB175" s="498" t="str">
        <f t="shared" si="22"/>
        <v>F021</v>
      </c>
      <c r="AC175" s="572"/>
      <c r="AD175" s="572"/>
      <c r="AE175" s="572"/>
      <c r="AF175" s="572"/>
    </row>
    <row r="176" spans="1:32">
      <c r="A176" s="947">
        <f t="shared" si="32"/>
        <v>169</v>
      </c>
      <c r="B176" s="948">
        <v>15</v>
      </c>
      <c r="C176" s="949">
        <v>24637</v>
      </c>
      <c r="D176" s="949" t="s">
        <v>178</v>
      </c>
      <c r="E176" s="950">
        <v>14</v>
      </c>
      <c r="F176" s="644">
        <v>1967</v>
      </c>
      <c r="G176" s="948" t="s">
        <v>127</v>
      </c>
      <c r="H176" s="645" t="s">
        <v>149</v>
      </c>
      <c r="I176" s="951">
        <v>150</v>
      </c>
      <c r="J176" s="951">
        <v>0.3</v>
      </c>
      <c r="K176" s="952">
        <f t="shared" si="30"/>
        <v>2.5568181818181816E-2</v>
      </c>
      <c r="L176" s="644">
        <f t="shared" si="23"/>
        <v>21</v>
      </c>
      <c r="M176" s="935">
        <v>0.90625</v>
      </c>
      <c r="N176" s="936">
        <f t="shared" si="24"/>
        <v>0.90625</v>
      </c>
      <c r="O176" s="725"/>
      <c r="P176" s="725">
        <f t="shared" si="25"/>
        <v>-0.90625</v>
      </c>
      <c r="Q176" s="622"/>
      <c r="R176" s="37"/>
      <c r="S176" s="37" t="str">
        <f t="shared" si="26"/>
        <v>TexasF0</v>
      </c>
      <c r="T176" s="37" t="str">
        <f t="shared" si="27"/>
        <v>1967F0</v>
      </c>
      <c r="U176" s="429">
        <v>100</v>
      </c>
      <c r="V176" s="1029">
        <v>0.2</v>
      </c>
      <c r="W176" s="598">
        <v>0.02</v>
      </c>
      <c r="X176" s="429"/>
      <c r="Y176" s="37" t="str">
        <f t="shared" si="28"/>
        <v>F0100</v>
      </c>
      <c r="Z176" s="37" t="str">
        <f t="shared" si="29"/>
        <v>F00.2</v>
      </c>
      <c r="AA176" s="37" t="str">
        <f t="shared" si="31"/>
        <v>F00.02</v>
      </c>
      <c r="AB176" s="498" t="str">
        <f t="shared" si="22"/>
        <v>F021</v>
      </c>
      <c r="AC176" s="572"/>
      <c r="AD176" s="572"/>
      <c r="AE176" s="572"/>
      <c r="AF176" s="572"/>
    </row>
    <row r="177" spans="1:32">
      <c r="A177" s="947">
        <f t="shared" si="32"/>
        <v>170</v>
      </c>
      <c r="B177" s="948">
        <v>16</v>
      </c>
      <c r="C177" s="949">
        <v>24638</v>
      </c>
      <c r="D177" s="949" t="s">
        <v>178</v>
      </c>
      <c r="E177" s="950">
        <v>15</v>
      </c>
      <c r="F177" s="644">
        <v>1967</v>
      </c>
      <c r="G177" s="948" t="s">
        <v>135</v>
      </c>
      <c r="H177" s="645" t="s">
        <v>150</v>
      </c>
      <c r="I177" s="951">
        <v>33</v>
      </c>
      <c r="J177" s="951">
        <v>43.2</v>
      </c>
      <c r="K177" s="952">
        <f t="shared" si="30"/>
        <v>0.81</v>
      </c>
      <c r="L177" s="644">
        <f t="shared" si="23"/>
        <v>8</v>
      </c>
      <c r="M177" s="935">
        <v>0.34375</v>
      </c>
      <c r="N177" s="936">
        <f t="shared" si="24"/>
        <v>0.34375</v>
      </c>
      <c r="O177" s="725"/>
      <c r="P177" s="725">
        <f t="shared" si="25"/>
        <v>-0.34375</v>
      </c>
      <c r="Q177" s="622"/>
      <c r="R177" s="37"/>
      <c r="S177" s="37" t="str">
        <f t="shared" si="26"/>
        <v>MooreF1</v>
      </c>
      <c r="T177" s="37" t="str">
        <f t="shared" si="27"/>
        <v>1967F1</v>
      </c>
      <c r="U177" s="429">
        <v>20</v>
      </c>
      <c r="V177" s="1029">
        <v>20</v>
      </c>
      <c r="W177" s="598">
        <v>0.5</v>
      </c>
      <c r="X177" s="429"/>
      <c r="Y177" s="37" t="str">
        <f t="shared" si="28"/>
        <v>F120</v>
      </c>
      <c r="Z177" s="37" t="str">
        <f t="shared" si="29"/>
        <v>F120</v>
      </c>
      <c r="AA177" s="37" t="str">
        <f t="shared" si="31"/>
        <v>F10.5</v>
      </c>
      <c r="AB177" s="498" t="str">
        <f t="shared" si="22"/>
        <v>F18</v>
      </c>
      <c r="AC177" s="572"/>
      <c r="AD177" s="572"/>
      <c r="AE177" s="572"/>
      <c r="AF177" s="572"/>
    </row>
    <row r="178" spans="1:32">
      <c r="A178" s="947">
        <f t="shared" si="32"/>
        <v>171</v>
      </c>
      <c r="B178" s="948">
        <v>17</v>
      </c>
      <c r="C178" s="949">
        <v>24638</v>
      </c>
      <c r="D178" s="949" t="s">
        <v>178</v>
      </c>
      <c r="E178" s="950">
        <v>15</v>
      </c>
      <c r="F178" s="644">
        <v>1967</v>
      </c>
      <c r="G178" s="948" t="s">
        <v>145</v>
      </c>
      <c r="H178" s="645" t="s">
        <v>151</v>
      </c>
      <c r="I178" s="951">
        <v>33</v>
      </c>
      <c r="J178" s="951">
        <v>0.1</v>
      </c>
      <c r="K178" s="952">
        <f t="shared" si="30"/>
        <v>1.8749999999999999E-3</v>
      </c>
      <c r="L178" s="644">
        <f t="shared" si="23"/>
        <v>20</v>
      </c>
      <c r="M178" s="935">
        <v>0.83333333333333337</v>
      </c>
      <c r="N178" s="936">
        <f t="shared" si="24"/>
        <v>0.83333333333333337</v>
      </c>
      <c r="O178" s="725"/>
      <c r="P178" s="725">
        <f t="shared" si="25"/>
        <v>-0.83333333333333337</v>
      </c>
      <c r="Q178" s="622"/>
      <c r="R178" s="37"/>
      <c r="S178" s="37" t="str">
        <f t="shared" si="26"/>
        <v>RandallF2</v>
      </c>
      <c r="T178" s="37" t="str">
        <f t="shared" si="27"/>
        <v>1967F2</v>
      </c>
      <c r="U178" s="429">
        <v>20</v>
      </c>
      <c r="V178" s="1029">
        <v>0.1</v>
      </c>
      <c r="W178" s="598">
        <v>2E-3</v>
      </c>
      <c r="X178" s="429"/>
      <c r="Y178" s="37" t="str">
        <f t="shared" si="28"/>
        <v>F220</v>
      </c>
      <c r="Z178" s="37" t="str">
        <f t="shared" si="29"/>
        <v>F20.1</v>
      </c>
      <c r="AA178" s="37" t="str">
        <f t="shared" si="31"/>
        <v>F20.002</v>
      </c>
      <c r="AB178" s="498" t="str">
        <f t="shared" si="22"/>
        <v>F220</v>
      </c>
      <c r="AC178" s="572"/>
      <c r="AD178" s="572"/>
      <c r="AE178" s="572"/>
      <c r="AF178" s="572"/>
    </row>
    <row r="179" spans="1:32">
      <c r="A179" s="947">
        <f t="shared" si="32"/>
        <v>172</v>
      </c>
      <c r="B179" s="948">
        <v>18</v>
      </c>
      <c r="C179" s="949">
        <v>24646</v>
      </c>
      <c r="D179" s="949" t="s">
        <v>178</v>
      </c>
      <c r="E179" s="950">
        <v>23</v>
      </c>
      <c r="F179" s="644">
        <v>1967</v>
      </c>
      <c r="G179" s="948" t="s">
        <v>135</v>
      </c>
      <c r="H179" s="645" t="s">
        <v>149</v>
      </c>
      <c r="I179" s="951">
        <v>33</v>
      </c>
      <c r="J179" s="951">
        <v>0.1</v>
      </c>
      <c r="K179" s="952">
        <f t="shared" si="30"/>
        <v>1.8749999999999999E-3</v>
      </c>
      <c r="L179" s="644">
        <f t="shared" si="23"/>
        <v>17</v>
      </c>
      <c r="M179" s="935">
        <v>0.70833333333333337</v>
      </c>
      <c r="N179" s="936">
        <f t="shared" si="24"/>
        <v>0.70833333333333337</v>
      </c>
      <c r="O179" s="725"/>
      <c r="P179" s="725">
        <f t="shared" si="25"/>
        <v>-0.70833333333333337</v>
      </c>
      <c r="Q179" s="622"/>
      <c r="R179" s="37"/>
      <c r="S179" s="37" t="str">
        <f t="shared" si="26"/>
        <v>MooreF0</v>
      </c>
      <c r="T179" s="37" t="str">
        <f t="shared" si="27"/>
        <v>1967F0</v>
      </c>
      <c r="U179" s="429">
        <v>20</v>
      </c>
      <c r="V179" s="1029">
        <v>0.1</v>
      </c>
      <c r="W179" s="598">
        <v>2E-3</v>
      </c>
      <c r="X179" s="429"/>
      <c r="Y179" s="37" t="str">
        <f t="shared" si="28"/>
        <v>F020</v>
      </c>
      <c r="Z179" s="37" t="str">
        <f t="shared" si="29"/>
        <v>F00.1</v>
      </c>
      <c r="AA179" s="37" t="str">
        <f t="shared" si="31"/>
        <v>F00.002</v>
      </c>
      <c r="AB179" s="498" t="str">
        <f t="shared" si="22"/>
        <v>F017</v>
      </c>
      <c r="AC179" s="572"/>
      <c r="AD179" s="572"/>
      <c r="AE179" s="572"/>
      <c r="AF179" s="572"/>
    </row>
    <row r="180" spans="1:32">
      <c r="A180" s="947">
        <f t="shared" si="32"/>
        <v>173</v>
      </c>
      <c r="B180" s="948">
        <v>19</v>
      </c>
      <c r="C180" s="949">
        <v>24651</v>
      </c>
      <c r="D180" s="949" t="s">
        <v>178</v>
      </c>
      <c r="E180" s="950">
        <v>28</v>
      </c>
      <c r="F180" s="644">
        <v>1967</v>
      </c>
      <c r="G180" s="948" t="s">
        <v>131</v>
      </c>
      <c r="H180" s="645" t="s">
        <v>150</v>
      </c>
      <c r="I180" s="951">
        <v>100</v>
      </c>
      <c r="J180" s="951">
        <v>1</v>
      </c>
      <c r="K180" s="952">
        <f t="shared" si="30"/>
        <v>5.6818181818181816E-2</v>
      </c>
      <c r="L180" s="644">
        <f t="shared" si="23"/>
        <v>16</v>
      </c>
      <c r="M180" s="935">
        <v>0.66666666666666663</v>
      </c>
      <c r="N180" s="936">
        <f t="shared" si="24"/>
        <v>0.66666666666666663</v>
      </c>
      <c r="O180" s="725"/>
      <c r="P180" s="725">
        <f t="shared" si="25"/>
        <v>-0.66666666666666663</v>
      </c>
      <c r="Q180" s="622"/>
      <c r="R180" s="37"/>
      <c r="S180" s="37" t="str">
        <f t="shared" si="26"/>
        <v>HansfordF1</v>
      </c>
      <c r="T180" s="37" t="str">
        <f t="shared" si="27"/>
        <v>1967F1</v>
      </c>
      <c r="U180" s="429">
        <v>100</v>
      </c>
      <c r="V180" s="1029">
        <v>1</v>
      </c>
      <c r="W180" s="598">
        <v>0.05</v>
      </c>
      <c r="X180" s="429"/>
      <c r="Y180" s="37" t="str">
        <f t="shared" si="28"/>
        <v>F1100</v>
      </c>
      <c r="Z180" s="37" t="str">
        <f t="shared" si="29"/>
        <v>F11</v>
      </c>
      <c r="AA180" s="37" t="str">
        <f t="shared" si="31"/>
        <v>F10.05</v>
      </c>
      <c r="AB180" s="498" t="str">
        <f t="shared" si="22"/>
        <v>F116</v>
      </c>
      <c r="AC180" s="572"/>
      <c r="AD180" s="572"/>
      <c r="AE180" s="572"/>
      <c r="AF180" s="572"/>
    </row>
    <row r="181" spans="1:32">
      <c r="A181" s="947">
        <f t="shared" si="32"/>
        <v>174</v>
      </c>
      <c r="B181" s="948">
        <v>20</v>
      </c>
      <c r="C181" s="949">
        <v>24651</v>
      </c>
      <c r="D181" s="949" t="s">
        <v>178</v>
      </c>
      <c r="E181" s="950">
        <v>28</v>
      </c>
      <c r="F181" s="644">
        <v>1967</v>
      </c>
      <c r="G181" s="948" t="s">
        <v>139</v>
      </c>
      <c r="H181" s="645" t="s">
        <v>149</v>
      </c>
      <c r="I181" s="951">
        <v>10</v>
      </c>
      <c r="J181" s="951">
        <v>0.1</v>
      </c>
      <c r="K181" s="952">
        <f t="shared" si="30"/>
        <v>5.6818181818181826E-4</v>
      </c>
      <c r="L181" s="644">
        <f t="shared" si="23"/>
        <v>18</v>
      </c>
      <c r="M181" s="935">
        <v>0.78125</v>
      </c>
      <c r="N181" s="936">
        <f t="shared" si="24"/>
        <v>0.78125</v>
      </c>
      <c r="O181" s="725"/>
      <c r="P181" s="725">
        <f t="shared" si="25"/>
        <v>-0.78125</v>
      </c>
      <c r="Q181" s="622"/>
      <c r="R181" s="37"/>
      <c r="S181" s="37" t="str">
        <f t="shared" si="26"/>
        <v>OldhamF0</v>
      </c>
      <c r="T181" s="37" t="str">
        <f t="shared" si="27"/>
        <v>1967F0</v>
      </c>
      <c r="U181" s="429">
        <v>10</v>
      </c>
      <c r="V181" s="1029">
        <v>0.1</v>
      </c>
      <c r="W181" s="598">
        <v>1E-3</v>
      </c>
      <c r="X181" s="429"/>
      <c r="Y181" s="37" t="str">
        <f t="shared" si="28"/>
        <v>F010</v>
      </c>
      <c r="Z181" s="37" t="str">
        <f t="shared" si="29"/>
        <v>F00.1</v>
      </c>
      <c r="AA181" s="37" t="str">
        <f t="shared" si="31"/>
        <v>F00.001</v>
      </c>
      <c r="AB181" s="498" t="str">
        <f t="shared" si="22"/>
        <v>F018</v>
      </c>
      <c r="AC181" s="572"/>
      <c r="AD181" s="572"/>
      <c r="AE181" s="572"/>
      <c r="AF181" s="572"/>
    </row>
    <row r="182" spans="1:32">
      <c r="A182" s="947">
        <f t="shared" si="32"/>
        <v>175</v>
      </c>
      <c r="B182" s="948">
        <v>21</v>
      </c>
      <c r="C182" s="949">
        <v>24653</v>
      </c>
      <c r="D182" s="949" t="s">
        <v>178</v>
      </c>
      <c r="E182" s="950">
        <v>30</v>
      </c>
      <c r="F182" s="644">
        <v>1967</v>
      </c>
      <c r="G182" s="948" t="s">
        <v>145</v>
      </c>
      <c r="H182" s="645" t="s">
        <v>149</v>
      </c>
      <c r="I182" s="951">
        <v>33</v>
      </c>
      <c r="J182" s="951">
        <v>0.1</v>
      </c>
      <c r="K182" s="952">
        <f t="shared" si="30"/>
        <v>1.8749999999999999E-3</v>
      </c>
      <c r="L182" s="644">
        <f t="shared" si="23"/>
        <v>17</v>
      </c>
      <c r="M182" s="935">
        <v>0.72916666666666663</v>
      </c>
      <c r="N182" s="936">
        <f t="shared" si="24"/>
        <v>0.72916666666666663</v>
      </c>
      <c r="O182" s="725"/>
      <c r="P182" s="725">
        <f t="shared" si="25"/>
        <v>-0.72916666666666663</v>
      </c>
      <c r="Q182" s="622"/>
      <c r="R182" s="37"/>
      <c r="S182" s="37" t="str">
        <f t="shared" si="26"/>
        <v>RandallF0</v>
      </c>
      <c r="T182" s="37" t="str">
        <f t="shared" si="27"/>
        <v>1967F0</v>
      </c>
      <c r="U182" s="429">
        <v>20</v>
      </c>
      <c r="V182" s="1029">
        <v>0.1</v>
      </c>
      <c r="W182" s="598">
        <v>2E-3</v>
      </c>
      <c r="X182" s="429"/>
      <c r="Y182" s="37" t="str">
        <f t="shared" si="28"/>
        <v>F020</v>
      </c>
      <c r="Z182" s="37" t="str">
        <f t="shared" si="29"/>
        <v>F00.1</v>
      </c>
      <c r="AA182" s="37" t="str">
        <f t="shared" si="31"/>
        <v>F00.002</v>
      </c>
      <c r="AB182" s="498" t="str">
        <f t="shared" si="22"/>
        <v>F017</v>
      </c>
      <c r="AC182" s="572"/>
      <c r="AD182" s="572"/>
      <c r="AE182" s="572"/>
      <c r="AF182" s="572"/>
    </row>
    <row r="183" spans="1:32">
      <c r="A183" s="947">
        <f t="shared" si="32"/>
        <v>176</v>
      </c>
      <c r="B183" s="948">
        <v>22</v>
      </c>
      <c r="C183" s="949">
        <v>24656</v>
      </c>
      <c r="D183" s="949" t="s">
        <v>179</v>
      </c>
      <c r="E183" s="950">
        <v>3</v>
      </c>
      <c r="F183" s="644">
        <v>1967</v>
      </c>
      <c r="G183" s="948" t="s">
        <v>126</v>
      </c>
      <c r="H183" s="645" t="s">
        <v>149</v>
      </c>
      <c r="I183" s="951">
        <v>33</v>
      </c>
      <c r="J183" s="951">
        <v>6.8</v>
      </c>
      <c r="K183" s="952">
        <f t="shared" si="30"/>
        <v>0.1275</v>
      </c>
      <c r="L183" s="644">
        <f t="shared" si="23"/>
        <v>15</v>
      </c>
      <c r="M183" s="935">
        <v>0.625</v>
      </c>
      <c r="N183" s="936">
        <f t="shared" si="24"/>
        <v>0.625</v>
      </c>
      <c r="O183" s="725"/>
      <c r="P183" s="725">
        <f t="shared" si="25"/>
        <v>-0.625</v>
      </c>
      <c r="Q183" s="622"/>
      <c r="R183" s="37"/>
      <c r="S183" s="37" t="str">
        <f t="shared" si="26"/>
        <v>CimarronF0</v>
      </c>
      <c r="T183" s="37" t="str">
        <f t="shared" si="27"/>
        <v>1967F0</v>
      </c>
      <c r="U183" s="429">
        <v>20</v>
      </c>
      <c r="V183" s="1029">
        <v>5</v>
      </c>
      <c r="W183" s="598">
        <v>0.1</v>
      </c>
      <c r="X183" s="429"/>
      <c r="Y183" s="37" t="str">
        <f t="shared" si="28"/>
        <v>F020</v>
      </c>
      <c r="Z183" s="37" t="str">
        <f t="shared" si="29"/>
        <v>F05</v>
      </c>
      <c r="AA183" s="37" t="str">
        <f t="shared" si="31"/>
        <v>F00.1</v>
      </c>
      <c r="AB183" s="498" t="str">
        <f t="shared" si="22"/>
        <v>F015</v>
      </c>
      <c r="AC183" s="572"/>
      <c r="AD183" s="572"/>
      <c r="AE183" s="572"/>
      <c r="AF183" s="572"/>
    </row>
    <row r="184" spans="1:32">
      <c r="A184" s="947">
        <f t="shared" si="32"/>
        <v>177</v>
      </c>
      <c r="B184" s="948">
        <v>23</v>
      </c>
      <c r="C184" s="949">
        <v>24656</v>
      </c>
      <c r="D184" s="949" t="s">
        <v>179</v>
      </c>
      <c r="E184" s="950">
        <v>3</v>
      </c>
      <c r="F184" s="644">
        <v>1967</v>
      </c>
      <c r="G184" s="948" t="s">
        <v>126</v>
      </c>
      <c r="H184" s="645" t="s">
        <v>149</v>
      </c>
      <c r="I184" s="951">
        <v>33</v>
      </c>
      <c r="J184" s="951">
        <v>0.1</v>
      </c>
      <c r="K184" s="952">
        <f t="shared" si="30"/>
        <v>1.8749999999999999E-3</v>
      </c>
      <c r="L184" s="644">
        <f t="shared" si="23"/>
        <v>15</v>
      </c>
      <c r="M184" s="935">
        <v>0.625</v>
      </c>
      <c r="N184" s="936">
        <f t="shared" si="24"/>
        <v>0.625</v>
      </c>
      <c r="O184" s="725"/>
      <c r="P184" s="725">
        <f t="shared" si="25"/>
        <v>-0.625</v>
      </c>
      <c r="Q184" s="622"/>
      <c r="R184" s="37"/>
      <c r="S184" s="37" t="str">
        <f t="shared" si="26"/>
        <v>CimarronF0</v>
      </c>
      <c r="T184" s="37" t="str">
        <f t="shared" si="27"/>
        <v>1967F0</v>
      </c>
      <c r="U184" s="429">
        <v>20</v>
      </c>
      <c r="V184" s="1029">
        <v>0.1</v>
      </c>
      <c r="W184" s="598">
        <v>2E-3</v>
      </c>
      <c r="X184" s="429"/>
      <c r="Y184" s="37" t="str">
        <f t="shared" si="28"/>
        <v>F020</v>
      </c>
      <c r="Z184" s="37" t="str">
        <f t="shared" si="29"/>
        <v>F00.1</v>
      </c>
      <c r="AA184" s="37" t="str">
        <f t="shared" si="31"/>
        <v>F00.002</v>
      </c>
      <c r="AB184" s="498" t="str">
        <f t="shared" si="22"/>
        <v>F015</v>
      </c>
      <c r="AC184" s="572"/>
      <c r="AD184" s="572"/>
      <c r="AE184" s="572"/>
      <c r="AF184" s="572"/>
    </row>
    <row r="185" spans="1:32">
      <c r="A185" s="947">
        <f t="shared" si="32"/>
        <v>178</v>
      </c>
      <c r="B185" s="948">
        <v>24</v>
      </c>
      <c r="C185" s="949">
        <v>24656</v>
      </c>
      <c r="D185" s="949" t="s">
        <v>179</v>
      </c>
      <c r="E185" s="950">
        <v>3</v>
      </c>
      <c r="F185" s="644">
        <v>1967</v>
      </c>
      <c r="G185" s="948" t="s">
        <v>126</v>
      </c>
      <c r="H185" s="645" t="s">
        <v>149</v>
      </c>
      <c r="I185" s="951">
        <v>33</v>
      </c>
      <c r="J185" s="951">
        <v>0.1</v>
      </c>
      <c r="K185" s="952">
        <f t="shared" si="30"/>
        <v>1.8749999999999999E-3</v>
      </c>
      <c r="L185" s="644">
        <f t="shared" si="23"/>
        <v>15</v>
      </c>
      <c r="M185" s="935">
        <v>0.625</v>
      </c>
      <c r="N185" s="936">
        <f t="shared" si="24"/>
        <v>0.625</v>
      </c>
      <c r="O185" s="725"/>
      <c r="P185" s="725">
        <f t="shared" si="25"/>
        <v>-0.625</v>
      </c>
      <c r="Q185" s="622"/>
      <c r="R185" s="37"/>
      <c r="S185" s="37" t="str">
        <f t="shared" si="26"/>
        <v>CimarronF0</v>
      </c>
      <c r="T185" s="37" t="str">
        <f t="shared" si="27"/>
        <v>1967F0</v>
      </c>
      <c r="U185" s="429">
        <v>20</v>
      </c>
      <c r="V185" s="1029">
        <v>0.1</v>
      </c>
      <c r="W185" s="598">
        <v>2E-3</v>
      </c>
      <c r="X185" s="429"/>
      <c r="Y185" s="37" t="str">
        <f t="shared" si="28"/>
        <v>F020</v>
      </c>
      <c r="Z185" s="37" t="str">
        <f t="shared" si="29"/>
        <v>F00.1</v>
      </c>
      <c r="AA185" s="37" t="str">
        <f t="shared" si="31"/>
        <v>F00.002</v>
      </c>
      <c r="AB185" s="498" t="str">
        <f t="shared" si="22"/>
        <v>F015</v>
      </c>
      <c r="AC185" s="572"/>
      <c r="AD185" s="572"/>
      <c r="AE185" s="572"/>
      <c r="AF185" s="572"/>
    </row>
    <row r="186" spans="1:32">
      <c r="A186" s="947">
        <f t="shared" si="32"/>
        <v>179</v>
      </c>
      <c r="B186" s="948">
        <v>25</v>
      </c>
      <c r="C186" s="949">
        <v>24656</v>
      </c>
      <c r="D186" s="949" t="s">
        <v>179</v>
      </c>
      <c r="E186" s="950">
        <v>3</v>
      </c>
      <c r="F186" s="644">
        <v>1967</v>
      </c>
      <c r="G186" s="948" t="s">
        <v>127</v>
      </c>
      <c r="H186" s="645" t="s">
        <v>151</v>
      </c>
      <c r="I186" s="951">
        <v>10</v>
      </c>
      <c r="J186" s="951">
        <v>0.1</v>
      </c>
      <c r="K186" s="952">
        <f t="shared" si="30"/>
        <v>5.6818181818181826E-4</v>
      </c>
      <c r="L186" s="644">
        <f t="shared" si="23"/>
        <v>18</v>
      </c>
      <c r="M186" s="935">
        <v>0.75</v>
      </c>
      <c r="N186" s="936">
        <f t="shared" si="24"/>
        <v>0.75</v>
      </c>
      <c r="O186" s="725"/>
      <c r="P186" s="725">
        <f t="shared" si="25"/>
        <v>-0.75</v>
      </c>
      <c r="Q186" s="622"/>
      <c r="R186" s="37"/>
      <c r="S186" s="37" t="str">
        <f t="shared" si="26"/>
        <v>TexasF2</v>
      </c>
      <c r="T186" s="37" t="str">
        <f t="shared" si="27"/>
        <v>1967F2</v>
      </c>
      <c r="U186" s="429">
        <v>10</v>
      </c>
      <c r="V186" s="1029">
        <v>0.1</v>
      </c>
      <c r="W186" s="598">
        <v>1E-3</v>
      </c>
      <c r="X186" s="429"/>
      <c r="Y186" s="37" t="str">
        <f t="shared" si="28"/>
        <v>F210</v>
      </c>
      <c r="Z186" s="37" t="str">
        <f t="shared" si="29"/>
        <v>F20.1</v>
      </c>
      <c r="AA186" s="37" t="str">
        <f t="shared" si="31"/>
        <v>F20.001</v>
      </c>
      <c r="AB186" s="498" t="str">
        <f t="shared" si="22"/>
        <v>F218</v>
      </c>
      <c r="AC186" s="572"/>
      <c r="AD186" s="572"/>
      <c r="AE186" s="572"/>
      <c r="AF186" s="572"/>
    </row>
    <row r="187" spans="1:32">
      <c r="A187" s="947">
        <f t="shared" si="32"/>
        <v>180</v>
      </c>
      <c r="B187" s="948">
        <v>26</v>
      </c>
      <c r="C187" s="949">
        <v>24656</v>
      </c>
      <c r="D187" s="949" t="s">
        <v>179</v>
      </c>
      <c r="E187" s="950">
        <v>3</v>
      </c>
      <c r="F187" s="644">
        <v>1967</v>
      </c>
      <c r="G187" s="948" t="s">
        <v>132</v>
      </c>
      <c r="H187" s="645" t="s">
        <v>151</v>
      </c>
      <c r="I187" s="951">
        <v>50</v>
      </c>
      <c r="J187" s="951">
        <v>1</v>
      </c>
      <c r="K187" s="952">
        <f t="shared" si="30"/>
        <v>2.8409090909090908E-2</v>
      </c>
      <c r="L187" s="644">
        <f t="shared" si="23"/>
        <v>19</v>
      </c>
      <c r="M187" s="935">
        <v>0.8125</v>
      </c>
      <c r="N187" s="936">
        <f t="shared" si="24"/>
        <v>0.8125</v>
      </c>
      <c r="O187" s="725"/>
      <c r="P187" s="725">
        <f t="shared" si="25"/>
        <v>-0.8125</v>
      </c>
      <c r="Q187" s="622"/>
      <c r="R187" s="37"/>
      <c r="S187" s="37" t="str">
        <f t="shared" si="26"/>
        <v>OchiltreeF2</v>
      </c>
      <c r="T187" s="37" t="str">
        <f t="shared" si="27"/>
        <v>1967F2</v>
      </c>
      <c r="U187" s="429">
        <v>50</v>
      </c>
      <c r="V187" s="1029">
        <v>1</v>
      </c>
      <c r="W187" s="598">
        <v>0.02</v>
      </c>
      <c r="X187" s="429"/>
      <c r="Y187" s="37" t="str">
        <f t="shared" si="28"/>
        <v>F250</v>
      </c>
      <c r="Z187" s="37" t="str">
        <f t="shared" si="29"/>
        <v>F21</v>
      </c>
      <c r="AA187" s="37" t="str">
        <f t="shared" si="31"/>
        <v>F20.02</v>
      </c>
      <c r="AB187" s="498" t="str">
        <f t="shared" si="22"/>
        <v>F219</v>
      </c>
      <c r="AC187" s="572"/>
      <c r="AD187" s="572"/>
      <c r="AE187" s="572"/>
      <c r="AF187" s="572"/>
    </row>
    <row r="188" spans="1:32">
      <c r="A188" s="947">
        <f t="shared" si="32"/>
        <v>181</v>
      </c>
      <c r="B188" s="948">
        <v>27</v>
      </c>
      <c r="C188" s="949">
        <v>24656</v>
      </c>
      <c r="D188" s="949" t="s">
        <v>179</v>
      </c>
      <c r="E188" s="950">
        <v>3</v>
      </c>
      <c r="F188" s="644">
        <v>1967</v>
      </c>
      <c r="G188" s="948" t="s">
        <v>143</v>
      </c>
      <c r="H188" s="645" t="s">
        <v>152</v>
      </c>
      <c r="I188" s="951">
        <v>33</v>
      </c>
      <c r="J188" s="951">
        <v>2.2999999999999998</v>
      </c>
      <c r="K188" s="952">
        <f t="shared" si="30"/>
        <v>4.3124999999999997E-2</v>
      </c>
      <c r="L188" s="644">
        <f t="shared" si="23"/>
        <v>21</v>
      </c>
      <c r="M188" s="935">
        <v>0.89583333333333337</v>
      </c>
      <c r="N188" s="936">
        <f t="shared" si="24"/>
        <v>0.89583333333333337</v>
      </c>
      <c r="O188" s="725"/>
      <c r="P188" s="725">
        <f t="shared" si="25"/>
        <v>-0.89583333333333337</v>
      </c>
      <c r="Q188" s="622"/>
      <c r="R188" s="37"/>
      <c r="S188" s="37" t="str">
        <f t="shared" si="26"/>
        <v>WheelerF3</v>
      </c>
      <c r="T188" s="37" t="str">
        <f t="shared" si="27"/>
        <v>1967F3</v>
      </c>
      <c r="U188" s="429">
        <v>20</v>
      </c>
      <c r="V188" s="1029">
        <v>2</v>
      </c>
      <c r="W188" s="598">
        <v>0.02</v>
      </c>
      <c r="X188" s="429"/>
      <c r="Y188" s="37" t="str">
        <f t="shared" si="28"/>
        <v>F320</v>
      </c>
      <c r="Z188" s="37" t="str">
        <f t="shared" si="29"/>
        <v>F32</v>
      </c>
      <c r="AA188" s="37" t="str">
        <f t="shared" si="31"/>
        <v>F30.02</v>
      </c>
      <c r="AB188" s="498" t="str">
        <f t="shared" si="22"/>
        <v>F321</v>
      </c>
      <c r="AC188" s="572"/>
      <c r="AD188" s="572"/>
      <c r="AE188" s="572"/>
      <c r="AF188" s="572"/>
    </row>
    <row r="189" spans="1:32">
      <c r="A189" s="947">
        <f t="shared" si="32"/>
        <v>182</v>
      </c>
      <c r="B189" s="948">
        <v>28</v>
      </c>
      <c r="C189" s="949">
        <v>24656</v>
      </c>
      <c r="D189" s="949" t="s">
        <v>179</v>
      </c>
      <c r="E189" s="950">
        <v>3</v>
      </c>
      <c r="F189" s="644">
        <v>1967</v>
      </c>
      <c r="G189" s="948" t="s">
        <v>138</v>
      </c>
      <c r="H189" s="645" t="s">
        <v>151</v>
      </c>
      <c r="I189" s="951">
        <v>17</v>
      </c>
      <c r="J189" s="951">
        <v>0.1</v>
      </c>
      <c r="K189" s="952">
        <f t="shared" si="30"/>
        <v>9.6590909090909095E-4</v>
      </c>
      <c r="L189" s="644">
        <f t="shared" si="23"/>
        <v>22</v>
      </c>
      <c r="M189" s="935">
        <v>0.91666666666666663</v>
      </c>
      <c r="N189" s="936">
        <f t="shared" si="24"/>
        <v>0.91666666666666663</v>
      </c>
      <c r="O189" s="725"/>
      <c r="P189" s="725">
        <f t="shared" si="25"/>
        <v>-0.91666666666666663</v>
      </c>
      <c r="Q189" s="622"/>
      <c r="R189" s="37"/>
      <c r="S189" s="37" t="str">
        <f t="shared" si="26"/>
        <v>HemphillF2</v>
      </c>
      <c r="T189" s="37" t="str">
        <f t="shared" si="27"/>
        <v>1967F2</v>
      </c>
      <c r="U189" s="429">
        <v>10</v>
      </c>
      <c r="V189" s="1029">
        <v>0.1</v>
      </c>
      <c r="W189" s="598">
        <v>1E-3</v>
      </c>
      <c r="X189" s="429"/>
      <c r="Y189" s="37" t="str">
        <f t="shared" si="28"/>
        <v>F210</v>
      </c>
      <c r="Z189" s="37" t="str">
        <f t="shared" si="29"/>
        <v>F20.1</v>
      </c>
      <c r="AA189" s="37" t="str">
        <f t="shared" si="31"/>
        <v>F20.001</v>
      </c>
      <c r="AB189" s="498" t="str">
        <f t="shared" si="22"/>
        <v>F222</v>
      </c>
      <c r="AC189" s="572"/>
      <c r="AD189" s="572"/>
      <c r="AE189" s="572"/>
      <c r="AF189" s="572"/>
    </row>
    <row r="190" spans="1:32">
      <c r="A190" s="947">
        <f t="shared" si="32"/>
        <v>183</v>
      </c>
      <c r="B190" s="948">
        <v>1</v>
      </c>
      <c r="C190" s="949">
        <v>24930</v>
      </c>
      <c r="D190" s="949" t="s">
        <v>176</v>
      </c>
      <c r="E190" s="950">
        <v>2</v>
      </c>
      <c r="F190" s="644">
        <v>1968</v>
      </c>
      <c r="G190" s="948" t="s">
        <v>141</v>
      </c>
      <c r="H190" s="645" t="s">
        <v>151</v>
      </c>
      <c r="I190" s="951">
        <v>33</v>
      </c>
      <c r="J190" s="951">
        <v>2</v>
      </c>
      <c r="K190" s="952">
        <f t="shared" si="30"/>
        <v>3.7499999999999999E-2</v>
      </c>
      <c r="L190" s="644">
        <f t="shared" si="23"/>
        <v>17</v>
      </c>
      <c r="M190" s="935">
        <v>0.72222222222222221</v>
      </c>
      <c r="N190" s="936">
        <f t="shared" si="24"/>
        <v>0.72222222222222221</v>
      </c>
      <c r="O190" s="725"/>
      <c r="P190" s="725">
        <f t="shared" si="25"/>
        <v>-0.72222222222222221</v>
      </c>
      <c r="Q190" s="622"/>
      <c r="R190" s="36"/>
      <c r="S190" s="37" t="str">
        <f t="shared" si="26"/>
        <v>CarsonF2</v>
      </c>
      <c r="T190" s="37" t="str">
        <f t="shared" si="27"/>
        <v>1968F2</v>
      </c>
      <c r="U190" s="429">
        <v>20</v>
      </c>
      <c r="V190" s="1029">
        <v>2</v>
      </c>
      <c r="W190" s="598">
        <v>0.02</v>
      </c>
      <c r="X190" s="429"/>
      <c r="Y190" s="37" t="str">
        <f t="shared" si="28"/>
        <v>F220</v>
      </c>
      <c r="Z190" s="37" t="str">
        <f t="shared" si="29"/>
        <v>F22</v>
      </c>
      <c r="AA190" s="37" t="str">
        <f t="shared" si="31"/>
        <v>F20.02</v>
      </c>
      <c r="AB190" s="498" t="str">
        <f t="shared" si="22"/>
        <v>F217</v>
      </c>
      <c r="AC190" s="572"/>
      <c r="AD190" s="572"/>
      <c r="AE190" s="572"/>
      <c r="AF190" s="572"/>
    </row>
    <row r="191" spans="1:32">
      <c r="A191" s="947">
        <f t="shared" si="32"/>
        <v>184</v>
      </c>
      <c r="B191" s="948">
        <v>2</v>
      </c>
      <c r="C191" s="949">
        <v>24961</v>
      </c>
      <c r="D191" s="949" t="s">
        <v>177</v>
      </c>
      <c r="E191" s="950">
        <v>3</v>
      </c>
      <c r="F191" s="644">
        <v>1968</v>
      </c>
      <c r="G191" s="948" t="s">
        <v>128</v>
      </c>
      <c r="H191" s="645" t="s">
        <v>149</v>
      </c>
      <c r="I191" s="951">
        <v>10</v>
      </c>
      <c r="J191" s="951">
        <v>0.1</v>
      </c>
      <c r="K191" s="952">
        <f t="shared" si="30"/>
        <v>5.6818181818181826E-4</v>
      </c>
      <c r="L191" s="644">
        <f t="shared" si="23"/>
        <v>3</v>
      </c>
      <c r="M191" s="935">
        <v>0.13194444444444445</v>
      </c>
      <c r="N191" s="936">
        <f t="shared" si="24"/>
        <v>0.13194444444444445</v>
      </c>
      <c r="O191" s="725"/>
      <c r="P191" s="725">
        <f t="shared" si="25"/>
        <v>-0.13194444444444445</v>
      </c>
      <c r="Q191" s="622"/>
      <c r="R191" s="36"/>
      <c r="S191" s="37" t="str">
        <f t="shared" si="26"/>
        <v>BeaverF0</v>
      </c>
      <c r="T191" s="37" t="str">
        <f t="shared" si="27"/>
        <v>1968F0</v>
      </c>
      <c r="U191" s="429">
        <v>10</v>
      </c>
      <c r="V191" s="1029">
        <v>0.1</v>
      </c>
      <c r="W191" s="598">
        <v>1E-3</v>
      </c>
      <c r="X191" s="429"/>
      <c r="Y191" s="37" t="str">
        <f t="shared" si="28"/>
        <v>F010</v>
      </c>
      <c r="Z191" s="37" t="str">
        <f t="shared" si="29"/>
        <v>F00.1</v>
      </c>
      <c r="AA191" s="37" t="str">
        <f t="shared" si="31"/>
        <v>F00.001</v>
      </c>
      <c r="AB191" s="498" t="str">
        <f t="shared" si="22"/>
        <v>F03</v>
      </c>
      <c r="AC191" s="572"/>
      <c r="AD191" s="572"/>
      <c r="AE191" s="572"/>
      <c r="AF191" s="572"/>
    </row>
    <row r="192" spans="1:32" ht="25.5">
      <c r="A192" s="947">
        <f t="shared" si="32"/>
        <v>185</v>
      </c>
      <c r="B192" s="948">
        <v>3</v>
      </c>
      <c r="C192" s="949">
        <v>24964</v>
      </c>
      <c r="D192" s="949" t="s">
        <v>177</v>
      </c>
      <c r="E192" s="950">
        <v>6</v>
      </c>
      <c r="F192" s="644">
        <v>1968</v>
      </c>
      <c r="G192" s="948" t="s">
        <v>137</v>
      </c>
      <c r="H192" s="645" t="s">
        <v>149</v>
      </c>
      <c r="I192" s="951">
        <v>100</v>
      </c>
      <c r="J192" s="951">
        <v>12.3</v>
      </c>
      <c r="K192" s="952">
        <f t="shared" si="30"/>
        <v>0.69886363636363635</v>
      </c>
      <c r="L192" s="644">
        <f t="shared" si="23"/>
        <v>13</v>
      </c>
      <c r="M192" s="935">
        <v>0.54861111111111105</v>
      </c>
      <c r="N192" s="936">
        <f t="shared" si="24"/>
        <v>0.54861111111111105</v>
      </c>
      <c r="O192" s="725"/>
      <c r="P192" s="725">
        <f t="shared" si="25"/>
        <v>-0.54861111111111105</v>
      </c>
      <c r="Q192" s="380" t="s">
        <v>1183</v>
      </c>
      <c r="R192" s="36"/>
      <c r="S192" s="37" t="str">
        <f t="shared" si="26"/>
        <v>RobertsF0</v>
      </c>
      <c r="T192" s="37" t="str">
        <f t="shared" si="27"/>
        <v>1968F0</v>
      </c>
      <c r="U192" s="429">
        <v>100</v>
      </c>
      <c r="V192" s="1029">
        <v>10</v>
      </c>
      <c r="W192" s="598">
        <v>0.5</v>
      </c>
      <c r="X192" s="429"/>
      <c r="Y192" s="37" t="str">
        <f t="shared" si="28"/>
        <v>F0100</v>
      </c>
      <c r="Z192" s="37" t="str">
        <f t="shared" si="29"/>
        <v>F010</v>
      </c>
      <c r="AA192" s="37" t="str">
        <f t="shared" si="31"/>
        <v>F00.5</v>
      </c>
      <c r="AB192" s="498" t="str">
        <f t="shared" si="22"/>
        <v>F013</v>
      </c>
      <c r="AC192" s="572"/>
      <c r="AD192" s="572"/>
      <c r="AE192" s="572"/>
      <c r="AF192" s="572"/>
    </row>
    <row r="193" spans="1:32">
      <c r="A193" s="947">
        <f t="shared" si="32"/>
        <v>186</v>
      </c>
      <c r="B193" s="948">
        <v>4</v>
      </c>
      <c r="C193" s="949">
        <v>24964</v>
      </c>
      <c r="D193" s="949" t="s">
        <v>177</v>
      </c>
      <c r="E193" s="950">
        <v>6</v>
      </c>
      <c r="F193" s="644">
        <v>1968</v>
      </c>
      <c r="G193" s="948" t="s">
        <v>137</v>
      </c>
      <c r="H193" s="645" t="s">
        <v>149</v>
      </c>
      <c r="I193" s="951">
        <v>100</v>
      </c>
      <c r="J193" s="951">
        <v>12.3</v>
      </c>
      <c r="K193" s="952">
        <f t="shared" si="30"/>
        <v>0.69886363636363635</v>
      </c>
      <c r="L193" s="644">
        <f t="shared" si="23"/>
        <v>13</v>
      </c>
      <c r="M193" s="935">
        <v>0.54861111111111105</v>
      </c>
      <c r="N193" s="936">
        <f t="shared" si="24"/>
        <v>0.54861111111111105</v>
      </c>
      <c r="O193" s="725"/>
      <c r="P193" s="725">
        <f t="shared" si="25"/>
        <v>-0.54861111111111105</v>
      </c>
      <c r="Q193" s="622"/>
      <c r="R193" s="36"/>
      <c r="S193" s="37" t="str">
        <f t="shared" si="26"/>
        <v>RobertsF0</v>
      </c>
      <c r="T193" s="37" t="str">
        <f t="shared" si="27"/>
        <v>1968F0</v>
      </c>
      <c r="U193" s="429">
        <v>100</v>
      </c>
      <c r="V193" s="1029">
        <v>10</v>
      </c>
      <c r="W193" s="598">
        <v>0.5</v>
      </c>
      <c r="X193" s="429"/>
      <c r="Y193" s="37" t="str">
        <f t="shared" si="28"/>
        <v>F0100</v>
      </c>
      <c r="Z193" s="37" t="str">
        <f t="shared" si="29"/>
        <v>F010</v>
      </c>
      <c r="AA193" s="37" t="str">
        <f t="shared" si="31"/>
        <v>F00.5</v>
      </c>
      <c r="AB193" s="498" t="str">
        <f t="shared" si="22"/>
        <v>F013</v>
      </c>
      <c r="AC193" s="572"/>
      <c r="AD193" s="572"/>
      <c r="AE193" s="572"/>
      <c r="AF193" s="572"/>
    </row>
    <row r="194" spans="1:32">
      <c r="A194" s="947">
        <f t="shared" si="32"/>
        <v>187</v>
      </c>
      <c r="B194" s="948">
        <v>5</v>
      </c>
      <c r="C194" s="949">
        <v>24964</v>
      </c>
      <c r="D194" s="949" t="s">
        <v>177</v>
      </c>
      <c r="E194" s="950">
        <v>6</v>
      </c>
      <c r="F194" s="644">
        <v>1968</v>
      </c>
      <c r="G194" s="948" t="s">
        <v>137</v>
      </c>
      <c r="H194" s="645" t="s">
        <v>152</v>
      </c>
      <c r="I194" s="951">
        <v>100</v>
      </c>
      <c r="J194" s="951">
        <v>0.5</v>
      </c>
      <c r="K194" s="952">
        <f t="shared" si="30"/>
        <v>2.8409090909090908E-2</v>
      </c>
      <c r="L194" s="644">
        <f t="shared" si="23"/>
        <v>16</v>
      </c>
      <c r="M194" s="935">
        <v>0.67013888888888884</v>
      </c>
      <c r="N194" s="936">
        <f t="shared" si="24"/>
        <v>0.67013888888888884</v>
      </c>
      <c r="O194" s="725"/>
      <c r="P194" s="725">
        <f t="shared" si="25"/>
        <v>-0.67013888888888884</v>
      </c>
      <c r="Q194" s="622" t="s">
        <v>1184</v>
      </c>
      <c r="R194" s="37"/>
      <c r="S194" s="37" t="str">
        <f t="shared" si="26"/>
        <v>RobertsF3</v>
      </c>
      <c r="T194" s="37" t="str">
        <f t="shared" si="27"/>
        <v>1968F3</v>
      </c>
      <c r="U194" s="429">
        <v>100</v>
      </c>
      <c r="V194" s="1029">
        <v>0.5</v>
      </c>
      <c r="W194" s="598">
        <v>0.02</v>
      </c>
      <c r="X194" s="429"/>
      <c r="Y194" s="37" t="str">
        <f t="shared" si="28"/>
        <v>F3100</v>
      </c>
      <c r="Z194" s="37" t="str">
        <f t="shared" si="29"/>
        <v>F30.5</v>
      </c>
      <c r="AA194" s="37" t="str">
        <f t="shared" si="31"/>
        <v>F30.02</v>
      </c>
      <c r="AB194" s="498" t="str">
        <f t="shared" si="22"/>
        <v>F316</v>
      </c>
      <c r="AC194" s="572"/>
      <c r="AD194" s="572"/>
      <c r="AE194" s="572"/>
      <c r="AF194" s="572"/>
    </row>
    <row r="195" spans="1:32">
      <c r="A195" s="947">
        <f t="shared" si="32"/>
        <v>188</v>
      </c>
      <c r="B195" s="948">
        <v>6</v>
      </c>
      <c r="C195" s="949">
        <v>24968</v>
      </c>
      <c r="D195" s="949" t="s">
        <v>177</v>
      </c>
      <c r="E195" s="950">
        <v>10</v>
      </c>
      <c r="F195" s="644">
        <v>1968</v>
      </c>
      <c r="G195" s="948" t="s">
        <v>134</v>
      </c>
      <c r="H195" s="645" t="s">
        <v>149</v>
      </c>
      <c r="I195" s="951">
        <v>100</v>
      </c>
      <c r="J195" s="951">
        <v>0.5</v>
      </c>
      <c r="K195" s="952">
        <f t="shared" si="30"/>
        <v>2.8409090909090908E-2</v>
      </c>
      <c r="L195" s="644">
        <f t="shared" si="23"/>
        <v>18</v>
      </c>
      <c r="M195" s="935">
        <v>0.75</v>
      </c>
      <c r="N195" s="936">
        <f t="shared" si="24"/>
        <v>0.75</v>
      </c>
      <c r="O195" s="725"/>
      <c r="P195" s="725">
        <f t="shared" si="25"/>
        <v>-0.75</v>
      </c>
      <c r="Q195" s="622"/>
      <c r="R195" s="37"/>
      <c r="S195" s="37" t="str">
        <f t="shared" si="26"/>
        <v>HartleyF0</v>
      </c>
      <c r="T195" s="37" t="str">
        <f t="shared" si="27"/>
        <v>1968F0</v>
      </c>
      <c r="U195" s="429">
        <v>100</v>
      </c>
      <c r="V195" s="1029">
        <v>0.5</v>
      </c>
      <c r="W195" s="598">
        <v>0.02</v>
      </c>
      <c r="X195" s="429"/>
      <c r="Y195" s="37" t="str">
        <f t="shared" si="28"/>
        <v>F0100</v>
      </c>
      <c r="Z195" s="37" t="str">
        <f t="shared" si="29"/>
        <v>F00.5</v>
      </c>
      <c r="AA195" s="37" t="str">
        <f t="shared" si="31"/>
        <v>F00.02</v>
      </c>
      <c r="AB195" s="498" t="str">
        <f t="shared" si="22"/>
        <v>F018</v>
      </c>
      <c r="AC195" s="572"/>
      <c r="AD195" s="572"/>
      <c r="AE195" s="572"/>
      <c r="AF195" s="572"/>
    </row>
    <row r="196" spans="1:32">
      <c r="A196" s="947">
        <f t="shared" si="32"/>
        <v>189</v>
      </c>
      <c r="B196" s="948">
        <v>7</v>
      </c>
      <c r="C196" s="949">
        <v>24988</v>
      </c>
      <c r="D196" s="949" t="s">
        <v>177</v>
      </c>
      <c r="E196" s="950">
        <v>30</v>
      </c>
      <c r="F196" s="644">
        <v>1968</v>
      </c>
      <c r="G196" s="948" t="s">
        <v>134</v>
      </c>
      <c r="H196" s="645" t="s">
        <v>149</v>
      </c>
      <c r="I196" s="951">
        <v>67</v>
      </c>
      <c r="J196" s="951">
        <v>1</v>
      </c>
      <c r="K196" s="952">
        <f t="shared" si="30"/>
        <v>3.806818181818182E-2</v>
      </c>
      <c r="L196" s="644">
        <f t="shared" si="23"/>
        <v>17</v>
      </c>
      <c r="M196" s="935">
        <v>0.71527777777777779</v>
      </c>
      <c r="N196" s="936">
        <f t="shared" si="24"/>
        <v>0.71527777777777779</v>
      </c>
      <c r="O196" s="725"/>
      <c r="P196" s="725">
        <f t="shared" si="25"/>
        <v>-0.71527777777777779</v>
      </c>
      <c r="Q196" s="622"/>
      <c r="R196" s="37"/>
      <c r="S196" s="37" t="str">
        <f t="shared" si="26"/>
        <v>HartleyF0</v>
      </c>
      <c r="T196" s="37" t="str">
        <f t="shared" si="27"/>
        <v>1968F0</v>
      </c>
      <c r="U196" s="429">
        <v>50</v>
      </c>
      <c r="V196" s="1029">
        <v>1</v>
      </c>
      <c r="W196" s="598">
        <v>0.02</v>
      </c>
      <c r="X196" s="429"/>
      <c r="Y196" s="37" t="str">
        <f t="shared" si="28"/>
        <v>F050</v>
      </c>
      <c r="Z196" s="37" t="str">
        <f t="shared" si="29"/>
        <v>F01</v>
      </c>
      <c r="AA196" s="37" t="str">
        <f t="shared" si="31"/>
        <v>F00.02</v>
      </c>
      <c r="AB196" s="498" t="str">
        <f t="shared" si="22"/>
        <v>F017</v>
      </c>
      <c r="AC196" s="572"/>
      <c r="AD196" s="572"/>
      <c r="AE196" s="572"/>
      <c r="AF196" s="572"/>
    </row>
    <row r="197" spans="1:32">
      <c r="A197" s="947">
        <f t="shared" si="32"/>
        <v>190</v>
      </c>
      <c r="B197" s="948">
        <v>8</v>
      </c>
      <c r="C197" s="949">
        <v>24989</v>
      </c>
      <c r="D197" s="949" t="s">
        <v>177</v>
      </c>
      <c r="E197" s="950">
        <v>31</v>
      </c>
      <c r="F197" s="644">
        <v>1968</v>
      </c>
      <c r="G197" s="948" t="s">
        <v>144</v>
      </c>
      <c r="H197" s="645" t="s">
        <v>149</v>
      </c>
      <c r="I197" s="951">
        <v>17</v>
      </c>
      <c r="J197" s="951">
        <v>0.2</v>
      </c>
      <c r="K197" s="952">
        <f t="shared" si="30"/>
        <v>1.9318181818181819E-3</v>
      </c>
      <c r="L197" s="644">
        <f t="shared" si="23"/>
        <v>16</v>
      </c>
      <c r="M197" s="935">
        <v>0.6875</v>
      </c>
      <c r="N197" s="936">
        <f t="shared" si="24"/>
        <v>0.6875</v>
      </c>
      <c r="O197" s="725"/>
      <c r="P197" s="725">
        <f t="shared" si="25"/>
        <v>-0.6875</v>
      </c>
      <c r="Q197" s="622"/>
      <c r="R197" s="37"/>
      <c r="S197" s="37" t="str">
        <f t="shared" si="26"/>
        <v>Deaf SmithF0</v>
      </c>
      <c r="T197" s="37" t="str">
        <f t="shared" si="27"/>
        <v>1968F0</v>
      </c>
      <c r="U197" s="429">
        <v>10</v>
      </c>
      <c r="V197" s="1029">
        <v>0.2</v>
      </c>
      <c r="W197" s="598">
        <v>2E-3</v>
      </c>
      <c r="X197" s="429"/>
      <c r="Y197" s="37" t="str">
        <f t="shared" si="28"/>
        <v>F010</v>
      </c>
      <c r="Z197" s="37" t="str">
        <f t="shared" si="29"/>
        <v>F00.2</v>
      </c>
      <c r="AA197" s="37" t="str">
        <f t="shared" si="31"/>
        <v>F00.002</v>
      </c>
      <c r="AB197" s="498" t="str">
        <f t="shared" si="22"/>
        <v>F016</v>
      </c>
      <c r="AC197" s="572"/>
      <c r="AD197" s="572"/>
      <c r="AE197" s="572"/>
      <c r="AF197" s="572"/>
    </row>
    <row r="198" spans="1:32">
      <c r="A198" s="947">
        <f t="shared" si="32"/>
        <v>191</v>
      </c>
      <c r="B198" s="948">
        <v>9</v>
      </c>
      <c r="C198" s="949">
        <v>24995</v>
      </c>
      <c r="D198" s="949" t="s">
        <v>178</v>
      </c>
      <c r="E198" s="950">
        <v>6</v>
      </c>
      <c r="F198" s="644">
        <v>1968</v>
      </c>
      <c r="G198" s="948" t="s">
        <v>132</v>
      </c>
      <c r="H198" s="645" t="s">
        <v>149</v>
      </c>
      <c r="I198" s="951">
        <v>10</v>
      </c>
      <c r="J198" s="951">
        <v>0.1</v>
      </c>
      <c r="K198" s="952">
        <f t="shared" si="30"/>
        <v>5.6818181818181826E-4</v>
      </c>
      <c r="L198" s="644">
        <f t="shared" si="23"/>
        <v>16</v>
      </c>
      <c r="M198" s="935">
        <v>0.67708333333333337</v>
      </c>
      <c r="N198" s="936">
        <f t="shared" si="24"/>
        <v>0.67708333333333337</v>
      </c>
      <c r="O198" s="725"/>
      <c r="P198" s="725">
        <f t="shared" si="25"/>
        <v>-0.67708333333333337</v>
      </c>
      <c r="Q198" s="622"/>
      <c r="R198" s="37"/>
      <c r="S198" s="37" t="str">
        <f t="shared" si="26"/>
        <v>OchiltreeF0</v>
      </c>
      <c r="T198" s="37" t="str">
        <f t="shared" si="27"/>
        <v>1968F0</v>
      </c>
      <c r="U198" s="429">
        <v>10</v>
      </c>
      <c r="V198" s="1029">
        <v>0.1</v>
      </c>
      <c r="W198" s="598">
        <v>1E-3</v>
      </c>
      <c r="X198" s="429"/>
      <c r="Y198" s="37" t="str">
        <f t="shared" si="28"/>
        <v>F010</v>
      </c>
      <c r="Z198" s="37" t="str">
        <f t="shared" si="29"/>
        <v>F00.1</v>
      </c>
      <c r="AA198" s="37" t="str">
        <f t="shared" si="31"/>
        <v>F00.001</v>
      </c>
      <c r="AB198" s="498" t="str">
        <f t="shared" si="22"/>
        <v>F016</v>
      </c>
      <c r="AC198" s="572"/>
      <c r="AD198" s="572"/>
      <c r="AE198" s="572"/>
      <c r="AF198" s="572"/>
    </row>
    <row r="199" spans="1:32">
      <c r="A199" s="947">
        <f t="shared" si="32"/>
        <v>192</v>
      </c>
      <c r="B199" s="948">
        <v>10</v>
      </c>
      <c r="C199" s="949">
        <v>24996</v>
      </c>
      <c r="D199" s="949" t="s">
        <v>178</v>
      </c>
      <c r="E199" s="950">
        <v>7</v>
      </c>
      <c r="F199" s="644">
        <v>1968</v>
      </c>
      <c r="G199" s="948" t="s">
        <v>130</v>
      </c>
      <c r="H199" s="645" t="s">
        <v>149</v>
      </c>
      <c r="I199" s="951">
        <v>33</v>
      </c>
      <c r="J199" s="951">
        <v>0.5</v>
      </c>
      <c r="K199" s="952">
        <f t="shared" si="30"/>
        <v>9.3749999999999997E-3</v>
      </c>
      <c r="L199" s="644">
        <f t="shared" si="23"/>
        <v>21</v>
      </c>
      <c r="M199" s="935">
        <v>0.89236111111111116</v>
      </c>
      <c r="N199" s="936">
        <f t="shared" si="24"/>
        <v>0.89236111111111116</v>
      </c>
      <c r="O199" s="725"/>
      <c r="P199" s="725">
        <f t="shared" si="25"/>
        <v>-0.89236111111111116</v>
      </c>
      <c r="Q199" s="622"/>
      <c r="R199" s="37"/>
      <c r="S199" s="37" t="str">
        <f t="shared" si="26"/>
        <v>ShermanF0</v>
      </c>
      <c r="T199" s="37" t="str">
        <f t="shared" si="27"/>
        <v>1968F0</v>
      </c>
      <c r="U199" s="429">
        <v>20</v>
      </c>
      <c r="V199" s="1029">
        <v>0.5</v>
      </c>
      <c r="W199" s="598">
        <v>5.0000000000000001E-3</v>
      </c>
      <c r="X199" s="429"/>
      <c r="Y199" s="37" t="str">
        <f t="shared" si="28"/>
        <v>F020</v>
      </c>
      <c r="Z199" s="37" t="str">
        <f t="shared" si="29"/>
        <v>F00.5</v>
      </c>
      <c r="AA199" s="37" t="str">
        <f t="shared" si="31"/>
        <v>F00.005</v>
      </c>
      <c r="AB199" s="498" t="str">
        <f t="shared" ref="AB199:AB262" si="33">CONCATENATE(H199,L199)</f>
        <v>F021</v>
      </c>
      <c r="AC199" s="572"/>
      <c r="AD199" s="572"/>
      <c r="AE199" s="572"/>
      <c r="AF199" s="572"/>
    </row>
    <row r="200" spans="1:32">
      <c r="A200" s="947">
        <f t="shared" si="32"/>
        <v>193</v>
      </c>
      <c r="B200" s="948">
        <v>11</v>
      </c>
      <c r="C200" s="949">
        <v>24997</v>
      </c>
      <c r="D200" s="949" t="s">
        <v>178</v>
      </c>
      <c r="E200" s="950">
        <v>8</v>
      </c>
      <c r="F200" s="644">
        <v>1968</v>
      </c>
      <c r="G200" s="948" t="s">
        <v>128</v>
      </c>
      <c r="H200" s="645" t="s">
        <v>151</v>
      </c>
      <c r="I200" s="951">
        <v>33</v>
      </c>
      <c r="J200" s="951">
        <v>0.8</v>
      </c>
      <c r="K200" s="952">
        <f t="shared" si="30"/>
        <v>1.4999999999999999E-2</v>
      </c>
      <c r="L200" s="644">
        <f t="shared" ref="L200:L220" si="34">HOUR(N200)</f>
        <v>17</v>
      </c>
      <c r="M200" s="935">
        <v>0.72916666666666663</v>
      </c>
      <c r="N200" s="936">
        <f t="shared" ref="N200:N263" si="35">+M200</f>
        <v>0.72916666666666663</v>
      </c>
      <c r="O200" s="725"/>
      <c r="P200" s="725">
        <f t="shared" ref="P200:P263" si="36">+O200-N200</f>
        <v>-0.72916666666666663</v>
      </c>
      <c r="Q200" s="622"/>
      <c r="R200" s="37"/>
      <c r="S200" s="37" t="str">
        <f t="shared" ref="S200:S263" si="37">CONCATENATE(G200,H200)</f>
        <v>BeaverF2</v>
      </c>
      <c r="T200" s="37" t="str">
        <f t="shared" ref="T200:T263" si="38">CONCATENATE(F200,H200)</f>
        <v>1968F2</v>
      </c>
      <c r="U200" s="429">
        <v>20</v>
      </c>
      <c r="V200" s="1029">
        <v>0.5</v>
      </c>
      <c r="W200" s="598">
        <v>0.01</v>
      </c>
      <c r="X200" s="429"/>
      <c r="Y200" s="37" t="str">
        <f t="shared" ref="Y200:Y263" si="39">CONCATENATE(H200,U200)</f>
        <v>F220</v>
      </c>
      <c r="Z200" s="37" t="str">
        <f t="shared" ref="Z200:Z263" si="40">CONCATENATE(H200,V200)</f>
        <v>F20.5</v>
      </c>
      <c r="AA200" s="37" t="str">
        <f t="shared" si="31"/>
        <v>F20.01</v>
      </c>
      <c r="AB200" s="498" t="str">
        <f t="shared" si="33"/>
        <v>F217</v>
      </c>
      <c r="AC200" s="572"/>
      <c r="AD200" s="572"/>
      <c r="AE200" s="572"/>
      <c r="AF200" s="572"/>
    </row>
    <row r="201" spans="1:32">
      <c r="A201" s="947">
        <f t="shared" si="32"/>
        <v>194</v>
      </c>
      <c r="B201" s="948">
        <v>12</v>
      </c>
      <c r="C201" s="949">
        <v>24998</v>
      </c>
      <c r="D201" s="949" t="s">
        <v>178</v>
      </c>
      <c r="E201" s="950">
        <v>9</v>
      </c>
      <c r="F201" s="644">
        <v>1968</v>
      </c>
      <c r="G201" s="948" t="s">
        <v>146</v>
      </c>
      <c r="H201" s="645" t="s">
        <v>149</v>
      </c>
      <c r="I201" s="951">
        <v>17</v>
      </c>
      <c r="J201" s="951">
        <v>1</v>
      </c>
      <c r="K201" s="952">
        <f t="shared" ref="K201:K264" si="41">+(I201/1760)*J201</f>
        <v>9.6590909090909088E-3</v>
      </c>
      <c r="L201" s="644">
        <f t="shared" si="34"/>
        <v>8</v>
      </c>
      <c r="M201" s="935">
        <v>0.35416666666666669</v>
      </c>
      <c r="N201" s="936">
        <f t="shared" si="35"/>
        <v>0.35416666666666669</v>
      </c>
      <c r="O201" s="725"/>
      <c r="P201" s="725">
        <f t="shared" si="36"/>
        <v>-0.35416666666666669</v>
      </c>
      <c r="Q201" s="622"/>
      <c r="R201" s="37"/>
      <c r="S201" s="37" t="str">
        <f t="shared" si="37"/>
        <v>ArmstrongF0</v>
      </c>
      <c r="T201" s="37" t="str">
        <f t="shared" si="38"/>
        <v>1968F0</v>
      </c>
      <c r="U201" s="429">
        <v>10</v>
      </c>
      <c r="V201" s="1029">
        <v>1</v>
      </c>
      <c r="W201" s="598">
        <v>0.01</v>
      </c>
      <c r="X201" s="429"/>
      <c r="Y201" s="37" t="str">
        <f t="shared" si="39"/>
        <v>F010</v>
      </c>
      <c r="Z201" s="37" t="str">
        <f t="shared" si="40"/>
        <v>F01</v>
      </c>
      <c r="AA201" s="37" t="str">
        <f t="shared" ref="AA201:AA264" si="42">CONCATENATE(H201,W201)</f>
        <v>F00.01</v>
      </c>
      <c r="AB201" s="498" t="str">
        <f t="shared" si="33"/>
        <v>F08</v>
      </c>
      <c r="AC201" s="572"/>
      <c r="AD201" s="572"/>
      <c r="AE201" s="572"/>
      <c r="AF201" s="572"/>
    </row>
    <row r="202" spans="1:32">
      <c r="A202" s="947">
        <f t="shared" ref="A202:A265" si="43">+A201+1</f>
        <v>195</v>
      </c>
      <c r="B202" s="948">
        <v>13</v>
      </c>
      <c r="C202" s="949">
        <v>24998</v>
      </c>
      <c r="D202" s="949" t="s">
        <v>178</v>
      </c>
      <c r="E202" s="950">
        <v>9</v>
      </c>
      <c r="F202" s="644">
        <v>1968</v>
      </c>
      <c r="G202" s="948" t="s">
        <v>138</v>
      </c>
      <c r="H202" s="645" t="s">
        <v>150</v>
      </c>
      <c r="I202" s="951">
        <v>100</v>
      </c>
      <c r="J202" s="951">
        <v>0.1</v>
      </c>
      <c r="K202" s="952">
        <f t="shared" si="41"/>
        <v>5.681818181818182E-3</v>
      </c>
      <c r="L202" s="644">
        <f t="shared" si="34"/>
        <v>13</v>
      </c>
      <c r="M202" s="935">
        <v>0.5625</v>
      </c>
      <c r="N202" s="936">
        <f t="shared" si="35"/>
        <v>0.5625</v>
      </c>
      <c r="O202" s="725"/>
      <c r="P202" s="725">
        <f t="shared" si="36"/>
        <v>-0.5625</v>
      </c>
      <c r="Q202" s="622"/>
      <c r="R202" s="37"/>
      <c r="S202" s="37" t="str">
        <f t="shared" si="37"/>
        <v>HemphillF1</v>
      </c>
      <c r="T202" s="37" t="str">
        <f t="shared" si="38"/>
        <v>1968F1</v>
      </c>
      <c r="U202" s="429">
        <v>100</v>
      </c>
      <c r="V202" s="1029">
        <v>0.1</v>
      </c>
      <c r="W202" s="598">
        <v>5.0000000000000001E-3</v>
      </c>
      <c r="X202" s="429"/>
      <c r="Y202" s="37" t="str">
        <f t="shared" si="39"/>
        <v>F1100</v>
      </c>
      <c r="Z202" s="37" t="str">
        <f t="shared" si="40"/>
        <v>F10.1</v>
      </c>
      <c r="AA202" s="37" t="str">
        <f t="shared" si="42"/>
        <v>F10.005</v>
      </c>
      <c r="AB202" s="498" t="str">
        <f t="shared" si="33"/>
        <v>F113</v>
      </c>
      <c r="AC202" s="572"/>
      <c r="AD202" s="572"/>
      <c r="AE202" s="572"/>
      <c r="AF202" s="572"/>
    </row>
    <row r="203" spans="1:32">
      <c r="A203" s="947">
        <f t="shared" si="43"/>
        <v>196</v>
      </c>
      <c r="B203" s="948">
        <v>14</v>
      </c>
      <c r="C203" s="949">
        <v>25028</v>
      </c>
      <c r="D203" s="949" t="s">
        <v>179</v>
      </c>
      <c r="E203" s="950">
        <v>9</v>
      </c>
      <c r="F203" s="644">
        <v>1968</v>
      </c>
      <c r="G203" s="948" t="s">
        <v>127</v>
      </c>
      <c r="H203" s="645" t="s">
        <v>149</v>
      </c>
      <c r="I203" s="951">
        <v>10</v>
      </c>
      <c r="J203" s="951">
        <v>0.1</v>
      </c>
      <c r="K203" s="952">
        <f t="shared" si="41"/>
        <v>5.6818181818181826E-4</v>
      </c>
      <c r="L203" s="644">
        <f t="shared" si="34"/>
        <v>18</v>
      </c>
      <c r="M203" s="935">
        <v>0.76041666666666663</v>
      </c>
      <c r="N203" s="936">
        <f t="shared" si="35"/>
        <v>0.76041666666666663</v>
      </c>
      <c r="O203" s="725"/>
      <c r="P203" s="725">
        <f t="shared" si="36"/>
        <v>-0.76041666666666663</v>
      </c>
      <c r="Q203" s="622"/>
      <c r="R203" s="37"/>
      <c r="S203" s="37" t="str">
        <f t="shared" si="37"/>
        <v>TexasF0</v>
      </c>
      <c r="T203" s="37" t="str">
        <f t="shared" si="38"/>
        <v>1968F0</v>
      </c>
      <c r="U203" s="429">
        <v>10</v>
      </c>
      <c r="V203" s="1029">
        <v>0.1</v>
      </c>
      <c r="W203" s="598">
        <v>1E-3</v>
      </c>
      <c r="X203" s="429"/>
      <c r="Y203" s="37" t="str">
        <f t="shared" si="39"/>
        <v>F010</v>
      </c>
      <c r="Z203" s="37" t="str">
        <f t="shared" si="40"/>
        <v>F00.1</v>
      </c>
      <c r="AA203" s="37" t="str">
        <f t="shared" si="42"/>
        <v>F00.001</v>
      </c>
      <c r="AB203" s="498" t="str">
        <f t="shared" si="33"/>
        <v>F018</v>
      </c>
      <c r="AC203" s="572"/>
      <c r="AD203" s="572"/>
      <c r="AE203" s="572"/>
      <c r="AF203" s="572"/>
    </row>
    <row r="204" spans="1:32">
      <c r="A204" s="947">
        <f t="shared" si="43"/>
        <v>197</v>
      </c>
      <c r="B204" s="948">
        <v>15</v>
      </c>
      <c r="C204" s="949">
        <v>25036</v>
      </c>
      <c r="D204" s="949" t="s">
        <v>179</v>
      </c>
      <c r="E204" s="950">
        <v>17</v>
      </c>
      <c r="F204" s="644">
        <v>1968</v>
      </c>
      <c r="G204" s="948" t="s">
        <v>141</v>
      </c>
      <c r="H204" s="645" t="s">
        <v>149</v>
      </c>
      <c r="I204" s="951">
        <v>100</v>
      </c>
      <c r="J204" s="951">
        <v>0.5</v>
      </c>
      <c r="K204" s="952">
        <f t="shared" si="41"/>
        <v>2.8409090909090908E-2</v>
      </c>
      <c r="L204" s="644">
        <f t="shared" si="34"/>
        <v>17</v>
      </c>
      <c r="M204" s="935">
        <v>0.72916666666666663</v>
      </c>
      <c r="N204" s="936">
        <f t="shared" si="35"/>
        <v>0.72916666666666663</v>
      </c>
      <c r="O204" s="725">
        <v>0.74305555555555547</v>
      </c>
      <c r="P204" s="725">
        <f t="shared" si="36"/>
        <v>1.388888888888884E-2</v>
      </c>
      <c r="Q204" s="622" t="s">
        <v>1186</v>
      </c>
      <c r="R204" s="37"/>
      <c r="S204" s="37" t="str">
        <f t="shared" si="37"/>
        <v>CarsonF0</v>
      </c>
      <c r="T204" s="37" t="str">
        <f t="shared" si="38"/>
        <v>1968F0</v>
      </c>
      <c r="U204" s="429">
        <v>100</v>
      </c>
      <c r="V204" s="1029">
        <v>0.5</v>
      </c>
      <c r="W204" s="598">
        <v>0.02</v>
      </c>
      <c r="X204" s="429"/>
      <c r="Y204" s="37" t="str">
        <f t="shared" si="39"/>
        <v>F0100</v>
      </c>
      <c r="Z204" s="37" t="str">
        <f t="shared" si="40"/>
        <v>F00.5</v>
      </c>
      <c r="AA204" s="37" t="str">
        <f t="shared" si="42"/>
        <v>F00.02</v>
      </c>
      <c r="AB204" s="498" t="str">
        <f t="shared" si="33"/>
        <v>F017</v>
      </c>
      <c r="AC204" s="572"/>
      <c r="AD204" s="572"/>
      <c r="AE204" s="572"/>
      <c r="AF204" s="572"/>
    </row>
    <row r="205" spans="1:32" ht="25.5">
      <c r="A205" s="947">
        <f t="shared" si="43"/>
        <v>198</v>
      </c>
      <c r="B205" s="948">
        <v>16</v>
      </c>
      <c r="C205" s="949">
        <v>25036</v>
      </c>
      <c r="D205" s="949" t="s">
        <v>179</v>
      </c>
      <c r="E205" s="950">
        <v>17</v>
      </c>
      <c r="F205" s="644">
        <v>1968</v>
      </c>
      <c r="G205" s="948" t="s">
        <v>141</v>
      </c>
      <c r="H205" s="645" t="s">
        <v>149</v>
      </c>
      <c r="I205" s="951">
        <v>33</v>
      </c>
      <c r="J205" s="951">
        <v>4.5</v>
      </c>
      <c r="K205" s="952">
        <f t="shared" si="41"/>
        <v>8.4374999999999992E-2</v>
      </c>
      <c r="L205" s="644">
        <f t="shared" si="34"/>
        <v>20</v>
      </c>
      <c r="M205" s="935">
        <v>0.83472222222222225</v>
      </c>
      <c r="N205" s="936">
        <f t="shared" si="35"/>
        <v>0.83472222222222225</v>
      </c>
      <c r="O205" s="725"/>
      <c r="P205" s="725">
        <f t="shared" si="36"/>
        <v>-0.83472222222222225</v>
      </c>
      <c r="Q205" s="622" t="s">
        <v>1185</v>
      </c>
      <c r="R205" s="37"/>
      <c r="S205" s="37" t="str">
        <f t="shared" si="37"/>
        <v>CarsonF0</v>
      </c>
      <c r="T205" s="37" t="str">
        <f t="shared" si="38"/>
        <v>1968F0</v>
      </c>
      <c r="U205" s="429">
        <v>20</v>
      </c>
      <c r="V205" s="1029">
        <v>2</v>
      </c>
      <c r="W205" s="598">
        <v>0.05</v>
      </c>
      <c r="X205" s="429"/>
      <c r="Y205" s="37" t="str">
        <f t="shared" si="39"/>
        <v>F020</v>
      </c>
      <c r="Z205" s="37" t="str">
        <f t="shared" si="40"/>
        <v>F02</v>
      </c>
      <c r="AA205" s="37" t="str">
        <f t="shared" si="42"/>
        <v>F00.05</v>
      </c>
      <c r="AB205" s="498" t="str">
        <f t="shared" si="33"/>
        <v>F020</v>
      </c>
      <c r="AC205" s="572"/>
      <c r="AD205" s="572"/>
      <c r="AE205" s="572"/>
      <c r="AF205" s="572"/>
    </row>
    <row r="206" spans="1:32">
      <c r="A206" s="947">
        <f t="shared" si="43"/>
        <v>199</v>
      </c>
      <c r="B206" s="948">
        <v>17</v>
      </c>
      <c r="C206" s="949">
        <v>25036</v>
      </c>
      <c r="D206" s="949" t="s">
        <v>179</v>
      </c>
      <c r="E206" s="950">
        <v>17</v>
      </c>
      <c r="F206" s="644">
        <v>1968</v>
      </c>
      <c r="G206" s="948" t="s">
        <v>141</v>
      </c>
      <c r="H206" s="645" t="s">
        <v>149</v>
      </c>
      <c r="I206" s="951">
        <v>33</v>
      </c>
      <c r="J206" s="951">
        <v>3.6</v>
      </c>
      <c r="K206" s="952">
        <f t="shared" si="41"/>
        <v>6.7500000000000004E-2</v>
      </c>
      <c r="L206" s="644">
        <f t="shared" si="34"/>
        <v>20</v>
      </c>
      <c r="M206" s="935">
        <v>0.83472222222222225</v>
      </c>
      <c r="N206" s="936">
        <f t="shared" si="35"/>
        <v>0.83472222222222225</v>
      </c>
      <c r="O206" s="725"/>
      <c r="P206" s="725">
        <f t="shared" si="36"/>
        <v>-0.83472222222222225</v>
      </c>
      <c r="Q206" s="622"/>
      <c r="R206" s="37"/>
      <c r="S206" s="37" t="str">
        <f t="shared" si="37"/>
        <v>CarsonF0</v>
      </c>
      <c r="T206" s="37" t="str">
        <f t="shared" si="38"/>
        <v>1968F0</v>
      </c>
      <c r="U206" s="429">
        <v>20</v>
      </c>
      <c r="V206" s="1029">
        <v>2</v>
      </c>
      <c r="W206" s="598">
        <v>0.05</v>
      </c>
      <c r="X206" s="429"/>
      <c r="Y206" s="37" t="str">
        <f t="shared" si="39"/>
        <v>F020</v>
      </c>
      <c r="Z206" s="37" t="str">
        <f t="shared" si="40"/>
        <v>F02</v>
      </c>
      <c r="AA206" s="37" t="str">
        <f t="shared" si="42"/>
        <v>F00.05</v>
      </c>
      <c r="AB206" s="498" t="str">
        <f t="shared" si="33"/>
        <v>F020</v>
      </c>
      <c r="AC206" s="572"/>
      <c r="AD206" s="572"/>
      <c r="AE206" s="572"/>
      <c r="AF206" s="572"/>
    </row>
    <row r="207" spans="1:32">
      <c r="A207" s="947">
        <f t="shared" si="43"/>
        <v>200</v>
      </c>
      <c r="B207" s="948">
        <v>18</v>
      </c>
      <c r="C207" s="949">
        <v>25036</v>
      </c>
      <c r="D207" s="949" t="s">
        <v>179</v>
      </c>
      <c r="E207" s="950">
        <v>17</v>
      </c>
      <c r="F207" s="644">
        <v>1968</v>
      </c>
      <c r="G207" s="948" t="s">
        <v>143</v>
      </c>
      <c r="H207" s="645" t="s">
        <v>149</v>
      </c>
      <c r="I207" s="951">
        <v>10</v>
      </c>
      <c r="J207" s="951">
        <v>0.1</v>
      </c>
      <c r="K207" s="952">
        <f t="shared" si="41"/>
        <v>5.6818181818181826E-4</v>
      </c>
      <c r="L207" s="644">
        <f t="shared" si="34"/>
        <v>20</v>
      </c>
      <c r="M207" s="935">
        <v>0.85763888888888884</v>
      </c>
      <c r="N207" s="936">
        <f t="shared" si="35"/>
        <v>0.85763888888888884</v>
      </c>
      <c r="O207" s="725">
        <v>0.86597222222222225</v>
      </c>
      <c r="P207" s="725">
        <f t="shared" si="36"/>
        <v>8.3333333333334147E-3</v>
      </c>
      <c r="Q207" s="622" t="s">
        <v>1187</v>
      </c>
      <c r="R207" s="37"/>
      <c r="S207" s="37" t="str">
        <f t="shared" si="37"/>
        <v>WheelerF0</v>
      </c>
      <c r="T207" s="37" t="str">
        <f t="shared" si="38"/>
        <v>1968F0</v>
      </c>
      <c r="U207" s="429">
        <v>10</v>
      </c>
      <c r="V207" s="1029">
        <v>0.1</v>
      </c>
      <c r="W207" s="598">
        <v>1E-3</v>
      </c>
      <c r="X207" s="429"/>
      <c r="Y207" s="37" t="str">
        <f t="shared" si="39"/>
        <v>F010</v>
      </c>
      <c r="Z207" s="37" t="str">
        <f t="shared" si="40"/>
        <v>F00.1</v>
      </c>
      <c r="AA207" s="37" t="str">
        <f t="shared" si="42"/>
        <v>F00.001</v>
      </c>
      <c r="AB207" s="498" t="str">
        <f t="shared" si="33"/>
        <v>F020</v>
      </c>
      <c r="AC207" s="572"/>
      <c r="AD207" s="572"/>
      <c r="AE207" s="572"/>
      <c r="AF207" s="572"/>
    </row>
    <row r="208" spans="1:32">
      <c r="A208" s="947">
        <f t="shared" si="43"/>
        <v>201</v>
      </c>
      <c r="B208" s="948">
        <v>19</v>
      </c>
      <c r="C208" s="949">
        <v>25064</v>
      </c>
      <c r="D208" s="949" t="s">
        <v>180</v>
      </c>
      <c r="E208" s="950">
        <v>14</v>
      </c>
      <c r="F208" s="644">
        <v>1968</v>
      </c>
      <c r="G208" s="948" t="s">
        <v>134</v>
      </c>
      <c r="H208" s="645" t="s">
        <v>150</v>
      </c>
      <c r="I208" s="951">
        <v>17</v>
      </c>
      <c r="J208" s="951">
        <v>1</v>
      </c>
      <c r="K208" s="952">
        <f t="shared" si="41"/>
        <v>9.6590909090909088E-3</v>
      </c>
      <c r="L208" s="644">
        <f t="shared" si="34"/>
        <v>14</v>
      </c>
      <c r="M208" s="935">
        <v>0.58333333333333337</v>
      </c>
      <c r="N208" s="936">
        <f t="shared" si="35"/>
        <v>0.58333333333333337</v>
      </c>
      <c r="O208" s="725"/>
      <c r="P208" s="725">
        <f t="shared" si="36"/>
        <v>-0.58333333333333337</v>
      </c>
      <c r="Q208" s="622"/>
      <c r="R208" s="37"/>
      <c r="S208" s="37" t="str">
        <f t="shared" si="37"/>
        <v>HartleyF1</v>
      </c>
      <c r="T208" s="37" t="str">
        <f t="shared" si="38"/>
        <v>1968F1</v>
      </c>
      <c r="U208" s="429">
        <v>10</v>
      </c>
      <c r="V208" s="1029">
        <v>1</v>
      </c>
      <c r="W208" s="598">
        <v>0.01</v>
      </c>
      <c r="X208" s="429"/>
      <c r="Y208" s="37" t="str">
        <f t="shared" si="39"/>
        <v>F110</v>
      </c>
      <c r="Z208" s="37" t="str">
        <f t="shared" si="40"/>
        <v>F11</v>
      </c>
      <c r="AA208" s="37" t="str">
        <f t="shared" si="42"/>
        <v>F10.01</v>
      </c>
      <c r="AB208" s="498" t="str">
        <f t="shared" si="33"/>
        <v>F114</v>
      </c>
      <c r="AC208" s="572"/>
      <c r="AD208" s="572"/>
      <c r="AE208" s="572"/>
      <c r="AF208" s="572"/>
    </row>
    <row r="209" spans="1:32">
      <c r="A209" s="947">
        <f t="shared" si="43"/>
        <v>202</v>
      </c>
      <c r="B209" s="948">
        <v>20</v>
      </c>
      <c r="C209" s="949">
        <v>25064</v>
      </c>
      <c r="D209" s="949" t="s">
        <v>180</v>
      </c>
      <c r="E209" s="950">
        <v>14</v>
      </c>
      <c r="F209" s="644">
        <v>1968</v>
      </c>
      <c r="G209" s="948" t="s">
        <v>140</v>
      </c>
      <c r="H209" s="645" t="s">
        <v>149</v>
      </c>
      <c r="I209" s="951">
        <v>17</v>
      </c>
      <c r="J209" s="951">
        <v>0.2</v>
      </c>
      <c r="K209" s="952">
        <f t="shared" si="41"/>
        <v>1.9318181818181819E-3</v>
      </c>
      <c r="L209" s="644">
        <f t="shared" si="34"/>
        <v>16</v>
      </c>
      <c r="M209" s="935">
        <v>0.69444444444444453</v>
      </c>
      <c r="N209" s="936">
        <f t="shared" si="35"/>
        <v>0.69444444444444453</v>
      </c>
      <c r="O209" s="725"/>
      <c r="P209" s="725">
        <f t="shared" si="36"/>
        <v>-0.69444444444444453</v>
      </c>
      <c r="Q209" s="622"/>
      <c r="R209" s="37"/>
      <c r="S209" s="37" t="str">
        <f t="shared" si="37"/>
        <v>PotterF0</v>
      </c>
      <c r="T209" s="37" t="str">
        <f t="shared" si="38"/>
        <v>1968F0</v>
      </c>
      <c r="U209" s="429">
        <v>10</v>
      </c>
      <c r="V209" s="1029">
        <v>0.2</v>
      </c>
      <c r="W209" s="598">
        <v>2E-3</v>
      </c>
      <c r="X209" s="429"/>
      <c r="Y209" s="37" t="str">
        <f t="shared" si="39"/>
        <v>F010</v>
      </c>
      <c r="Z209" s="37" t="str">
        <f t="shared" si="40"/>
        <v>F00.2</v>
      </c>
      <c r="AA209" s="37" t="str">
        <f t="shared" si="42"/>
        <v>F00.002</v>
      </c>
      <c r="AB209" s="498" t="str">
        <f t="shared" si="33"/>
        <v>F016</v>
      </c>
      <c r="AC209" s="572"/>
      <c r="AD209" s="572"/>
      <c r="AE209" s="572"/>
      <c r="AF209" s="572"/>
    </row>
    <row r="210" spans="1:32">
      <c r="A210" s="947">
        <f t="shared" si="43"/>
        <v>203</v>
      </c>
      <c r="B210" s="948">
        <v>21</v>
      </c>
      <c r="C210" s="949">
        <v>25119</v>
      </c>
      <c r="D210" s="949" t="s">
        <v>182</v>
      </c>
      <c r="E210" s="950">
        <v>8</v>
      </c>
      <c r="F210" s="644">
        <v>1968</v>
      </c>
      <c r="G210" s="948" t="s">
        <v>137</v>
      </c>
      <c r="H210" s="645" t="s">
        <v>149</v>
      </c>
      <c r="I210" s="951">
        <v>13</v>
      </c>
      <c r="J210" s="951">
        <v>0.1</v>
      </c>
      <c r="K210" s="952">
        <f t="shared" si="41"/>
        <v>7.3863636363636362E-4</v>
      </c>
      <c r="L210" s="644">
        <f t="shared" si="34"/>
        <v>15</v>
      </c>
      <c r="M210" s="935">
        <v>0.63888888888888895</v>
      </c>
      <c r="N210" s="936">
        <f t="shared" si="35"/>
        <v>0.63888888888888895</v>
      </c>
      <c r="O210" s="725"/>
      <c r="P210" s="725">
        <f t="shared" si="36"/>
        <v>-0.63888888888888895</v>
      </c>
      <c r="Q210" s="622"/>
      <c r="R210" s="37"/>
      <c r="S210" s="37" t="str">
        <f t="shared" si="37"/>
        <v>RobertsF0</v>
      </c>
      <c r="T210" s="37" t="str">
        <f t="shared" si="38"/>
        <v>1968F0</v>
      </c>
      <c r="U210" s="429">
        <v>10</v>
      </c>
      <c r="V210" s="1029">
        <v>0.1</v>
      </c>
      <c r="W210" s="598">
        <v>1E-3</v>
      </c>
      <c r="X210" s="429"/>
      <c r="Y210" s="37" t="str">
        <f t="shared" si="39"/>
        <v>F010</v>
      </c>
      <c r="Z210" s="37" t="str">
        <f t="shared" si="40"/>
        <v>F00.1</v>
      </c>
      <c r="AA210" s="37" t="str">
        <f t="shared" si="42"/>
        <v>F00.001</v>
      </c>
      <c r="AB210" s="498" t="str">
        <f t="shared" si="33"/>
        <v>F015</v>
      </c>
      <c r="AC210" s="572"/>
      <c r="AD210" s="572"/>
      <c r="AE210" s="572"/>
      <c r="AF210" s="572"/>
    </row>
    <row r="211" spans="1:32">
      <c r="A211" s="947">
        <f t="shared" si="43"/>
        <v>204</v>
      </c>
      <c r="B211" s="948">
        <v>22</v>
      </c>
      <c r="C211" s="949">
        <v>25120</v>
      </c>
      <c r="D211" s="949" t="s">
        <v>182</v>
      </c>
      <c r="E211" s="950">
        <v>9</v>
      </c>
      <c r="F211" s="644">
        <v>1968</v>
      </c>
      <c r="G211" s="948" t="s">
        <v>132</v>
      </c>
      <c r="H211" s="645" t="s">
        <v>149</v>
      </c>
      <c r="I211" s="951">
        <v>17</v>
      </c>
      <c r="J211" s="951">
        <v>0.1</v>
      </c>
      <c r="K211" s="952">
        <f t="shared" si="41"/>
        <v>9.6590909090909095E-4</v>
      </c>
      <c r="L211" s="644">
        <f t="shared" si="34"/>
        <v>20</v>
      </c>
      <c r="M211" s="935">
        <v>0.83333333333333337</v>
      </c>
      <c r="N211" s="936">
        <f t="shared" si="35"/>
        <v>0.83333333333333337</v>
      </c>
      <c r="O211" s="725"/>
      <c r="P211" s="725">
        <f t="shared" si="36"/>
        <v>-0.83333333333333337</v>
      </c>
      <c r="Q211" s="622"/>
      <c r="R211" s="37"/>
      <c r="S211" s="37" t="str">
        <f t="shared" si="37"/>
        <v>OchiltreeF0</v>
      </c>
      <c r="T211" s="37" t="str">
        <f t="shared" si="38"/>
        <v>1968F0</v>
      </c>
      <c r="U211" s="429">
        <v>10</v>
      </c>
      <c r="V211" s="1029">
        <v>0.1</v>
      </c>
      <c r="W211" s="598">
        <v>1E-3</v>
      </c>
      <c r="X211" s="429"/>
      <c r="Y211" s="37" t="str">
        <f t="shared" si="39"/>
        <v>F010</v>
      </c>
      <c r="Z211" s="37" t="str">
        <f t="shared" si="40"/>
        <v>F00.1</v>
      </c>
      <c r="AA211" s="37" t="str">
        <f t="shared" si="42"/>
        <v>F00.001</v>
      </c>
      <c r="AB211" s="498" t="str">
        <f t="shared" si="33"/>
        <v>F020</v>
      </c>
      <c r="AC211" s="572"/>
      <c r="AD211" s="572"/>
      <c r="AE211" s="572"/>
      <c r="AF211" s="572"/>
    </row>
    <row r="212" spans="1:32">
      <c r="A212" s="947">
        <f t="shared" si="43"/>
        <v>205</v>
      </c>
      <c r="B212" s="948">
        <v>1</v>
      </c>
      <c r="C212" s="949">
        <v>25325</v>
      </c>
      <c r="D212" s="949" t="s">
        <v>177</v>
      </c>
      <c r="E212" s="950">
        <v>2</v>
      </c>
      <c r="F212" s="644">
        <v>1969</v>
      </c>
      <c r="G212" s="948" t="s">
        <v>140</v>
      </c>
      <c r="H212" s="645" t="s">
        <v>151</v>
      </c>
      <c r="I212" s="951">
        <v>50</v>
      </c>
      <c r="J212" s="951">
        <v>0.1</v>
      </c>
      <c r="K212" s="952">
        <f t="shared" si="41"/>
        <v>2.840909090909091E-3</v>
      </c>
      <c r="L212" s="644">
        <f t="shared" si="34"/>
        <v>16</v>
      </c>
      <c r="M212" s="935">
        <v>0.66666666666666663</v>
      </c>
      <c r="N212" s="936">
        <f t="shared" si="35"/>
        <v>0.66666666666666663</v>
      </c>
      <c r="O212" s="725"/>
      <c r="P212" s="725">
        <f t="shared" si="36"/>
        <v>-0.66666666666666663</v>
      </c>
      <c r="Q212" s="622"/>
      <c r="R212" s="37"/>
      <c r="S212" s="37" t="str">
        <f t="shared" si="37"/>
        <v>PotterF2</v>
      </c>
      <c r="T212" s="37" t="str">
        <f t="shared" si="38"/>
        <v>1969F2</v>
      </c>
      <c r="U212" s="429">
        <v>50</v>
      </c>
      <c r="V212" s="1029">
        <v>0.1</v>
      </c>
      <c r="W212" s="598">
        <v>2E-3</v>
      </c>
      <c r="X212" s="429"/>
      <c r="Y212" s="37" t="str">
        <f t="shared" si="39"/>
        <v>F250</v>
      </c>
      <c r="Z212" s="37" t="str">
        <f t="shared" si="40"/>
        <v>F20.1</v>
      </c>
      <c r="AA212" s="37" t="str">
        <f t="shared" si="42"/>
        <v>F20.002</v>
      </c>
      <c r="AB212" s="498" t="str">
        <f t="shared" si="33"/>
        <v>F216</v>
      </c>
      <c r="AC212" s="572"/>
      <c r="AD212" s="572"/>
      <c r="AE212" s="572"/>
      <c r="AF212" s="572"/>
    </row>
    <row r="213" spans="1:32">
      <c r="A213" s="947">
        <f t="shared" si="43"/>
        <v>206</v>
      </c>
      <c r="B213" s="948">
        <v>2</v>
      </c>
      <c r="C213" s="949">
        <v>25325</v>
      </c>
      <c r="D213" s="949" t="s">
        <v>177</v>
      </c>
      <c r="E213" s="950">
        <v>2</v>
      </c>
      <c r="F213" s="644">
        <v>1969</v>
      </c>
      <c r="G213" s="948" t="s">
        <v>145</v>
      </c>
      <c r="H213" s="645" t="s">
        <v>149</v>
      </c>
      <c r="I213" s="951">
        <v>33</v>
      </c>
      <c r="J213" s="951">
        <v>0.2</v>
      </c>
      <c r="K213" s="952">
        <f t="shared" si="41"/>
        <v>3.7499999999999999E-3</v>
      </c>
      <c r="L213" s="644">
        <f t="shared" si="34"/>
        <v>16</v>
      </c>
      <c r="M213" s="935">
        <v>0.6694444444444444</v>
      </c>
      <c r="N213" s="936">
        <f t="shared" si="35"/>
        <v>0.6694444444444444</v>
      </c>
      <c r="O213" s="725"/>
      <c r="P213" s="725">
        <f t="shared" si="36"/>
        <v>-0.6694444444444444</v>
      </c>
      <c r="Q213" s="622"/>
      <c r="R213" s="37"/>
      <c r="S213" s="37" t="str">
        <f t="shared" si="37"/>
        <v>RandallF0</v>
      </c>
      <c r="T213" s="37" t="str">
        <f t="shared" si="38"/>
        <v>1969F0</v>
      </c>
      <c r="U213" s="429">
        <v>20</v>
      </c>
      <c r="V213" s="1029">
        <v>0.2</v>
      </c>
      <c r="W213" s="598">
        <v>2E-3</v>
      </c>
      <c r="X213" s="429"/>
      <c r="Y213" s="37" t="str">
        <f t="shared" si="39"/>
        <v>F020</v>
      </c>
      <c r="Z213" s="37" t="str">
        <f t="shared" si="40"/>
        <v>F00.2</v>
      </c>
      <c r="AA213" s="37" t="str">
        <f t="shared" si="42"/>
        <v>F00.002</v>
      </c>
      <c r="AB213" s="498" t="str">
        <f t="shared" si="33"/>
        <v>F016</v>
      </c>
      <c r="AC213" s="572"/>
      <c r="AD213" s="572"/>
      <c r="AE213" s="572"/>
      <c r="AF213" s="572"/>
    </row>
    <row r="214" spans="1:32">
      <c r="A214" s="947">
        <f t="shared" si="43"/>
        <v>207</v>
      </c>
      <c r="B214" s="948">
        <v>3</v>
      </c>
      <c r="C214" s="949">
        <v>25325</v>
      </c>
      <c r="D214" s="949" t="s">
        <v>177</v>
      </c>
      <c r="E214" s="950">
        <v>2</v>
      </c>
      <c r="F214" s="644">
        <v>1969</v>
      </c>
      <c r="G214" s="948" t="s">
        <v>145</v>
      </c>
      <c r="H214" s="645" t="s">
        <v>149</v>
      </c>
      <c r="I214" s="951">
        <v>33</v>
      </c>
      <c r="J214" s="951">
        <v>0.2</v>
      </c>
      <c r="K214" s="952">
        <f t="shared" si="41"/>
        <v>3.7499999999999999E-3</v>
      </c>
      <c r="L214" s="644">
        <f t="shared" si="34"/>
        <v>16</v>
      </c>
      <c r="M214" s="935">
        <v>0.6875</v>
      </c>
      <c r="N214" s="936">
        <f t="shared" si="35"/>
        <v>0.6875</v>
      </c>
      <c r="O214" s="725"/>
      <c r="P214" s="725">
        <f t="shared" si="36"/>
        <v>-0.6875</v>
      </c>
      <c r="Q214" s="622"/>
      <c r="R214" s="37"/>
      <c r="S214" s="37" t="str">
        <f t="shared" si="37"/>
        <v>RandallF0</v>
      </c>
      <c r="T214" s="37" t="str">
        <f t="shared" si="38"/>
        <v>1969F0</v>
      </c>
      <c r="U214" s="429">
        <v>20</v>
      </c>
      <c r="V214" s="1029">
        <v>0.2</v>
      </c>
      <c r="W214" s="598">
        <v>2E-3</v>
      </c>
      <c r="X214" s="429"/>
      <c r="Y214" s="37" t="str">
        <f t="shared" si="39"/>
        <v>F020</v>
      </c>
      <c r="Z214" s="37" t="str">
        <f t="shared" si="40"/>
        <v>F00.2</v>
      </c>
      <c r="AA214" s="37" t="str">
        <f t="shared" si="42"/>
        <v>F00.002</v>
      </c>
      <c r="AB214" s="498" t="str">
        <f t="shared" si="33"/>
        <v>F016</v>
      </c>
      <c r="AC214" s="572"/>
      <c r="AD214" s="572"/>
      <c r="AE214" s="572"/>
      <c r="AF214" s="572"/>
    </row>
    <row r="215" spans="1:32">
      <c r="A215" s="947">
        <f t="shared" si="43"/>
        <v>208</v>
      </c>
      <c r="B215" s="948">
        <v>4</v>
      </c>
      <c r="C215" s="949">
        <v>25335</v>
      </c>
      <c r="D215" s="949" t="s">
        <v>177</v>
      </c>
      <c r="E215" s="950">
        <v>12</v>
      </c>
      <c r="F215" s="644">
        <v>1969</v>
      </c>
      <c r="G215" s="948" t="s">
        <v>137</v>
      </c>
      <c r="H215" s="645" t="s">
        <v>149</v>
      </c>
      <c r="I215" s="951">
        <v>33</v>
      </c>
      <c r="J215" s="951">
        <v>0.1</v>
      </c>
      <c r="K215" s="952">
        <f t="shared" si="41"/>
        <v>1.8749999999999999E-3</v>
      </c>
      <c r="L215" s="644">
        <f t="shared" si="34"/>
        <v>17</v>
      </c>
      <c r="M215" s="935">
        <v>0.72222222222222221</v>
      </c>
      <c r="N215" s="936">
        <f t="shared" si="35"/>
        <v>0.72222222222222221</v>
      </c>
      <c r="O215" s="725"/>
      <c r="P215" s="725">
        <f t="shared" si="36"/>
        <v>-0.72222222222222221</v>
      </c>
      <c r="Q215" s="622"/>
      <c r="R215" s="37"/>
      <c r="S215" s="37" t="str">
        <f t="shared" si="37"/>
        <v>RobertsF0</v>
      </c>
      <c r="T215" s="37" t="str">
        <f t="shared" si="38"/>
        <v>1969F0</v>
      </c>
      <c r="U215" s="429">
        <v>20</v>
      </c>
      <c r="V215" s="1029">
        <v>0.1</v>
      </c>
      <c r="W215" s="598">
        <v>2E-3</v>
      </c>
      <c r="X215" s="429"/>
      <c r="Y215" s="37" t="str">
        <f t="shared" si="39"/>
        <v>F020</v>
      </c>
      <c r="Z215" s="37" t="str">
        <f t="shared" si="40"/>
        <v>F00.1</v>
      </c>
      <c r="AA215" s="37" t="str">
        <f t="shared" si="42"/>
        <v>F00.002</v>
      </c>
      <c r="AB215" s="498" t="str">
        <f t="shared" si="33"/>
        <v>F017</v>
      </c>
      <c r="AC215" s="572"/>
      <c r="AD215" s="572"/>
      <c r="AE215" s="572"/>
      <c r="AF215" s="572"/>
    </row>
    <row r="216" spans="1:32">
      <c r="A216" s="947">
        <f t="shared" si="43"/>
        <v>209</v>
      </c>
      <c r="B216" s="948">
        <v>5</v>
      </c>
      <c r="C216" s="949">
        <v>25335</v>
      </c>
      <c r="D216" s="949" t="s">
        <v>177</v>
      </c>
      <c r="E216" s="950">
        <v>12</v>
      </c>
      <c r="F216" s="644">
        <v>1969</v>
      </c>
      <c r="G216" s="948" t="s">
        <v>143</v>
      </c>
      <c r="H216" s="645" t="s">
        <v>149</v>
      </c>
      <c r="I216" s="951">
        <v>33</v>
      </c>
      <c r="J216" s="951">
        <v>0.1</v>
      </c>
      <c r="K216" s="952">
        <f t="shared" si="41"/>
        <v>1.8749999999999999E-3</v>
      </c>
      <c r="L216" s="644">
        <f t="shared" si="34"/>
        <v>19</v>
      </c>
      <c r="M216" s="935">
        <v>0.79166666666666663</v>
      </c>
      <c r="N216" s="936">
        <f t="shared" si="35"/>
        <v>0.79166666666666663</v>
      </c>
      <c r="O216" s="725"/>
      <c r="P216" s="725">
        <f t="shared" si="36"/>
        <v>-0.79166666666666663</v>
      </c>
      <c r="Q216" s="622"/>
      <c r="R216" s="37"/>
      <c r="S216" s="37" t="str">
        <f t="shared" si="37"/>
        <v>WheelerF0</v>
      </c>
      <c r="T216" s="37" t="str">
        <f t="shared" si="38"/>
        <v>1969F0</v>
      </c>
      <c r="U216" s="429">
        <v>20</v>
      </c>
      <c r="V216" s="1029">
        <v>0.1</v>
      </c>
      <c r="W216" s="598">
        <v>2E-3</v>
      </c>
      <c r="X216" s="429"/>
      <c r="Y216" s="37" t="str">
        <f t="shared" si="39"/>
        <v>F020</v>
      </c>
      <c r="Z216" s="37" t="str">
        <f t="shared" si="40"/>
        <v>F00.1</v>
      </c>
      <c r="AA216" s="37" t="str">
        <f t="shared" si="42"/>
        <v>F00.002</v>
      </c>
      <c r="AB216" s="498" t="str">
        <f t="shared" si="33"/>
        <v>F019</v>
      </c>
      <c r="AC216" s="572"/>
      <c r="AD216" s="572"/>
      <c r="AE216" s="572"/>
      <c r="AF216" s="572"/>
    </row>
    <row r="217" spans="1:32">
      <c r="A217" s="947">
        <f t="shared" si="43"/>
        <v>210</v>
      </c>
      <c r="B217" s="948">
        <v>6</v>
      </c>
      <c r="C217" s="949">
        <v>25335</v>
      </c>
      <c r="D217" s="949" t="s">
        <v>177</v>
      </c>
      <c r="E217" s="950">
        <v>12</v>
      </c>
      <c r="F217" s="644">
        <v>1969</v>
      </c>
      <c r="G217" s="948" t="s">
        <v>143</v>
      </c>
      <c r="H217" s="645" t="s">
        <v>149</v>
      </c>
      <c r="I217" s="951">
        <v>10</v>
      </c>
      <c r="J217" s="951">
        <v>0.1</v>
      </c>
      <c r="K217" s="952">
        <f t="shared" si="41"/>
        <v>5.6818181818181826E-4</v>
      </c>
      <c r="L217" s="644">
        <f t="shared" si="34"/>
        <v>23</v>
      </c>
      <c r="M217" s="935">
        <v>0.97222222222222221</v>
      </c>
      <c r="N217" s="936">
        <f t="shared" si="35"/>
        <v>0.97222222222222221</v>
      </c>
      <c r="O217" s="725"/>
      <c r="P217" s="725">
        <f t="shared" si="36"/>
        <v>-0.97222222222222221</v>
      </c>
      <c r="Q217" s="622"/>
      <c r="R217" s="37"/>
      <c r="S217" s="37" t="str">
        <f t="shared" si="37"/>
        <v>WheelerF0</v>
      </c>
      <c r="T217" s="37" t="str">
        <f t="shared" si="38"/>
        <v>1969F0</v>
      </c>
      <c r="U217" s="429">
        <v>10</v>
      </c>
      <c r="V217" s="1029">
        <v>0.1</v>
      </c>
      <c r="W217" s="598">
        <v>1E-3</v>
      </c>
      <c r="X217" s="429"/>
      <c r="Y217" s="37" t="str">
        <f t="shared" si="39"/>
        <v>F010</v>
      </c>
      <c r="Z217" s="37" t="str">
        <f t="shared" si="40"/>
        <v>F00.1</v>
      </c>
      <c r="AA217" s="37" t="str">
        <f t="shared" si="42"/>
        <v>F00.001</v>
      </c>
      <c r="AB217" s="498" t="str">
        <f t="shared" si="33"/>
        <v>F023</v>
      </c>
      <c r="AC217" s="572"/>
      <c r="AD217" s="572"/>
      <c r="AE217" s="572"/>
      <c r="AF217" s="572"/>
    </row>
    <row r="218" spans="1:32">
      <c r="A218" s="947">
        <f t="shared" si="43"/>
        <v>211</v>
      </c>
      <c r="B218" s="948">
        <v>7</v>
      </c>
      <c r="C218" s="949">
        <v>25336</v>
      </c>
      <c r="D218" s="949" t="s">
        <v>177</v>
      </c>
      <c r="E218" s="950">
        <v>13</v>
      </c>
      <c r="F218" s="644">
        <v>1969</v>
      </c>
      <c r="G218" s="948" t="s">
        <v>143</v>
      </c>
      <c r="H218" s="645" t="s">
        <v>149</v>
      </c>
      <c r="I218" s="951">
        <v>10</v>
      </c>
      <c r="J218" s="951">
        <v>0.1</v>
      </c>
      <c r="K218" s="952">
        <f t="shared" si="41"/>
        <v>5.6818181818181826E-4</v>
      </c>
      <c r="L218" s="644">
        <f t="shared" si="34"/>
        <v>18</v>
      </c>
      <c r="M218" s="935">
        <v>0.78125</v>
      </c>
      <c r="N218" s="936">
        <f t="shared" si="35"/>
        <v>0.78125</v>
      </c>
      <c r="O218" s="725"/>
      <c r="P218" s="725">
        <f t="shared" si="36"/>
        <v>-0.78125</v>
      </c>
      <c r="Q218" s="622"/>
      <c r="R218" s="37"/>
      <c r="S218" s="37" t="str">
        <f t="shared" si="37"/>
        <v>WheelerF0</v>
      </c>
      <c r="T218" s="37" t="str">
        <f t="shared" si="38"/>
        <v>1969F0</v>
      </c>
      <c r="U218" s="429">
        <v>10</v>
      </c>
      <c r="V218" s="1029">
        <v>0.1</v>
      </c>
      <c r="W218" s="598">
        <v>1E-3</v>
      </c>
      <c r="X218" s="429"/>
      <c r="Y218" s="37" t="str">
        <f t="shared" si="39"/>
        <v>F010</v>
      </c>
      <c r="Z218" s="37" t="str">
        <f t="shared" si="40"/>
        <v>F00.1</v>
      </c>
      <c r="AA218" s="37" t="str">
        <f t="shared" si="42"/>
        <v>F00.001</v>
      </c>
      <c r="AB218" s="498" t="str">
        <f t="shared" si="33"/>
        <v>F018</v>
      </c>
      <c r="AC218" s="572"/>
      <c r="AD218" s="572"/>
      <c r="AE218" s="572"/>
      <c r="AF218" s="572"/>
    </row>
    <row r="219" spans="1:32">
      <c r="A219" s="947">
        <f t="shared" si="43"/>
        <v>212</v>
      </c>
      <c r="B219" s="948">
        <v>8</v>
      </c>
      <c r="C219" s="949">
        <v>25337</v>
      </c>
      <c r="D219" s="949" t="s">
        <v>177</v>
      </c>
      <c r="E219" s="950">
        <v>14</v>
      </c>
      <c r="F219" s="644">
        <v>1969</v>
      </c>
      <c r="G219" s="948" t="s">
        <v>130</v>
      </c>
      <c r="H219" s="645" t="s">
        <v>149</v>
      </c>
      <c r="I219" s="951">
        <v>17</v>
      </c>
      <c r="J219" s="951">
        <v>0.1</v>
      </c>
      <c r="K219" s="952">
        <f t="shared" si="41"/>
        <v>9.6590909090909095E-4</v>
      </c>
      <c r="L219" s="644">
        <f t="shared" si="34"/>
        <v>19</v>
      </c>
      <c r="M219" s="935">
        <v>0.79861111111111116</v>
      </c>
      <c r="N219" s="936">
        <f t="shared" si="35"/>
        <v>0.79861111111111116</v>
      </c>
      <c r="O219" s="725"/>
      <c r="P219" s="725">
        <f t="shared" si="36"/>
        <v>-0.79861111111111116</v>
      </c>
      <c r="Q219" s="622"/>
      <c r="R219" s="37"/>
      <c r="S219" s="37" t="str">
        <f t="shared" si="37"/>
        <v>ShermanF0</v>
      </c>
      <c r="T219" s="37" t="str">
        <f t="shared" si="38"/>
        <v>1969F0</v>
      </c>
      <c r="U219" s="429">
        <v>10</v>
      </c>
      <c r="V219" s="1029">
        <v>0.1</v>
      </c>
      <c r="W219" s="598">
        <v>1E-3</v>
      </c>
      <c r="X219" s="429"/>
      <c r="Y219" s="37" t="str">
        <f t="shared" si="39"/>
        <v>F010</v>
      </c>
      <c r="Z219" s="37" t="str">
        <f t="shared" si="40"/>
        <v>F00.1</v>
      </c>
      <c r="AA219" s="37" t="str">
        <f t="shared" si="42"/>
        <v>F00.001</v>
      </c>
      <c r="AB219" s="498" t="str">
        <f t="shared" si="33"/>
        <v>F019</v>
      </c>
      <c r="AC219" s="572"/>
      <c r="AD219" s="572"/>
      <c r="AE219" s="572"/>
      <c r="AF219" s="572"/>
    </row>
    <row r="220" spans="1:32">
      <c r="A220" s="947">
        <f t="shared" si="43"/>
        <v>213</v>
      </c>
      <c r="B220" s="948">
        <v>9</v>
      </c>
      <c r="C220" s="949">
        <v>25338</v>
      </c>
      <c r="D220" s="949" t="s">
        <v>177</v>
      </c>
      <c r="E220" s="950">
        <v>15</v>
      </c>
      <c r="F220" s="644">
        <v>1969</v>
      </c>
      <c r="G220" s="948" t="s">
        <v>145</v>
      </c>
      <c r="H220" s="645" t="s">
        <v>149</v>
      </c>
      <c r="I220" s="951">
        <v>33</v>
      </c>
      <c r="J220" s="951">
        <v>0.5</v>
      </c>
      <c r="K220" s="952">
        <f t="shared" si="41"/>
        <v>9.3749999999999997E-3</v>
      </c>
      <c r="L220" s="644">
        <f t="shared" si="34"/>
        <v>15</v>
      </c>
      <c r="M220" s="935">
        <v>0.625</v>
      </c>
      <c r="N220" s="936">
        <f t="shared" si="35"/>
        <v>0.625</v>
      </c>
      <c r="O220" s="725"/>
      <c r="P220" s="725">
        <f t="shared" si="36"/>
        <v>-0.625</v>
      </c>
      <c r="Q220" s="622"/>
      <c r="R220" s="37"/>
      <c r="S220" s="37" t="str">
        <f t="shared" si="37"/>
        <v>RandallF0</v>
      </c>
      <c r="T220" s="37" t="str">
        <f t="shared" si="38"/>
        <v>1969F0</v>
      </c>
      <c r="U220" s="429">
        <v>20</v>
      </c>
      <c r="V220" s="1029">
        <v>0.5</v>
      </c>
      <c r="W220" s="598">
        <v>5.0000000000000001E-3</v>
      </c>
      <c r="X220" s="429"/>
      <c r="Y220" s="37" t="str">
        <f t="shared" si="39"/>
        <v>F020</v>
      </c>
      <c r="Z220" s="37" t="str">
        <f t="shared" si="40"/>
        <v>F00.5</v>
      </c>
      <c r="AA220" s="37" t="str">
        <f t="shared" si="42"/>
        <v>F00.005</v>
      </c>
      <c r="AB220" s="498" t="str">
        <f t="shared" si="33"/>
        <v>F015</v>
      </c>
      <c r="AC220" s="572"/>
      <c r="AD220" s="572"/>
      <c r="AE220" s="572"/>
      <c r="AF220" s="572"/>
    </row>
    <row r="221" spans="1:32">
      <c r="A221" s="947">
        <f t="shared" si="43"/>
        <v>214</v>
      </c>
      <c r="B221" s="948">
        <v>10</v>
      </c>
      <c r="C221" s="949">
        <v>25339</v>
      </c>
      <c r="D221" s="949" t="s">
        <v>177</v>
      </c>
      <c r="E221" s="950">
        <v>16</v>
      </c>
      <c r="F221" s="644">
        <v>1969</v>
      </c>
      <c r="G221" s="948" t="s">
        <v>134</v>
      </c>
      <c r="H221" s="645" t="s">
        <v>149</v>
      </c>
      <c r="I221" s="951">
        <v>33</v>
      </c>
      <c r="J221" s="951">
        <v>1</v>
      </c>
      <c r="K221" s="952">
        <f t="shared" si="41"/>
        <v>1.8749999999999999E-2</v>
      </c>
      <c r="L221" s="644">
        <v>4</v>
      </c>
      <c r="M221" s="935">
        <v>0.60416666666666663</v>
      </c>
      <c r="N221" s="936">
        <f t="shared" si="35"/>
        <v>0.60416666666666663</v>
      </c>
      <c r="O221" s="725"/>
      <c r="P221" s="725">
        <f t="shared" si="36"/>
        <v>-0.60416666666666663</v>
      </c>
      <c r="Q221" s="622"/>
      <c r="R221" s="37"/>
      <c r="S221" s="37" t="str">
        <f t="shared" si="37"/>
        <v>HartleyF0</v>
      </c>
      <c r="T221" s="37" t="str">
        <f t="shared" si="38"/>
        <v>1969F0</v>
      </c>
      <c r="U221" s="429">
        <v>20</v>
      </c>
      <c r="V221" s="1029">
        <v>1</v>
      </c>
      <c r="W221" s="598">
        <v>0.01</v>
      </c>
      <c r="X221" s="429"/>
      <c r="Y221" s="37" t="str">
        <f t="shared" si="39"/>
        <v>F020</v>
      </c>
      <c r="Z221" s="37" t="str">
        <f t="shared" si="40"/>
        <v>F01</v>
      </c>
      <c r="AA221" s="37" t="str">
        <f t="shared" si="42"/>
        <v>F00.01</v>
      </c>
      <c r="AB221" s="498" t="str">
        <f t="shared" si="33"/>
        <v>F04</v>
      </c>
      <c r="AC221" s="572"/>
      <c r="AD221" s="572"/>
      <c r="AE221" s="572"/>
      <c r="AF221" s="572"/>
    </row>
    <row r="222" spans="1:32">
      <c r="A222" s="947">
        <f t="shared" si="43"/>
        <v>215</v>
      </c>
      <c r="B222" s="948">
        <v>11</v>
      </c>
      <c r="C222" s="949">
        <v>25339</v>
      </c>
      <c r="D222" s="949" t="s">
        <v>177</v>
      </c>
      <c r="E222" s="950">
        <v>16</v>
      </c>
      <c r="F222" s="644">
        <v>1969</v>
      </c>
      <c r="G222" s="948" t="s">
        <v>142</v>
      </c>
      <c r="H222" s="645" t="s">
        <v>149</v>
      </c>
      <c r="I222" s="951">
        <v>33</v>
      </c>
      <c r="J222" s="951">
        <v>0.1</v>
      </c>
      <c r="K222" s="952">
        <f t="shared" si="41"/>
        <v>1.8749999999999999E-3</v>
      </c>
      <c r="L222" s="644">
        <f t="shared" ref="L222:L285" si="44">HOUR(N222)</f>
        <v>14</v>
      </c>
      <c r="M222" s="935">
        <v>0.61111111111111105</v>
      </c>
      <c r="N222" s="936">
        <f t="shared" si="35"/>
        <v>0.61111111111111105</v>
      </c>
      <c r="O222" s="725"/>
      <c r="P222" s="725">
        <f t="shared" si="36"/>
        <v>-0.61111111111111105</v>
      </c>
      <c r="Q222" s="622"/>
      <c r="R222" s="37"/>
      <c r="S222" s="37" t="str">
        <f t="shared" si="37"/>
        <v>GrayF0</v>
      </c>
      <c r="T222" s="37" t="str">
        <f t="shared" si="38"/>
        <v>1969F0</v>
      </c>
      <c r="U222" s="429">
        <v>20</v>
      </c>
      <c r="V222" s="1029">
        <v>0.1</v>
      </c>
      <c r="W222" s="598">
        <v>2E-3</v>
      </c>
      <c r="X222" s="429"/>
      <c r="Y222" s="37" t="str">
        <f t="shared" si="39"/>
        <v>F020</v>
      </c>
      <c r="Z222" s="37" t="str">
        <f t="shared" si="40"/>
        <v>F00.1</v>
      </c>
      <c r="AA222" s="37" t="str">
        <f t="shared" si="42"/>
        <v>F00.002</v>
      </c>
      <c r="AB222" s="498" t="str">
        <f t="shared" si="33"/>
        <v>F014</v>
      </c>
      <c r="AC222" s="572"/>
      <c r="AD222" s="572"/>
      <c r="AE222" s="572"/>
      <c r="AF222" s="572"/>
    </row>
    <row r="223" spans="1:32">
      <c r="A223" s="947">
        <f t="shared" si="43"/>
        <v>216</v>
      </c>
      <c r="B223" s="948">
        <v>12</v>
      </c>
      <c r="C223" s="949">
        <v>25361</v>
      </c>
      <c r="D223" s="949" t="s">
        <v>178</v>
      </c>
      <c r="E223" s="950">
        <v>7</v>
      </c>
      <c r="F223" s="644">
        <v>1969</v>
      </c>
      <c r="G223" s="948" t="s">
        <v>127</v>
      </c>
      <c r="H223" s="645" t="s">
        <v>151</v>
      </c>
      <c r="I223" s="951">
        <v>10</v>
      </c>
      <c r="J223" s="951">
        <v>0.1</v>
      </c>
      <c r="K223" s="952">
        <f t="shared" si="41"/>
        <v>5.6818181818181826E-4</v>
      </c>
      <c r="L223" s="644">
        <f t="shared" si="44"/>
        <v>22</v>
      </c>
      <c r="M223" s="935">
        <v>0.92361111111111116</v>
      </c>
      <c r="N223" s="936">
        <f t="shared" si="35"/>
        <v>0.92361111111111116</v>
      </c>
      <c r="O223" s="725"/>
      <c r="P223" s="725">
        <f t="shared" si="36"/>
        <v>-0.92361111111111116</v>
      </c>
      <c r="Q223" s="622"/>
      <c r="R223" s="37"/>
      <c r="S223" s="37" t="str">
        <f t="shared" si="37"/>
        <v>TexasF2</v>
      </c>
      <c r="T223" s="37" t="str">
        <f t="shared" si="38"/>
        <v>1969F2</v>
      </c>
      <c r="U223" s="429">
        <v>10</v>
      </c>
      <c r="V223" s="1029">
        <v>0.1</v>
      </c>
      <c r="W223" s="598">
        <v>1E-3</v>
      </c>
      <c r="X223" s="429"/>
      <c r="Y223" s="37" t="str">
        <f t="shared" si="39"/>
        <v>F210</v>
      </c>
      <c r="Z223" s="37" t="str">
        <f t="shared" si="40"/>
        <v>F20.1</v>
      </c>
      <c r="AA223" s="37" t="str">
        <f t="shared" si="42"/>
        <v>F20.001</v>
      </c>
      <c r="AB223" s="498" t="str">
        <f t="shared" si="33"/>
        <v>F222</v>
      </c>
      <c r="AC223" s="572"/>
      <c r="AD223" s="572"/>
      <c r="AE223" s="572"/>
      <c r="AF223" s="572"/>
    </row>
    <row r="224" spans="1:32">
      <c r="A224" s="947">
        <f t="shared" si="43"/>
        <v>217</v>
      </c>
      <c r="B224" s="948">
        <v>13</v>
      </c>
      <c r="C224" s="949">
        <v>25364</v>
      </c>
      <c r="D224" s="949" t="s">
        <v>178</v>
      </c>
      <c r="E224" s="950">
        <v>10</v>
      </c>
      <c r="F224" s="644">
        <v>1969</v>
      </c>
      <c r="G224" s="948" t="s">
        <v>132</v>
      </c>
      <c r="H224" s="645" t="s">
        <v>149</v>
      </c>
      <c r="I224" s="951">
        <v>33</v>
      </c>
      <c r="J224" s="951">
        <v>0.1</v>
      </c>
      <c r="K224" s="952">
        <f t="shared" si="41"/>
        <v>1.8749999999999999E-3</v>
      </c>
      <c r="L224" s="644">
        <f t="shared" si="44"/>
        <v>18</v>
      </c>
      <c r="M224" s="935">
        <v>0.76249999999999996</v>
      </c>
      <c r="N224" s="936">
        <f t="shared" si="35"/>
        <v>0.76249999999999996</v>
      </c>
      <c r="O224" s="725"/>
      <c r="P224" s="725">
        <f t="shared" si="36"/>
        <v>-0.76249999999999996</v>
      </c>
      <c r="Q224" s="622"/>
      <c r="R224" s="37"/>
      <c r="S224" s="37" t="str">
        <f t="shared" si="37"/>
        <v>OchiltreeF0</v>
      </c>
      <c r="T224" s="37" t="str">
        <f t="shared" si="38"/>
        <v>1969F0</v>
      </c>
      <c r="U224" s="429">
        <v>20</v>
      </c>
      <c r="V224" s="1029">
        <v>0.1</v>
      </c>
      <c r="W224" s="598">
        <v>2E-3</v>
      </c>
      <c r="X224" s="429"/>
      <c r="Y224" s="37" t="str">
        <f t="shared" si="39"/>
        <v>F020</v>
      </c>
      <c r="Z224" s="37" t="str">
        <f t="shared" si="40"/>
        <v>F00.1</v>
      </c>
      <c r="AA224" s="37" t="str">
        <f t="shared" si="42"/>
        <v>F00.002</v>
      </c>
      <c r="AB224" s="498" t="str">
        <f t="shared" si="33"/>
        <v>F018</v>
      </c>
      <c r="AC224" s="572"/>
      <c r="AD224" s="572"/>
      <c r="AE224" s="572"/>
      <c r="AF224" s="572"/>
    </row>
    <row r="225" spans="1:32">
      <c r="A225" s="947">
        <f t="shared" si="43"/>
        <v>218</v>
      </c>
      <c r="B225" s="948">
        <v>14</v>
      </c>
      <c r="C225" s="949">
        <v>25364</v>
      </c>
      <c r="D225" s="949" t="s">
        <v>178</v>
      </c>
      <c r="E225" s="950">
        <v>10</v>
      </c>
      <c r="F225" s="644">
        <v>1969</v>
      </c>
      <c r="G225" s="948" t="s">
        <v>128</v>
      </c>
      <c r="H225" s="645" t="s">
        <v>149</v>
      </c>
      <c r="I225" s="951">
        <v>10</v>
      </c>
      <c r="J225" s="951">
        <v>0.1</v>
      </c>
      <c r="K225" s="952">
        <f t="shared" si="41"/>
        <v>5.6818181818181826E-4</v>
      </c>
      <c r="L225" s="644">
        <f t="shared" si="44"/>
        <v>19</v>
      </c>
      <c r="M225" s="935">
        <v>0.79166666666666663</v>
      </c>
      <c r="N225" s="936">
        <f t="shared" si="35"/>
        <v>0.79166666666666663</v>
      </c>
      <c r="O225" s="725"/>
      <c r="P225" s="725">
        <f t="shared" si="36"/>
        <v>-0.79166666666666663</v>
      </c>
      <c r="Q225" s="622"/>
      <c r="R225" s="36"/>
      <c r="S225" s="37" t="str">
        <f t="shared" si="37"/>
        <v>BeaverF0</v>
      </c>
      <c r="T225" s="37" t="str">
        <f t="shared" si="38"/>
        <v>1969F0</v>
      </c>
      <c r="U225" s="429">
        <v>10</v>
      </c>
      <c r="V225" s="1029">
        <v>0.1</v>
      </c>
      <c r="W225" s="598">
        <v>1E-3</v>
      </c>
      <c r="X225" s="429"/>
      <c r="Y225" s="37" t="str">
        <f t="shared" si="39"/>
        <v>F010</v>
      </c>
      <c r="Z225" s="37" t="str">
        <f t="shared" si="40"/>
        <v>F00.1</v>
      </c>
      <c r="AA225" s="37" t="str">
        <f t="shared" si="42"/>
        <v>F00.001</v>
      </c>
      <c r="AB225" s="498" t="str">
        <f t="shared" si="33"/>
        <v>F019</v>
      </c>
      <c r="AC225" s="572"/>
      <c r="AD225" s="572"/>
      <c r="AE225" s="572"/>
      <c r="AF225" s="572"/>
    </row>
    <row r="226" spans="1:32">
      <c r="A226" s="947">
        <f t="shared" si="43"/>
        <v>219</v>
      </c>
      <c r="B226" s="948">
        <v>15</v>
      </c>
      <c r="C226" s="949">
        <v>25364</v>
      </c>
      <c r="D226" s="949" t="s">
        <v>178</v>
      </c>
      <c r="E226" s="950">
        <v>10</v>
      </c>
      <c r="F226" s="644">
        <v>1969</v>
      </c>
      <c r="G226" s="948" t="s">
        <v>130</v>
      </c>
      <c r="H226" s="645" t="s">
        <v>149</v>
      </c>
      <c r="I226" s="951">
        <v>17</v>
      </c>
      <c r="J226" s="951">
        <v>0.1</v>
      </c>
      <c r="K226" s="952">
        <f t="shared" si="41"/>
        <v>9.6590909090909095E-4</v>
      </c>
      <c r="L226" s="644">
        <f t="shared" si="44"/>
        <v>21</v>
      </c>
      <c r="M226" s="935">
        <v>0.91180555555555554</v>
      </c>
      <c r="N226" s="936">
        <f t="shared" si="35"/>
        <v>0.91180555555555554</v>
      </c>
      <c r="O226" s="725"/>
      <c r="P226" s="725">
        <f t="shared" si="36"/>
        <v>-0.91180555555555554</v>
      </c>
      <c r="Q226" s="622"/>
      <c r="R226" s="37"/>
      <c r="S226" s="37" t="str">
        <f t="shared" si="37"/>
        <v>ShermanF0</v>
      </c>
      <c r="T226" s="37" t="str">
        <f t="shared" si="38"/>
        <v>1969F0</v>
      </c>
      <c r="U226" s="429">
        <v>10</v>
      </c>
      <c r="V226" s="1029">
        <v>0.1</v>
      </c>
      <c r="W226" s="598">
        <v>1E-3</v>
      </c>
      <c r="X226" s="429"/>
      <c r="Y226" s="37" t="str">
        <f t="shared" si="39"/>
        <v>F010</v>
      </c>
      <c r="Z226" s="37" t="str">
        <f t="shared" si="40"/>
        <v>F00.1</v>
      </c>
      <c r="AA226" s="37" t="str">
        <f t="shared" si="42"/>
        <v>F00.001</v>
      </c>
      <c r="AB226" s="498" t="str">
        <f t="shared" si="33"/>
        <v>F021</v>
      </c>
      <c r="AC226" s="572"/>
      <c r="AD226" s="572"/>
      <c r="AE226" s="572"/>
      <c r="AF226" s="572"/>
    </row>
    <row r="227" spans="1:32">
      <c r="A227" s="947">
        <f t="shared" si="43"/>
        <v>220</v>
      </c>
      <c r="B227" s="948">
        <v>16</v>
      </c>
      <c r="C227" s="949">
        <v>25377</v>
      </c>
      <c r="D227" s="949" t="s">
        <v>178</v>
      </c>
      <c r="E227" s="950">
        <v>23</v>
      </c>
      <c r="F227" s="644">
        <v>1969</v>
      </c>
      <c r="G227" s="948" t="s">
        <v>133</v>
      </c>
      <c r="H227" s="645" t="s">
        <v>149</v>
      </c>
      <c r="I227" s="951">
        <v>300</v>
      </c>
      <c r="J227" s="951">
        <v>1</v>
      </c>
      <c r="K227" s="952">
        <f t="shared" si="41"/>
        <v>0.17045454545454544</v>
      </c>
      <c r="L227" s="644">
        <f t="shared" si="44"/>
        <v>16</v>
      </c>
      <c r="M227" s="935">
        <v>0.70486111111111116</v>
      </c>
      <c r="N227" s="936">
        <f t="shared" si="35"/>
        <v>0.70486111111111116</v>
      </c>
      <c r="O227" s="725"/>
      <c r="P227" s="725">
        <f t="shared" si="36"/>
        <v>-0.70486111111111116</v>
      </c>
      <c r="Q227" s="622"/>
      <c r="R227" s="37"/>
      <c r="S227" s="37" t="str">
        <f t="shared" si="37"/>
        <v>LipscombF0</v>
      </c>
      <c r="T227" s="37" t="str">
        <f t="shared" si="38"/>
        <v>1969F0</v>
      </c>
      <c r="U227" s="429">
        <v>200</v>
      </c>
      <c r="V227" s="1029">
        <v>1</v>
      </c>
      <c r="W227" s="598">
        <v>0.1</v>
      </c>
      <c r="X227" s="429"/>
      <c r="Y227" s="37" t="str">
        <f t="shared" si="39"/>
        <v>F0200</v>
      </c>
      <c r="Z227" s="37" t="str">
        <f t="shared" si="40"/>
        <v>F01</v>
      </c>
      <c r="AA227" s="37" t="str">
        <f t="shared" si="42"/>
        <v>F00.1</v>
      </c>
      <c r="AB227" s="498" t="str">
        <f t="shared" si="33"/>
        <v>F016</v>
      </c>
      <c r="AC227" s="572"/>
      <c r="AD227" s="572"/>
      <c r="AE227" s="572"/>
      <c r="AF227" s="572"/>
    </row>
    <row r="228" spans="1:32" ht="119.25" customHeight="1">
      <c r="A228" s="947">
        <f t="shared" si="43"/>
        <v>221</v>
      </c>
      <c r="B228" s="948">
        <v>1</v>
      </c>
      <c r="C228" s="949">
        <v>25675</v>
      </c>
      <c r="D228" s="949" t="s">
        <v>176</v>
      </c>
      <c r="E228" s="950">
        <v>17</v>
      </c>
      <c r="F228" s="644">
        <v>1970</v>
      </c>
      <c r="G228" s="948" t="s">
        <v>145</v>
      </c>
      <c r="H228" s="645" t="s">
        <v>153</v>
      </c>
      <c r="I228" s="951">
        <v>75</v>
      </c>
      <c r="J228" s="951">
        <v>20</v>
      </c>
      <c r="K228" s="952">
        <f t="shared" si="41"/>
        <v>0.85227272727272718</v>
      </c>
      <c r="L228" s="644">
        <f t="shared" si="44"/>
        <v>22</v>
      </c>
      <c r="M228" s="935">
        <v>0.94444444444444453</v>
      </c>
      <c r="N228" s="936">
        <f t="shared" si="35"/>
        <v>0.94444444444444453</v>
      </c>
      <c r="O228" s="725"/>
      <c r="P228" s="725">
        <f t="shared" si="36"/>
        <v>-0.94444444444444453</v>
      </c>
      <c r="Q228" s="380" t="s">
        <v>910</v>
      </c>
      <c r="R228" s="37"/>
      <c r="S228" s="37" t="str">
        <f t="shared" si="37"/>
        <v>RandallF4</v>
      </c>
      <c r="T228" s="37" t="str">
        <f t="shared" si="38"/>
        <v>1970F4</v>
      </c>
      <c r="U228" s="429">
        <v>50</v>
      </c>
      <c r="V228" s="1029">
        <v>20</v>
      </c>
      <c r="W228" s="598">
        <v>0.5</v>
      </c>
      <c r="X228" s="429"/>
      <c r="Y228" s="37" t="str">
        <f t="shared" si="39"/>
        <v>F450</v>
      </c>
      <c r="Z228" s="37" t="str">
        <f t="shared" si="40"/>
        <v>F420</v>
      </c>
      <c r="AA228" s="37" t="str">
        <f t="shared" si="42"/>
        <v>F40.5</v>
      </c>
      <c r="AB228" s="498" t="str">
        <f t="shared" si="33"/>
        <v>F422</v>
      </c>
      <c r="AC228" s="572"/>
      <c r="AD228" s="572"/>
      <c r="AE228" s="572"/>
      <c r="AF228" s="572"/>
    </row>
    <row r="229" spans="1:32" ht="66.75" customHeight="1">
      <c r="A229" s="947">
        <f t="shared" si="43"/>
        <v>222</v>
      </c>
      <c r="B229" s="948">
        <v>2</v>
      </c>
      <c r="C229" s="949">
        <v>25675</v>
      </c>
      <c r="D229" s="949" t="s">
        <v>176</v>
      </c>
      <c r="E229" s="950">
        <v>17</v>
      </c>
      <c r="F229" s="644">
        <v>1970</v>
      </c>
      <c r="G229" s="948" t="s">
        <v>147</v>
      </c>
      <c r="H229" s="645" t="s">
        <v>153</v>
      </c>
      <c r="I229" s="951">
        <v>880</v>
      </c>
      <c r="J229" s="951">
        <v>12</v>
      </c>
      <c r="K229" s="952">
        <f t="shared" si="41"/>
        <v>6</v>
      </c>
      <c r="L229" s="644">
        <f t="shared" si="44"/>
        <v>23</v>
      </c>
      <c r="M229" s="935">
        <v>0.99097222222222225</v>
      </c>
      <c r="N229" s="936">
        <f t="shared" si="35"/>
        <v>0.99097222222222225</v>
      </c>
      <c r="O229" s="725">
        <v>2.7777777777777776E-2</v>
      </c>
      <c r="P229" s="962">
        <v>3.6805555555555557E-2</v>
      </c>
      <c r="Q229" s="622" t="s">
        <v>913</v>
      </c>
      <c r="R229" s="37"/>
      <c r="S229" s="37" t="str">
        <f t="shared" si="37"/>
        <v>DonleyF4</v>
      </c>
      <c r="T229" s="37" t="str">
        <f t="shared" si="38"/>
        <v>1970F4</v>
      </c>
      <c r="U229" s="429">
        <v>500</v>
      </c>
      <c r="V229" s="1029">
        <v>10</v>
      </c>
      <c r="W229" s="598">
        <v>5</v>
      </c>
      <c r="X229" s="429"/>
      <c r="Y229" s="37" t="str">
        <f t="shared" si="39"/>
        <v>F4500</v>
      </c>
      <c r="Z229" s="37" t="str">
        <f t="shared" si="40"/>
        <v>F410</v>
      </c>
      <c r="AA229" s="37" t="str">
        <f t="shared" si="42"/>
        <v>F45</v>
      </c>
      <c r="AB229" s="498" t="str">
        <f t="shared" si="33"/>
        <v>F423</v>
      </c>
      <c r="AC229" s="572"/>
      <c r="AD229" s="572"/>
      <c r="AE229" s="572"/>
      <c r="AF229" s="572"/>
    </row>
    <row r="230" spans="1:32" ht="41.25" customHeight="1">
      <c r="A230" s="947">
        <f t="shared" si="43"/>
        <v>223</v>
      </c>
      <c r="B230" s="948">
        <v>3</v>
      </c>
      <c r="C230" s="949">
        <v>25676</v>
      </c>
      <c r="D230" s="949" t="s">
        <v>176</v>
      </c>
      <c r="E230" s="950">
        <v>18</v>
      </c>
      <c r="F230" s="644">
        <v>1970</v>
      </c>
      <c r="G230" s="948" t="s">
        <v>142</v>
      </c>
      <c r="H230" s="645" t="s">
        <v>153</v>
      </c>
      <c r="I230" s="951">
        <v>880</v>
      </c>
      <c r="J230" s="951">
        <v>20</v>
      </c>
      <c r="K230" s="952">
        <f t="shared" si="41"/>
        <v>10</v>
      </c>
      <c r="L230" s="644">
        <f t="shared" si="44"/>
        <v>0</v>
      </c>
      <c r="M230" s="935">
        <v>1.7361111111111112E-2</v>
      </c>
      <c r="N230" s="936">
        <f t="shared" si="35"/>
        <v>1.7361111111111112E-2</v>
      </c>
      <c r="O230" s="725"/>
      <c r="P230" s="725">
        <f t="shared" si="36"/>
        <v>-1.7361111111111112E-2</v>
      </c>
      <c r="Q230" s="622" t="s">
        <v>914</v>
      </c>
      <c r="R230" s="37"/>
      <c r="S230" s="37" t="str">
        <f t="shared" si="37"/>
        <v>GrayF4</v>
      </c>
      <c r="T230" s="37" t="str">
        <f t="shared" si="38"/>
        <v>1970F4</v>
      </c>
      <c r="U230" s="429">
        <v>500</v>
      </c>
      <c r="V230" s="1029">
        <v>20</v>
      </c>
      <c r="W230" s="598">
        <v>10</v>
      </c>
      <c r="X230" s="429"/>
      <c r="Y230" s="37" t="str">
        <f t="shared" si="39"/>
        <v>F4500</v>
      </c>
      <c r="Z230" s="37" t="str">
        <f t="shared" si="40"/>
        <v>F420</v>
      </c>
      <c r="AA230" s="37" t="str">
        <f t="shared" si="42"/>
        <v>F410</v>
      </c>
      <c r="AB230" s="498" t="str">
        <f t="shared" si="33"/>
        <v>F40</v>
      </c>
      <c r="AC230" s="572"/>
      <c r="AD230" s="572"/>
      <c r="AE230" s="572"/>
      <c r="AF230" s="572"/>
    </row>
    <row r="231" spans="1:32" ht="107.25" customHeight="1">
      <c r="A231" s="947">
        <f t="shared" si="43"/>
        <v>224</v>
      </c>
      <c r="B231" s="948">
        <v>4</v>
      </c>
      <c r="C231" s="949">
        <v>25676</v>
      </c>
      <c r="D231" s="949" t="s">
        <v>176</v>
      </c>
      <c r="E231" s="950">
        <v>18</v>
      </c>
      <c r="F231" s="644">
        <v>1970</v>
      </c>
      <c r="G231" s="948" t="s">
        <v>147</v>
      </c>
      <c r="H231" s="645" t="s">
        <v>153</v>
      </c>
      <c r="I231" s="951">
        <v>880</v>
      </c>
      <c r="J231" s="951">
        <v>5</v>
      </c>
      <c r="K231" s="952">
        <f t="shared" si="41"/>
        <v>2.5</v>
      </c>
      <c r="L231" s="644">
        <f t="shared" si="44"/>
        <v>1</v>
      </c>
      <c r="M231" s="935">
        <v>7.5694444444444439E-2</v>
      </c>
      <c r="N231" s="936">
        <f t="shared" si="35"/>
        <v>7.5694444444444439E-2</v>
      </c>
      <c r="O231" s="725"/>
      <c r="P231" s="725">
        <f t="shared" si="36"/>
        <v>-7.5694444444444439E-2</v>
      </c>
      <c r="Q231" s="380" t="s">
        <v>911</v>
      </c>
      <c r="R231" s="37"/>
      <c r="S231" s="37" t="str">
        <f t="shared" si="37"/>
        <v>DonleyF4</v>
      </c>
      <c r="T231" s="37" t="str">
        <f t="shared" si="38"/>
        <v>1970F4</v>
      </c>
      <c r="U231" s="429">
        <v>500</v>
      </c>
      <c r="V231" s="1029">
        <v>5</v>
      </c>
      <c r="W231" s="598">
        <v>2</v>
      </c>
      <c r="X231" s="429"/>
      <c r="Y231" s="37" t="str">
        <f t="shared" si="39"/>
        <v>F4500</v>
      </c>
      <c r="Z231" s="37" t="str">
        <f t="shared" si="40"/>
        <v>F45</v>
      </c>
      <c r="AA231" s="37" t="str">
        <f t="shared" si="42"/>
        <v>F42</v>
      </c>
      <c r="AB231" s="498" t="str">
        <f t="shared" si="33"/>
        <v>F41</v>
      </c>
      <c r="AC231" s="572"/>
      <c r="AD231" s="572"/>
      <c r="AE231" s="572"/>
      <c r="AF231" s="572"/>
    </row>
    <row r="232" spans="1:32" ht="15" customHeight="1">
      <c r="A232" s="947">
        <f t="shared" si="43"/>
        <v>225</v>
      </c>
      <c r="B232" s="948">
        <v>5</v>
      </c>
      <c r="C232" s="949">
        <v>25676</v>
      </c>
      <c r="D232" s="949" t="s">
        <v>176</v>
      </c>
      <c r="E232" s="950">
        <v>18</v>
      </c>
      <c r="F232" s="644">
        <v>1970</v>
      </c>
      <c r="G232" s="948" t="s">
        <v>147</v>
      </c>
      <c r="H232" s="645" t="s">
        <v>153</v>
      </c>
      <c r="I232" s="951">
        <v>880</v>
      </c>
      <c r="J232" s="951">
        <v>5</v>
      </c>
      <c r="K232" s="952">
        <f t="shared" si="41"/>
        <v>2.5</v>
      </c>
      <c r="L232" s="644">
        <f t="shared" si="44"/>
        <v>2</v>
      </c>
      <c r="M232" s="935">
        <v>8.4027777777777771E-2</v>
      </c>
      <c r="N232" s="936">
        <f t="shared" si="35"/>
        <v>8.4027777777777771E-2</v>
      </c>
      <c r="O232" s="725"/>
      <c r="P232" s="725">
        <f t="shared" si="36"/>
        <v>-8.4027777777777771E-2</v>
      </c>
      <c r="Q232" s="622"/>
      <c r="R232" s="37"/>
      <c r="S232" s="37" t="str">
        <f t="shared" si="37"/>
        <v>DonleyF4</v>
      </c>
      <c r="T232" s="37" t="str">
        <f t="shared" si="38"/>
        <v>1970F4</v>
      </c>
      <c r="U232" s="429">
        <v>500</v>
      </c>
      <c r="V232" s="1029">
        <v>5</v>
      </c>
      <c r="W232" s="598">
        <v>2</v>
      </c>
      <c r="X232" s="429"/>
      <c r="Y232" s="37" t="str">
        <f t="shared" si="39"/>
        <v>F4500</v>
      </c>
      <c r="Z232" s="37" t="str">
        <f t="shared" si="40"/>
        <v>F45</v>
      </c>
      <c r="AA232" s="37" t="str">
        <f t="shared" si="42"/>
        <v>F42</v>
      </c>
      <c r="AB232" s="498" t="str">
        <f t="shared" si="33"/>
        <v>F42</v>
      </c>
      <c r="AC232" s="572"/>
      <c r="AD232" s="572"/>
      <c r="AE232" s="572"/>
      <c r="AF232" s="572"/>
    </row>
    <row r="233" spans="1:32">
      <c r="A233" s="947">
        <f t="shared" si="43"/>
        <v>226</v>
      </c>
      <c r="B233" s="948">
        <v>6</v>
      </c>
      <c r="C233" s="949">
        <v>25676</v>
      </c>
      <c r="D233" s="949" t="s">
        <v>176</v>
      </c>
      <c r="E233" s="950">
        <v>18</v>
      </c>
      <c r="F233" s="644">
        <v>1970</v>
      </c>
      <c r="G233" s="948" t="s">
        <v>147</v>
      </c>
      <c r="H233" s="645" t="s">
        <v>153</v>
      </c>
      <c r="I233" s="951">
        <v>880</v>
      </c>
      <c r="J233" s="951">
        <v>17</v>
      </c>
      <c r="K233" s="952">
        <f t="shared" si="41"/>
        <v>8.5</v>
      </c>
      <c r="L233" s="644">
        <f t="shared" si="44"/>
        <v>2</v>
      </c>
      <c r="M233" s="935">
        <v>8.9583333333333334E-2</v>
      </c>
      <c r="N233" s="936">
        <f t="shared" si="35"/>
        <v>8.9583333333333334E-2</v>
      </c>
      <c r="O233" s="725"/>
      <c r="P233" s="725">
        <f t="shared" si="36"/>
        <v>-8.9583333333333334E-2</v>
      </c>
      <c r="Q233" s="622" t="s">
        <v>230</v>
      </c>
      <c r="R233" s="37"/>
      <c r="S233" s="37" t="str">
        <f t="shared" si="37"/>
        <v>DonleyF4</v>
      </c>
      <c r="T233" s="37" t="str">
        <f t="shared" si="38"/>
        <v>1970F4</v>
      </c>
      <c r="U233" s="429">
        <v>500</v>
      </c>
      <c r="V233" s="1029">
        <v>10</v>
      </c>
      <c r="W233" s="598">
        <v>5</v>
      </c>
      <c r="X233" s="429"/>
      <c r="Y233" s="37" t="str">
        <f t="shared" si="39"/>
        <v>F4500</v>
      </c>
      <c r="Z233" s="37" t="str">
        <f t="shared" si="40"/>
        <v>F410</v>
      </c>
      <c r="AA233" s="37" t="str">
        <f t="shared" si="42"/>
        <v>F45</v>
      </c>
      <c r="AB233" s="498" t="str">
        <f t="shared" si="33"/>
        <v>F42</v>
      </c>
      <c r="AC233" s="572"/>
      <c r="AD233" s="572"/>
      <c r="AE233" s="572"/>
      <c r="AF233" s="572"/>
    </row>
    <row r="234" spans="1:32">
      <c r="A234" s="947">
        <f t="shared" si="43"/>
        <v>227</v>
      </c>
      <c r="B234" s="948">
        <v>7</v>
      </c>
      <c r="C234" s="949">
        <v>25676</v>
      </c>
      <c r="D234" s="949" t="s">
        <v>176</v>
      </c>
      <c r="E234" s="950">
        <v>18</v>
      </c>
      <c r="F234" s="644">
        <v>1970</v>
      </c>
      <c r="G234" s="948" t="s">
        <v>142</v>
      </c>
      <c r="H234" s="645" t="s">
        <v>153</v>
      </c>
      <c r="I234" s="951">
        <v>880</v>
      </c>
      <c r="J234" s="951">
        <v>6</v>
      </c>
      <c r="K234" s="952">
        <f t="shared" si="41"/>
        <v>3</v>
      </c>
      <c r="L234" s="644">
        <f t="shared" si="44"/>
        <v>2</v>
      </c>
      <c r="M234" s="935">
        <v>0.11319444444444444</v>
      </c>
      <c r="N234" s="936">
        <f t="shared" si="35"/>
        <v>0.11319444444444444</v>
      </c>
      <c r="O234" s="725">
        <v>0.13541666666666666</v>
      </c>
      <c r="P234" s="725">
        <f t="shared" si="36"/>
        <v>2.2222222222222213E-2</v>
      </c>
      <c r="Q234" s="622" t="s">
        <v>866</v>
      </c>
      <c r="R234" s="37"/>
      <c r="S234" s="37" t="str">
        <f t="shared" si="37"/>
        <v>GrayF4</v>
      </c>
      <c r="T234" s="37" t="str">
        <f t="shared" si="38"/>
        <v>1970F4</v>
      </c>
      <c r="U234" s="429">
        <v>500</v>
      </c>
      <c r="V234" s="1029">
        <v>5</v>
      </c>
      <c r="W234" s="598">
        <v>2</v>
      </c>
      <c r="X234" s="429"/>
      <c r="Y234" s="37" t="str">
        <f t="shared" si="39"/>
        <v>F4500</v>
      </c>
      <c r="Z234" s="37" t="str">
        <f t="shared" si="40"/>
        <v>F45</v>
      </c>
      <c r="AA234" s="37" t="str">
        <f t="shared" si="42"/>
        <v>F42</v>
      </c>
      <c r="AB234" s="498" t="str">
        <f t="shared" si="33"/>
        <v>F42</v>
      </c>
      <c r="AC234" s="572"/>
      <c r="AD234" s="572"/>
      <c r="AE234" s="572"/>
      <c r="AF234" s="572"/>
    </row>
    <row r="235" spans="1:32">
      <c r="A235" s="947">
        <f t="shared" si="43"/>
        <v>228</v>
      </c>
      <c r="B235" s="948">
        <v>8</v>
      </c>
      <c r="C235" s="949">
        <v>25719</v>
      </c>
      <c r="D235" s="949" t="s">
        <v>177</v>
      </c>
      <c r="E235" s="950">
        <v>31</v>
      </c>
      <c r="F235" s="644">
        <v>1970</v>
      </c>
      <c r="G235" s="948" t="s">
        <v>141</v>
      </c>
      <c r="H235" s="645" t="s">
        <v>149</v>
      </c>
      <c r="I235" s="951">
        <v>33</v>
      </c>
      <c r="J235" s="951">
        <v>5.0999999999999996</v>
      </c>
      <c r="K235" s="952">
        <f t="shared" si="41"/>
        <v>9.5624999999999988E-2</v>
      </c>
      <c r="L235" s="644">
        <f t="shared" si="44"/>
        <v>14</v>
      </c>
      <c r="M235" s="935">
        <v>0.58819444444444446</v>
      </c>
      <c r="N235" s="936">
        <f t="shared" si="35"/>
        <v>0.58819444444444446</v>
      </c>
      <c r="O235" s="725"/>
      <c r="P235" s="725">
        <f t="shared" si="36"/>
        <v>-0.58819444444444446</v>
      </c>
      <c r="Q235" s="622"/>
      <c r="R235" s="37"/>
      <c r="S235" s="37" t="str">
        <f t="shared" si="37"/>
        <v>CarsonF0</v>
      </c>
      <c r="T235" s="37" t="str">
        <f t="shared" si="38"/>
        <v>1970F0</v>
      </c>
      <c r="U235" s="429">
        <v>20</v>
      </c>
      <c r="V235" s="1029">
        <v>5</v>
      </c>
      <c r="W235" s="598">
        <v>0.05</v>
      </c>
      <c r="X235" s="429"/>
      <c r="Y235" s="37" t="str">
        <f t="shared" si="39"/>
        <v>F020</v>
      </c>
      <c r="Z235" s="37" t="str">
        <f t="shared" si="40"/>
        <v>F05</v>
      </c>
      <c r="AA235" s="37" t="str">
        <f t="shared" si="42"/>
        <v>F00.05</v>
      </c>
      <c r="AB235" s="498" t="str">
        <f t="shared" si="33"/>
        <v>F014</v>
      </c>
      <c r="AC235" s="572"/>
      <c r="AD235" s="572"/>
      <c r="AE235" s="572"/>
      <c r="AF235" s="572"/>
    </row>
    <row r="236" spans="1:32">
      <c r="A236" s="947">
        <f t="shared" si="43"/>
        <v>229</v>
      </c>
      <c r="B236" s="948">
        <v>9</v>
      </c>
      <c r="C236" s="949">
        <v>25719</v>
      </c>
      <c r="D236" s="949" t="s">
        <v>177</v>
      </c>
      <c r="E236" s="950">
        <v>31</v>
      </c>
      <c r="F236" s="644">
        <v>1970</v>
      </c>
      <c r="G236" s="948" t="s">
        <v>145</v>
      </c>
      <c r="H236" s="645" t="s">
        <v>150</v>
      </c>
      <c r="I236" s="951">
        <v>67</v>
      </c>
      <c r="J236" s="951">
        <v>17.2</v>
      </c>
      <c r="K236" s="952">
        <f t="shared" si="41"/>
        <v>0.65477272727272728</v>
      </c>
      <c r="L236" s="644">
        <f t="shared" si="44"/>
        <v>15</v>
      </c>
      <c r="M236" s="935">
        <v>0.64236111111111105</v>
      </c>
      <c r="N236" s="936">
        <f t="shared" si="35"/>
        <v>0.64236111111111105</v>
      </c>
      <c r="O236" s="725"/>
      <c r="P236" s="725">
        <f t="shared" si="36"/>
        <v>-0.64236111111111105</v>
      </c>
      <c r="Q236" s="622" t="s">
        <v>100</v>
      </c>
      <c r="R236" s="37"/>
      <c r="S236" s="37" t="str">
        <f t="shared" si="37"/>
        <v>RandallF1</v>
      </c>
      <c r="T236" s="37" t="str">
        <f t="shared" si="38"/>
        <v>1970F1</v>
      </c>
      <c r="U236" s="429">
        <v>50</v>
      </c>
      <c r="V236" s="1029">
        <v>10</v>
      </c>
      <c r="W236" s="598">
        <v>0.5</v>
      </c>
      <c r="X236" s="429"/>
      <c r="Y236" s="37" t="str">
        <f t="shared" si="39"/>
        <v>F150</v>
      </c>
      <c r="Z236" s="37" t="str">
        <f t="shared" si="40"/>
        <v>F110</v>
      </c>
      <c r="AA236" s="37" t="str">
        <f t="shared" si="42"/>
        <v>F10.5</v>
      </c>
      <c r="AB236" s="498" t="str">
        <f t="shared" si="33"/>
        <v>F115</v>
      </c>
      <c r="AC236" s="572"/>
      <c r="AD236" s="572"/>
      <c r="AE236" s="572"/>
      <c r="AF236" s="572"/>
    </row>
    <row r="237" spans="1:32" s="32" customFormat="1">
      <c r="A237" s="947">
        <f t="shared" si="43"/>
        <v>230</v>
      </c>
      <c r="B237" s="948">
        <v>10</v>
      </c>
      <c r="C237" s="949">
        <v>25817</v>
      </c>
      <c r="D237" s="949" t="s">
        <v>181</v>
      </c>
      <c r="E237" s="950">
        <v>6</v>
      </c>
      <c r="F237" s="644">
        <v>1970</v>
      </c>
      <c r="G237" s="948" t="s">
        <v>128</v>
      </c>
      <c r="H237" s="645" t="s">
        <v>151</v>
      </c>
      <c r="I237" s="951">
        <v>10</v>
      </c>
      <c r="J237" s="951">
        <v>0.1</v>
      </c>
      <c r="K237" s="952">
        <f t="shared" si="41"/>
        <v>5.6818181818181826E-4</v>
      </c>
      <c r="L237" s="644">
        <f t="shared" si="44"/>
        <v>19</v>
      </c>
      <c r="M237" s="935">
        <v>0.80902777777777779</v>
      </c>
      <c r="N237" s="936">
        <f t="shared" si="35"/>
        <v>0.80902777777777779</v>
      </c>
      <c r="O237" s="725"/>
      <c r="P237" s="725">
        <f t="shared" si="36"/>
        <v>-0.80902777777777779</v>
      </c>
      <c r="Q237" s="622"/>
      <c r="R237" s="38"/>
      <c r="S237" s="37" t="str">
        <f t="shared" si="37"/>
        <v>BeaverF2</v>
      </c>
      <c r="T237" s="37" t="str">
        <f t="shared" si="38"/>
        <v>1970F2</v>
      </c>
      <c r="U237" s="429">
        <v>10</v>
      </c>
      <c r="V237" s="1029">
        <v>0.1</v>
      </c>
      <c r="W237" s="598">
        <v>1E-3</v>
      </c>
      <c r="X237" s="429"/>
      <c r="Y237" s="37" t="str">
        <f t="shared" si="39"/>
        <v>F210</v>
      </c>
      <c r="Z237" s="37" t="str">
        <f t="shared" si="40"/>
        <v>F20.1</v>
      </c>
      <c r="AA237" s="37" t="str">
        <f t="shared" si="42"/>
        <v>F20.001</v>
      </c>
      <c r="AB237" s="498" t="str">
        <f t="shared" si="33"/>
        <v>F219</v>
      </c>
      <c r="AC237" s="572"/>
      <c r="AD237" s="572"/>
      <c r="AE237" s="572"/>
      <c r="AF237" s="572"/>
    </row>
    <row r="238" spans="1:32">
      <c r="A238" s="947">
        <f t="shared" si="43"/>
        <v>231</v>
      </c>
      <c r="B238" s="948">
        <v>1</v>
      </c>
      <c r="C238" s="949">
        <v>26038</v>
      </c>
      <c r="D238" s="949" t="s">
        <v>176</v>
      </c>
      <c r="E238" s="950">
        <v>15</v>
      </c>
      <c r="F238" s="644">
        <v>1971</v>
      </c>
      <c r="G238" s="948" t="s">
        <v>130</v>
      </c>
      <c r="H238" s="645" t="s">
        <v>150</v>
      </c>
      <c r="I238" s="951">
        <v>100</v>
      </c>
      <c r="J238" s="951">
        <v>0.3</v>
      </c>
      <c r="K238" s="952">
        <f t="shared" si="41"/>
        <v>1.7045454545454544E-2</v>
      </c>
      <c r="L238" s="644">
        <f t="shared" si="44"/>
        <v>18</v>
      </c>
      <c r="M238" s="935">
        <v>0.75</v>
      </c>
      <c r="N238" s="936">
        <f t="shared" si="35"/>
        <v>0.75</v>
      </c>
      <c r="O238" s="725"/>
      <c r="P238" s="725">
        <f t="shared" si="36"/>
        <v>-0.75</v>
      </c>
      <c r="Q238" s="622"/>
      <c r="R238" s="37"/>
      <c r="S238" s="37" t="str">
        <f t="shared" si="37"/>
        <v>ShermanF1</v>
      </c>
      <c r="T238" s="37" t="str">
        <f t="shared" si="38"/>
        <v>1971F1</v>
      </c>
      <c r="U238" s="429">
        <v>100</v>
      </c>
      <c r="V238" s="1029">
        <v>0.2</v>
      </c>
      <c r="W238" s="598">
        <v>0.01</v>
      </c>
      <c r="X238" s="429"/>
      <c r="Y238" s="37" t="str">
        <f t="shared" si="39"/>
        <v>F1100</v>
      </c>
      <c r="Z238" s="37" t="str">
        <f t="shared" si="40"/>
        <v>F10.2</v>
      </c>
      <c r="AA238" s="37" t="str">
        <f t="shared" si="42"/>
        <v>F10.01</v>
      </c>
      <c r="AB238" s="498" t="str">
        <f t="shared" si="33"/>
        <v>F118</v>
      </c>
      <c r="AC238" s="572"/>
      <c r="AD238" s="572"/>
      <c r="AE238" s="572"/>
      <c r="AF238" s="572"/>
    </row>
    <row r="239" spans="1:32">
      <c r="A239" s="947">
        <f t="shared" si="43"/>
        <v>232</v>
      </c>
      <c r="B239" s="948">
        <v>2</v>
      </c>
      <c r="C239" s="949">
        <v>26042</v>
      </c>
      <c r="D239" s="949" t="s">
        <v>176</v>
      </c>
      <c r="E239" s="950">
        <v>19</v>
      </c>
      <c r="F239" s="644">
        <v>1971</v>
      </c>
      <c r="G239" s="948" t="s">
        <v>129</v>
      </c>
      <c r="H239" s="645" t="s">
        <v>151</v>
      </c>
      <c r="I239" s="951">
        <v>150</v>
      </c>
      <c r="J239" s="951">
        <v>7.2</v>
      </c>
      <c r="K239" s="952">
        <f t="shared" si="41"/>
        <v>0.61363636363636365</v>
      </c>
      <c r="L239" s="644">
        <f t="shared" si="44"/>
        <v>0</v>
      </c>
      <c r="M239" s="935">
        <v>1.0416666666666666E-2</v>
      </c>
      <c r="N239" s="936">
        <f t="shared" si="35"/>
        <v>1.0416666666666666E-2</v>
      </c>
      <c r="O239" s="725"/>
      <c r="P239" s="725">
        <f t="shared" si="36"/>
        <v>-1.0416666666666666E-2</v>
      </c>
      <c r="Q239" s="622"/>
      <c r="R239" s="37"/>
      <c r="S239" s="37" t="str">
        <f t="shared" si="37"/>
        <v>DallamF2</v>
      </c>
      <c r="T239" s="37" t="str">
        <f t="shared" si="38"/>
        <v>1971F2</v>
      </c>
      <c r="U239" s="429">
        <v>100</v>
      </c>
      <c r="V239" s="1029">
        <v>5</v>
      </c>
      <c r="W239" s="598">
        <v>0.5</v>
      </c>
      <c r="X239" s="429"/>
      <c r="Y239" s="37" t="str">
        <f t="shared" si="39"/>
        <v>F2100</v>
      </c>
      <c r="Z239" s="37" t="str">
        <f t="shared" si="40"/>
        <v>F25</v>
      </c>
      <c r="AA239" s="37" t="str">
        <f t="shared" si="42"/>
        <v>F20.5</v>
      </c>
      <c r="AB239" s="498" t="str">
        <f t="shared" si="33"/>
        <v>F20</v>
      </c>
      <c r="AC239" s="572"/>
      <c r="AD239" s="572"/>
      <c r="AE239" s="572"/>
      <c r="AF239" s="572"/>
    </row>
    <row r="240" spans="1:32">
      <c r="A240" s="947">
        <f t="shared" si="43"/>
        <v>233</v>
      </c>
      <c r="B240" s="948">
        <v>3</v>
      </c>
      <c r="C240" s="949">
        <v>26042</v>
      </c>
      <c r="D240" s="949" t="s">
        <v>176</v>
      </c>
      <c r="E240" s="950">
        <v>19</v>
      </c>
      <c r="F240" s="644">
        <v>1971</v>
      </c>
      <c r="G240" s="948" t="s">
        <v>129</v>
      </c>
      <c r="H240" s="645" t="s">
        <v>151</v>
      </c>
      <c r="I240" s="951">
        <v>10</v>
      </c>
      <c r="J240" s="951">
        <v>0.1</v>
      </c>
      <c r="K240" s="952">
        <f t="shared" si="41"/>
        <v>5.6818181818181826E-4</v>
      </c>
      <c r="L240" s="644">
        <f t="shared" si="44"/>
        <v>0</v>
      </c>
      <c r="M240" s="935">
        <v>1.0416666666666666E-2</v>
      </c>
      <c r="N240" s="936">
        <f t="shared" si="35"/>
        <v>1.0416666666666666E-2</v>
      </c>
      <c r="O240" s="725"/>
      <c r="P240" s="725">
        <f t="shared" si="36"/>
        <v>-1.0416666666666666E-2</v>
      </c>
      <c r="Q240" s="622"/>
      <c r="R240" s="37"/>
      <c r="S240" s="37" t="str">
        <f t="shared" si="37"/>
        <v>DallamF2</v>
      </c>
      <c r="T240" s="37" t="str">
        <f t="shared" si="38"/>
        <v>1971F2</v>
      </c>
      <c r="U240" s="429">
        <v>10</v>
      </c>
      <c r="V240" s="1029">
        <v>0.1</v>
      </c>
      <c r="W240" s="598">
        <v>1E-3</v>
      </c>
      <c r="X240" s="429"/>
      <c r="Y240" s="37" t="str">
        <f t="shared" si="39"/>
        <v>F210</v>
      </c>
      <c r="Z240" s="37" t="str">
        <f t="shared" si="40"/>
        <v>F20.1</v>
      </c>
      <c r="AA240" s="37" t="str">
        <f t="shared" si="42"/>
        <v>F20.001</v>
      </c>
      <c r="AB240" s="498" t="str">
        <f t="shared" si="33"/>
        <v>F20</v>
      </c>
      <c r="AC240" s="572"/>
      <c r="AD240" s="572"/>
      <c r="AE240" s="572"/>
      <c r="AF240" s="572"/>
    </row>
    <row r="241" spans="1:32">
      <c r="A241" s="947">
        <f t="shared" si="43"/>
        <v>234</v>
      </c>
      <c r="B241" s="948">
        <v>4</v>
      </c>
      <c r="C241" s="949">
        <v>26042</v>
      </c>
      <c r="D241" s="949" t="s">
        <v>176</v>
      </c>
      <c r="E241" s="950">
        <v>19</v>
      </c>
      <c r="F241" s="644">
        <v>1971</v>
      </c>
      <c r="G241" s="948" t="s">
        <v>144</v>
      </c>
      <c r="H241" s="645" t="s">
        <v>152</v>
      </c>
      <c r="I241" s="951">
        <v>133</v>
      </c>
      <c r="J241" s="951">
        <v>6.1</v>
      </c>
      <c r="K241" s="952">
        <f t="shared" si="41"/>
        <v>0.46096590909090901</v>
      </c>
      <c r="L241" s="644">
        <f t="shared" si="44"/>
        <v>0</v>
      </c>
      <c r="M241" s="935">
        <v>2.0833333333333332E-2</v>
      </c>
      <c r="N241" s="936">
        <f t="shared" si="35"/>
        <v>2.0833333333333332E-2</v>
      </c>
      <c r="O241" s="725"/>
      <c r="P241" s="725">
        <f t="shared" si="36"/>
        <v>-2.0833333333333332E-2</v>
      </c>
      <c r="Q241" s="622"/>
      <c r="R241" s="37"/>
      <c r="S241" s="37" t="str">
        <f t="shared" si="37"/>
        <v>Deaf SmithF3</v>
      </c>
      <c r="T241" s="37" t="str">
        <f t="shared" si="38"/>
        <v>1971F3</v>
      </c>
      <c r="U241" s="429">
        <v>100</v>
      </c>
      <c r="V241" s="1029">
        <v>5</v>
      </c>
      <c r="W241" s="598">
        <v>0.2</v>
      </c>
      <c r="X241" s="429"/>
      <c r="Y241" s="37" t="str">
        <f t="shared" si="39"/>
        <v>F3100</v>
      </c>
      <c r="Z241" s="37" t="str">
        <f t="shared" si="40"/>
        <v>F35</v>
      </c>
      <c r="AA241" s="37" t="str">
        <f t="shared" si="42"/>
        <v>F30.2</v>
      </c>
      <c r="AB241" s="498" t="str">
        <f t="shared" si="33"/>
        <v>F30</v>
      </c>
      <c r="AC241" s="572"/>
      <c r="AD241" s="572"/>
      <c r="AE241" s="572"/>
      <c r="AF241" s="572"/>
    </row>
    <row r="242" spans="1:32">
      <c r="A242" s="947">
        <f t="shared" si="43"/>
        <v>235</v>
      </c>
      <c r="B242" s="948">
        <v>5</v>
      </c>
      <c r="C242" s="949">
        <v>26042</v>
      </c>
      <c r="D242" s="949" t="s">
        <v>176</v>
      </c>
      <c r="E242" s="950">
        <v>19</v>
      </c>
      <c r="F242" s="644">
        <v>1971</v>
      </c>
      <c r="G242" s="948" t="s">
        <v>126</v>
      </c>
      <c r="H242" s="645" t="s">
        <v>150</v>
      </c>
      <c r="I242" s="951">
        <v>10</v>
      </c>
      <c r="J242" s="951">
        <v>0.1</v>
      </c>
      <c r="K242" s="952">
        <f t="shared" si="41"/>
        <v>5.6818181818181826E-4</v>
      </c>
      <c r="L242" s="644">
        <f t="shared" si="44"/>
        <v>1</v>
      </c>
      <c r="M242" s="935">
        <v>4.1666666666666664E-2</v>
      </c>
      <c r="N242" s="936">
        <f t="shared" si="35"/>
        <v>4.1666666666666664E-2</v>
      </c>
      <c r="O242" s="725"/>
      <c r="P242" s="725">
        <f t="shared" si="36"/>
        <v>-4.1666666666666664E-2</v>
      </c>
      <c r="Q242" s="622"/>
      <c r="R242" s="37"/>
      <c r="S242" s="37" t="str">
        <f t="shared" si="37"/>
        <v>CimarronF1</v>
      </c>
      <c r="T242" s="37" t="str">
        <f t="shared" si="38"/>
        <v>1971F1</v>
      </c>
      <c r="U242" s="429">
        <v>10</v>
      </c>
      <c r="V242" s="1029">
        <v>0.1</v>
      </c>
      <c r="W242" s="598">
        <v>1E-3</v>
      </c>
      <c r="X242" s="429"/>
      <c r="Y242" s="37" t="str">
        <f t="shared" si="39"/>
        <v>F110</v>
      </c>
      <c r="Z242" s="37" t="str">
        <f t="shared" si="40"/>
        <v>F10.1</v>
      </c>
      <c r="AA242" s="37" t="str">
        <f t="shared" si="42"/>
        <v>F10.001</v>
      </c>
      <c r="AB242" s="498" t="str">
        <f t="shared" si="33"/>
        <v>F11</v>
      </c>
      <c r="AC242" s="572"/>
      <c r="AD242" s="572"/>
      <c r="AE242" s="572"/>
      <c r="AF242" s="572"/>
    </row>
    <row r="243" spans="1:32">
      <c r="A243" s="947">
        <f t="shared" si="43"/>
        <v>236</v>
      </c>
      <c r="B243" s="948">
        <v>6</v>
      </c>
      <c r="C243" s="949">
        <v>26042</v>
      </c>
      <c r="D243" s="949" t="s">
        <v>176</v>
      </c>
      <c r="E243" s="950">
        <v>19</v>
      </c>
      <c r="F243" s="644">
        <v>1971</v>
      </c>
      <c r="G243" s="948" t="s">
        <v>145</v>
      </c>
      <c r="H243" s="645" t="s">
        <v>150</v>
      </c>
      <c r="I243" s="951">
        <v>20</v>
      </c>
      <c r="J243" s="951">
        <v>0.3</v>
      </c>
      <c r="K243" s="952">
        <f t="shared" si="41"/>
        <v>3.4090909090909089E-3</v>
      </c>
      <c r="L243" s="644">
        <f t="shared" si="44"/>
        <v>1</v>
      </c>
      <c r="M243" s="935">
        <v>4.7916666666666663E-2</v>
      </c>
      <c r="N243" s="936">
        <f t="shared" si="35"/>
        <v>4.7916666666666663E-2</v>
      </c>
      <c r="O243" s="725"/>
      <c r="P243" s="725">
        <f t="shared" si="36"/>
        <v>-4.7916666666666663E-2</v>
      </c>
      <c r="Q243" s="622"/>
      <c r="R243" s="37"/>
      <c r="S243" s="37" t="str">
        <f t="shared" si="37"/>
        <v>RandallF1</v>
      </c>
      <c r="T243" s="37" t="str">
        <f t="shared" si="38"/>
        <v>1971F1</v>
      </c>
      <c r="U243" s="429">
        <v>20</v>
      </c>
      <c r="V243" s="1029">
        <v>0.2</v>
      </c>
      <c r="W243" s="598">
        <v>2E-3</v>
      </c>
      <c r="X243" s="429"/>
      <c r="Y243" s="37" t="str">
        <f t="shared" si="39"/>
        <v>F120</v>
      </c>
      <c r="Z243" s="37" t="str">
        <f t="shared" si="40"/>
        <v>F10.2</v>
      </c>
      <c r="AA243" s="37" t="str">
        <f t="shared" si="42"/>
        <v>F10.002</v>
      </c>
      <c r="AB243" s="498" t="str">
        <f t="shared" si="33"/>
        <v>F11</v>
      </c>
      <c r="AC243" s="572"/>
      <c r="AD243" s="572"/>
      <c r="AE243" s="572"/>
      <c r="AF243" s="572"/>
    </row>
    <row r="244" spans="1:32">
      <c r="A244" s="947">
        <f t="shared" si="43"/>
        <v>237</v>
      </c>
      <c r="B244" s="948">
        <v>7</v>
      </c>
      <c r="C244" s="949">
        <v>26042</v>
      </c>
      <c r="D244" s="949" t="s">
        <v>176</v>
      </c>
      <c r="E244" s="950">
        <v>19</v>
      </c>
      <c r="F244" s="644">
        <v>1971</v>
      </c>
      <c r="G244" s="948" t="s">
        <v>126</v>
      </c>
      <c r="H244" s="645" t="s">
        <v>151</v>
      </c>
      <c r="I244" s="951">
        <v>10</v>
      </c>
      <c r="J244" s="951">
        <v>0.1</v>
      </c>
      <c r="K244" s="952">
        <f t="shared" si="41"/>
        <v>5.6818181818181826E-4</v>
      </c>
      <c r="L244" s="644">
        <f t="shared" si="44"/>
        <v>1</v>
      </c>
      <c r="M244" s="935">
        <v>6.25E-2</v>
      </c>
      <c r="N244" s="936">
        <f t="shared" si="35"/>
        <v>6.25E-2</v>
      </c>
      <c r="O244" s="725"/>
      <c r="P244" s="725">
        <f t="shared" si="36"/>
        <v>-6.25E-2</v>
      </c>
      <c r="Q244" s="622"/>
      <c r="R244" s="37"/>
      <c r="S244" s="37" t="str">
        <f t="shared" si="37"/>
        <v>CimarronF2</v>
      </c>
      <c r="T244" s="37" t="str">
        <f t="shared" si="38"/>
        <v>1971F2</v>
      </c>
      <c r="U244" s="429">
        <v>10</v>
      </c>
      <c r="V244" s="1029">
        <v>0.1</v>
      </c>
      <c r="W244" s="598">
        <v>1E-3</v>
      </c>
      <c r="X244" s="429"/>
      <c r="Y244" s="37" t="str">
        <f t="shared" si="39"/>
        <v>F210</v>
      </c>
      <c r="Z244" s="37" t="str">
        <f t="shared" si="40"/>
        <v>F20.1</v>
      </c>
      <c r="AA244" s="37" t="str">
        <f t="shared" si="42"/>
        <v>F20.001</v>
      </c>
      <c r="AB244" s="498" t="str">
        <f t="shared" si="33"/>
        <v>F21</v>
      </c>
      <c r="AC244" s="572"/>
      <c r="AD244" s="572"/>
      <c r="AE244" s="572"/>
      <c r="AF244" s="572"/>
    </row>
    <row r="245" spans="1:32">
      <c r="A245" s="947">
        <f t="shared" si="43"/>
        <v>238</v>
      </c>
      <c r="B245" s="948">
        <v>8</v>
      </c>
      <c r="C245" s="949">
        <v>26042</v>
      </c>
      <c r="D245" s="949" t="s">
        <v>176</v>
      </c>
      <c r="E245" s="950">
        <v>19</v>
      </c>
      <c r="F245" s="644">
        <v>1971</v>
      </c>
      <c r="G245" s="948" t="s">
        <v>144</v>
      </c>
      <c r="H245" s="645" t="s">
        <v>150</v>
      </c>
      <c r="I245" s="951">
        <v>20</v>
      </c>
      <c r="J245" s="951">
        <v>0.3</v>
      </c>
      <c r="K245" s="952">
        <f t="shared" si="41"/>
        <v>3.4090909090909089E-3</v>
      </c>
      <c r="L245" s="644">
        <f t="shared" si="44"/>
        <v>6</v>
      </c>
      <c r="M245" s="935">
        <v>0.25</v>
      </c>
      <c r="N245" s="936">
        <f t="shared" si="35"/>
        <v>0.25</v>
      </c>
      <c r="O245" s="725"/>
      <c r="P245" s="725">
        <f t="shared" si="36"/>
        <v>-0.25</v>
      </c>
      <c r="Q245" s="622"/>
      <c r="R245" s="37"/>
      <c r="S245" s="37" t="str">
        <f t="shared" si="37"/>
        <v>Deaf SmithF1</v>
      </c>
      <c r="T245" s="37" t="str">
        <f t="shared" si="38"/>
        <v>1971F1</v>
      </c>
      <c r="U245" s="429">
        <v>20</v>
      </c>
      <c r="V245" s="1029">
        <v>0.2</v>
      </c>
      <c r="W245" s="598">
        <v>2E-3</v>
      </c>
      <c r="X245" s="429"/>
      <c r="Y245" s="37" t="str">
        <f t="shared" si="39"/>
        <v>F120</v>
      </c>
      <c r="Z245" s="37" t="str">
        <f t="shared" si="40"/>
        <v>F10.2</v>
      </c>
      <c r="AA245" s="37" t="str">
        <f t="shared" si="42"/>
        <v>F10.002</v>
      </c>
      <c r="AB245" s="498" t="str">
        <f t="shared" si="33"/>
        <v>F16</v>
      </c>
      <c r="AC245" s="572"/>
      <c r="AD245" s="572"/>
      <c r="AE245" s="572"/>
      <c r="AF245" s="572"/>
    </row>
    <row r="246" spans="1:32">
      <c r="A246" s="947">
        <f t="shared" si="43"/>
        <v>239</v>
      </c>
      <c r="B246" s="948">
        <v>9</v>
      </c>
      <c r="C246" s="949">
        <v>26045</v>
      </c>
      <c r="D246" s="949" t="s">
        <v>176</v>
      </c>
      <c r="E246" s="950">
        <v>22</v>
      </c>
      <c r="F246" s="644">
        <v>1971</v>
      </c>
      <c r="G246" s="948" t="s">
        <v>126</v>
      </c>
      <c r="H246" s="645" t="s">
        <v>149</v>
      </c>
      <c r="I246" s="951">
        <v>10</v>
      </c>
      <c r="J246" s="951">
        <v>0.1</v>
      </c>
      <c r="K246" s="952">
        <f t="shared" si="41"/>
        <v>5.6818181818181826E-4</v>
      </c>
      <c r="L246" s="644">
        <f t="shared" si="44"/>
        <v>12</v>
      </c>
      <c r="M246" s="935">
        <v>0.52083333333333337</v>
      </c>
      <c r="N246" s="936">
        <f t="shared" si="35"/>
        <v>0.52083333333333337</v>
      </c>
      <c r="O246" s="725"/>
      <c r="P246" s="725">
        <f t="shared" si="36"/>
        <v>-0.52083333333333337</v>
      </c>
      <c r="Q246" s="622"/>
      <c r="R246" s="37"/>
      <c r="S246" s="37" t="str">
        <f t="shared" si="37"/>
        <v>CimarronF0</v>
      </c>
      <c r="T246" s="37" t="str">
        <f t="shared" si="38"/>
        <v>1971F0</v>
      </c>
      <c r="U246" s="429">
        <v>10</v>
      </c>
      <c r="V246" s="1029">
        <v>0.1</v>
      </c>
      <c r="W246" s="598">
        <v>1E-3</v>
      </c>
      <c r="X246" s="429"/>
      <c r="Y246" s="37" t="str">
        <f t="shared" si="39"/>
        <v>F010</v>
      </c>
      <c r="Z246" s="37" t="str">
        <f t="shared" si="40"/>
        <v>F00.1</v>
      </c>
      <c r="AA246" s="37" t="str">
        <f t="shared" si="42"/>
        <v>F00.001</v>
      </c>
      <c r="AB246" s="498" t="str">
        <f t="shared" si="33"/>
        <v>F012</v>
      </c>
      <c r="AC246" s="572"/>
      <c r="AD246" s="572"/>
      <c r="AE246" s="572"/>
      <c r="AF246" s="572"/>
    </row>
    <row r="247" spans="1:32">
      <c r="A247" s="947">
        <f t="shared" si="43"/>
        <v>240</v>
      </c>
      <c r="B247" s="948">
        <v>10</v>
      </c>
      <c r="C247" s="949">
        <v>26081</v>
      </c>
      <c r="D247" s="949" t="s">
        <v>177</v>
      </c>
      <c r="E247" s="950">
        <v>28</v>
      </c>
      <c r="F247" s="644">
        <v>1971</v>
      </c>
      <c r="G247" s="948" t="s">
        <v>126</v>
      </c>
      <c r="H247" s="645" t="s">
        <v>149</v>
      </c>
      <c r="I247" s="951">
        <v>10</v>
      </c>
      <c r="J247" s="951">
        <v>0.1</v>
      </c>
      <c r="K247" s="952">
        <f t="shared" si="41"/>
        <v>5.6818181818181826E-4</v>
      </c>
      <c r="L247" s="644">
        <f t="shared" si="44"/>
        <v>18</v>
      </c>
      <c r="M247" s="935">
        <v>0.76597222222222217</v>
      </c>
      <c r="N247" s="936">
        <f t="shared" si="35"/>
        <v>0.76597222222222217</v>
      </c>
      <c r="O247" s="725"/>
      <c r="P247" s="725">
        <f t="shared" si="36"/>
        <v>-0.76597222222222217</v>
      </c>
      <c r="Q247" s="622"/>
      <c r="R247" s="37"/>
      <c r="S247" s="37" t="str">
        <f t="shared" si="37"/>
        <v>CimarronF0</v>
      </c>
      <c r="T247" s="37" t="str">
        <f t="shared" si="38"/>
        <v>1971F0</v>
      </c>
      <c r="U247" s="429">
        <v>10</v>
      </c>
      <c r="V247" s="1029">
        <v>0.1</v>
      </c>
      <c r="W247" s="598">
        <v>1E-3</v>
      </c>
      <c r="X247" s="429"/>
      <c r="Y247" s="37" t="str">
        <f t="shared" si="39"/>
        <v>F010</v>
      </c>
      <c r="Z247" s="37" t="str">
        <f t="shared" si="40"/>
        <v>F00.1</v>
      </c>
      <c r="AA247" s="37" t="str">
        <f t="shared" si="42"/>
        <v>F00.001</v>
      </c>
      <c r="AB247" s="498" t="str">
        <f t="shared" si="33"/>
        <v>F018</v>
      </c>
      <c r="AC247" s="572"/>
      <c r="AD247" s="572"/>
      <c r="AE247" s="572"/>
      <c r="AF247" s="572"/>
    </row>
    <row r="248" spans="1:32">
      <c r="A248" s="947">
        <f t="shared" si="43"/>
        <v>241</v>
      </c>
      <c r="B248" s="948">
        <v>11</v>
      </c>
      <c r="C248" s="949">
        <v>26089</v>
      </c>
      <c r="D248" s="949" t="s">
        <v>178</v>
      </c>
      <c r="E248" s="950">
        <v>5</v>
      </c>
      <c r="F248" s="644">
        <v>1971</v>
      </c>
      <c r="G248" s="948" t="s">
        <v>145</v>
      </c>
      <c r="H248" s="645" t="s">
        <v>151</v>
      </c>
      <c r="I248" s="951">
        <v>50</v>
      </c>
      <c r="J248" s="951">
        <v>0.3</v>
      </c>
      <c r="K248" s="952">
        <f t="shared" si="41"/>
        <v>8.5227272727272721E-3</v>
      </c>
      <c r="L248" s="644">
        <f t="shared" si="44"/>
        <v>16</v>
      </c>
      <c r="M248" s="935">
        <v>0.67361111111111116</v>
      </c>
      <c r="N248" s="936">
        <f t="shared" si="35"/>
        <v>0.67361111111111116</v>
      </c>
      <c r="O248" s="725"/>
      <c r="P248" s="725">
        <f t="shared" si="36"/>
        <v>-0.67361111111111116</v>
      </c>
      <c r="Q248" s="622"/>
      <c r="R248" s="37"/>
      <c r="S248" s="37" t="str">
        <f t="shared" si="37"/>
        <v>RandallF2</v>
      </c>
      <c r="T248" s="37" t="str">
        <f t="shared" si="38"/>
        <v>1971F2</v>
      </c>
      <c r="U248" s="429">
        <v>50</v>
      </c>
      <c r="V248" s="1029">
        <v>0.2</v>
      </c>
      <c r="W248" s="598">
        <v>5.0000000000000001E-3</v>
      </c>
      <c r="X248" s="429"/>
      <c r="Y248" s="37" t="str">
        <f t="shared" si="39"/>
        <v>F250</v>
      </c>
      <c r="Z248" s="37" t="str">
        <f t="shared" si="40"/>
        <v>F20.2</v>
      </c>
      <c r="AA248" s="37" t="str">
        <f t="shared" si="42"/>
        <v>F20.005</v>
      </c>
      <c r="AB248" s="498" t="str">
        <f t="shared" si="33"/>
        <v>F216</v>
      </c>
      <c r="AC248" s="572"/>
      <c r="AD248" s="572"/>
      <c r="AE248" s="572"/>
      <c r="AF248" s="572"/>
    </row>
    <row r="249" spans="1:32">
      <c r="A249" s="947">
        <f t="shared" si="43"/>
        <v>242</v>
      </c>
      <c r="B249" s="948">
        <v>12</v>
      </c>
      <c r="C249" s="949">
        <v>26089</v>
      </c>
      <c r="D249" s="949" t="s">
        <v>178</v>
      </c>
      <c r="E249" s="950">
        <v>5</v>
      </c>
      <c r="F249" s="644">
        <v>1971</v>
      </c>
      <c r="G249" s="948" t="s">
        <v>136</v>
      </c>
      <c r="H249" s="645" t="s">
        <v>152</v>
      </c>
      <c r="I249" s="951">
        <v>1320</v>
      </c>
      <c r="J249" s="951">
        <v>4.7</v>
      </c>
      <c r="K249" s="952">
        <f t="shared" si="41"/>
        <v>3.5250000000000004</v>
      </c>
      <c r="L249" s="644">
        <f t="shared" si="44"/>
        <v>18</v>
      </c>
      <c r="M249" s="935">
        <v>0.75</v>
      </c>
      <c r="N249" s="936">
        <f t="shared" si="35"/>
        <v>0.75</v>
      </c>
      <c r="O249" s="725"/>
      <c r="P249" s="725">
        <f t="shared" si="36"/>
        <v>-0.75</v>
      </c>
      <c r="Q249" s="622"/>
      <c r="R249" s="37"/>
      <c r="S249" s="37" t="str">
        <f t="shared" si="37"/>
        <v>HutchinsonF3</v>
      </c>
      <c r="T249" s="37" t="str">
        <f t="shared" si="38"/>
        <v>1971F3</v>
      </c>
      <c r="U249" s="429">
        <v>1000</v>
      </c>
      <c r="V249" s="1029">
        <v>2</v>
      </c>
      <c r="W249" s="598">
        <v>2</v>
      </c>
      <c r="X249" s="429"/>
      <c r="Y249" s="37" t="str">
        <f t="shared" si="39"/>
        <v>F31000</v>
      </c>
      <c r="Z249" s="37" t="str">
        <f t="shared" si="40"/>
        <v>F32</v>
      </c>
      <c r="AA249" s="37" t="str">
        <f t="shared" si="42"/>
        <v>F32</v>
      </c>
      <c r="AB249" s="498" t="str">
        <f t="shared" si="33"/>
        <v>F318</v>
      </c>
      <c r="AC249" s="572"/>
      <c r="AD249" s="572"/>
      <c r="AE249" s="572"/>
      <c r="AF249" s="572"/>
    </row>
    <row r="250" spans="1:32">
      <c r="A250" s="947">
        <f t="shared" si="43"/>
        <v>243</v>
      </c>
      <c r="B250" s="948">
        <v>13</v>
      </c>
      <c r="C250" s="949">
        <v>26089</v>
      </c>
      <c r="D250" s="949" t="s">
        <v>178</v>
      </c>
      <c r="E250" s="950">
        <v>5</v>
      </c>
      <c r="F250" s="644">
        <v>1971</v>
      </c>
      <c r="G250" s="948" t="s">
        <v>136</v>
      </c>
      <c r="H250" s="645" t="s">
        <v>151</v>
      </c>
      <c r="I250" s="951">
        <v>10</v>
      </c>
      <c r="J250" s="951">
        <v>0.1</v>
      </c>
      <c r="K250" s="952">
        <f t="shared" si="41"/>
        <v>5.6818181818181826E-4</v>
      </c>
      <c r="L250" s="644">
        <f t="shared" si="44"/>
        <v>18</v>
      </c>
      <c r="M250" s="935">
        <v>0.75347222222222221</v>
      </c>
      <c r="N250" s="936">
        <f t="shared" si="35"/>
        <v>0.75347222222222221</v>
      </c>
      <c r="O250" s="725"/>
      <c r="P250" s="725">
        <f t="shared" si="36"/>
        <v>-0.75347222222222221</v>
      </c>
      <c r="Q250" s="622"/>
      <c r="R250" s="37"/>
      <c r="S250" s="37" t="str">
        <f t="shared" si="37"/>
        <v>HutchinsonF2</v>
      </c>
      <c r="T250" s="37" t="str">
        <f t="shared" si="38"/>
        <v>1971F2</v>
      </c>
      <c r="U250" s="429">
        <v>10</v>
      </c>
      <c r="V250" s="1029">
        <v>0.1</v>
      </c>
      <c r="W250" s="598">
        <v>1E-3</v>
      </c>
      <c r="X250" s="429"/>
      <c r="Y250" s="37" t="str">
        <f t="shared" si="39"/>
        <v>F210</v>
      </c>
      <c r="Z250" s="37" t="str">
        <f t="shared" si="40"/>
        <v>F20.1</v>
      </c>
      <c r="AA250" s="37" t="str">
        <f t="shared" si="42"/>
        <v>F20.001</v>
      </c>
      <c r="AB250" s="498" t="str">
        <f t="shared" si="33"/>
        <v>F218</v>
      </c>
      <c r="AC250" s="572"/>
      <c r="AD250" s="572"/>
      <c r="AE250" s="572"/>
      <c r="AF250" s="572"/>
    </row>
    <row r="251" spans="1:32">
      <c r="A251" s="947">
        <f t="shared" si="43"/>
        <v>244</v>
      </c>
      <c r="B251" s="948">
        <v>14</v>
      </c>
      <c r="C251" s="949">
        <v>26089</v>
      </c>
      <c r="D251" s="949" t="s">
        <v>178</v>
      </c>
      <c r="E251" s="950">
        <v>5</v>
      </c>
      <c r="F251" s="644">
        <v>1971</v>
      </c>
      <c r="G251" s="948" t="s">
        <v>136</v>
      </c>
      <c r="H251" s="645" t="s">
        <v>151</v>
      </c>
      <c r="I251" s="951">
        <v>10</v>
      </c>
      <c r="J251" s="951">
        <v>0.1</v>
      </c>
      <c r="K251" s="952">
        <f t="shared" si="41"/>
        <v>5.6818181818181826E-4</v>
      </c>
      <c r="L251" s="644">
        <f t="shared" si="44"/>
        <v>18</v>
      </c>
      <c r="M251" s="935">
        <v>0.75694444444444453</v>
      </c>
      <c r="N251" s="936">
        <f t="shared" si="35"/>
        <v>0.75694444444444453</v>
      </c>
      <c r="O251" s="725"/>
      <c r="P251" s="725">
        <f t="shared" si="36"/>
        <v>-0.75694444444444453</v>
      </c>
      <c r="Q251" s="622"/>
      <c r="R251" s="36"/>
      <c r="S251" s="37" t="str">
        <f t="shared" si="37"/>
        <v>HutchinsonF2</v>
      </c>
      <c r="T251" s="37" t="str">
        <f t="shared" si="38"/>
        <v>1971F2</v>
      </c>
      <c r="U251" s="429">
        <v>10</v>
      </c>
      <c r="V251" s="1029">
        <v>0.1</v>
      </c>
      <c r="W251" s="598">
        <v>1E-3</v>
      </c>
      <c r="X251" s="429"/>
      <c r="Y251" s="37" t="str">
        <f t="shared" si="39"/>
        <v>F210</v>
      </c>
      <c r="Z251" s="37" t="str">
        <f t="shared" si="40"/>
        <v>F20.1</v>
      </c>
      <c r="AA251" s="37" t="str">
        <f t="shared" si="42"/>
        <v>F20.001</v>
      </c>
      <c r="AB251" s="498" t="str">
        <f t="shared" si="33"/>
        <v>F218</v>
      </c>
      <c r="AC251" s="572"/>
      <c r="AD251" s="572"/>
      <c r="AE251" s="572"/>
      <c r="AF251" s="572"/>
    </row>
    <row r="252" spans="1:32">
      <c r="A252" s="947">
        <f t="shared" si="43"/>
        <v>245</v>
      </c>
      <c r="B252" s="948">
        <v>15</v>
      </c>
      <c r="C252" s="949">
        <v>26089</v>
      </c>
      <c r="D252" s="949" t="s">
        <v>178</v>
      </c>
      <c r="E252" s="950">
        <v>5</v>
      </c>
      <c r="F252" s="644">
        <v>1971</v>
      </c>
      <c r="G252" s="948" t="s">
        <v>136</v>
      </c>
      <c r="H252" s="645" t="s">
        <v>151</v>
      </c>
      <c r="I252" s="951">
        <v>10</v>
      </c>
      <c r="J252" s="951">
        <v>0.1</v>
      </c>
      <c r="K252" s="952">
        <f t="shared" si="41"/>
        <v>5.6818181818181826E-4</v>
      </c>
      <c r="L252" s="644">
        <f t="shared" si="44"/>
        <v>18</v>
      </c>
      <c r="M252" s="935">
        <v>0.76041666666666663</v>
      </c>
      <c r="N252" s="936">
        <f t="shared" si="35"/>
        <v>0.76041666666666663</v>
      </c>
      <c r="O252" s="725"/>
      <c r="P252" s="725">
        <f t="shared" si="36"/>
        <v>-0.76041666666666663</v>
      </c>
      <c r="Q252" s="622"/>
      <c r="R252" s="36"/>
      <c r="S252" s="37" t="str">
        <f t="shared" si="37"/>
        <v>HutchinsonF2</v>
      </c>
      <c r="T252" s="37" t="str">
        <f t="shared" si="38"/>
        <v>1971F2</v>
      </c>
      <c r="U252" s="429">
        <v>10</v>
      </c>
      <c r="V252" s="1029">
        <v>0.1</v>
      </c>
      <c r="W252" s="598">
        <v>1E-3</v>
      </c>
      <c r="X252" s="429"/>
      <c r="Y252" s="37" t="str">
        <f t="shared" si="39"/>
        <v>F210</v>
      </c>
      <c r="Z252" s="37" t="str">
        <f t="shared" si="40"/>
        <v>F20.1</v>
      </c>
      <c r="AA252" s="37" t="str">
        <f t="shared" si="42"/>
        <v>F20.001</v>
      </c>
      <c r="AB252" s="498" t="str">
        <f t="shared" si="33"/>
        <v>F218</v>
      </c>
      <c r="AC252" s="572"/>
      <c r="AD252" s="572"/>
      <c r="AE252" s="572"/>
      <c r="AF252" s="572"/>
    </row>
    <row r="253" spans="1:32">
      <c r="A253" s="947">
        <f t="shared" si="43"/>
        <v>246</v>
      </c>
      <c r="B253" s="948">
        <v>16</v>
      </c>
      <c r="C253" s="949">
        <v>26089</v>
      </c>
      <c r="D253" s="949" t="s">
        <v>178</v>
      </c>
      <c r="E253" s="950">
        <v>5</v>
      </c>
      <c r="F253" s="644">
        <v>1971</v>
      </c>
      <c r="G253" s="948" t="s">
        <v>136</v>
      </c>
      <c r="H253" s="645" t="s">
        <v>151</v>
      </c>
      <c r="I253" s="951">
        <v>10</v>
      </c>
      <c r="J253" s="951">
        <v>0.1</v>
      </c>
      <c r="K253" s="952">
        <f t="shared" si="41"/>
        <v>5.6818181818181826E-4</v>
      </c>
      <c r="L253" s="644">
        <f t="shared" si="44"/>
        <v>18</v>
      </c>
      <c r="M253" s="935">
        <v>0.76388888888888884</v>
      </c>
      <c r="N253" s="936">
        <f t="shared" si="35"/>
        <v>0.76388888888888884</v>
      </c>
      <c r="O253" s="725"/>
      <c r="P253" s="725">
        <f t="shared" si="36"/>
        <v>-0.76388888888888884</v>
      </c>
      <c r="Q253" s="622"/>
      <c r="R253" s="36"/>
      <c r="S253" s="37" t="str">
        <f t="shared" si="37"/>
        <v>HutchinsonF2</v>
      </c>
      <c r="T253" s="37" t="str">
        <f t="shared" si="38"/>
        <v>1971F2</v>
      </c>
      <c r="U253" s="429">
        <v>10</v>
      </c>
      <c r="V253" s="1029">
        <v>0.1</v>
      </c>
      <c r="W253" s="598">
        <v>1E-3</v>
      </c>
      <c r="X253" s="429"/>
      <c r="Y253" s="37" t="str">
        <f t="shared" si="39"/>
        <v>F210</v>
      </c>
      <c r="Z253" s="37" t="str">
        <f t="shared" si="40"/>
        <v>F20.1</v>
      </c>
      <c r="AA253" s="37" t="str">
        <f t="shared" si="42"/>
        <v>F20.001</v>
      </c>
      <c r="AB253" s="498" t="str">
        <f t="shared" si="33"/>
        <v>F218</v>
      </c>
      <c r="AC253" s="572"/>
      <c r="AD253" s="572"/>
      <c r="AE253" s="572"/>
      <c r="AF253" s="572"/>
    </row>
    <row r="254" spans="1:32">
      <c r="A254" s="947">
        <f t="shared" si="43"/>
        <v>247</v>
      </c>
      <c r="B254" s="948">
        <v>17</v>
      </c>
      <c r="C254" s="949">
        <v>26089</v>
      </c>
      <c r="D254" s="949" t="s">
        <v>178</v>
      </c>
      <c r="E254" s="950">
        <v>5</v>
      </c>
      <c r="F254" s="644">
        <v>1971</v>
      </c>
      <c r="G254" s="948" t="s">
        <v>136</v>
      </c>
      <c r="H254" s="645" t="s">
        <v>151</v>
      </c>
      <c r="I254" s="951">
        <v>10</v>
      </c>
      <c r="J254" s="951">
        <v>0.1</v>
      </c>
      <c r="K254" s="952">
        <f t="shared" si="41"/>
        <v>5.6818181818181826E-4</v>
      </c>
      <c r="L254" s="644">
        <f t="shared" si="44"/>
        <v>18</v>
      </c>
      <c r="M254" s="935">
        <v>0.76736111111111116</v>
      </c>
      <c r="N254" s="936">
        <f t="shared" si="35"/>
        <v>0.76736111111111116</v>
      </c>
      <c r="O254" s="725"/>
      <c r="P254" s="725">
        <f t="shared" si="36"/>
        <v>-0.76736111111111116</v>
      </c>
      <c r="Q254" s="622"/>
      <c r="R254" s="37"/>
      <c r="S254" s="37" t="str">
        <f t="shared" si="37"/>
        <v>HutchinsonF2</v>
      </c>
      <c r="T254" s="37" t="str">
        <f t="shared" si="38"/>
        <v>1971F2</v>
      </c>
      <c r="U254" s="429">
        <v>10</v>
      </c>
      <c r="V254" s="1029">
        <v>0.1</v>
      </c>
      <c r="W254" s="598">
        <v>1E-3</v>
      </c>
      <c r="X254" s="429"/>
      <c r="Y254" s="37" t="str">
        <f t="shared" si="39"/>
        <v>F210</v>
      </c>
      <c r="Z254" s="37" t="str">
        <f t="shared" si="40"/>
        <v>F20.1</v>
      </c>
      <c r="AA254" s="37" t="str">
        <f t="shared" si="42"/>
        <v>F20.001</v>
      </c>
      <c r="AB254" s="498" t="str">
        <f t="shared" si="33"/>
        <v>F218</v>
      </c>
      <c r="AC254" s="572"/>
      <c r="AD254" s="572"/>
      <c r="AE254" s="572"/>
      <c r="AF254" s="572"/>
    </row>
    <row r="255" spans="1:32">
      <c r="A255" s="947">
        <f t="shared" si="43"/>
        <v>248</v>
      </c>
      <c r="B255" s="948">
        <v>18</v>
      </c>
      <c r="C255" s="949">
        <v>26089</v>
      </c>
      <c r="D255" s="949" t="s">
        <v>178</v>
      </c>
      <c r="E255" s="950">
        <v>5</v>
      </c>
      <c r="F255" s="644">
        <v>1971</v>
      </c>
      <c r="G255" s="948" t="s">
        <v>136</v>
      </c>
      <c r="H255" s="645" t="s">
        <v>151</v>
      </c>
      <c r="I255" s="951">
        <v>10</v>
      </c>
      <c r="J255" s="951">
        <v>0.1</v>
      </c>
      <c r="K255" s="952">
        <f t="shared" si="41"/>
        <v>5.6818181818181826E-4</v>
      </c>
      <c r="L255" s="644">
        <f t="shared" si="44"/>
        <v>18</v>
      </c>
      <c r="M255" s="935">
        <v>0.77083333333333337</v>
      </c>
      <c r="N255" s="936">
        <f t="shared" si="35"/>
        <v>0.77083333333333337</v>
      </c>
      <c r="O255" s="725"/>
      <c r="P255" s="725">
        <f t="shared" si="36"/>
        <v>-0.77083333333333337</v>
      </c>
      <c r="Q255" s="622"/>
      <c r="R255" s="37"/>
      <c r="S255" s="37" t="str">
        <f t="shared" si="37"/>
        <v>HutchinsonF2</v>
      </c>
      <c r="T255" s="37" t="str">
        <f t="shared" si="38"/>
        <v>1971F2</v>
      </c>
      <c r="U255" s="429">
        <v>10</v>
      </c>
      <c r="V255" s="1029">
        <v>0.1</v>
      </c>
      <c r="W255" s="598">
        <v>1E-3</v>
      </c>
      <c r="X255" s="429"/>
      <c r="Y255" s="37" t="str">
        <f t="shared" si="39"/>
        <v>F210</v>
      </c>
      <c r="Z255" s="37" t="str">
        <f t="shared" si="40"/>
        <v>F20.1</v>
      </c>
      <c r="AA255" s="37" t="str">
        <f t="shared" si="42"/>
        <v>F20.001</v>
      </c>
      <c r="AB255" s="498" t="str">
        <f t="shared" si="33"/>
        <v>F218</v>
      </c>
      <c r="AC255" s="572"/>
      <c r="AD255" s="572"/>
      <c r="AE255" s="572"/>
      <c r="AF255" s="572"/>
    </row>
    <row r="256" spans="1:32">
      <c r="A256" s="947">
        <f t="shared" si="43"/>
        <v>249</v>
      </c>
      <c r="B256" s="948">
        <v>19</v>
      </c>
      <c r="C256" s="949">
        <v>26092</v>
      </c>
      <c r="D256" s="949" t="s">
        <v>178</v>
      </c>
      <c r="E256" s="950">
        <v>8</v>
      </c>
      <c r="F256" s="644">
        <v>1971</v>
      </c>
      <c r="G256" s="948" t="s">
        <v>134</v>
      </c>
      <c r="H256" s="645" t="s">
        <v>151</v>
      </c>
      <c r="I256" s="951">
        <v>100</v>
      </c>
      <c r="J256" s="951">
        <v>2</v>
      </c>
      <c r="K256" s="952">
        <f t="shared" si="41"/>
        <v>0.11363636363636363</v>
      </c>
      <c r="L256" s="644">
        <f t="shared" si="44"/>
        <v>16</v>
      </c>
      <c r="M256" s="935">
        <v>0.70138888888888884</v>
      </c>
      <c r="N256" s="936">
        <f t="shared" si="35"/>
        <v>0.70138888888888884</v>
      </c>
      <c r="O256" s="725"/>
      <c r="P256" s="725">
        <f t="shared" si="36"/>
        <v>-0.70138888888888884</v>
      </c>
      <c r="Q256" s="622"/>
      <c r="R256" s="37"/>
      <c r="S256" s="37" t="str">
        <f t="shared" si="37"/>
        <v>HartleyF2</v>
      </c>
      <c r="T256" s="37" t="str">
        <f t="shared" si="38"/>
        <v>1971F2</v>
      </c>
      <c r="U256" s="429">
        <v>100</v>
      </c>
      <c r="V256" s="1029">
        <v>2</v>
      </c>
      <c r="W256" s="598">
        <v>0.1</v>
      </c>
      <c r="X256" s="429"/>
      <c r="Y256" s="37" t="str">
        <f t="shared" si="39"/>
        <v>F2100</v>
      </c>
      <c r="Z256" s="37" t="str">
        <f t="shared" si="40"/>
        <v>F22</v>
      </c>
      <c r="AA256" s="37" t="str">
        <f t="shared" si="42"/>
        <v>F20.1</v>
      </c>
      <c r="AB256" s="498" t="str">
        <f t="shared" si="33"/>
        <v>F216</v>
      </c>
      <c r="AC256" s="572"/>
      <c r="AD256" s="572"/>
      <c r="AE256" s="572"/>
      <c r="AF256" s="572"/>
    </row>
    <row r="257" spans="1:32">
      <c r="A257" s="947">
        <f t="shared" si="43"/>
        <v>250</v>
      </c>
      <c r="B257" s="948">
        <v>20</v>
      </c>
      <c r="C257" s="949">
        <v>26092</v>
      </c>
      <c r="D257" s="949" t="s">
        <v>178</v>
      </c>
      <c r="E257" s="950">
        <v>8</v>
      </c>
      <c r="F257" s="644">
        <v>1971</v>
      </c>
      <c r="G257" s="948" t="s">
        <v>134</v>
      </c>
      <c r="H257" s="645" t="s">
        <v>151</v>
      </c>
      <c r="I257" s="951">
        <v>100</v>
      </c>
      <c r="J257" s="951">
        <v>2</v>
      </c>
      <c r="K257" s="952">
        <f t="shared" si="41"/>
        <v>0.11363636363636363</v>
      </c>
      <c r="L257" s="644">
        <f t="shared" si="44"/>
        <v>18</v>
      </c>
      <c r="M257" s="935">
        <v>0.77430555555555547</v>
      </c>
      <c r="N257" s="936">
        <f t="shared" si="35"/>
        <v>0.77430555555555547</v>
      </c>
      <c r="O257" s="725"/>
      <c r="P257" s="725">
        <f t="shared" si="36"/>
        <v>-0.77430555555555547</v>
      </c>
      <c r="Q257" s="622"/>
      <c r="R257" s="37"/>
      <c r="S257" s="37" t="str">
        <f t="shared" si="37"/>
        <v>HartleyF2</v>
      </c>
      <c r="T257" s="37" t="str">
        <f t="shared" si="38"/>
        <v>1971F2</v>
      </c>
      <c r="U257" s="429">
        <v>100</v>
      </c>
      <c r="V257" s="1029">
        <v>2</v>
      </c>
      <c r="W257" s="598">
        <v>0.1</v>
      </c>
      <c r="X257" s="429"/>
      <c r="Y257" s="37" t="str">
        <f t="shared" si="39"/>
        <v>F2100</v>
      </c>
      <c r="Z257" s="37" t="str">
        <f t="shared" si="40"/>
        <v>F22</v>
      </c>
      <c r="AA257" s="37" t="str">
        <f t="shared" si="42"/>
        <v>F20.1</v>
      </c>
      <c r="AB257" s="498" t="str">
        <f t="shared" si="33"/>
        <v>F218</v>
      </c>
      <c r="AC257" s="572"/>
      <c r="AD257" s="572"/>
      <c r="AE257" s="572"/>
      <c r="AF257" s="572"/>
    </row>
    <row r="258" spans="1:32">
      <c r="A258" s="947">
        <f t="shared" si="43"/>
        <v>251</v>
      </c>
      <c r="B258" s="948">
        <v>21</v>
      </c>
      <c r="C258" s="949">
        <v>26093</v>
      </c>
      <c r="D258" s="949" t="s">
        <v>178</v>
      </c>
      <c r="E258" s="950">
        <v>9</v>
      </c>
      <c r="F258" s="644">
        <v>1971</v>
      </c>
      <c r="G258" s="948" t="s">
        <v>130</v>
      </c>
      <c r="H258" s="645" t="s">
        <v>151</v>
      </c>
      <c r="I258" s="951">
        <v>10</v>
      </c>
      <c r="J258" s="951">
        <v>0.1</v>
      </c>
      <c r="K258" s="952">
        <f t="shared" si="41"/>
        <v>5.6818181818181826E-4</v>
      </c>
      <c r="L258" s="644">
        <f t="shared" si="44"/>
        <v>17</v>
      </c>
      <c r="M258" s="935">
        <v>0.70833333333333337</v>
      </c>
      <c r="N258" s="936">
        <f t="shared" si="35"/>
        <v>0.70833333333333337</v>
      </c>
      <c r="O258" s="725"/>
      <c r="P258" s="725">
        <f t="shared" si="36"/>
        <v>-0.70833333333333337</v>
      </c>
      <c r="Q258" s="622"/>
      <c r="R258" s="37"/>
      <c r="S258" s="37" t="str">
        <f t="shared" si="37"/>
        <v>ShermanF2</v>
      </c>
      <c r="T258" s="37" t="str">
        <f t="shared" si="38"/>
        <v>1971F2</v>
      </c>
      <c r="U258" s="429">
        <v>10</v>
      </c>
      <c r="V258" s="1029">
        <v>0.1</v>
      </c>
      <c r="W258" s="598">
        <v>1E-3</v>
      </c>
      <c r="X258" s="429"/>
      <c r="Y258" s="37" t="str">
        <f t="shared" si="39"/>
        <v>F210</v>
      </c>
      <c r="Z258" s="37" t="str">
        <f t="shared" si="40"/>
        <v>F20.1</v>
      </c>
      <c r="AA258" s="37" t="str">
        <f t="shared" si="42"/>
        <v>F20.001</v>
      </c>
      <c r="AB258" s="498" t="str">
        <f t="shared" si="33"/>
        <v>F217</v>
      </c>
      <c r="AC258" s="572"/>
      <c r="AD258" s="572"/>
      <c r="AE258" s="572"/>
      <c r="AF258" s="572"/>
    </row>
    <row r="259" spans="1:32">
      <c r="A259" s="947">
        <f t="shared" si="43"/>
        <v>252</v>
      </c>
      <c r="B259" s="948">
        <v>22</v>
      </c>
      <c r="C259" s="949">
        <v>26093</v>
      </c>
      <c r="D259" s="949" t="s">
        <v>178</v>
      </c>
      <c r="E259" s="950">
        <v>9</v>
      </c>
      <c r="F259" s="644">
        <v>1971</v>
      </c>
      <c r="G259" s="948" t="s">
        <v>130</v>
      </c>
      <c r="H259" s="645" t="s">
        <v>151</v>
      </c>
      <c r="I259" s="951">
        <v>10</v>
      </c>
      <c r="J259" s="951">
        <v>0.1</v>
      </c>
      <c r="K259" s="952">
        <f t="shared" si="41"/>
        <v>5.6818181818181826E-4</v>
      </c>
      <c r="L259" s="644">
        <f t="shared" si="44"/>
        <v>17</v>
      </c>
      <c r="M259" s="935">
        <v>0.70833333333333337</v>
      </c>
      <c r="N259" s="936">
        <f t="shared" si="35"/>
        <v>0.70833333333333337</v>
      </c>
      <c r="O259" s="725"/>
      <c r="P259" s="725">
        <f t="shared" si="36"/>
        <v>-0.70833333333333337</v>
      </c>
      <c r="Q259" s="622"/>
      <c r="R259" s="37"/>
      <c r="S259" s="37" t="str">
        <f t="shared" si="37"/>
        <v>ShermanF2</v>
      </c>
      <c r="T259" s="37" t="str">
        <f t="shared" si="38"/>
        <v>1971F2</v>
      </c>
      <c r="U259" s="429">
        <v>10</v>
      </c>
      <c r="V259" s="1029">
        <v>0.1</v>
      </c>
      <c r="W259" s="598">
        <v>1E-3</v>
      </c>
      <c r="X259" s="429"/>
      <c r="Y259" s="37" t="str">
        <f t="shared" si="39"/>
        <v>F210</v>
      </c>
      <c r="Z259" s="37" t="str">
        <f t="shared" si="40"/>
        <v>F20.1</v>
      </c>
      <c r="AA259" s="37" t="str">
        <f t="shared" si="42"/>
        <v>F20.001</v>
      </c>
      <c r="AB259" s="498" t="str">
        <f t="shared" si="33"/>
        <v>F217</v>
      </c>
      <c r="AC259" s="572"/>
      <c r="AD259" s="572"/>
      <c r="AE259" s="572"/>
      <c r="AF259" s="572"/>
    </row>
    <row r="260" spans="1:32">
      <c r="A260" s="947">
        <f t="shared" si="43"/>
        <v>253</v>
      </c>
      <c r="B260" s="948">
        <v>23</v>
      </c>
      <c r="C260" s="949">
        <v>26093</v>
      </c>
      <c r="D260" s="949" t="s">
        <v>178</v>
      </c>
      <c r="E260" s="950">
        <v>9</v>
      </c>
      <c r="F260" s="644">
        <v>1971</v>
      </c>
      <c r="G260" s="948" t="s">
        <v>130</v>
      </c>
      <c r="H260" s="645" t="s">
        <v>151</v>
      </c>
      <c r="I260" s="951">
        <v>10</v>
      </c>
      <c r="J260" s="951">
        <v>0.1</v>
      </c>
      <c r="K260" s="952">
        <f t="shared" si="41"/>
        <v>5.6818181818181826E-4</v>
      </c>
      <c r="L260" s="644">
        <f t="shared" si="44"/>
        <v>17</v>
      </c>
      <c r="M260" s="935">
        <v>0.70833333333333337</v>
      </c>
      <c r="N260" s="936">
        <f t="shared" si="35"/>
        <v>0.70833333333333337</v>
      </c>
      <c r="O260" s="725"/>
      <c r="P260" s="725">
        <f t="shared" si="36"/>
        <v>-0.70833333333333337</v>
      </c>
      <c r="Q260" s="622"/>
      <c r="R260" s="37"/>
      <c r="S260" s="37" t="str">
        <f t="shared" si="37"/>
        <v>ShermanF2</v>
      </c>
      <c r="T260" s="37" t="str">
        <f t="shared" si="38"/>
        <v>1971F2</v>
      </c>
      <c r="U260" s="429">
        <v>10</v>
      </c>
      <c r="V260" s="1029">
        <v>0.1</v>
      </c>
      <c r="W260" s="598">
        <v>1E-3</v>
      </c>
      <c r="X260" s="429"/>
      <c r="Y260" s="37" t="str">
        <f t="shared" si="39"/>
        <v>F210</v>
      </c>
      <c r="Z260" s="37" t="str">
        <f t="shared" si="40"/>
        <v>F20.1</v>
      </c>
      <c r="AA260" s="37" t="str">
        <f t="shared" si="42"/>
        <v>F20.001</v>
      </c>
      <c r="AB260" s="498" t="str">
        <f t="shared" si="33"/>
        <v>F217</v>
      </c>
      <c r="AC260" s="572"/>
      <c r="AD260" s="572"/>
      <c r="AE260" s="572"/>
      <c r="AF260" s="572"/>
    </row>
    <row r="261" spans="1:32">
      <c r="A261" s="947">
        <f t="shared" si="43"/>
        <v>254</v>
      </c>
      <c r="B261" s="948">
        <v>24</v>
      </c>
      <c r="C261" s="949">
        <v>26093</v>
      </c>
      <c r="D261" s="949" t="s">
        <v>178</v>
      </c>
      <c r="E261" s="950">
        <v>9</v>
      </c>
      <c r="F261" s="644">
        <v>1971</v>
      </c>
      <c r="G261" s="948" t="s">
        <v>130</v>
      </c>
      <c r="H261" s="645" t="s">
        <v>153</v>
      </c>
      <c r="I261" s="951">
        <v>1320</v>
      </c>
      <c r="J261" s="951">
        <v>5.9</v>
      </c>
      <c r="K261" s="952">
        <f t="shared" si="41"/>
        <v>4.4250000000000007</v>
      </c>
      <c r="L261" s="644">
        <f t="shared" si="44"/>
        <v>17</v>
      </c>
      <c r="M261" s="935">
        <v>0.70833333333333337</v>
      </c>
      <c r="N261" s="936">
        <f t="shared" si="35"/>
        <v>0.70833333333333337</v>
      </c>
      <c r="O261" s="725"/>
      <c r="P261" s="725">
        <f t="shared" si="36"/>
        <v>-0.70833333333333337</v>
      </c>
      <c r="Q261" s="622"/>
      <c r="R261" s="37"/>
      <c r="S261" s="37" t="str">
        <f t="shared" si="37"/>
        <v>ShermanF4</v>
      </c>
      <c r="T261" s="37" t="str">
        <f t="shared" si="38"/>
        <v>1971F4</v>
      </c>
      <c r="U261" s="429">
        <v>1000</v>
      </c>
      <c r="V261" s="1029">
        <v>5</v>
      </c>
      <c r="W261" s="598">
        <v>2</v>
      </c>
      <c r="X261" s="429"/>
      <c r="Y261" s="37" t="str">
        <f t="shared" si="39"/>
        <v>F41000</v>
      </c>
      <c r="Z261" s="37" t="str">
        <f t="shared" si="40"/>
        <v>F45</v>
      </c>
      <c r="AA261" s="37" t="str">
        <f t="shared" si="42"/>
        <v>F42</v>
      </c>
      <c r="AB261" s="498" t="str">
        <f t="shared" si="33"/>
        <v>F417</v>
      </c>
      <c r="AC261" s="572"/>
      <c r="AD261" s="572"/>
      <c r="AE261" s="572"/>
      <c r="AF261" s="572"/>
    </row>
    <row r="262" spans="1:32">
      <c r="A262" s="947">
        <f t="shared" si="43"/>
        <v>255</v>
      </c>
      <c r="B262" s="948">
        <v>25</v>
      </c>
      <c r="C262" s="949">
        <v>26093</v>
      </c>
      <c r="D262" s="949" t="s">
        <v>178</v>
      </c>
      <c r="E262" s="950">
        <v>9</v>
      </c>
      <c r="F262" s="644">
        <v>1971</v>
      </c>
      <c r="G262" s="948" t="s">
        <v>128</v>
      </c>
      <c r="H262" s="645" t="s">
        <v>149</v>
      </c>
      <c r="I262" s="951">
        <v>10</v>
      </c>
      <c r="J262" s="951">
        <v>0.1</v>
      </c>
      <c r="K262" s="952">
        <f t="shared" si="41"/>
        <v>5.6818181818181826E-4</v>
      </c>
      <c r="L262" s="644">
        <f t="shared" si="44"/>
        <v>17</v>
      </c>
      <c r="M262" s="935">
        <v>0.71250000000000002</v>
      </c>
      <c r="N262" s="936">
        <f t="shared" si="35"/>
        <v>0.71250000000000002</v>
      </c>
      <c r="O262" s="725"/>
      <c r="P262" s="725">
        <f t="shared" si="36"/>
        <v>-0.71250000000000002</v>
      </c>
      <c r="Q262" s="622"/>
      <c r="R262" s="37"/>
      <c r="S262" s="37" t="str">
        <f t="shared" si="37"/>
        <v>BeaverF0</v>
      </c>
      <c r="T262" s="37" t="str">
        <f t="shared" si="38"/>
        <v>1971F0</v>
      </c>
      <c r="U262" s="429">
        <v>10</v>
      </c>
      <c r="V262" s="1029">
        <v>0.1</v>
      </c>
      <c r="W262" s="598">
        <v>1E-3</v>
      </c>
      <c r="X262" s="429"/>
      <c r="Y262" s="37" t="str">
        <f t="shared" si="39"/>
        <v>F010</v>
      </c>
      <c r="Z262" s="37" t="str">
        <f t="shared" si="40"/>
        <v>F00.1</v>
      </c>
      <c r="AA262" s="37" t="str">
        <f t="shared" si="42"/>
        <v>F00.001</v>
      </c>
      <c r="AB262" s="498" t="str">
        <f t="shared" si="33"/>
        <v>F017</v>
      </c>
      <c r="AC262" s="572"/>
      <c r="AD262" s="572"/>
      <c r="AE262" s="572"/>
      <c r="AF262" s="572"/>
    </row>
    <row r="263" spans="1:32">
      <c r="A263" s="947">
        <f t="shared" si="43"/>
        <v>256</v>
      </c>
      <c r="B263" s="948">
        <v>26</v>
      </c>
      <c r="C263" s="949">
        <v>26093</v>
      </c>
      <c r="D263" s="949" t="s">
        <v>178</v>
      </c>
      <c r="E263" s="950">
        <v>9</v>
      </c>
      <c r="F263" s="644">
        <v>1971</v>
      </c>
      <c r="G263" s="948" t="s">
        <v>136</v>
      </c>
      <c r="H263" s="645" t="s">
        <v>151</v>
      </c>
      <c r="I263" s="951">
        <v>440</v>
      </c>
      <c r="J263" s="951">
        <v>3</v>
      </c>
      <c r="K263" s="952">
        <f t="shared" si="41"/>
        <v>0.75</v>
      </c>
      <c r="L263" s="644">
        <f t="shared" si="44"/>
        <v>19</v>
      </c>
      <c r="M263" s="935">
        <v>0.79166666666666663</v>
      </c>
      <c r="N263" s="936">
        <f t="shared" si="35"/>
        <v>0.79166666666666663</v>
      </c>
      <c r="O263" s="725"/>
      <c r="P263" s="725">
        <f t="shared" si="36"/>
        <v>-0.79166666666666663</v>
      </c>
      <c r="Q263" s="622"/>
      <c r="R263" s="37"/>
      <c r="S263" s="37" t="str">
        <f t="shared" si="37"/>
        <v>HutchinsonF2</v>
      </c>
      <c r="T263" s="37" t="str">
        <f t="shared" si="38"/>
        <v>1971F2</v>
      </c>
      <c r="U263" s="429">
        <v>200</v>
      </c>
      <c r="V263" s="1029">
        <v>2</v>
      </c>
      <c r="W263" s="598">
        <v>0.5</v>
      </c>
      <c r="X263" s="429"/>
      <c r="Y263" s="37" t="str">
        <f t="shared" si="39"/>
        <v>F2200</v>
      </c>
      <c r="Z263" s="37" t="str">
        <f t="shared" si="40"/>
        <v>F22</v>
      </c>
      <c r="AA263" s="37" t="str">
        <f t="shared" si="42"/>
        <v>F20.5</v>
      </c>
      <c r="AB263" s="498" t="str">
        <f t="shared" ref="AB263:AB326" si="45">CONCATENATE(H263,L263)</f>
        <v>F219</v>
      </c>
      <c r="AC263" s="572"/>
      <c r="AD263" s="572"/>
      <c r="AE263" s="572"/>
      <c r="AF263" s="572"/>
    </row>
    <row r="264" spans="1:32">
      <c r="A264" s="947">
        <f t="shared" si="43"/>
        <v>257</v>
      </c>
      <c r="B264" s="948">
        <v>27</v>
      </c>
      <c r="C264" s="949">
        <v>26093</v>
      </c>
      <c r="D264" s="949" t="s">
        <v>178</v>
      </c>
      <c r="E264" s="950">
        <v>9</v>
      </c>
      <c r="F264" s="644">
        <v>1971</v>
      </c>
      <c r="G264" s="948" t="s">
        <v>128</v>
      </c>
      <c r="H264" s="645" t="s">
        <v>150</v>
      </c>
      <c r="I264" s="951">
        <v>10</v>
      </c>
      <c r="J264" s="951">
        <v>0.1</v>
      </c>
      <c r="K264" s="952">
        <f t="shared" si="41"/>
        <v>5.6818181818181826E-4</v>
      </c>
      <c r="L264" s="644">
        <f t="shared" si="44"/>
        <v>20</v>
      </c>
      <c r="M264" s="935">
        <v>0.86458333333333337</v>
      </c>
      <c r="N264" s="936">
        <f t="shared" ref="N264:N326" si="46">+M264</f>
        <v>0.86458333333333337</v>
      </c>
      <c r="O264" s="725"/>
      <c r="P264" s="725">
        <f t="shared" ref="P264:P327" si="47">+O264-N264</f>
        <v>-0.86458333333333337</v>
      </c>
      <c r="Q264" s="622"/>
      <c r="R264" s="37"/>
      <c r="S264" s="37" t="str">
        <f t="shared" ref="S264:S326" si="48">CONCATENATE(G264,H264)</f>
        <v>BeaverF1</v>
      </c>
      <c r="T264" s="37" t="str">
        <f t="shared" ref="T264:T327" si="49">CONCATENATE(F264,H264)</f>
        <v>1971F1</v>
      </c>
      <c r="U264" s="429">
        <v>10</v>
      </c>
      <c r="V264" s="1029">
        <v>0.1</v>
      </c>
      <c r="W264" s="598">
        <v>1E-3</v>
      </c>
      <c r="X264" s="429"/>
      <c r="Y264" s="37" t="str">
        <f t="shared" ref="Y264:Y327" si="50">CONCATENATE(H264,U264)</f>
        <v>F110</v>
      </c>
      <c r="Z264" s="37" t="str">
        <f t="shared" ref="Z264:Z327" si="51">CONCATENATE(H264,V264)</f>
        <v>F10.1</v>
      </c>
      <c r="AA264" s="37" t="str">
        <f t="shared" si="42"/>
        <v>F10.001</v>
      </c>
      <c r="AB264" s="498" t="str">
        <f t="shared" si="45"/>
        <v>F120</v>
      </c>
      <c r="AC264" s="572"/>
      <c r="AD264" s="572"/>
      <c r="AE264" s="572"/>
      <c r="AF264" s="572"/>
    </row>
    <row r="265" spans="1:32">
      <c r="A265" s="947">
        <f t="shared" si="43"/>
        <v>258</v>
      </c>
      <c r="B265" s="948">
        <v>28</v>
      </c>
      <c r="C265" s="949">
        <v>26093</v>
      </c>
      <c r="D265" s="949" t="s">
        <v>178</v>
      </c>
      <c r="E265" s="950">
        <v>9</v>
      </c>
      <c r="F265" s="644">
        <v>1971</v>
      </c>
      <c r="G265" s="948" t="s">
        <v>131</v>
      </c>
      <c r="H265" s="645" t="s">
        <v>151</v>
      </c>
      <c r="I265" s="951">
        <v>10</v>
      </c>
      <c r="J265" s="951">
        <v>0.1</v>
      </c>
      <c r="K265" s="952">
        <f t="shared" ref="K265:K328" si="52">+(I265/1760)*J265</f>
        <v>5.6818181818181826E-4</v>
      </c>
      <c r="L265" s="644">
        <f t="shared" si="44"/>
        <v>20</v>
      </c>
      <c r="M265" s="935">
        <v>0.86805555555555547</v>
      </c>
      <c r="N265" s="936">
        <f t="shared" si="46"/>
        <v>0.86805555555555547</v>
      </c>
      <c r="O265" s="725"/>
      <c r="P265" s="725">
        <f t="shared" si="47"/>
        <v>-0.86805555555555547</v>
      </c>
      <c r="Q265" s="622"/>
      <c r="R265" s="37"/>
      <c r="S265" s="37" t="str">
        <f t="shared" si="48"/>
        <v>HansfordF2</v>
      </c>
      <c r="T265" s="37" t="str">
        <f t="shared" si="49"/>
        <v>1971F2</v>
      </c>
      <c r="U265" s="429">
        <v>10</v>
      </c>
      <c r="V265" s="1029">
        <v>0.1</v>
      </c>
      <c r="W265" s="598">
        <v>1E-3</v>
      </c>
      <c r="X265" s="429"/>
      <c r="Y265" s="37" t="str">
        <f t="shared" si="50"/>
        <v>F210</v>
      </c>
      <c r="Z265" s="37" t="str">
        <f t="shared" si="51"/>
        <v>F20.1</v>
      </c>
      <c r="AA265" s="37" t="str">
        <f t="shared" ref="AA265:AA328" si="53">CONCATENATE(H265,W265)</f>
        <v>F20.001</v>
      </c>
      <c r="AB265" s="498" t="str">
        <f t="shared" si="45"/>
        <v>F220</v>
      </c>
      <c r="AC265" s="572"/>
      <c r="AD265" s="572"/>
      <c r="AE265" s="572"/>
      <c r="AF265" s="572"/>
    </row>
    <row r="266" spans="1:32">
      <c r="A266" s="947">
        <f t="shared" ref="A266:A329" si="54">+A265+1</f>
        <v>259</v>
      </c>
      <c r="B266" s="948">
        <v>29</v>
      </c>
      <c r="C266" s="949">
        <v>26093</v>
      </c>
      <c r="D266" s="949" t="s">
        <v>178</v>
      </c>
      <c r="E266" s="950">
        <v>9</v>
      </c>
      <c r="F266" s="644">
        <v>1971</v>
      </c>
      <c r="G266" s="948" t="s">
        <v>131</v>
      </c>
      <c r="H266" s="645" t="s">
        <v>153</v>
      </c>
      <c r="I266" s="951">
        <v>1760</v>
      </c>
      <c r="J266" s="951">
        <v>15.9</v>
      </c>
      <c r="K266" s="952">
        <f t="shared" si="52"/>
        <v>15.9</v>
      </c>
      <c r="L266" s="644">
        <f t="shared" si="44"/>
        <v>20</v>
      </c>
      <c r="M266" s="935">
        <v>0.86805555555555547</v>
      </c>
      <c r="N266" s="936">
        <f t="shared" si="46"/>
        <v>0.86805555555555547</v>
      </c>
      <c r="O266" s="725"/>
      <c r="P266" s="725">
        <f t="shared" si="47"/>
        <v>-0.86805555555555547</v>
      </c>
      <c r="Q266" s="622"/>
      <c r="R266" s="37"/>
      <c r="S266" s="37" t="str">
        <f t="shared" si="48"/>
        <v>HansfordF4</v>
      </c>
      <c r="T266" s="37" t="str">
        <f t="shared" si="49"/>
        <v>1971F4</v>
      </c>
      <c r="U266" s="429">
        <v>1000</v>
      </c>
      <c r="V266" s="1029">
        <v>10</v>
      </c>
      <c r="W266" s="598">
        <v>10</v>
      </c>
      <c r="X266" s="429"/>
      <c r="Y266" s="37" t="str">
        <f t="shared" si="50"/>
        <v>F41000</v>
      </c>
      <c r="Z266" s="37" t="str">
        <f t="shared" si="51"/>
        <v>F410</v>
      </c>
      <c r="AA266" s="37" t="str">
        <f t="shared" si="53"/>
        <v>F410</v>
      </c>
      <c r="AB266" s="498" t="str">
        <f t="shared" si="45"/>
        <v>F420</v>
      </c>
      <c r="AC266" s="572"/>
      <c r="AD266" s="572"/>
      <c r="AE266" s="572"/>
      <c r="AF266" s="572"/>
    </row>
    <row r="267" spans="1:32">
      <c r="A267" s="947">
        <f t="shared" si="54"/>
        <v>260</v>
      </c>
      <c r="B267" s="948">
        <v>30</v>
      </c>
      <c r="C267" s="949">
        <v>26093</v>
      </c>
      <c r="D267" s="949" t="s">
        <v>178</v>
      </c>
      <c r="E267" s="950">
        <v>9</v>
      </c>
      <c r="F267" s="644">
        <v>1971</v>
      </c>
      <c r="G267" s="948" t="s">
        <v>127</v>
      </c>
      <c r="H267" s="645" t="s">
        <v>149</v>
      </c>
      <c r="I267" s="951">
        <v>10</v>
      </c>
      <c r="J267" s="951">
        <v>0.1</v>
      </c>
      <c r="K267" s="952">
        <f t="shared" si="52"/>
        <v>5.6818181818181826E-4</v>
      </c>
      <c r="L267" s="644">
        <f t="shared" si="44"/>
        <v>21</v>
      </c>
      <c r="M267" s="935">
        <v>0.89930555555555547</v>
      </c>
      <c r="N267" s="936">
        <f t="shared" si="46"/>
        <v>0.89930555555555547</v>
      </c>
      <c r="O267" s="725"/>
      <c r="P267" s="725">
        <f t="shared" si="47"/>
        <v>-0.89930555555555547</v>
      </c>
      <c r="Q267" s="622"/>
      <c r="R267" s="37"/>
      <c r="S267" s="37" t="str">
        <f t="shared" si="48"/>
        <v>TexasF0</v>
      </c>
      <c r="T267" s="37" t="str">
        <f t="shared" si="49"/>
        <v>1971F0</v>
      </c>
      <c r="U267" s="429">
        <v>10</v>
      </c>
      <c r="V267" s="1029">
        <v>0.1</v>
      </c>
      <c r="W267" s="598">
        <v>1E-3</v>
      </c>
      <c r="X267" s="429"/>
      <c r="Y267" s="37" t="str">
        <f t="shared" si="50"/>
        <v>F010</v>
      </c>
      <c r="Z267" s="37" t="str">
        <f t="shared" si="51"/>
        <v>F00.1</v>
      </c>
      <c r="AA267" s="37" t="str">
        <f t="shared" si="53"/>
        <v>F00.001</v>
      </c>
      <c r="AB267" s="498" t="str">
        <f t="shared" si="45"/>
        <v>F021</v>
      </c>
      <c r="AC267" s="572"/>
      <c r="AD267" s="572"/>
      <c r="AE267" s="572"/>
      <c r="AF267" s="572"/>
    </row>
    <row r="268" spans="1:32">
      <c r="A268" s="947">
        <f t="shared" si="54"/>
        <v>261</v>
      </c>
      <c r="B268" s="948">
        <v>31</v>
      </c>
      <c r="C268" s="949">
        <v>26095</v>
      </c>
      <c r="D268" s="949" t="s">
        <v>178</v>
      </c>
      <c r="E268" s="950">
        <v>11</v>
      </c>
      <c r="F268" s="644">
        <v>1971</v>
      </c>
      <c r="G268" s="948" t="s">
        <v>139</v>
      </c>
      <c r="H268" s="645" t="s">
        <v>150</v>
      </c>
      <c r="I268" s="951">
        <v>20</v>
      </c>
      <c r="J268" s="951">
        <v>0.1</v>
      </c>
      <c r="K268" s="952">
        <f t="shared" si="52"/>
        <v>1.1363636363636365E-3</v>
      </c>
      <c r="L268" s="644">
        <f t="shared" si="44"/>
        <v>16</v>
      </c>
      <c r="M268" s="935">
        <v>0.66666666666666663</v>
      </c>
      <c r="N268" s="936">
        <f t="shared" si="46"/>
        <v>0.66666666666666663</v>
      </c>
      <c r="O268" s="725"/>
      <c r="P268" s="725">
        <f t="shared" si="47"/>
        <v>-0.66666666666666663</v>
      </c>
      <c r="Q268" s="622"/>
      <c r="R268" s="37"/>
      <c r="S268" s="37" t="str">
        <f t="shared" si="48"/>
        <v>OldhamF1</v>
      </c>
      <c r="T268" s="37" t="str">
        <f t="shared" si="49"/>
        <v>1971F1</v>
      </c>
      <c r="U268" s="429">
        <v>20</v>
      </c>
      <c r="V268" s="1029">
        <v>0.1</v>
      </c>
      <c r="W268" s="598">
        <v>1E-3</v>
      </c>
      <c r="X268" s="429"/>
      <c r="Y268" s="37" t="str">
        <f t="shared" si="50"/>
        <v>F120</v>
      </c>
      <c r="Z268" s="37" t="str">
        <f t="shared" si="51"/>
        <v>F10.1</v>
      </c>
      <c r="AA268" s="37" t="str">
        <f t="shared" si="53"/>
        <v>F10.001</v>
      </c>
      <c r="AB268" s="498" t="str">
        <f t="shared" si="45"/>
        <v>F116</v>
      </c>
      <c r="AC268" s="572"/>
      <c r="AD268" s="572"/>
      <c r="AE268" s="572"/>
      <c r="AF268" s="572"/>
    </row>
    <row r="269" spans="1:32">
      <c r="A269" s="947">
        <f t="shared" si="54"/>
        <v>262</v>
      </c>
      <c r="B269" s="948">
        <v>32</v>
      </c>
      <c r="C269" s="949">
        <v>26095</v>
      </c>
      <c r="D269" s="949" t="s">
        <v>178</v>
      </c>
      <c r="E269" s="950">
        <v>11</v>
      </c>
      <c r="F269" s="644">
        <v>1971</v>
      </c>
      <c r="G269" s="948" t="s">
        <v>136</v>
      </c>
      <c r="H269" s="645" t="s">
        <v>150</v>
      </c>
      <c r="I269" s="951">
        <v>6</v>
      </c>
      <c r="J269" s="951">
        <v>0.1</v>
      </c>
      <c r="K269" s="952">
        <f t="shared" si="52"/>
        <v>3.4090909090909094E-4</v>
      </c>
      <c r="L269" s="644">
        <f t="shared" si="44"/>
        <v>19</v>
      </c>
      <c r="M269" s="935">
        <v>0.79166666666666663</v>
      </c>
      <c r="N269" s="936">
        <f t="shared" si="46"/>
        <v>0.79166666666666663</v>
      </c>
      <c r="O269" s="725"/>
      <c r="P269" s="725">
        <f t="shared" si="47"/>
        <v>-0.79166666666666663</v>
      </c>
      <c r="Q269" s="622"/>
      <c r="R269" s="37"/>
      <c r="S269" s="37" t="str">
        <f t="shared" si="48"/>
        <v>HutchinsonF1</v>
      </c>
      <c r="T269" s="37" t="str">
        <f t="shared" si="49"/>
        <v>1971F1</v>
      </c>
      <c r="U269" s="429">
        <v>5</v>
      </c>
      <c r="V269" s="1029">
        <v>0.1</v>
      </c>
      <c r="W269" s="598">
        <v>2.0000000000000001E-4</v>
      </c>
      <c r="X269" s="429"/>
      <c r="Y269" s="37" t="str">
        <f t="shared" si="50"/>
        <v>F15</v>
      </c>
      <c r="Z269" s="37" t="str">
        <f t="shared" si="51"/>
        <v>F10.1</v>
      </c>
      <c r="AA269" s="37" t="str">
        <f t="shared" si="53"/>
        <v>F10.0002</v>
      </c>
      <c r="AB269" s="498" t="str">
        <f t="shared" si="45"/>
        <v>F119</v>
      </c>
      <c r="AC269" s="572"/>
      <c r="AD269" s="572"/>
      <c r="AE269" s="572"/>
      <c r="AF269" s="572"/>
    </row>
    <row r="270" spans="1:32">
      <c r="A270" s="947">
        <f t="shared" si="54"/>
        <v>263</v>
      </c>
      <c r="B270" s="948">
        <v>33</v>
      </c>
      <c r="C270" s="949">
        <v>26097</v>
      </c>
      <c r="D270" s="949" t="s">
        <v>178</v>
      </c>
      <c r="E270" s="950">
        <v>13</v>
      </c>
      <c r="F270" s="644">
        <v>1971</v>
      </c>
      <c r="G270" s="948" t="s">
        <v>136</v>
      </c>
      <c r="H270" s="645" t="s">
        <v>150</v>
      </c>
      <c r="I270" s="951">
        <v>20</v>
      </c>
      <c r="J270" s="951">
        <v>1</v>
      </c>
      <c r="K270" s="952">
        <f t="shared" si="52"/>
        <v>1.1363636363636364E-2</v>
      </c>
      <c r="L270" s="644">
        <f t="shared" si="44"/>
        <v>16</v>
      </c>
      <c r="M270" s="935">
        <v>0.6875</v>
      </c>
      <c r="N270" s="936">
        <f t="shared" si="46"/>
        <v>0.6875</v>
      </c>
      <c r="O270" s="725"/>
      <c r="P270" s="725">
        <f t="shared" si="47"/>
        <v>-0.6875</v>
      </c>
      <c r="Q270" s="622"/>
      <c r="R270" s="37"/>
      <c r="S270" s="37" t="str">
        <f t="shared" si="48"/>
        <v>HutchinsonF1</v>
      </c>
      <c r="T270" s="37" t="str">
        <f t="shared" si="49"/>
        <v>1971F1</v>
      </c>
      <c r="U270" s="429">
        <v>20</v>
      </c>
      <c r="V270" s="1029">
        <v>1</v>
      </c>
      <c r="W270" s="598">
        <v>0.01</v>
      </c>
      <c r="X270" s="429"/>
      <c r="Y270" s="37" t="str">
        <f t="shared" si="50"/>
        <v>F120</v>
      </c>
      <c r="Z270" s="37" t="str">
        <f t="shared" si="51"/>
        <v>F11</v>
      </c>
      <c r="AA270" s="37" t="str">
        <f t="shared" si="53"/>
        <v>F10.01</v>
      </c>
      <c r="AB270" s="498" t="str">
        <f t="shared" si="45"/>
        <v>F116</v>
      </c>
      <c r="AC270" s="572"/>
      <c r="AD270" s="572"/>
      <c r="AE270" s="572"/>
      <c r="AF270" s="572"/>
    </row>
    <row r="271" spans="1:32">
      <c r="A271" s="947">
        <f t="shared" si="54"/>
        <v>264</v>
      </c>
      <c r="B271" s="948">
        <v>34</v>
      </c>
      <c r="C271" s="949">
        <v>26151</v>
      </c>
      <c r="D271" s="949" t="s">
        <v>180</v>
      </c>
      <c r="E271" s="950">
        <v>6</v>
      </c>
      <c r="F271" s="644">
        <v>1971</v>
      </c>
      <c r="G271" s="948" t="s">
        <v>141</v>
      </c>
      <c r="H271" s="645" t="s">
        <v>150</v>
      </c>
      <c r="I271" s="951">
        <v>50</v>
      </c>
      <c r="J271" s="951">
        <v>2</v>
      </c>
      <c r="K271" s="952">
        <f t="shared" si="52"/>
        <v>5.6818181818181816E-2</v>
      </c>
      <c r="L271" s="644">
        <f t="shared" si="44"/>
        <v>16</v>
      </c>
      <c r="M271" s="935">
        <v>0.6875</v>
      </c>
      <c r="N271" s="936">
        <f t="shared" si="46"/>
        <v>0.6875</v>
      </c>
      <c r="O271" s="725"/>
      <c r="P271" s="725">
        <f t="shared" si="47"/>
        <v>-0.6875</v>
      </c>
      <c r="Q271" s="622"/>
      <c r="R271" s="37"/>
      <c r="S271" s="37" t="str">
        <f t="shared" si="48"/>
        <v>CarsonF1</v>
      </c>
      <c r="T271" s="37" t="str">
        <f t="shared" si="49"/>
        <v>1971F1</v>
      </c>
      <c r="U271" s="429">
        <v>50</v>
      </c>
      <c r="V271" s="1029">
        <v>2</v>
      </c>
      <c r="W271" s="598">
        <v>0.05</v>
      </c>
      <c r="X271" s="429"/>
      <c r="Y271" s="37" t="str">
        <f t="shared" si="50"/>
        <v>F150</v>
      </c>
      <c r="Z271" s="37" t="str">
        <f t="shared" si="51"/>
        <v>F12</v>
      </c>
      <c r="AA271" s="37" t="str">
        <f t="shared" si="53"/>
        <v>F10.05</v>
      </c>
      <c r="AB271" s="498" t="str">
        <f t="shared" si="45"/>
        <v>F116</v>
      </c>
      <c r="AC271" s="572"/>
      <c r="AD271" s="572"/>
      <c r="AE271" s="572"/>
      <c r="AF271" s="572"/>
    </row>
    <row r="272" spans="1:32">
      <c r="A272" s="947">
        <f t="shared" si="54"/>
        <v>265</v>
      </c>
      <c r="B272" s="948">
        <v>35</v>
      </c>
      <c r="C272" s="949">
        <v>26223</v>
      </c>
      <c r="D272" s="949" t="s">
        <v>182</v>
      </c>
      <c r="E272" s="950">
        <v>17</v>
      </c>
      <c r="F272" s="644">
        <v>1971</v>
      </c>
      <c r="G272" s="948" t="s">
        <v>141</v>
      </c>
      <c r="H272" s="645" t="s">
        <v>150</v>
      </c>
      <c r="I272" s="951">
        <v>50</v>
      </c>
      <c r="J272" s="951">
        <v>0.3</v>
      </c>
      <c r="K272" s="952">
        <f t="shared" si="52"/>
        <v>8.5227272727272721E-3</v>
      </c>
      <c r="L272" s="644">
        <f t="shared" si="44"/>
        <v>17</v>
      </c>
      <c r="M272" s="935">
        <v>0.70833333333333337</v>
      </c>
      <c r="N272" s="936">
        <f t="shared" si="46"/>
        <v>0.70833333333333337</v>
      </c>
      <c r="O272" s="725"/>
      <c r="P272" s="725">
        <f t="shared" si="47"/>
        <v>-0.70833333333333337</v>
      </c>
      <c r="Q272" s="622"/>
      <c r="R272" s="37"/>
      <c r="S272" s="37" t="str">
        <f t="shared" si="48"/>
        <v>CarsonF1</v>
      </c>
      <c r="T272" s="37" t="str">
        <f t="shared" si="49"/>
        <v>1971F1</v>
      </c>
      <c r="U272" s="429">
        <v>50</v>
      </c>
      <c r="V272" s="1029">
        <v>0.2</v>
      </c>
      <c r="W272" s="598">
        <v>5.0000000000000001E-3</v>
      </c>
      <c r="X272" s="429"/>
      <c r="Y272" s="37" t="str">
        <f t="shared" si="50"/>
        <v>F150</v>
      </c>
      <c r="Z272" s="37" t="str">
        <f t="shared" si="51"/>
        <v>F10.2</v>
      </c>
      <c r="AA272" s="37" t="str">
        <f t="shared" si="53"/>
        <v>F10.005</v>
      </c>
      <c r="AB272" s="498" t="str">
        <f t="shared" si="45"/>
        <v>F117</v>
      </c>
      <c r="AC272" s="572"/>
      <c r="AD272" s="572"/>
      <c r="AE272" s="572"/>
      <c r="AF272" s="572"/>
    </row>
    <row r="273" spans="1:32">
      <c r="A273" s="947">
        <f t="shared" si="54"/>
        <v>266</v>
      </c>
      <c r="B273" s="948">
        <v>36</v>
      </c>
      <c r="C273" s="949">
        <v>26223</v>
      </c>
      <c r="D273" s="949" t="s">
        <v>182</v>
      </c>
      <c r="E273" s="950">
        <v>17</v>
      </c>
      <c r="F273" s="644">
        <v>1971</v>
      </c>
      <c r="G273" s="948" t="s">
        <v>131</v>
      </c>
      <c r="H273" s="645" t="s">
        <v>150</v>
      </c>
      <c r="I273" s="951">
        <v>17</v>
      </c>
      <c r="J273" s="951">
        <v>0.1</v>
      </c>
      <c r="K273" s="952">
        <f t="shared" si="52"/>
        <v>9.6590909090909095E-4</v>
      </c>
      <c r="L273" s="644">
        <f t="shared" si="44"/>
        <v>18</v>
      </c>
      <c r="M273" s="935">
        <v>0.77083333333333337</v>
      </c>
      <c r="N273" s="936">
        <f t="shared" si="46"/>
        <v>0.77083333333333337</v>
      </c>
      <c r="O273" s="725"/>
      <c r="P273" s="725">
        <f t="shared" si="47"/>
        <v>-0.77083333333333337</v>
      </c>
      <c r="Q273" s="622"/>
      <c r="R273" s="37"/>
      <c r="S273" s="37" t="str">
        <f t="shared" si="48"/>
        <v>HansfordF1</v>
      </c>
      <c r="T273" s="37" t="str">
        <f t="shared" si="49"/>
        <v>1971F1</v>
      </c>
      <c r="U273" s="429">
        <v>10</v>
      </c>
      <c r="V273" s="1029">
        <v>0.1</v>
      </c>
      <c r="W273" s="598">
        <v>1E-3</v>
      </c>
      <c r="X273" s="429"/>
      <c r="Y273" s="37" t="str">
        <f t="shared" si="50"/>
        <v>F110</v>
      </c>
      <c r="Z273" s="37" t="str">
        <f t="shared" si="51"/>
        <v>F10.1</v>
      </c>
      <c r="AA273" s="37" t="str">
        <f t="shared" si="53"/>
        <v>F10.001</v>
      </c>
      <c r="AB273" s="498" t="str">
        <f t="shared" si="45"/>
        <v>F118</v>
      </c>
      <c r="AC273" s="572"/>
      <c r="AD273" s="572"/>
      <c r="AE273" s="572"/>
      <c r="AF273" s="572"/>
    </row>
    <row r="274" spans="1:32">
      <c r="A274" s="947">
        <f t="shared" si="54"/>
        <v>267</v>
      </c>
      <c r="B274" s="948">
        <v>37</v>
      </c>
      <c r="C274" s="949">
        <v>26223</v>
      </c>
      <c r="D274" s="949" t="s">
        <v>182</v>
      </c>
      <c r="E274" s="950">
        <v>17</v>
      </c>
      <c r="F274" s="644">
        <v>1971</v>
      </c>
      <c r="G274" s="948" t="s">
        <v>137</v>
      </c>
      <c r="H274" s="645" t="s">
        <v>150</v>
      </c>
      <c r="I274" s="951">
        <v>20</v>
      </c>
      <c r="J274" s="951">
        <v>0.5</v>
      </c>
      <c r="K274" s="952">
        <f t="shared" si="52"/>
        <v>5.681818181818182E-3</v>
      </c>
      <c r="L274" s="644">
        <f t="shared" si="44"/>
        <v>19</v>
      </c>
      <c r="M274" s="935">
        <v>0.79166666666666663</v>
      </c>
      <c r="N274" s="936">
        <f t="shared" si="46"/>
        <v>0.79166666666666663</v>
      </c>
      <c r="O274" s="725"/>
      <c r="P274" s="725">
        <f t="shared" si="47"/>
        <v>-0.79166666666666663</v>
      </c>
      <c r="Q274" s="622"/>
      <c r="R274" s="37"/>
      <c r="S274" s="37" t="str">
        <f t="shared" si="48"/>
        <v>RobertsF1</v>
      </c>
      <c r="T274" s="37" t="str">
        <f t="shared" si="49"/>
        <v>1971F1</v>
      </c>
      <c r="U274" s="429">
        <v>20</v>
      </c>
      <c r="V274" s="1029">
        <v>0.5</v>
      </c>
      <c r="W274" s="598">
        <v>5.0000000000000001E-3</v>
      </c>
      <c r="X274" s="429"/>
      <c r="Y274" s="37" t="str">
        <f t="shared" si="50"/>
        <v>F120</v>
      </c>
      <c r="Z274" s="37" t="str">
        <f t="shared" si="51"/>
        <v>F10.5</v>
      </c>
      <c r="AA274" s="37" t="str">
        <f t="shared" si="53"/>
        <v>F10.005</v>
      </c>
      <c r="AB274" s="498" t="str">
        <f t="shared" si="45"/>
        <v>F119</v>
      </c>
      <c r="AC274" s="572"/>
      <c r="AD274" s="572"/>
      <c r="AE274" s="572"/>
      <c r="AF274" s="572"/>
    </row>
    <row r="275" spans="1:32">
      <c r="A275" s="947">
        <f t="shared" si="54"/>
        <v>268</v>
      </c>
      <c r="B275" s="948">
        <v>38</v>
      </c>
      <c r="C275" s="949">
        <v>26223</v>
      </c>
      <c r="D275" s="949" t="s">
        <v>182</v>
      </c>
      <c r="E275" s="950">
        <v>17</v>
      </c>
      <c r="F275" s="644">
        <v>1971</v>
      </c>
      <c r="G275" s="948" t="s">
        <v>137</v>
      </c>
      <c r="H275" s="645" t="s">
        <v>150</v>
      </c>
      <c r="I275" s="951">
        <v>20</v>
      </c>
      <c r="J275" s="951">
        <v>0.5</v>
      </c>
      <c r="K275" s="952">
        <f t="shared" si="52"/>
        <v>5.681818181818182E-3</v>
      </c>
      <c r="L275" s="644">
        <f t="shared" si="44"/>
        <v>19</v>
      </c>
      <c r="M275" s="935">
        <v>0.79166666666666663</v>
      </c>
      <c r="N275" s="936">
        <f t="shared" si="46"/>
        <v>0.79166666666666663</v>
      </c>
      <c r="O275" s="725"/>
      <c r="P275" s="725">
        <f t="shared" si="47"/>
        <v>-0.79166666666666663</v>
      </c>
      <c r="Q275" s="622"/>
      <c r="R275" s="37"/>
      <c r="S275" s="37" t="str">
        <f t="shared" si="48"/>
        <v>RobertsF1</v>
      </c>
      <c r="T275" s="37" t="str">
        <f t="shared" si="49"/>
        <v>1971F1</v>
      </c>
      <c r="U275" s="429">
        <v>20</v>
      </c>
      <c r="V275" s="1029">
        <v>0.5</v>
      </c>
      <c r="W275" s="598">
        <v>5.0000000000000001E-3</v>
      </c>
      <c r="X275" s="429"/>
      <c r="Y275" s="37" t="str">
        <f t="shared" si="50"/>
        <v>F120</v>
      </c>
      <c r="Z275" s="37" t="str">
        <f t="shared" si="51"/>
        <v>F10.5</v>
      </c>
      <c r="AA275" s="37" t="str">
        <f t="shared" si="53"/>
        <v>F10.005</v>
      </c>
      <c r="AB275" s="498" t="str">
        <f t="shared" si="45"/>
        <v>F119</v>
      </c>
      <c r="AC275" s="572"/>
      <c r="AD275" s="572"/>
      <c r="AE275" s="572"/>
      <c r="AF275" s="572"/>
    </row>
    <row r="276" spans="1:32">
      <c r="A276" s="947">
        <f t="shared" si="54"/>
        <v>269</v>
      </c>
      <c r="B276" s="948">
        <v>39</v>
      </c>
      <c r="C276" s="949">
        <v>26223</v>
      </c>
      <c r="D276" s="949" t="s">
        <v>182</v>
      </c>
      <c r="E276" s="950">
        <v>17</v>
      </c>
      <c r="F276" s="644">
        <v>1971</v>
      </c>
      <c r="G276" s="948" t="s">
        <v>141</v>
      </c>
      <c r="H276" s="645" t="s">
        <v>152</v>
      </c>
      <c r="I276" s="951">
        <v>100</v>
      </c>
      <c r="J276" s="951">
        <v>2.2999999999999998</v>
      </c>
      <c r="K276" s="952">
        <f t="shared" si="52"/>
        <v>0.13068181818181818</v>
      </c>
      <c r="L276" s="644">
        <f t="shared" si="44"/>
        <v>21</v>
      </c>
      <c r="M276" s="935">
        <v>0.89583333333333337</v>
      </c>
      <c r="N276" s="936">
        <f t="shared" si="46"/>
        <v>0.89583333333333337</v>
      </c>
      <c r="O276" s="725"/>
      <c r="P276" s="725">
        <f t="shared" si="47"/>
        <v>-0.89583333333333337</v>
      </c>
      <c r="Q276" s="622"/>
      <c r="R276" s="37"/>
      <c r="S276" s="37" t="str">
        <f t="shared" si="48"/>
        <v>CarsonF3</v>
      </c>
      <c r="T276" s="37" t="str">
        <f t="shared" si="49"/>
        <v>1971F3</v>
      </c>
      <c r="U276" s="429">
        <v>100</v>
      </c>
      <c r="V276" s="1029">
        <v>2</v>
      </c>
      <c r="W276" s="598">
        <v>0.1</v>
      </c>
      <c r="X276" s="429"/>
      <c r="Y276" s="37" t="str">
        <f t="shared" si="50"/>
        <v>F3100</v>
      </c>
      <c r="Z276" s="37" t="str">
        <f t="shared" si="51"/>
        <v>F32</v>
      </c>
      <c r="AA276" s="37" t="str">
        <f t="shared" si="53"/>
        <v>F30.1</v>
      </c>
      <c r="AB276" s="498" t="str">
        <f t="shared" si="45"/>
        <v>F321</v>
      </c>
      <c r="AC276" s="572"/>
      <c r="AD276" s="572"/>
      <c r="AE276" s="572"/>
      <c r="AF276" s="572"/>
    </row>
    <row r="277" spans="1:32">
      <c r="A277" s="947">
        <f t="shared" si="54"/>
        <v>270</v>
      </c>
      <c r="B277" s="948">
        <v>1</v>
      </c>
      <c r="C277" s="949">
        <v>26414</v>
      </c>
      <c r="D277" s="949" t="s">
        <v>176</v>
      </c>
      <c r="E277" s="950">
        <v>25</v>
      </c>
      <c r="F277" s="644">
        <v>1972</v>
      </c>
      <c r="G277" s="948" t="s">
        <v>130</v>
      </c>
      <c r="H277" s="645" t="s">
        <v>150</v>
      </c>
      <c r="I277" s="951">
        <v>10</v>
      </c>
      <c r="J277" s="951">
        <v>0.5</v>
      </c>
      <c r="K277" s="952">
        <f t="shared" si="52"/>
        <v>2.840909090909091E-3</v>
      </c>
      <c r="L277" s="644">
        <f t="shared" si="44"/>
        <v>21</v>
      </c>
      <c r="M277" s="935">
        <v>0.88541666666666663</v>
      </c>
      <c r="N277" s="936">
        <f t="shared" si="46"/>
        <v>0.88541666666666663</v>
      </c>
      <c r="O277" s="725"/>
      <c r="P277" s="725">
        <f t="shared" si="47"/>
        <v>-0.88541666666666663</v>
      </c>
      <c r="Q277" s="622"/>
      <c r="R277" s="37"/>
      <c r="S277" s="37" t="str">
        <f t="shared" si="48"/>
        <v>ShermanF1</v>
      </c>
      <c r="T277" s="37" t="str">
        <f t="shared" si="49"/>
        <v>1972F1</v>
      </c>
      <c r="U277" s="429">
        <v>10</v>
      </c>
      <c r="V277" s="1029">
        <v>0.5</v>
      </c>
      <c r="W277" s="598">
        <v>2E-3</v>
      </c>
      <c r="X277" s="429"/>
      <c r="Y277" s="37" t="str">
        <f t="shared" si="50"/>
        <v>F110</v>
      </c>
      <c r="Z277" s="37" t="str">
        <f t="shared" si="51"/>
        <v>F10.5</v>
      </c>
      <c r="AA277" s="37" t="str">
        <f t="shared" si="53"/>
        <v>F10.002</v>
      </c>
      <c r="AB277" s="498" t="str">
        <f t="shared" si="45"/>
        <v>F121</v>
      </c>
      <c r="AC277" s="572"/>
      <c r="AD277" s="572"/>
      <c r="AE277" s="572"/>
      <c r="AF277" s="572"/>
    </row>
    <row r="278" spans="1:32">
      <c r="A278" s="947">
        <f t="shared" si="54"/>
        <v>271</v>
      </c>
      <c r="B278" s="948">
        <v>2</v>
      </c>
      <c r="C278" s="949">
        <v>26414</v>
      </c>
      <c r="D278" s="949" t="s">
        <v>176</v>
      </c>
      <c r="E278" s="950">
        <v>25</v>
      </c>
      <c r="F278" s="644">
        <v>1972</v>
      </c>
      <c r="G278" s="948" t="s">
        <v>128</v>
      </c>
      <c r="H278" s="645" t="s">
        <v>150</v>
      </c>
      <c r="I278" s="951">
        <v>17</v>
      </c>
      <c r="J278" s="951">
        <v>0.1</v>
      </c>
      <c r="K278" s="952">
        <f t="shared" si="52"/>
        <v>9.6590909090909095E-4</v>
      </c>
      <c r="L278" s="644">
        <f t="shared" si="44"/>
        <v>23</v>
      </c>
      <c r="M278" s="935">
        <v>0.98958333333333337</v>
      </c>
      <c r="N278" s="936">
        <f t="shared" si="46"/>
        <v>0.98958333333333337</v>
      </c>
      <c r="O278" s="725"/>
      <c r="P278" s="725">
        <f t="shared" si="47"/>
        <v>-0.98958333333333337</v>
      </c>
      <c r="Q278" s="622"/>
      <c r="R278" s="36"/>
      <c r="S278" s="37" t="str">
        <f t="shared" si="48"/>
        <v>BeaverF1</v>
      </c>
      <c r="T278" s="37" t="str">
        <f t="shared" si="49"/>
        <v>1972F1</v>
      </c>
      <c r="U278" s="429">
        <v>10</v>
      </c>
      <c r="V278" s="1029">
        <v>0.1</v>
      </c>
      <c r="W278" s="598">
        <v>1E-3</v>
      </c>
      <c r="X278" s="429"/>
      <c r="Y278" s="37" t="str">
        <f t="shared" si="50"/>
        <v>F110</v>
      </c>
      <c r="Z278" s="37" t="str">
        <f t="shared" si="51"/>
        <v>F10.1</v>
      </c>
      <c r="AA278" s="37" t="str">
        <f t="shared" si="53"/>
        <v>F10.001</v>
      </c>
      <c r="AB278" s="498" t="str">
        <f t="shared" si="45"/>
        <v>F123</v>
      </c>
      <c r="AC278" s="572"/>
      <c r="AD278" s="572"/>
      <c r="AE278" s="572"/>
      <c r="AF278" s="572"/>
    </row>
    <row r="279" spans="1:32">
      <c r="A279" s="947">
        <f t="shared" si="54"/>
        <v>272</v>
      </c>
      <c r="B279" s="948">
        <v>3</v>
      </c>
      <c r="C279" s="949">
        <v>26418</v>
      </c>
      <c r="D279" s="949" t="s">
        <v>176</v>
      </c>
      <c r="E279" s="950">
        <v>29</v>
      </c>
      <c r="F279" s="644">
        <v>1972</v>
      </c>
      <c r="G279" s="948" t="s">
        <v>137</v>
      </c>
      <c r="H279" s="645" t="s">
        <v>150</v>
      </c>
      <c r="I279" s="951">
        <v>50</v>
      </c>
      <c r="J279" s="951">
        <v>0.1</v>
      </c>
      <c r="K279" s="952">
        <f t="shared" si="52"/>
        <v>2.840909090909091E-3</v>
      </c>
      <c r="L279" s="644">
        <f t="shared" si="44"/>
        <v>16</v>
      </c>
      <c r="M279" s="935">
        <v>0.69097222222222221</v>
      </c>
      <c r="N279" s="936">
        <f t="shared" si="46"/>
        <v>0.69097222222222221</v>
      </c>
      <c r="O279" s="725"/>
      <c r="P279" s="725">
        <f t="shared" si="47"/>
        <v>-0.69097222222222221</v>
      </c>
      <c r="Q279" s="622"/>
      <c r="R279" s="36"/>
      <c r="S279" s="37" t="str">
        <f t="shared" si="48"/>
        <v>RobertsF1</v>
      </c>
      <c r="T279" s="37" t="str">
        <f t="shared" si="49"/>
        <v>1972F1</v>
      </c>
      <c r="U279" s="429">
        <v>50</v>
      </c>
      <c r="V279" s="1029">
        <v>0.1</v>
      </c>
      <c r="W279" s="598">
        <v>2E-3</v>
      </c>
      <c r="X279" s="429"/>
      <c r="Y279" s="37" t="str">
        <f t="shared" si="50"/>
        <v>F150</v>
      </c>
      <c r="Z279" s="37" t="str">
        <f t="shared" si="51"/>
        <v>F10.1</v>
      </c>
      <c r="AA279" s="37" t="str">
        <f t="shared" si="53"/>
        <v>F10.002</v>
      </c>
      <c r="AB279" s="498" t="str">
        <f t="shared" si="45"/>
        <v>F116</v>
      </c>
      <c r="AC279" s="572"/>
      <c r="AD279" s="572"/>
      <c r="AE279" s="572"/>
      <c r="AF279" s="572"/>
    </row>
    <row r="280" spans="1:32">
      <c r="A280" s="947">
        <f t="shared" si="54"/>
        <v>273</v>
      </c>
      <c r="B280" s="948">
        <v>4</v>
      </c>
      <c r="C280" s="949">
        <v>26418</v>
      </c>
      <c r="D280" s="949" t="s">
        <v>176</v>
      </c>
      <c r="E280" s="950">
        <v>29</v>
      </c>
      <c r="F280" s="644">
        <v>1972</v>
      </c>
      <c r="G280" s="948" t="s">
        <v>148</v>
      </c>
      <c r="H280" s="645" t="s">
        <v>150</v>
      </c>
      <c r="I280" s="951">
        <v>880</v>
      </c>
      <c r="J280" s="951">
        <v>11.1</v>
      </c>
      <c r="K280" s="952">
        <f t="shared" si="52"/>
        <v>5.55</v>
      </c>
      <c r="L280" s="644">
        <f t="shared" si="44"/>
        <v>19</v>
      </c>
      <c r="M280" s="935">
        <v>0.8125</v>
      </c>
      <c r="N280" s="936">
        <f t="shared" si="46"/>
        <v>0.8125</v>
      </c>
      <c r="O280" s="725"/>
      <c r="P280" s="725">
        <f t="shared" si="47"/>
        <v>-0.8125</v>
      </c>
      <c r="Q280" s="622"/>
      <c r="R280" s="36"/>
      <c r="S280" s="37" t="str">
        <f t="shared" si="48"/>
        <v>CollingsworthF1</v>
      </c>
      <c r="T280" s="37" t="str">
        <f t="shared" si="49"/>
        <v>1972F1</v>
      </c>
      <c r="U280" s="429">
        <v>500</v>
      </c>
      <c r="V280" s="1029">
        <v>10</v>
      </c>
      <c r="W280" s="598">
        <v>5</v>
      </c>
      <c r="X280" s="429"/>
      <c r="Y280" s="37" t="str">
        <f t="shared" si="50"/>
        <v>F1500</v>
      </c>
      <c r="Z280" s="37" t="str">
        <f t="shared" si="51"/>
        <v>F110</v>
      </c>
      <c r="AA280" s="37" t="str">
        <f t="shared" si="53"/>
        <v>F15</v>
      </c>
      <c r="AB280" s="498" t="str">
        <f t="shared" si="45"/>
        <v>F119</v>
      </c>
      <c r="AC280" s="572"/>
      <c r="AD280" s="572"/>
      <c r="AE280" s="572"/>
      <c r="AF280" s="572"/>
    </row>
    <row r="281" spans="1:32">
      <c r="A281" s="947">
        <f t="shared" si="54"/>
        <v>274</v>
      </c>
      <c r="B281" s="948">
        <v>5</v>
      </c>
      <c r="C281" s="949">
        <v>26423</v>
      </c>
      <c r="D281" s="949" t="s">
        <v>177</v>
      </c>
      <c r="E281" s="950">
        <v>4</v>
      </c>
      <c r="F281" s="644">
        <v>1972</v>
      </c>
      <c r="G281" s="948" t="s">
        <v>148</v>
      </c>
      <c r="H281" s="645" t="s">
        <v>150</v>
      </c>
      <c r="I281" s="951">
        <v>50</v>
      </c>
      <c r="J281" s="951">
        <v>0.5</v>
      </c>
      <c r="K281" s="952">
        <f t="shared" si="52"/>
        <v>1.4204545454545454E-2</v>
      </c>
      <c r="L281" s="644">
        <f t="shared" si="44"/>
        <v>16</v>
      </c>
      <c r="M281" s="935">
        <v>0.67708333333333337</v>
      </c>
      <c r="N281" s="936">
        <f t="shared" si="46"/>
        <v>0.67708333333333337</v>
      </c>
      <c r="O281" s="725"/>
      <c r="P281" s="725">
        <f t="shared" si="47"/>
        <v>-0.67708333333333337</v>
      </c>
      <c r="Q281" s="622"/>
      <c r="R281" s="36"/>
      <c r="S281" s="37" t="str">
        <f t="shared" si="48"/>
        <v>CollingsworthF1</v>
      </c>
      <c r="T281" s="37" t="str">
        <f t="shared" si="49"/>
        <v>1972F1</v>
      </c>
      <c r="U281" s="429">
        <v>50</v>
      </c>
      <c r="V281" s="1029">
        <v>0.5</v>
      </c>
      <c r="W281" s="598">
        <v>0.01</v>
      </c>
      <c r="X281" s="429"/>
      <c r="Y281" s="37" t="str">
        <f t="shared" si="50"/>
        <v>F150</v>
      </c>
      <c r="Z281" s="37" t="str">
        <f t="shared" si="51"/>
        <v>F10.5</v>
      </c>
      <c r="AA281" s="37" t="str">
        <f t="shared" si="53"/>
        <v>F10.01</v>
      </c>
      <c r="AB281" s="498" t="str">
        <f t="shared" si="45"/>
        <v>F116</v>
      </c>
      <c r="AC281" s="572"/>
      <c r="AD281" s="572"/>
      <c r="AE281" s="572"/>
      <c r="AF281" s="572"/>
    </row>
    <row r="282" spans="1:32">
      <c r="A282" s="947">
        <f t="shared" si="54"/>
        <v>275</v>
      </c>
      <c r="B282" s="948">
        <v>6</v>
      </c>
      <c r="C282" s="949">
        <v>26428</v>
      </c>
      <c r="D282" s="949" t="s">
        <v>177</v>
      </c>
      <c r="E282" s="950">
        <v>9</v>
      </c>
      <c r="F282" s="644">
        <v>1972</v>
      </c>
      <c r="G282" s="948" t="s">
        <v>145</v>
      </c>
      <c r="H282" s="645" t="s">
        <v>150</v>
      </c>
      <c r="I282" s="951">
        <v>20</v>
      </c>
      <c r="J282" s="951">
        <v>0.5</v>
      </c>
      <c r="K282" s="952">
        <f t="shared" si="52"/>
        <v>5.681818181818182E-3</v>
      </c>
      <c r="L282" s="644">
        <f t="shared" si="44"/>
        <v>20</v>
      </c>
      <c r="M282" s="935">
        <v>0.83611111111111114</v>
      </c>
      <c r="N282" s="936">
        <f t="shared" si="46"/>
        <v>0.83611111111111114</v>
      </c>
      <c r="O282" s="725"/>
      <c r="P282" s="725">
        <f t="shared" si="47"/>
        <v>-0.83611111111111114</v>
      </c>
      <c r="Q282" s="622"/>
      <c r="R282" s="36"/>
      <c r="S282" s="37" t="str">
        <f t="shared" si="48"/>
        <v>RandallF1</v>
      </c>
      <c r="T282" s="37" t="str">
        <f t="shared" si="49"/>
        <v>1972F1</v>
      </c>
      <c r="U282" s="429">
        <v>20</v>
      </c>
      <c r="V282" s="1029">
        <v>0.5</v>
      </c>
      <c r="W282" s="598">
        <v>5.0000000000000001E-3</v>
      </c>
      <c r="X282" s="429"/>
      <c r="Y282" s="37" t="str">
        <f t="shared" si="50"/>
        <v>F120</v>
      </c>
      <c r="Z282" s="37" t="str">
        <f t="shared" si="51"/>
        <v>F10.5</v>
      </c>
      <c r="AA282" s="37" t="str">
        <f t="shared" si="53"/>
        <v>F10.005</v>
      </c>
      <c r="AB282" s="498" t="str">
        <f t="shared" si="45"/>
        <v>F120</v>
      </c>
      <c r="AC282" s="572"/>
      <c r="AD282" s="572"/>
      <c r="AE282" s="572"/>
      <c r="AF282" s="572"/>
    </row>
    <row r="283" spans="1:32">
      <c r="A283" s="947">
        <f t="shared" si="54"/>
        <v>276</v>
      </c>
      <c r="B283" s="948">
        <v>7</v>
      </c>
      <c r="C283" s="949">
        <v>26429</v>
      </c>
      <c r="D283" s="949" t="s">
        <v>177</v>
      </c>
      <c r="E283" s="950">
        <v>10</v>
      </c>
      <c r="F283" s="644">
        <v>1972</v>
      </c>
      <c r="G283" s="948" t="s">
        <v>134</v>
      </c>
      <c r="H283" s="645" t="s">
        <v>150</v>
      </c>
      <c r="I283" s="951">
        <v>10</v>
      </c>
      <c r="J283" s="951">
        <v>0.1</v>
      </c>
      <c r="K283" s="952">
        <f t="shared" si="52"/>
        <v>5.6818181818181826E-4</v>
      </c>
      <c r="L283" s="644">
        <f t="shared" si="44"/>
        <v>16</v>
      </c>
      <c r="M283" s="935">
        <v>0.68402777777777779</v>
      </c>
      <c r="N283" s="936">
        <f t="shared" si="46"/>
        <v>0.68402777777777779</v>
      </c>
      <c r="O283" s="725"/>
      <c r="P283" s="725">
        <f t="shared" si="47"/>
        <v>-0.68402777777777779</v>
      </c>
      <c r="Q283" s="622"/>
      <c r="R283" s="36"/>
      <c r="S283" s="37" t="str">
        <f t="shared" si="48"/>
        <v>HartleyF1</v>
      </c>
      <c r="T283" s="37" t="str">
        <f t="shared" si="49"/>
        <v>1972F1</v>
      </c>
      <c r="U283" s="429">
        <v>10</v>
      </c>
      <c r="V283" s="1029">
        <v>0.1</v>
      </c>
      <c r="W283" s="598">
        <v>1E-3</v>
      </c>
      <c r="X283" s="429"/>
      <c r="Y283" s="37" t="str">
        <f t="shared" si="50"/>
        <v>F110</v>
      </c>
      <c r="Z283" s="37" t="str">
        <f t="shared" si="51"/>
        <v>F10.1</v>
      </c>
      <c r="AA283" s="37" t="str">
        <f t="shared" si="53"/>
        <v>F10.001</v>
      </c>
      <c r="AB283" s="498" t="str">
        <f t="shared" si="45"/>
        <v>F116</v>
      </c>
      <c r="AC283" s="572"/>
      <c r="AD283" s="572"/>
      <c r="AE283" s="572"/>
      <c r="AF283" s="572"/>
    </row>
    <row r="284" spans="1:32">
      <c r="A284" s="947">
        <f t="shared" si="54"/>
        <v>277</v>
      </c>
      <c r="B284" s="948">
        <v>8</v>
      </c>
      <c r="C284" s="949">
        <v>26429</v>
      </c>
      <c r="D284" s="949" t="s">
        <v>177</v>
      </c>
      <c r="E284" s="950">
        <v>10</v>
      </c>
      <c r="F284" s="644">
        <v>1972</v>
      </c>
      <c r="G284" s="948" t="s">
        <v>134</v>
      </c>
      <c r="H284" s="645" t="s">
        <v>150</v>
      </c>
      <c r="I284" s="951">
        <v>10</v>
      </c>
      <c r="J284" s="951">
        <v>0.1</v>
      </c>
      <c r="K284" s="952">
        <f t="shared" si="52"/>
        <v>5.6818181818181826E-4</v>
      </c>
      <c r="L284" s="644">
        <f t="shared" si="44"/>
        <v>16</v>
      </c>
      <c r="M284" s="935">
        <v>0.68402777777777779</v>
      </c>
      <c r="N284" s="936">
        <f t="shared" si="46"/>
        <v>0.68402777777777779</v>
      </c>
      <c r="O284" s="725"/>
      <c r="P284" s="725">
        <f t="shared" si="47"/>
        <v>-0.68402777777777779</v>
      </c>
      <c r="Q284" s="622"/>
      <c r="R284" s="37"/>
      <c r="S284" s="37" t="str">
        <f t="shared" si="48"/>
        <v>HartleyF1</v>
      </c>
      <c r="T284" s="37" t="str">
        <f t="shared" si="49"/>
        <v>1972F1</v>
      </c>
      <c r="U284" s="429">
        <v>10</v>
      </c>
      <c r="V284" s="1029">
        <v>0.1</v>
      </c>
      <c r="W284" s="598">
        <v>1E-3</v>
      </c>
      <c r="X284" s="429"/>
      <c r="Y284" s="37" t="str">
        <f t="shared" si="50"/>
        <v>F110</v>
      </c>
      <c r="Z284" s="37" t="str">
        <f t="shared" si="51"/>
        <v>F10.1</v>
      </c>
      <c r="AA284" s="37" t="str">
        <f t="shared" si="53"/>
        <v>F10.001</v>
      </c>
      <c r="AB284" s="498" t="str">
        <f t="shared" si="45"/>
        <v>F116</v>
      </c>
      <c r="AC284" s="572"/>
      <c r="AD284" s="572"/>
      <c r="AE284" s="572"/>
      <c r="AF284" s="572"/>
    </row>
    <row r="285" spans="1:32">
      <c r="A285" s="947">
        <f t="shared" si="54"/>
        <v>278</v>
      </c>
      <c r="B285" s="948">
        <v>9</v>
      </c>
      <c r="C285" s="949">
        <v>26429</v>
      </c>
      <c r="D285" s="949" t="s">
        <v>177</v>
      </c>
      <c r="E285" s="950">
        <v>10</v>
      </c>
      <c r="F285" s="644">
        <v>1972</v>
      </c>
      <c r="G285" s="948" t="s">
        <v>129</v>
      </c>
      <c r="H285" s="645" t="s">
        <v>151</v>
      </c>
      <c r="I285" s="951">
        <v>100</v>
      </c>
      <c r="J285" s="951">
        <v>1</v>
      </c>
      <c r="K285" s="952">
        <f t="shared" si="52"/>
        <v>5.6818181818181816E-2</v>
      </c>
      <c r="L285" s="644">
        <f t="shared" si="44"/>
        <v>19</v>
      </c>
      <c r="M285" s="935">
        <v>0.82291666666666663</v>
      </c>
      <c r="N285" s="936">
        <f t="shared" si="46"/>
        <v>0.82291666666666663</v>
      </c>
      <c r="O285" s="725"/>
      <c r="P285" s="725">
        <f t="shared" si="47"/>
        <v>-0.82291666666666663</v>
      </c>
      <c r="Q285" s="622"/>
      <c r="R285" s="37"/>
      <c r="S285" s="37" t="str">
        <f t="shared" si="48"/>
        <v>DallamF2</v>
      </c>
      <c r="T285" s="37" t="str">
        <f t="shared" si="49"/>
        <v>1972F2</v>
      </c>
      <c r="U285" s="429">
        <v>100</v>
      </c>
      <c r="V285" s="1029">
        <v>1</v>
      </c>
      <c r="W285" s="598">
        <v>0.05</v>
      </c>
      <c r="X285" s="429"/>
      <c r="Y285" s="37" t="str">
        <f t="shared" si="50"/>
        <v>F2100</v>
      </c>
      <c r="Z285" s="37" t="str">
        <f t="shared" si="51"/>
        <v>F21</v>
      </c>
      <c r="AA285" s="37" t="str">
        <f t="shared" si="53"/>
        <v>F20.05</v>
      </c>
      <c r="AB285" s="498" t="str">
        <f t="shared" si="45"/>
        <v>F219</v>
      </c>
      <c r="AC285" s="572"/>
      <c r="AD285" s="572"/>
      <c r="AE285" s="572"/>
      <c r="AF285" s="572"/>
    </row>
    <row r="286" spans="1:32">
      <c r="A286" s="947">
        <f t="shared" si="54"/>
        <v>279</v>
      </c>
      <c r="B286" s="948">
        <v>10</v>
      </c>
      <c r="C286" s="949">
        <v>26429</v>
      </c>
      <c r="D286" s="949" t="s">
        <v>177</v>
      </c>
      <c r="E286" s="950">
        <v>10</v>
      </c>
      <c r="F286" s="644">
        <v>1972</v>
      </c>
      <c r="G286" s="948" t="s">
        <v>129</v>
      </c>
      <c r="H286" s="645" t="s">
        <v>151</v>
      </c>
      <c r="I286" s="951">
        <v>100</v>
      </c>
      <c r="J286" s="951">
        <v>1</v>
      </c>
      <c r="K286" s="952">
        <f t="shared" si="52"/>
        <v>5.6818181818181816E-2</v>
      </c>
      <c r="L286" s="644">
        <f t="shared" ref="L286:L349" si="55">HOUR(N286)</f>
        <v>19</v>
      </c>
      <c r="M286" s="935">
        <v>0.82291666666666663</v>
      </c>
      <c r="N286" s="936">
        <f t="shared" si="46"/>
        <v>0.82291666666666663</v>
      </c>
      <c r="O286" s="725"/>
      <c r="P286" s="725">
        <f t="shared" si="47"/>
        <v>-0.82291666666666663</v>
      </c>
      <c r="Q286" s="622"/>
      <c r="R286" s="37"/>
      <c r="S286" s="37" t="str">
        <f t="shared" si="48"/>
        <v>DallamF2</v>
      </c>
      <c r="T286" s="37" t="str">
        <f t="shared" si="49"/>
        <v>1972F2</v>
      </c>
      <c r="U286" s="429">
        <v>100</v>
      </c>
      <c r="V286" s="1029">
        <v>1</v>
      </c>
      <c r="W286" s="598">
        <v>0.05</v>
      </c>
      <c r="X286" s="429"/>
      <c r="Y286" s="37" t="str">
        <f t="shared" si="50"/>
        <v>F2100</v>
      </c>
      <c r="Z286" s="37" t="str">
        <f t="shared" si="51"/>
        <v>F21</v>
      </c>
      <c r="AA286" s="37" t="str">
        <f t="shared" si="53"/>
        <v>F20.05</v>
      </c>
      <c r="AB286" s="498" t="str">
        <f t="shared" si="45"/>
        <v>F219</v>
      </c>
      <c r="AC286" s="572"/>
      <c r="AD286" s="572"/>
      <c r="AE286" s="572"/>
      <c r="AF286" s="572"/>
    </row>
    <row r="287" spans="1:32">
      <c r="A287" s="947">
        <f t="shared" si="54"/>
        <v>280</v>
      </c>
      <c r="B287" s="948">
        <v>11</v>
      </c>
      <c r="C287" s="949">
        <v>26432</v>
      </c>
      <c r="D287" s="949" t="s">
        <v>177</v>
      </c>
      <c r="E287" s="950">
        <v>13</v>
      </c>
      <c r="F287" s="644">
        <v>1972</v>
      </c>
      <c r="G287" s="948" t="s">
        <v>130</v>
      </c>
      <c r="H287" s="645" t="s">
        <v>150</v>
      </c>
      <c r="I287" s="951">
        <v>100</v>
      </c>
      <c r="J287" s="951">
        <v>0.5</v>
      </c>
      <c r="K287" s="952">
        <f t="shared" si="52"/>
        <v>2.8409090909090908E-2</v>
      </c>
      <c r="L287" s="644">
        <f t="shared" si="55"/>
        <v>12</v>
      </c>
      <c r="M287" s="935">
        <v>0.51041666666666663</v>
      </c>
      <c r="N287" s="936">
        <f t="shared" si="46"/>
        <v>0.51041666666666663</v>
      </c>
      <c r="O287" s="725"/>
      <c r="P287" s="725">
        <f t="shared" si="47"/>
        <v>-0.51041666666666663</v>
      </c>
      <c r="Q287" s="622"/>
      <c r="R287" s="37"/>
      <c r="S287" s="37" t="str">
        <f t="shared" si="48"/>
        <v>ShermanF1</v>
      </c>
      <c r="T287" s="37" t="str">
        <f t="shared" si="49"/>
        <v>1972F1</v>
      </c>
      <c r="U287" s="429">
        <v>100</v>
      </c>
      <c r="V287" s="1029">
        <v>0.5</v>
      </c>
      <c r="W287" s="598">
        <v>0.02</v>
      </c>
      <c r="X287" s="429"/>
      <c r="Y287" s="37" t="str">
        <f t="shared" si="50"/>
        <v>F1100</v>
      </c>
      <c r="Z287" s="37" t="str">
        <f t="shared" si="51"/>
        <v>F10.5</v>
      </c>
      <c r="AA287" s="37" t="str">
        <f t="shared" si="53"/>
        <v>F10.02</v>
      </c>
      <c r="AB287" s="498" t="str">
        <f t="shared" si="45"/>
        <v>F112</v>
      </c>
      <c r="AC287" s="572"/>
      <c r="AD287" s="572"/>
      <c r="AE287" s="572"/>
      <c r="AF287" s="572"/>
    </row>
    <row r="288" spans="1:32">
      <c r="A288" s="947">
        <f t="shared" si="54"/>
        <v>281</v>
      </c>
      <c r="B288" s="948">
        <v>12</v>
      </c>
      <c r="C288" s="949">
        <v>26443</v>
      </c>
      <c r="D288" s="949" t="s">
        <v>177</v>
      </c>
      <c r="E288" s="950">
        <v>24</v>
      </c>
      <c r="F288" s="644">
        <v>1972</v>
      </c>
      <c r="G288" s="948" t="s">
        <v>132</v>
      </c>
      <c r="H288" s="645" t="s">
        <v>150</v>
      </c>
      <c r="I288" s="951">
        <v>440</v>
      </c>
      <c r="J288" s="951">
        <v>4.3</v>
      </c>
      <c r="K288" s="952">
        <f t="shared" si="52"/>
        <v>1.075</v>
      </c>
      <c r="L288" s="644">
        <f t="shared" si="55"/>
        <v>16</v>
      </c>
      <c r="M288" s="935">
        <v>0.6875</v>
      </c>
      <c r="N288" s="936">
        <f t="shared" si="46"/>
        <v>0.6875</v>
      </c>
      <c r="O288" s="725"/>
      <c r="P288" s="725">
        <f t="shared" si="47"/>
        <v>-0.6875</v>
      </c>
      <c r="Q288" s="622"/>
      <c r="R288" s="37"/>
      <c r="S288" s="37" t="str">
        <f t="shared" si="48"/>
        <v>OchiltreeF1</v>
      </c>
      <c r="T288" s="37" t="str">
        <f t="shared" si="49"/>
        <v>1972F1</v>
      </c>
      <c r="U288" s="429">
        <v>200</v>
      </c>
      <c r="V288" s="1029">
        <v>2</v>
      </c>
      <c r="W288" s="598">
        <v>1</v>
      </c>
      <c r="X288" s="429"/>
      <c r="Y288" s="37" t="str">
        <f t="shared" si="50"/>
        <v>F1200</v>
      </c>
      <c r="Z288" s="37" t="str">
        <f t="shared" si="51"/>
        <v>F12</v>
      </c>
      <c r="AA288" s="37" t="str">
        <f t="shared" si="53"/>
        <v>F11</v>
      </c>
      <c r="AB288" s="498" t="str">
        <f t="shared" si="45"/>
        <v>F116</v>
      </c>
      <c r="AC288" s="572"/>
      <c r="AD288" s="572"/>
      <c r="AE288" s="572"/>
      <c r="AF288" s="572"/>
    </row>
    <row r="289" spans="1:32">
      <c r="A289" s="947">
        <f t="shared" si="54"/>
        <v>282</v>
      </c>
      <c r="B289" s="948">
        <v>13</v>
      </c>
      <c r="C289" s="949">
        <v>26465</v>
      </c>
      <c r="D289" s="949" t="s">
        <v>178</v>
      </c>
      <c r="E289" s="950">
        <v>15</v>
      </c>
      <c r="F289" s="644">
        <v>1972</v>
      </c>
      <c r="G289" s="948" t="s">
        <v>131</v>
      </c>
      <c r="H289" s="645" t="s">
        <v>150</v>
      </c>
      <c r="I289" s="951">
        <v>20</v>
      </c>
      <c r="J289" s="951">
        <v>3.6</v>
      </c>
      <c r="K289" s="952">
        <f t="shared" si="52"/>
        <v>4.0909090909090909E-2</v>
      </c>
      <c r="L289" s="644">
        <f t="shared" si="55"/>
        <v>16</v>
      </c>
      <c r="M289" s="935">
        <v>0.69097222222222221</v>
      </c>
      <c r="N289" s="936">
        <f t="shared" si="46"/>
        <v>0.69097222222222221</v>
      </c>
      <c r="O289" s="725"/>
      <c r="P289" s="725">
        <f t="shared" si="47"/>
        <v>-0.69097222222222221</v>
      </c>
      <c r="Q289" s="622"/>
      <c r="R289" s="37"/>
      <c r="S289" s="37" t="str">
        <f t="shared" si="48"/>
        <v>HansfordF1</v>
      </c>
      <c r="T289" s="37" t="str">
        <f t="shared" si="49"/>
        <v>1972F1</v>
      </c>
      <c r="U289" s="429">
        <v>20</v>
      </c>
      <c r="V289" s="1029">
        <v>2</v>
      </c>
      <c r="W289" s="598">
        <v>0.02</v>
      </c>
      <c r="X289" s="429"/>
      <c r="Y289" s="37" t="str">
        <f t="shared" si="50"/>
        <v>F120</v>
      </c>
      <c r="Z289" s="37" t="str">
        <f t="shared" si="51"/>
        <v>F12</v>
      </c>
      <c r="AA289" s="37" t="str">
        <f t="shared" si="53"/>
        <v>F10.02</v>
      </c>
      <c r="AB289" s="498" t="str">
        <f t="shared" si="45"/>
        <v>F116</v>
      </c>
      <c r="AC289" s="572"/>
      <c r="AD289" s="572"/>
      <c r="AE289" s="572"/>
      <c r="AF289" s="572"/>
    </row>
    <row r="290" spans="1:32">
      <c r="A290" s="947">
        <f t="shared" si="54"/>
        <v>283</v>
      </c>
      <c r="B290" s="948">
        <v>14</v>
      </c>
      <c r="C290" s="949">
        <v>26471</v>
      </c>
      <c r="D290" s="949" t="s">
        <v>178</v>
      </c>
      <c r="E290" s="950">
        <v>21</v>
      </c>
      <c r="F290" s="644">
        <v>1972</v>
      </c>
      <c r="G290" s="948" t="s">
        <v>144</v>
      </c>
      <c r="H290" s="645" t="s">
        <v>150</v>
      </c>
      <c r="I290" s="951">
        <v>20</v>
      </c>
      <c r="J290" s="951">
        <v>5.9</v>
      </c>
      <c r="K290" s="952">
        <f t="shared" si="52"/>
        <v>6.7045454545454547E-2</v>
      </c>
      <c r="L290" s="644">
        <f t="shared" si="55"/>
        <v>20</v>
      </c>
      <c r="M290" s="935">
        <v>0.86458333333333337</v>
      </c>
      <c r="N290" s="936">
        <f t="shared" si="46"/>
        <v>0.86458333333333337</v>
      </c>
      <c r="O290" s="725"/>
      <c r="P290" s="725">
        <f t="shared" si="47"/>
        <v>-0.86458333333333337</v>
      </c>
      <c r="Q290" s="622"/>
      <c r="R290" s="37"/>
      <c r="S290" s="37" t="str">
        <f t="shared" si="48"/>
        <v>Deaf SmithF1</v>
      </c>
      <c r="T290" s="37" t="str">
        <f t="shared" si="49"/>
        <v>1972F1</v>
      </c>
      <c r="U290" s="429">
        <v>20</v>
      </c>
      <c r="V290" s="1029">
        <v>5</v>
      </c>
      <c r="W290" s="598">
        <v>0.05</v>
      </c>
      <c r="X290" s="429"/>
      <c r="Y290" s="37" t="str">
        <f t="shared" si="50"/>
        <v>F120</v>
      </c>
      <c r="Z290" s="37" t="str">
        <f t="shared" si="51"/>
        <v>F15</v>
      </c>
      <c r="AA290" s="37" t="str">
        <f t="shared" si="53"/>
        <v>F10.05</v>
      </c>
      <c r="AB290" s="498" t="str">
        <f t="shared" si="45"/>
        <v>F120</v>
      </c>
      <c r="AC290" s="572"/>
      <c r="AD290" s="572"/>
      <c r="AE290" s="572"/>
      <c r="AF290" s="572"/>
    </row>
    <row r="291" spans="1:32">
      <c r="A291" s="947">
        <f t="shared" si="54"/>
        <v>284</v>
      </c>
      <c r="B291" s="948">
        <v>15</v>
      </c>
      <c r="C291" s="949">
        <v>26471</v>
      </c>
      <c r="D291" s="949" t="s">
        <v>178</v>
      </c>
      <c r="E291" s="950">
        <v>21</v>
      </c>
      <c r="F291" s="644">
        <v>1972</v>
      </c>
      <c r="G291" s="948" t="s">
        <v>144</v>
      </c>
      <c r="H291" s="645" t="s">
        <v>150</v>
      </c>
      <c r="I291" s="951">
        <v>20</v>
      </c>
      <c r="J291" s="951">
        <v>1</v>
      </c>
      <c r="K291" s="952">
        <f t="shared" si="52"/>
        <v>1.1363636363636364E-2</v>
      </c>
      <c r="L291" s="644">
        <f t="shared" si="55"/>
        <v>20</v>
      </c>
      <c r="M291" s="935">
        <v>0.86458333333333337</v>
      </c>
      <c r="N291" s="936">
        <f t="shared" si="46"/>
        <v>0.86458333333333337</v>
      </c>
      <c r="O291" s="725"/>
      <c r="P291" s="725">
        <f t="shared" si="47"/>
        <v>-0.86458333333333337</v>
      </c>
      <c r="Q291" s="622"/>
      <c r="R291" s="37"/>
      <c r="S291" s="37" t="str">
        <f t="shared" si="48"/>
        <v>Deaf SmithF1</v>
      </c>
      <c r="T291" s="37" t="str">
        <f t="shared" si="49"/>
        <v>1972F1</v>
      </c>
      <c r="U291" s="429">
        <v>20</v>
      </c>
      <c r="V291" s="1029">
        <v>1</v>
      </c>
      <c r="W291" s="598">
        <v>0.01</v>
      </c>
      <c r="X291" s="429"/>
      <c r="Y291" s="37" t="str">
        <f t="shared" si="50"/>
        <v>F120</v>
      </c>
      <c r="Z291" s="37" t="str">
        <f t="shared" si="51"/>
        <v>F11</v>
      </c>
      <c r="AA291" s="37" t="str">
        <f t="shared" si="53"/>
        <v>F10.01</v>
      </c>
      <c r="AB291" s="498" t="str">
        <f t="shared" si="45"/>
        <v>F120</v>
      </c>
      <c r="AC291" s="572"/>
      <c r="AD291" s="572"/>
      <c r="AE291" s="572"/>
      <c r="AF291" s="572"/>
    </row>
    <row r="292" spans="1:32">
      <c r="A292" s="947">
        <f t="shared" si="54"/>
        <v>285</v>
      </c>
      <c r="B292" s="948">
        <v>16</v>
      </c>
      <c r="C292" s="949">
        <v>26471</v>
      </c>
      <c r="D292" s="949" t="s">
        <v>178</v>
      </c>
      <c r="E292" s="950">
        <v>21</v>
      </c>
      <c r="F292" s="644">
        <v>1972</v>
      </c>
      <c r="G292" s="948" t="s">
        <v>140</v>
      </c>
      <c r="H292" s="645" t="s">
        <v>151</v>
      </c>
      <c r="I292" s="951">
        <v>100</v>
      </c>
      <c r="J292" s="951">
        <v>4.0999999999999996</v>
      </c>
      <c r="K292" s="952">
        <f t="shared" si="52"/>
        <v>0.23295454545454541</v>
      </c>
      <c r="L292" s="644">
        <f t="shared" si="55"/>
        <v>21</v>
      </c>
      <c r="M292" s="935">
        <v>0.88541666666666663</v>
      </c>
      <c r="N292" s="936">
        <f t="shared" si="46"/>
        <v>0.88541666666666663</v>
      </c>
      <c r="O292" s="725"/>
      <c r="P292" s="725">
        <f t="shared" si="47"/>
        <v>-0.88541666666666663</v>
      </c>
      <c r="Q292" s="622"/>
      <c r="R292" s="37"/>
      <c r="S292" s="37" t="str">
        <f t="shared" si="48"/>
        <v>PotterF2</v>
      </c>
      <c r="T292" s="37" t="str">
        <f t="shared" si="49"/>
        <v>1972F2</v>
      </c>
      <c r="U292" s="429">
        <v>100</v>
      </c>
      <c r="V292" s="1029">
        <v>2</v>
      </c>
      <c r="W292" s="598">
        <v>0.2</v>
      </c>
      <c r="X292" s="429"/>
      <c r="Y292" s="37" t="str">
        <f t="shared" si="50"/>
        <v>F2100</v>
      </c>
      <c r="Z292" s="37" t="str">
        <f t="shared" si="51"/>
        <v>F22</v>
      </c>
      <c r="AA292" s="37" t="str">
        <f t="shared" si="53"/>
        <v>F20.2</v>
      </c>
      <c r="AB292" s="498" t="str">
        <f t="shared" si="45"/>
        <v>F221</v>
      </c>
      <c r="AC292" s="572"/>
      <c r="AD292" s="572"/>
      <c r="AE292" s="572"/>
      <c r="AF292" s="572"/>
    </row>
    <row r="293" spans="1:32">
      <c r="A293" s="947">
        <f t="shared" si="54"/>
        <v>286</v>
      </c>
      <c r="B293" s="948">
        <v>17</v>
      </c>
      <c r="C293" s="949">
        <v>26482</v>
      </c>
      <c r="D293" s="949" t="s">
        <v>179</v>
      </c>
      <c r="E293" s="950">
        <v>2</v>
      </c>
      <c r="F293" s="644">
        <v>1972</v>
      </c>
      <c r="G293" s="948" t="s">
        <v>144</v>
      </c>
      <c r="H293" s="645" t="s">
        <v>150</v>
      </c>
      <c r="I293" s="951">
        <v>50</v>
      </c>
      <c r="J293" s="951">
        <v>0.3</v>
      </c>
      <c r="K293" s="952">
        <f t="shared" si="52"/>
        <v>8.5227272727272721E-3</v>
      </c>
      <c r="L293" s="644">
        <f t="shared" si="55"/>
        <v>20</v>
      </c>
      <c r="M293" s="935">
        <v>0.85416666666666663</v>
      </c>
      <c r="N293" s="936">
        <f t="shared" si="46"/>
        <v>0.85416666666666663</v>
      </c>
      <c r="O293" s="725"/>
      <c r="P293" s="725">
        <f t="shared" si="47"/>
        <v>-0.85416666666666663</v>
      </c>
      <c r="Q293" s="622"/>
      <c r="R293" s="37"/>
      <c r="S293" s="37" t="str">
        <f t="shared" si="48"/>
        <v>Deaf SmithF1</v>
      </c>
      <c r="T293" s="37" t="str">
        <f t="shared" si="49"/>
        <v>1972F1</v>
      </c>
      <c r="U293" s="429">
        <v>50</v>
      </c>
      <c r="V293" s="1029">
        <v>0.2</v>
      </c>
      <c r="W293" s="598">
        <v>5.0000000000000001E-3</v>
      </c>
      <c r="X293" s="429"/>
      <c r="Y293" s="37" t="str">
        <f t="shared" si="50"/>
        <v>F150</v>
      </c>
      <c r="Z293" s="37" t="str">
        <f t="shared" si="51"/>
        <v>F10.2</v>
      </c>
      <c r="AA293" s="37" t="str">
        <f t="shared" si="53"/>
        <v>F10.005</v>
      </c>
      <c r="AB293" s="498" t="str">
        <f t="shared" si="45"/>
        <v>F120</v>
      </c>
      <c r="AC293" s="572"/>
      <c r="AD293" s="572"/>
      <c r="AE293" s="572"/>
      <c r="AF293" s="572"/>
    </row>
    <row r="294" spans="1:32">
      <c r="A294" s="947">
        <f t="shared" si="54"/>
        <v>287</v>
      </c>
      <c r="B294" s="948">
        <v>18</v>
      </c>
      <c r="C294" s="949">
        <v>26497</v>
      </c>
      <c r="D294" s="949" t="s">
        <v>179</v>
      </c>
      <c r="E294" s="950">
        <v>17</v>
      </c>
      <c r="F294" s="644">
        <v>1972</v>
      </c>
      <c r="G294" s="948" t="s">
        <v>127</v>
      </c>
      <c r="H294" s="645" t="s">
        <v>150</v>
      </c>
      <c r="I294" s="951">
        <v>20</v>
      </c>
      <c r="J294" s="951">
        <v>0.1</v>
      </c>
      <c r="K294" s="952">
        <f t="shared" si="52"/>
        <v>1.1363636363636365E-3</v>
      </c>
      <c r="L294" s="644">
        <f t="shared" si="55"/>
        <v>14</v>
      </c>
      <c r="M294" s="935">
        <v>0.59375</v>
      </c>
      <c r="N294" s="936">
        <f t="shared" si="46"/>
        <v>0.59375</v>
      </c>
      <c r="O294" s="725"/>
      <c r="P294" s="725">
        <f t="shared" si="47"/>
        <v>-0.59375</v>
      </c>
      <c r="Q294" s="622"/>
      <c r="R294" s="37"/>
      <c r="S294" s="37" t="str">
        <f t="shared" si="48"/>
        <v>TexasF1</v>
      </c>
      <c r="T294" s="37" t="str">
        <f t="shared" si="49"/>
        <v>1972F1</v>
      </c>
      <c r="U294" s="429">
        <v>20</v>
      </c>
      <c r="V294" s="1029">
        <v>0.1</v>
      </c>
      <c r="W294" s="598">
        <v>1E-3</v>
      </c>
      <c r="X294" s="429"/>
      <c r="Y294" s="37" t="str">
        <f t="shared" si="50"/>
        <v>F120</v>
      </c>
      <c r="Z294" s="37" t="str">
        <f t="shared" si="51"/>
        <v>F10.1</v>
      </c>
      <c r="AA294" s="37" t="str">
        <f t="shared" si="53"/>
        <v>F10.001</v>
      </c>
      <c r="AB294" s="498" t="str">
        <f t="shared" si="45"/>
        <v>F114</v>
      </c>
      <c r="AC294" s="572"/>
      <c r="AD294" s="572"/>
      <c r="AE294" s="572"/>
      <c r="AF294" s="572"/>
    </row>
    <row r="295" spans="1:32">
      <c r="A295" s="947">
        <f t="shared" si="54"/>
        <v>288</v>
      </c>
      <c r="B295" s="948">
        <v>19</v>
      </c>
      <c r="C295" s="949">
        <v>26519</v>
      </c>
      <c r="D295" s="949" t="s">
        <v>180</v>
      </c>
      <c r="E295" s="950">
        <v>8</v>
      </c>
      <c r="F295" s="644">
        <v>1972</v>
      </c>
      <c r="G295" s="948" t="s">
        <v>140</v>
      </c>
      <c r="H295" s="645" t="s">
        <v>149</v>
      </c>
      <c r="I295" s="951">
        <v>50</v>
      </c>
      <c r="J295" s="951">
        <v>2</v>
      </c>
      <c r="K295" s="952">
        <f t="shared" si="52"/>
        <v>5.6818181818181816E-2</v>
      </c>
      <c r="L295" s="644">
        <f t="shared" si="55"/>
        <v>14</v>
      </c>
      <c r="M295" s="935">
        <v>0.59375</v>
      </c>
      <c r="N295" s="936">
        <f t="shared" si="46"/>
        <v>0.59375</v>
      </c>
      <c r="O295" s="725"/>
      <c r="P295" s="725">
        <f t="shared" si="47"/>
        <v>-0.59375</v>
      </c>
      <c r="Q295" s="622"/>
      <c r="R295" s="37"/>
      <c r="S295" s="37" t="str">
        <f t="shared" si="48"/>
        <v>PotterF0</v>
      </c>
      <c r="T295" s="37" t="str">
        <f t="shared" si="49"/>
        <v>1972F0</v>
      </c>
      <c r="U295" s="429">
        <v>50</v>
      </c>
      <c r="V295" s="1029">
        <v>2</v>
      </c>
      <c r="W295" s="598">
        <v>0.05</v>
      </c>
      <c r="X295" s="429"/>
      <c r="Y295" s="37" t="str">
        <f t="shared" si="50"/>
        <v>F050</v>
      </c>
      <c r="Z295" s="37" t="str">
        <f t="shared" si="51"/>
        <v>F02</v>
      </c>
      <c r="AA295" s="37" t="str">
        <f t="shared" si="53"/>
        <v>F00.05</v>
      </c>
      <c r="AB295" s="498" t="str">
        <f t="shared" si="45"/>
        <v>F014</v>
      </c>
      <c r="AC295" s="572"/>
      <c r="AD295" s="572"/>
      <c r="AE295" s="572"/>
      <c r="AF295" s="572"/>
    </row>
    <row r="296" spans="1:32">
      <c r="A296" s="947">
        <f t="shared" si="54"/>
        <v>289</v>
      </c>
      <c r="B296" s="948">
        <v>1</v>
      </c>
      <c r="C296" s="949">
        <v>26746</v>
      </c>
      <c r="D296" s="949" t="s">
        <v>175</v>
      </c>
      <c r="E296" s="950">
        <v>23</v>
      </c>
      <c r="F296" s="644">
        <v>1973</v>
      </c>
      <c r="G296" s="948" t="s">
        <v>140</v>
      </c>
      <c r="H296" s="645" t="s">
        <v>151</v>
      </c>
      <c r="I296" s="951">
        <v>50</v>
      </c>
      <c r="J296" s="951">
        <v>2</v>
      </c>
      <c r="K296" s="952">
        <f t="shared" si="52"/>
        <v>5.6818181818181816E-2</v>
      </c>
      <c r="L296" s="644">
        <f t="shared" si="55"/>
        <v>16</v>
      </c>
      <c r="M296" s="935">
        <v>0.66666666666666663</v>
      </c>
      <c r="N296" s="936">
        <f t="shared" si="46"/>
        <v>0.66666666666666663</v>
      </c>
      <c r="O296" s="725"/>
      <c r="P296" s="725">
        <f t="shared" si="47"/>
        <v>-0.66666666666666663</v>
      </c>
      <c r="Q296" s="622" t="s">
        <v>101</v>
      </c>
      <c r="R296" s="37"/>
      <c r="S296" s="37" t="str">
        <f t="shared" si="48"/>
        <v>PotterF2</v>
      </c>
      <c r="T296" s="37" t="str">
        <f t="shared" si="49"/>
        <v>1973F2</v>
      </c>
      <c r="U296" s="429">
        <v>50</v>
      </c>
      <c r="V296" s="1029">
        <v>2</v>
      </c>
      <c r="W296" s="598">
        <v>0.05</v>
      </c>
      <c r="X296" s="429"/>
      <c r="Y296" s="37" t="str">
        <f t="shared" si="50"/>
        <v>F250</v>
      </c>
      <c r="Z296" s="37" t="str">
        <f t="shared" si="51"/>
        <v>F22</v>
      </c>
      <c r="AA296" s="37" t="str">
        <f t="shared" si="53"/>
        <v>F20.05</v>
      </c>
      <c r="AB296" s="498" t="str">
        <f t="shared" si="45"/>
        <v>F216</v>
      </c>
      <c r="AC296" s="572"/>
      <c r="AD296" s="572"/>
      <c r="AE296" s="572"/>
      <c r="AF296" s="572"/>
    </row>
    <row r="297" spans="1:32">
      <c r="A297" s="947">
        <f t="shared" si="54"/>
        <v>290</v>
      </c>
      <c r="B297" s="948">
        <v>2</v>
      </c>
      <c r="C297" s="949">
        <v>26767</v>
      </c>
      <c r="D297" s="949" t="s">
        <v>176</v>
      </c>
      <c r="E297" s="950">
        <v>13</v>
      </c>
      <c r="F297" s="644">
        <v>1973</v>
      </c>
      <c r="G297" s="948" t="s">
        <v>140</v>
      </c>
      <c r="H297" s="645" t="s">
        <v>150</v>
      </c>
      <c r="I297" s="951">
        <v>17</v>
      </c>
      <c r="J297" s="951">
        <v>1</v>
      </c>
      <c r="K297" s="952">
        <f t="shared" si="52"/>
        <v>9.6590909090909088E-3</v>
      </c>
      <c r="L297" s="644">
        <f t="shared" si="55"/>
        <v>17</v>
      </c>
      <c r="M297" s="935">
        <v>0.74861111111111101</v>
      </c>
      <c r="N297" s="936">
        <f t="shared" si="46"/>
        <v>0.74861111111111101</v>
      </c>
      <c r="O297" s="725"/>
      <c r="P297" s="725">
        <f t="shared" si="47"/>
        <v>-0.74861111111111101</v>
      </c>
      <c r="Q297" s="622" t="s">
        <v>498</v>
      </c>
      <c r="R297" s="37"/>
      <c r="S297" s="37" t="str">
        <f t="shared" si="48"/>
        <v>PotterF1</v>
      </c>
      <c r="T297" s="37" t="str">
        <f t="shared" si="49"/>
        <v>1973F1</v>
      </c>
      <c r="U297" s="429">
        <v>10</v>
      </c>
      <c r="V297" s="1029">
        <v>1</v>
      </c>
      <c r="W297" s="598">
        <v>0.01</v>
      </c>
      <c r="X297" s="429"/>
      <c r="Y297" s="37" t="str">
        <f t="shared" si="50"/>
        <v>F110</v>
      </c>
      <c r="Z297" s="37" t="str">
        <f t="shared" si="51"/>
        <v>F11</v>
      </c>
      <c r="AA297" s="37" t="str">
        <f t="shared" si="53"/>
        <v>F10.01</v>
      </c>
      <c r="AB297" s="498" t="str">
        <f t="shared" si="45"/>
        <v>F117</v>
      </c>
      <c r="AC297" s="572"/>
      <c r="AD297" s="572"/>
      <c r="AE297" s="572"/>
      <c r="AF297" s="572"/>
    </row>
    <row r="298" spans="1:32" ht="107.25" customHeight="1">
      <c r="A298" s="947">
        <f t="shared" si="54"/>
        <v>291</v>
      </c>
      <c r="B298" s="948">
        <v>3</v>
      </c>
      <c r="C298" s="949">
        <v>26768</v>
      </c>
      <c r="D298" s="949" t="s">
        <v>176</v>
      </c>
      <c r="E298" s="950">
        <v>14</v>
      </c>
      <c r="F298" s="644">
        <v>1973</v>
      </c>
      <c r="G298" s="948" t="s">
        <v>146</v>
      </c>
      <c r="H298" s="645" t="s">
        <v>151</v>
      </c>
      <c r="I298" s="951">
        <v>150</v>
      </c>
      <c r="J298" s="951">
        <v>19</v>
      </c>
      <c r="K298" s="952">
        <f t="shared" si="52"/>
        <v>1.6193181818181817</v>
      </c>
      <c r="L298" s="644">
        <f t="shared" si="55"/>
        <v>17</v>
      </c>
      <c r="M298" s="935">
        <v>0.72916666666666663</v>
      </c>
      <c r="N298" s="936">
        <f>+M298</f>
        <v>0.72916666666666663</v>
      </c>
      <c r="O298" s="725"/>
      <c r="P298" s="725">
        <f t="shared" si="47"/>
        <v>-0.72916666666666663</v>
      </c>
      <c r="Q298" s="106" t="s">
        <v>748</v>
      </c>
      <c r="R298" s="37"/>
      <c r="S298" s="37" t="str">
        <f>CONCATENATE(G298,H298)</f>
        <v>ArmstrongF2</v>
      </c>
      <c r="T298" s="37" t="str">
        <f t="shared" si="49"/>
        <v>1973F2</v>
      </c>
      <c r="U298" s="429">
        <v>100</v>
      </c>
      <c r="V298" s="1029">
        <v>10</v>
      </c>
      <c r="W298" s="598">
        <v>1</v>
      </c>
      <c r="X298" s="429"/>
      <c r="Y298" s="37" t="str">
        <f t="shared" si="50"/>
        <v>F2100</v>
      </c>
      <c r="Z298" s="37" t="str">
        <f t="shared" si="51"/>
        <v>F210</v>
      </c>
      <c r="AA298" s="37" t="str">
        <f t="shared" si="53"/>
        <v>F21</v>
      </c>
      <c r="AB298" s="498" t="str">
        <f t="shared" si="45"/>
        <v>F217</v>
      </c>
      <c r="AC298" s="572"/>
      <c r="AD298" s="572"/>
      <c r="AE298" s="572"/>
      <c r="AF298" s="572"/>
    </row>
    <row r="299" spans="1:32" ht="171" customHeight="1">
      <c r="A299" s="947">
        <f t="shared" si="54"/>
        <v>292</v>
      </c>
      <c r="B299" s="948">
        <v>4</v>
      </c>
      <c r="C299" s="949">
        <v>26768</v>
      </c>
      <c r="D299" s="949" t="s">
        <v>176</v>
      </c>
      <c r="E299" s="950">
        <v>14</v>
      </c>
      <c r="F299" s="644">
        <v>1973</v>
      </c>
      <c r="G299" s="948" t="s">
        <v>142</v>
      </c>
      <c r="H299" s="645" t="s">
        <v>151</v>
      </c>
      <c r="I299" s="951">
        <v>150</v>
      </c>
      <c r="J299" s="951">
        <v>56</v>
      </c>
      <c r="K299" s="952">
        <f t="shared" si="52"/>
        <v>4.7727272727272725</v>
      </c>
      <c r="L299" s="644">
        <f t="shared" si="55"/>
        <v>18</v>
      </c>
      <c r="M299" s="935">
        <v>0.76041666666666663</v>
      </c>
      <c r="N299" s="936">
        <f>+M299</f>
        <v>0.76041666666666663</v>
      </c>
      <c r="O299" s="725"/>
      <c r="P299" s="725">
        <f t="shared" si="47"/>
        <v>-0.76041666666666663</v>
      </c>
      <c r="Q299" s="106" t="s">
        <v>749</v>
      </c>
      <c r="R299" s="37"/>
      <c r="S299" s="37" t="str">
        <f>CONCATENATE(G299,H299)</f>
        <v>GrayF2</v>
      </c>
      <c r="T299" s="37" t="str">
        <f t="shared" si="49"/>
        <v>1973F2</v>
      </c>
      <c r="U299" s="429">
        <v>100</v>
      </c>
      <c r="V299" s="1029">
        <v>50</v>
      </c>
      <c r="W299" s="598">
        <v>2</v>
      </c>
      <c r="X299" s="429"/>
      <c r="Y299" s="37" t="str">
        <f t="shared" si="50"/>
        <v>F2100</v>
      </c>
      <c r="Z299" s="37" t="str">
        <f t="shared" si="51"/>
        <v>F250</v>
      </c>
      <c r="AA299" s="37" t="str">
        <f t="shared" si="53"/>
        <v>F22</v>
      </c>
      <c r="AB299" s="498" t="str">
        <f t="shared" si="45"/>
        <v>F218</v>
      </c>
      <c r="AC299" s="572"/>
      <c r="AD299" s="572"/>
      <c r="AE299" s="572"/>
      <c r="AF299" s="572"/>
    </row>
    <row r="300" spans="1:32">
      <c r="A300" s="947">
        <f t="shared" si="54"/>
        <v>293</v>
      </c>
      <c r="B300" s="948">
        <v>5</v>
      </c>
      <c r="C300" s="949">
        <v>26777</v>
      </c>
      <c r="D300" s="949" t="s">
        <v>176</v>
      </c>
      <c r="E300" s="950">
        <v>23</v>
      </c>
      <c r="F300" s="644">
        <v>1973</v>
      </c>
      <c r="G300" s="948" t="s">
        <v>143</v>
      </c>
      <c r="H300" s="645" t="s">
        <v>151</v>
      </c>
      <c r="I300" s="951">
        <v>100</v>
      </c>
      <c r="J300" s="951">
        <v>0.3</v>
      </c>
      <c r="K300" s="952">
        <f t="shared" si="52"/>
        <v>1.7045454545454544E-2</v>
      </c>
      <c r="L300" s="644">
        <f t="shared" si="55"/>
        <v>21</v>
      </c>
      <c r="M300" s="935">
        <v>0.90625</v>
      </c>
      <c r="N300" s="936">
        <f t="shared" si="46"/>
        <v>0.90625</v>
      </c>
      <c r="O300" s="725"/>
      <c r="P300" s="725">
        <f t="shared" si="47"/>
        <v>-0.90625</v>
      </c>
      <c r="Q300" s="622"/>
      <c r="R300" s="37"/>
      <c r="S300" s="37" t="str">
        <f t="shared" si="48"/>
        <v>WheelerF2</v>
      </c>
      <c r="T300" s="37" t="str">
        <f t="shared" si="49"/>
        <v>1973F2</v>
      </c>
      <c r="U300" s="429">
        <v>100</v>
      </c>
      <c r="V300" s="1029">
        <v>0.2</v>
      </c>
      <c r="W300" s="598">
        <v>0.01</v>
      </c>
      <c r="X300" s="429"/>
      <c r="Y300" s="37" t="str">
        <f t="shared" si="50"/>
        <v>F2100</v>
      </c>
      <c r="Z300" s="37" t="str">
        <f t="shared" si="51"/>
        <v>F20.2</v>
      </c>
      <c r="AA300" s="37" t="str">
        <f t="shared" si="53"/>
        <v>F20.01</v>
      </c>
      <c r="AB300" s="498" t="str">
        <f t="shared" si="45"/>
        <v>F221</v>
      </c>
      <c r="AC300" s="572"/>
      <c r="AD300" s="572"/>
      <c r="AE300" s="572"/>
      <c r="AF300" s="572"/>
    </row>
    <row r="301" spans="1:32">
      <c r="A301" s="947">
        <f t="shared" si="54"/>
        <v>294</v>
      </c>
      <c r="B301" s="948">
        <v>6</v>
      </c>
      <c r="C301" s="949">
        <v>26784</v>
      </c>
      <c r="D301" s="949" t="s">
        <v>176</v>
      </c>
      <c r="E301" s="950">
        <v>30</v>
      </c>
      <c r="F301" s="644">
        <v>1973</v>
      </c>
      <c r="G301" s="948" t="s">
        <v>141</v>
      </c>
      <c r="H301" s="645" t="s">
        <v>151</v>
      </c>
      <c r="I301" s="951">
        <v>100</v>
      </c>
      <c r="J301" s="951">
        <v>0.5</v>
      </c>
      <c r="K301" s="952">
        <f t="shared" si="52"/>
        <v>2.8409090909090908E-2</v>
      </c>
      <c r="L301" s="644">
        <f t="shared" si="55"/>
        <v>17</v>
      </c>
      <c r="M301" s="935">
        <v>0.73611111111111116</v>
      </c>
      <c r="N301" s="936">
        <f t="shared" si="46"/>
        <v>0.73611111111111116</v>
      </c>
      <c r="O301" s="725"/>
      <c r="P301" s="725">
        <f t="shared" si="47"/>
        <v>-0.73611111111111116</v>
      </c>
      <c r="Q301" s="622"/>
      <c r="R301" s="37"/>
      <c r="S301" s="37" t="str">
        <f t="shared" si="48"/>
        <v>CarsonF2</v>
      </c>
      <c r="T301" s="37" t="str">
        <f t="shared" si="49"/>
        <v>1973F2</v>
      </c>
      <c r="U301" s="429">
        <v>100</v>
      </c>
      <c r="V301" s="1029">
        <v>0.5</v>
      </c>
      <c r="W301" s="598">
        <v>0.02</v>
      </c>
      <c r="X301" s="429"/>
      <c r="Y301" s="37" t="str">
        <f t="shared" si="50"/>
        <v>F2100</v>
      </c>
      <c r="Z301" s="37" t="str">
        <f t="shared" si="51"/>
        <v>F20.5</v>
      </c>
      <c r="AA301" s="37" t="str">
        <f t="shared" si="53"/>
        <v>F20.02</v>
      </c>
      <c r="AB301" s="498" t="str">
        <f t="shared" si="45"/>
        <v>F217</v>
      </c>
      <c r="AC301" s="572"/>
      <c r="AD301" s="572"/>
      <c r="AE301" s="572"/>
      <c r="AF301" s="572"/>
    </row>
    <row r="302" spans="1:32">
      <c r="A302" s="947">
        <f t="shared" si="54"/>
        <v>295</v>
      </c>
      <c r="B302" s="948">
        <v>7</v>
      </c>
      <c r="C302" s="949">
        <v>26785</v>
      </c>
      <c r="D302" s="949" t="s">
        <v>177</v>
      </c>
      <c r="E302" s="950">
        <v>1</v>
      </c>
      <c r="F302" s="644">
        <v>1973</v>
      </c>
      <c r="G302" s="948" t="s">
        <v>127</v>
      </c>
      <c r="H302" s="645" t="s">
        <v>149</v>
      </c>
      <c r="I302" s="951">
        <v>150</v>
      </c>
      <c r="J302" s="951">
        <v>1</v>
      </c>
      <c r="K302" s="952">
        <f t="shared" si="52"/>
        <v>8.5227272727272721E-2</v>
      </c>
      <c r="L302" s="644">
        <f t="shared" si="55"/>
        <v>9</v>
      </c>
      <c r="M302" s="935">
        <v>0.375</v>
      </c>
      <c r="N302" s="936">
        <f t="shared" si="46"/>
        <v>0.375</v>
      </c>
      <c r="O302" s="725"/>
      <c r="P302" s="725">
        <f t="shared" si="47"/>
        <v>-0.375</v>
      </c>
      <c r="Q302" s="622"/>
      <c r="R302" s="37"/>
      <c r="S302" s="37" t="str">
        <f t="shared" si="48"/>
        <v>TexasF0</v>
      </c>
      <c r="T302" s="37" t="str">
        <f t="shared" si="49"/>
        <v>1973F0</v>
      </c>
      <c r="U302" s="429">
        <v>100</v>
      </c>
      <c r="V302" s="1029">
        <v>1</v>
      </c>
      <c r="W302" s="598">
        <v>0.05</v>
      </c>
      <c r="X302" s="429"/>
      <c r="Y302" s="37" t="str">
        <f t="shared" si="50"/>
        <v>F0100</v>
      </c>
      <c r="Z302" s="37" t="str">
        <f t="shared" si="51"/>
        <v>F01</v>
      </c>
      <c r="AA302" s="37" t="str">
        <f t="shared" si="53"/>
        <v>F00.05</v>
      </c>
      <c r="AB302" s="498" t="str">
        <f t="shared" si="45"/>
        <v>F09</v>
      </c>
      <c r="AC302" s="572"/>
      <c r="AD302" s="572"/>
      <c r="AE302" s="572"/>
      <c r="AF302" s="572"/>
    </row>
    <row r="303" spans="1:32">
      <c r="A303" s="947">
        <f t="shared" si="54"/>
        <v>296</v>
      </c>
      <c r="B303" s="948">
        <v>8</v>
      </c>
      <c r="C303" s="949">
        <v>26806</v>
      </c>
      <c r="D303" s="949" t="s">
        <v>177</v>
      </c>
      <c r="E303" s="950">
        <v>22</v>
      </c>
      <c r="F303" s="644">
        <v>1973</v>
      </c>
      <c r="G303" s="948" t="s">
        <v>145</v>
      </c>
      <c r="H303" s="645" t="s">
        <v>150</v>
      </c>
      <c r="I303" s="951">
        <v>20</v>
      </c>
      <c r="J303" s="951">
        <v>0.3</v>
      </c>
      <c r="K303" s="952">
        <f t="shared" si="52"/>
        <v>3.4090909090909089E-3</v>
      </c>
      <c r="L303" s="644">
        <f t="shared" si="55"/>
        <v>17</v>
      </c>
      <c r="M303" s="935">
        <v>0.71527777777777779</v>
      </c>
      <c r="N303" s="936">
        <f t="shared" si="46"/>
        <v>0.71527777777777779</v>
      </c>
      <c r="O303" s="725"/>
      <c r="P303" s="725">
        <f t="shared" si="47"/>
        <v>-0.71527777777777779</v>
      </c>
      <c r="Q303" s="622"/>
      <c r="R303" s="37"/>
      <c r="S303" s="37" t="str">
        <f t="shared" si="48"/>
        <v>RandallF1</v>
      </c>
      <c r="T303" s="37" t="str">
        <f t="shared" si="49"/>
        <v>1973F1</v>
      </c>
      <c r="U303" s="429">
        <v>20</v>
      </c>
      <c r="V303" s="1029">
        <v>0.2</v>
      </c>
      <c r="W303" s="598">
        <v>2E-3</v>
      </c>
      <c r="X303" s="429"/>
      <c r="Y303" s="37" t="str">
        <f t="shared" si="50"/>
        <v>F120</v>
      </c>
      <c r="Z303" s="37" t="str">
        <f t="shared" si="51"/>
        <v>F10.2</v>
      </c>
      <c r="AA303" s="37" t="str">
        <f t="shared" si="53"/>
        <v>F10.002</v>
      </c>
      <c r="AB303" s="498" t="str">
        <f t="shared" si="45"/>
        <v>F117</v>
      </c>
      <c r="AC303" s="572"/>
      <c r="AD303" s="572"/>
      <c r="AE303" s="572"/>
      <c r="AF303" s="572"/>
    </row>
    <row r="304" spans="1:32">
      <c r="A304" s="947">
        <f t="shared" si="54"/>
        <v>297</v>
      </c>
      <c r="B304" s="948">
        <v>9</v>
      </c>
      <c r="C304" s="949">
        <v>26884</v>
      </c>
      <c r="D304" s="949" t="s">
        <v>180</v>
      </c>
      <c r="E304" s="950">
        <v>8</v>
      </c>
      <c r="F304" s="644">
        <v>1973</v>
      </c>
      <c r="G304" s="948" t="s">
        <v>136</v>
      </c>
      <c r="H304" s="645" t="s">
        <v>150</v>
      </c>
      <c r="I304" s="951">
        <v>10</v>
      </c>
      <c r="J304" s="951">
        <v>0.1</v>
      </c>
      <c r="K304" s="952">
        <f t="shared" si="52"/>
        <v>5.6818181818181826E-4</v>
      </c>
      <c r="L304" s="644">
        <f t="shared" si="55"/>
        <v>16</v>
      </c>
      <c r="M304" s="935">
        <v>0.70625000000000004</v>
      </c>
      <c r="N304" s="936">
        <f t="shared" si="46"/>
        <v>0.70625000000000004</v>
      </c>
      <c r="O304" s="725"/>
      <c r="P304" s="725">
        <f t="shared" si="47"/>
        <v>-0.70625000000000004</v>
      </c>
      <c r="Q304" s="622"/>
      <c r="R304" s="37"/>
      <c r="S304" s="37" t="str">
        <f t="shared" si="48"/>
        <v>HutchinsonF1</v>
      </c>
      <c r="T304" s="37" t="str">
        <f t="shared" si="49"/>
        <v>1973F1</v>
      </c>
      <c r="U304" s="429">
        <v>10</v>
      </c>
      <c r="V304" s="1029">
        <v>0.1</v>
      </c>
      <c r="W304" s="598">
        <v>1E-3</v>
      </c>
      <c r="X304" s="429"/>
      <c r="Y304" s="37" t="str">
        <f t="shared" si="50"/>
        <v>F110</v>
      </c>
      <c r="Z304" s="37" t="str">
        <f t="shared" si="51"/>
        <v>F10.1</v>
      </c>
      <c r="AA304" s="37" t="str">
        <f t="shared" si="53"/>
        <v>F10.001</v>
      </c>
      <c r="AB304" s="498" t="str">
        <f t="shared" si="45"/>
        <v>F116</v>
      </c>
      <c r="AC304" s="572"/>
      <c r="AD304" s="572"/>
      <c r="AE304" s="572"/>
      <c r="AF304" s="572"/>
    </row>
    <row r="305" spans="1:32">
      <c r="A305" s="947">
        <f t="shared" si="54"/>
        <v>298</v>
      </c>
      <c r="B305" s="948">
        <v>1</v>
      </c>
      <c r="C305" s="949">
        <v>27097</v>
      </c>
      <c r="D305" s="949" t="s">
        <v>175</v>
      </c>
      <c r="E305" s="950">
        <v>9</v>
      </c>
      <c r="F305" s="644">
        <v>1974</v>
      </c>
      <c r="G305" s="948" t="s">
        <v>145</v>
      </c>
      <c r="H305" s="645" t="s">
        <v>150</v>
      </c>
      <c r="I305" s="951">
        <v>20</v>
      </c>
      <c r="J305" s="951">
        <v>3</v>
      </c>
      <c r="K305" s="952">
        <f t="shared" si="52"/>
        <v>3.4090909090909088E-2</v>
      </c>
      <c r="L305" s="644">
        <f t="shared" si="55"/>
        <v>13</v>
      </c>
      <c r="M305" s="935">
        <v>0.55694444444444446</v>
      </c>
      <c r="N305" s="936">
        <f t="shared" si="46"/>
        <v>0.55694444444444446</v>
      </c>
      <c r="O305" s="725"/>
      <c r="P305" s="725">
        <f t="shared" si="47"/>
        <v>-0.55694444444444446</v>
      </c>
      <c r="Q305" s="622"/>
      <c r="R305" s="37"/>
      <c r="S305" s="37" t="str">
        <f t="shared" si="48"/>
        <v>RandallF1</v>
      </c>
      <c r="T305" s="37" t="str">
        <f t="shared" si="49"/>
        <v>1974F1</v>
      </c>
      <c r="U305" s="429">
        <v>20</v>
      </c>
      <c r="V305" s="1029">
        <v>2</v>
      </c>
      <c r="W305" s="598">
        <v>0.02</v>
      </c>
      <c r="X305" s="429"/>
      <c r="Y305" s="37" t="str">
        <f t="shared" si="50"/>
        <v>F120</v>
      </c>
      <c r="Z305" s="37" t="str">
        <f t="shared" si="51"/>
        <v>F12</v>
      </c>
      <c r="AA305" s="37" t="str">
        <f t="shared" si="53"/>
        <v>F10.02</v>
      </c>
      <c r="AB305" s="498" t="str">
        <f t="shared" si="45"/>
        <v>F113</v>
      </c>
      <c r="AC305" s="572"/>
      <c r="AD305" s="572"/>
      <c r="AE305" s="572"/>
      <c r="AF305" s="572"/>
    </row>
    <row r="306" spans="1:32">
      <c r="A306" s="947">
        <f t="shared" si="54"/>
        <v>299</v>
      </c>
      <c r="B306" s="948">
        <v>2</v>
      </c>
      <c r="C306" s="949">
        <v>27129</v>
      </c>
      <c r="D306" s="949" t="s">
        <v>176</v>
      </c>
      <c r="E306" s="950">
        <v>10</v>
      </c>
      <c r="F306" s="644">
        <v>1974</v>
      </c>
      <c r="G306" s="948" t="s">
        <v>148</v>
      </c>
      <c r="H306" s="645" t="s">
        <v>150</v>
      </c>
      <c r="I306" s="951">
        <v>33</v>
      </c>
      <c r="J306" s="951">
        <v>2</v>
      </c>
      <c r="K306" s="952">
        <f t="shared" si="52"/>
        <v>3.7499999999999999E-2</v>
      </c>
      <c r="L306" s="644">
        <f t="shared" si="55"/>
        <v>21</v>
      </c>
      <c r="M306" s="935">
        <v>0.88194444444444453</v>
      </c>
      <c r="N306" s="936">
        <f t="shared" si="46"/>
        <v>0.88194444444444453</v>
      </c>
      <c r="O306" s="725"/>
      <c r="P306" s="725">
        <f t="shared" si="47"/>
        <v>-0.88194444444444453</v>
      </c>
      <c r="Q306" s="622"/>
      <c r="R306" s="37"/>
      <c r="S306" s="37" t="str">
        <f t="shared" si="48"/>
        <v>CollingsworthF1</v>
      </c>
      <c r="T306" s="37" t="str">
        <f t="shared" si="49"/>
        <v>1974F1</v>
      </c>
      <c r="U306" s="429">
        <v>20</v>
      </c>
      <c r="V306" s="1029">
        <v>2</v>
      </c>
      <c r="W306" s="598">
        <v>0.02</v>
      </c>
      <c r="X306" s="429"/>
      <c r="Y306" s="37" t="str">
        <f t="shared" si="50"/>
        <v>F120</v>
      </c>
      <c r="Z306" s="37" t="str">
        <f t="shared" si="51"/>
        <v>F12</v>
      </c>
      <c r="AA306" s="37" t="str">
        <f t="shared" si="53"/>
        <v>F10.02</v>
      </c>
      <c r="AB306" s="498" t="str">
        <f t="shared" si="45"/>
        <v>F121</v>
      </c>
      <c r="AC306" s="572"/>
      <c r="AD306" s="572"/>
      <c r="AE306" s="572"/>
      <c r="AF306" s="572"/>
    </row>
    <row r="307" spans="1:32">
      <c r="A307" s="947">
        <f t="shared" si="54"/>
        <v>300</v>
      </c>
      <c r="B307" s="948">
        <v>3</v>
      </c>
      <c r="C307" s="949">
        <v>27138</v>
      </c>
      <c r="D307" s="949" t="s">
        <v>176</v>
      </c>
      <c r="E307" s="950">
        <v>19</v>
      </c>
      <c r="F307" s="644">
        <v>1974</v>
      </c>
      <c r="G307" s="948" t="s">
        <v>141</v>
      </c>
      <c r="H307" s="645" t="s">
        <v>150</v>
      </c>
      <c r="I307" s="951">
        <v>20</v>
      </c>
      <c r="J307" s="951">
        <v>1.9</v>
      </c>
      <c r="K307" s="952">
        <f t="shared" si="52"/>
        <v>2.1590909090909091E-2</v>
      </c>
      <c r="L307" s="644">
        <f t="shared" si="55"/>
        <v>15</v>
      </c>
      <c r="M307" s="935">
        <v>0.64930555555555558</v>
      </c>
      <c r="N307" s="936">
        <f t="shared" si="46"/>
        <v>0.64930555555555558</v>
      </c>
      <c r="O307" s="725"/>
      <c r="P307" s="725">
        <f t="shared" si="47"/>
        <v>-0.64930555555555558</v>
      </c>
      <c r="Q307" s="622"/>
      <c r="R307" s="37"/>
      <c r="S307" s="37" t="str">
        <f t="shared" si="48"/>
        <v>CarsonF1</v>
      </c>
      <c r="T307" s="37" t="str">
        <f t="shared" si="49"/>
        <v>1974F1</v>
      </c>
      <c r="U307" s="429">
        <v>20</v>
      </c>
      <c r="V307" s="1029">
        <v>1</v>
      </c>
      <c r="W307" s="598">
        <v>0.02</v>
      </c>
      <c r="X307" s="429"/>
      <c r="Y307" s="37" t="str">
        <f t="shared" si="50"/>
        <v>F120</v>
      </c>
      <c r="Z307" s="37" t="str">
        <f t="shared" si="51"/>
        <v>F11</v>
      </c>
      <c r="AA307" s="37" t="str">
        <f t="shared" si="53"/>
        <v>F10.02</v>
      </c>
      <c r="AB307" s="498" t="str">
        <f t="shared" si="45"/>
        <v>F115</v>
      </c>
      <c r="AC307" s="572"/>
      <c r="AD307" s="572"/>
      <c r="AE307" s="572"/>
      <c r="AF307" s="572"/>
    </row>
    <row r="308" spans="1:32">
      <c r="A308" s="947">
        <f t="shared" si="54"/>
        <v>301</v>
      </c>
      <c r="B308" s="948">
        <v>4</v>
      </c>
      <c r="C308" s="949">
        <v>27138</v>
      </c>
      <c r="D308" s="949" t="s">
        <v>176</v>
      </c>
      <c r="E308" s="950">
        <v>19</v>
      </c>
      <c r="F308" s="644">
        <v>1974</v>
      </c>
      <c r="G308" s="948" t="s">
        <v>137</v>
      </c>
      <c r="H308" s="645" t="s">
        <v>151</v>
      </c>
      <c r="I308" s="951">
        <v>30</v>
      </c>
      <c r="J308" s="951">
        <v>5.9</v>
      </c>
      <c r="K308" s="952">
        <f t="shared" si="52"/>
        <v>0.10056818181818182</v>
      </c>
      <c r="L308" s="644">
        <f t="shared" si="55"/>
        <v>19</v>
      </c>
      <c r="M308" s="935">
        <v>0.80555555555555547</v>
      </c>
      <c r="N308" s="936">
        <f t="shared" si="46"/>
        <v>0.80555555555555547</v>
      </c>
      <c r="O308" s="725"/>
      <c r="P308" s="725">
        <f t="shared" si="47"/>
        <v>-0.80555555555555547</v>
      </c>
      <c r="Q308" s="622"/>
      <c r="R308" s="37"/>
      <c r="S308" s="37" t="str">
        <f t="shared" si="48"/>
        <v>RobertsF2</v>
      </c>
      <c r="T308" s="37" t="str">
        <f t="shared" si="49"/>
        <v>1974F2</v>
      </c>
      <c r="U308" s="429">
        <v>20</v>
      </c>
      <c r="V308" s="1029">
        <v>5</v>
      </c>
      <c r="W308" s="598">
        <v>0.1</v>
      </c>
      <c r="X308" s="429"/>
      <c r="Y308" s="37" t="str">
        <f t="shared" si="50"/>
        <v>F220</v>
      </c>
      <c r="Z308" s="37" t="str">
        <f t="shared" si="51"/>
        <v>F25</v>
      </c>
      <c r="AA308" s="37" t="str">
        <f t="shared" si="53"/>
        <v>F20.1</v>
      </c>
      <c r="AB308" s="498" t="str">
        <f t="shared" si="45"/>
        <v>F219</v>
      </c>
      <c r="AC308" s="572"/>
      <c r="AD308" s="572"/>
      <c r="AE308" s="572"/>
      <c r="AF308" s="572"/>
    </row>
    <row r="309" spans="1:32">
      <c r="A309" s="947">
        <f t="shared" si="54"/>
        <v>302</v>
      </c>
      <c r="B309" s="948">
        <v>5</v>
      </c>
      <c r="C309" s="949">
        <v>27147</v>
      </c>
      <c r="D309" s="949" t="s">
        <v>176</v>
      </c>
      <c r="E309" s="950">
        <v>28</v>
      </c>
      <c r="F309" s="644">
        <v>1974</v>
      </c>
      <c r="G309" s="948" t="s">
        <v>148</v>
      </c>
      <c r="H309" s="645" t="s">
        <v>150</v>
      </c>
      <c r="I309" s="951">
        <v>20</v>
      </c>
      <c r="J309" s="951">
        <v>1</v>
      </c>
      <c r="K309" s="952">
        <f t="shared" si="52"/>
        <v>1.1363636363636364E-2</v>
      </c>
      <c r="L309" s="644">
        <f t="shared" si="55"/>
        <v>22</v>
      </c>
      <c r="M309" s="935">
        <v>0.93055555555555547</v>
      </c>
      <c r="N309" s="936">
        <f t="shared" si="46"/>
        <v>0.93055555555555547</v>
      </c>
      <c r="O309" s="725"/>
      <c r="P309" s="725">
        <f t="shared" si="47"/>
        <v>-0.93055555555555547</v>
      </c>
      <c r="Q309" s="622"/>
      <c r="R309" s="37"/>
      <c r="S309" s="37" t="str">
        <f t="shared" si="48"/>
        <v>CollingsworthF1</v>
      </c>
      <c r="T309" s="37" t="str">
        <f t="shared" si="49"/>
        <v>1974F1</v>
      </c>
      <c r="U309" s="429">
        <v>20</v>
      </c>
      <c r="V309" s="1029">
        <v>1</v>
      </c>
      <c r="W309" s="598">
        <v>0.01</v>
      </c>
      <c r="X309" s="429"/>
      <c r="Y309" s="37" t="str">
        <f t="shared" si="50"/>
        <v>F120</v>
      </c>
      <c r="Z309" s="37" t="str">
        <f t="shared" si="51"/>
        <v>F11</v>
      </c>
      <c r="AA309" s="37" t="str">
        <f t="shared" si="53"/>
        <v>F10.01</v>
      </c>
      <c r="AB309" s="498" t="str">
        <f t="shared" si="45"/>
        <v>F122</v>
      </c>
      <c r="AC309" s="572"/>
      <c r="AD309" s="572"/>
      <c r="AE309" s="572"/>
      <c r="AF309" s="572"/>
    </row>
    <row r="310" spans="1:32">
      <c r="A310" s="947">
        <f t="shared" si="54"/>
        <v>303</v>
      </c>
      <c r="B310" s="948">
        <v>6</v>
      </c>
      <c r="C310" s="949">
        <v>27173</v>
      </c>
      <c r="D310" s="949" t="s">
        <v>177</v>
      </c>
      <c r="E310" s="950">
        <v>24</v>
      </c>
      <c r="F310" s="644">
        <v>1974</v>
      </c>
      <c r="G310" s="948" t="s">
        <v>144</v>
      </c>
      <c r="H310" s="645" t="s">
        <v>150</v>
      </c>
      <c r="I310" s="951">
        <v>30</v>
      </c>
      <c r="J310" s="951">
        <v>3</v>
      </c>
      <c r="K310" s="952">
        <f t="shared" si="52"/>
        <v>5.1136363636363633E-2</v>
      </c>
      <c r="L310" s="644">
        <f t="shared" si="55"/>
        <v>20</v>
      </c>
      <c r="M310" s="935">
        <v>0.87152777777777779</v>
      </c>
      <c r="N310" s="936">
        <f t="shared" si="46"/>
        <v>0.87152777777777779</v>
      </c>
      <c r="O310" s="725"/>
      <c r="P310" s="725">
        <f t="shared" si="47"/>
        <v>-0.87152777777777779</v>
      </c>
      <c r="Q310" s="622"/>
      <c r="R310" s="37"/>
      <c r="S310" s="37" t="str">
        <f t="shared" si="48"/>
        <v>Deaf SmithF1</v>
      </c>
      <c r="T310" s="37" t="str">
        <f t="shared" si="49"/>
        <v>1974F1</v>
      </c>
      <c r="U310" s="429">
        <v>20</v>
      </c>
      <c r="V310" s="1029">
        <v>2</v>
      </c>
      <c r="W310" s="598">
        <v>0.05</v>
      </c>
      <c r="X310" s="429"/>
      <c r="Y310" s="37" t="str">
        <f t="shared" si="50"/>
        <v>F120</v>
      </c>
      <c r="Z310" s="37" t="str">
        <f t="shared" si="51"/>
        <v>F12</v>
      </c>
      <c r="AA310" s="37" t="str">
        <f t="shared" si="53"/>
        <v>F10.05</v>
      </c>
      <c r="AB310" s="498" t="str">
        <f t="shared" si="45"/>
        <v>F120</v>
      </c>
      <c r="AC310" s="572"/>
      <c r="AD310" s="572"/>
      <c r="AE310" s="572"/>
      <c r="AF310" s="572"/>
    </row>
    <row r="311" spans="1:32">
      <c r="A311" s="947">
        <f t="shared" si="54"/>
        <v>304</v>
      </c>
      <c r="B311" s="948">
        <v>7</v>
      </c>
      <c r="C311" s="949">
        <v>27183</v>
      </c>
      <c r="D311" s="949" t="s">
        <v>178</v>
      </c>
      <c r="E311" s="950">
        <v>3</v>
      </c>
      <c r="F311" s="644">
        <v>1974</v>
      </c>
      <c r="G311" s="948" t="s">
        <v>135</v>
      </c>
      <c r="H311" s="645" t="s">
        <v>149</v>
      </c>
      <c r="I311" s="951">
        <v>30</v>
      </c>
      <c r="J311" s="951">
        <v>0.5</v>
      </c>
      <c r="K311" s="952">
        <f t="shared" si="52"/>
        <v>8.5227272727272721E-3</v>
      </c>
      <c r="L311" s="644">
        <f t="shared" si="55"/>
        <v>18</v>
      </c>
      <c r="M311" s="935">
        <v>0.77083333333333337</v>
      </c>
      <c r="N311" s="936">
        <f t="shared" si="46"/>
        <v>0.77083333333333337</v>
      </c>
      <c r="O311" s="725"/>
      <c r="P311" s="725">
        <f t="shared" si="47"/>
        <v>-0.77083333333333337</v>
      </c>
      <c r="Q311" s="622"/>
      <c r="R311" s="37"/>
      <c r="S311" s="37" t="str">
        <f t="shared" si="48"/>
        <v>MooreF0</v>
      </c>
      <c r="T311" s="37" t="str">
        <f t="shared" si="49"/>
        <v>1974F0</v>
      </c>
      <c r="U311" s="429">
        <v>20</v>
      </c>
      <c r="V311" s="1029">
        <v>0.5</v>
      </c>
      <c r="W311" s="598">
        <v>5.0000000000000001E-3</v>
      </c>
      <c r="X311" s="429"/>
      <c r="Y311" s="37" t="str">
        <f t="shared" si="50"/>
        <v>F020</v>
      </c>
      <c r="Z311" s="37" t="str">
        <f t="shared" si="51"/>
        <v>F00.5</v>
      </c>
      <c r="AA311" s="37" t="str">
        <f t="shared" si="53"/>
        <v>F00.005</v>
      </c>
      <c r="AB311" s="498" t="str">
        <f t="shared" si="45"/>
        <v>F018</v>
      </c>
      <c r="AC311" s="572"/>
      <c r="AD311" s="572"/>
      <c r="AE311" s="572"/>
      <c r="AF311" s="572"/>
    </row>
    <row r="312" spans="1:32">
      <c r="A312" s="947">
        <f t="shared" si="54"/>
        <v>305</v>
      </c>
      <c r="B312" s="948">
        <v>8</v>
      </c>
      <c r="C312" s="949">
        <v>27187</v>
      </c>
      <c r="D312" s="949" t="s">
        <v>178</v>
      </c>
      <c r="E312" s="950">
        <v>7</v>
      </c>
      <c r="F312" s="644">
        <v>1974</v>
      </c>
      <c r="G312" s="948" t="s">
        <v>140</v>
      </c>
      <c r="H312" s="645" t="s">
        <v>150</v>
      </c>
      <c r="I312" s="951">
        <v>200</v>
      </c>
      <c r="J312" s="951">
        <v>4.7</v>
      </c>
      <c r="K312" s="952">
        <f t="shared" si="52"/>
        <v>0.53409090909090906</v>
      </c>
      <c r="L312" s="644">
        <f t="shared" si="55"/>
        <v>18</v>
      </c>
      <c r="M312" s="935">
        <v>0.78472222222222221</v>
      </c>
      <c r="N312" s="936">
        <f t="shared" si="46"/>
        <v>0.78472222222222221</v>
      </c>
      <c r="O312" s="725"/>
      <c r="P312" s="725">
        <f t="shared" si="47"/>
        <v>-0.78472222222222221</v>
      </c>
      <c r="Q312" s="622"/>
      <c r="R312" s="37"/>
      <c r="S312" s="37" t="str">
        <f t="shared" si="48"/>
        <v>PotterF1</v>
      </c>
      <c r="T312" s="37" t="str">
        <f t="shared" si="49"/>
        <v>1974F1</v>
      </c>
      <c r="U312" s="429">
        <v>200</v>
      </c>
      <c r="V312" s="1029">
        <v>2</v>
      </c>
      <c r="W312" s="598">
        <v>0.5</v>
      </c>
      <c r="X312" s="429"/>
      <c r="Y312" s="37" t="str">
        <f t="shared" si="50"/>
        <v>F1200</v>
      </c>
      <c r="Z312" s="37" t="str">
        <f t="shared" si="51"/>
        <v>F12</v>
      </c>
      <c r="AA312" s="37" t="str">
        <f t="shared" si="53"/>
        <v>F10.5</v>
      </c>
      <c r="AB312" s="498" t="str">
        <f t="shared" si="45"/>
        <v>F118</v>
      </c>
      <c r="AC312" s="572"/>
      <c r="AD312" s="572"/>
      <c r="AE312" s="572"/>
      <c r="AF312" s="572"/>
    </row>
    <row r="313" spans="1:32">
      <c r="A313" s="947">
        <f t="shared" si="54"/>
        <v>306</v>
      </c>
      <c r="B313" s="948">
        <v>9</v>
      </c>
      <c r="C313" s="949">
        <v>27191</v>
      </c>
      <c r="D313" s="949" t="s">
        <v>178</v>
      </c>
      <c r="E313" s="950">
        <v>11</v>
      </c>
      <c r="F313" s="644">
        <v>1974</v>
      </c>
      <c r="G313" s="948" t="s">
        <v>147</v>
      </c>
      <c r="H313" s="645" t="s">
        <v>149</v>
      </c>
      <c r="I313" s="951">
        <v>17</v>
      </c>
      <c r="J313" s="951">
        <v>0.5</v>
      </c>
      <c r="K313" s="952">
        <f t="shared" si="52"/>
        <v>4.8295454545454544E-3</v>
      </c>
      <c r="L313" s="644">
        <f t="shared" si="55"/>
        <v>14</v>
      </c>
      <c r="M313" s="935">
        <v>0.6069444444444444</v>
      </c>
      <c r="N313" s="936">
        <f t="shared" si="46"/>
        <v>0.6069444444444444</v>
      </c>
      <c r="O313" s="725"/>
      <c r="P313" s="725">
        <f t="shared" si="47"/>
        <v>-0.6069444444444444</v>
      </c>
      <c r="Q313" s="622"/>
      <c r="R313" s="36"/>
      <c r="S313" s="37" t="str">
        <f t="shared" si="48"/>
        <v>DonleyF0</v>
      </c>
      <c r="T313" s="37" t="str">
        <f t="shared" si="49"/>
        <v>1974F0</v>
      </c>
      <c r="U313" s="429">
        <v>10</v>
      </c>
      <c r="V313" s="1029">
        <v>0.5</v>
      </c>
      <c r="W313" s="598">
        <v>5.0000000000000001E-3</v>
      </c>
      <c r="X313" s="429"/>
      <c r="Y313" s="37" t="str">
        <f t="shared" si="50"/>
        <v>F010</v>
      </c>
      <c r="Z313" s="37" t="str">
        <f t="shared" si="51"/>
        <v>F00.5</v>
      </c>
      <c r="AA313" s="37" t="str">
        <f t="shared" si="53"/>
        <v>F00.005</v>
      </c>
      <c r="AB313" s="498" t="str">
        <f t="shared" si="45"/>
        <v>F014</v>
      </c>
      <c r="AC313" s="572"/>
      <c r="AD313" s="572"/>
      <c r="AE313" s="572"/>
      <c r="AF313" s="572"/>
    </row>
    <row r="314" spans="1:32">
      <c r="A314" s="947">
        <f t="shared" si="54"/>
        <v>307</v>
      </c>
      <c r="B314" s="948">
        <v>10</v>
      </c>
      <c r="C314" s="949">
        <v>27193</v>
      </c>
      <c r="D314" s="949" t="s">
        <v>178</v>
      </c>
      <c r="E314" s="950">
        <v>13</v>
      </c>
      <c r="F314" s="644">
        <v>1974</v>
      </c>
      <c r="G314" s="948" t="s">
        <v>139</v>
      </c>
      <c r="H314" s="645" t="s">
        <v>149</v>
      </c>
      <c r="I314" s="951">
        <v>10</v>
      </c>
      <c r="J314" s="951">
        <v>0.5</v>
      </c>
      <c r="K314" s="952">
        <f t="shared" si="52"/>
        <v>2.840909090909091E-3</v>
      </c>
      <c r="L314" s="644">
        <f t="shared" si="55"/>
        <v>16</v>
      </c>
      <c r="M314" s="935">
        <v>0.66666666666666663</v>
      </c>
      <c r="N314" s="936">
        <f t="shared" si="46"/>
        <v>0.66666666666666663</v>
      </c>
      <c r="O314" s="725"/>
      <c r="P314" s="725">
        <f t="shared" si="47"/>
        <v>-0.66666666666666663</v>
      </c>
      <c r="Q314" s="622"/>
      <c r="R314" s="36"/>
      <c r="S314" s="37" t="str">
        <f t="shared" si="48"/>
        <v>OldhamF0</v>
      </c>
      <c r="T314" s="37" t="str">
        <f t="shared" si="49"/>
        <v>1974F0</v>
      </c>
      <c r="U314" s="429">
        <v>10</v>
      </c>
      <c r="V314" s="1029">
        <v>0.5</v>
      </c>
      <c r="W314" s="598">
        <v>2E-3</v>
      </c>
      <c r="X314" s="429"/>
      <c r="Y314" s="37" t="str">
        <f t="shared" si="50"/>
        <v>F010</v>
      </c>
      <c r="Z314" s="37" t="str">
        <f t="shared" si="51"/>
        <v>F00.5</v>
      </c>
      <c r="AA314" s="37" t="str">
        <f t="shared" si="53"/>
        <v>F00.002</v>
      </c>
      <c r="AB314" s="498" t="str">
        <f t="shared" si="45"/>
        <v>F016</v>
      </c>
      <c r="AC314" s="572"/>
      <c r="AD314" s="572"/>
      <c r="AE314" s="572"/>
      <c r="AF314" s="572"/>
    </row>
    <row r="315" spans="1:32">
      <c r="A315" s="947">
        <f t="shared" si="54"/>
        <v>308</v>
      </c>
      <c r="B315" s="948">
        <v>11</v>
      </c>
      <c r="C315" s="949">
        <v>27201</v>
      </c>
      <c r="D315" s="949" t="s">
        <v>178</v>
      </c>
      <c r="E315" s="950">
        <v>21</v>
      </c>
      <c r="F315" s="644">
        <v>1974</v>
      </c>
      <c r="G315" s="948" t="s">
        <v>130</v>
      </c>
      <c r="H315" s="645" t="s">
        <v>149</v>
      </c>
      <c r="I315" s="951">
        <v>20</v>
      </c>
      <c r="J315" s="951">
        <v>0.5</v>
      </c>
      <c r="K315" s="952">
        <f t="shared" si="52"/>
        <v>5.681818181818182E-3</v>
      </c>
      <c r="L315" s="644">
        <f t="shared" si="55"/>
        <v>17</v>
      </c>
      <c r="M315" s="935">
        <v>0.74097222222222225</v>
      </c>
      <c r="N315" s="936">
        <f t="shared" si="46"/>
        <v>0.74097222222222225</v>
      </c>
      <c r="O315" s="725"/>
      <c r="P315" s="725">
        <f t="shared" si="47"/>
        <v>-0.74097222222222225</v>
      </c>
      <c r="Q315" s="622"/>
      <c r="R315" s="36"/>
      <c r="S315" s="37" t="str">
        <f t="shared" si="48"/>
        <v>ShermanF0</v>
      </c>
      <c r="T315" s="37" t="str">
        <f t="shared" si="49"/>
        <v>1974F0</v>
      </c>
      <c r="U315" s="429">
        <v>20</v>
      </c>
      <c r="V315" s="1029">
        <v>0.5</v>
      </c>
      <c r="W315" s="598">
        <v>5.0000000000000001E-3</v>
      </c>
      <c r="X315" s="429"/>
      <c r="Y315" s="37" t="str">
        <f t="shared" si="50"/>
        <v>F020</v>
      </c>
      <c r="Z315" s="37" t="str">
        <f t="shared" si="51"/>
        <v>F00.5</v>
      </c>
      <c r="AA315" s="37" t="str">
        <f t="shared" si="53"/>
        <v>F00.005</v>
      </c>
      <c r="AB315" s="498" t="str">
        <f t="shared" si="45"/>
        <v>F017</v>
      </c>
      <c r="AC315" s="572"/>
      <c r="AD315" s="572"/>
      <c r="AE315" s="572"/>
      <c r="AF315" s="572"/>
    </row>
    <row r="316" spans="1:32">
      <c r="A316" s="947">
        <f t="shared" si="54"/>
        <v>309</v>
      </c>
      <c r="B316" s="948">
        <v>12</v>
      </c>
      <c r="C316" s="949">
        <v>27248</v>
      </c>
      <c r="D316" s="949" t="s">
        <v>180</v>
      </c>
      <c r="E316" s="950">
        <v>7</v>
      </c>
      <c r="F316" s="644">
        <v>1974</v>
      </c>
      <c r="G316" s="948" t="s">
        <v>146</v>
      </c>
      <c r="H316" s="645" t="s">
        <v>149</v>
      </c>
      <c r="I316" s="951">
        <v>20</v>
      </c>
      <c r="J316" s="951">
        <v>0.5</v>
      </c>
      <c r="K316" s="952">
        <f t="shared" si="52"/>
        <v>5.681818181818182E-3</v>
      </c>
      <c r="L316" s="644">
        <f t="shared" si="55"/>
        <v>18</v>
      </c>
      <c r="M316" s="935">
        <v>0.78125</v>
      </c>
      <c r="N316" s="936">
        <f t="shared" si="46"/>
        <v>0.78125</v>
      </c>
      <c r="O316" s="725"/>
      <c r="P316" s="725">
        <f t="shared" si="47"/>
        <v>-0.78125</v>
      </c>
      <c r="Q316" s="622"/>
      <c r="R316" s="36"/>
      <c r="S316" s="37" t="str">
        <f t="shared" si="48"/>
        <v>ArmstrongF0</v>
      </c>
      <c r="T316" s="37" t="str">
        <f t="shared" si="49"/>
        <v>1974F0</v>
      </c>
      <c r="U316" s="429">
        <v>20</v>
      </c>
      <c r="V316" s="1029">
        <v>0.5</v>
      </c>
      <c r="W316" s="598">
        <v>5.0000000000000001E-3</v>
      </c>
      <c r="X316" s="429"/>
      <c r="Y316" s="37" t="str">
        <f t="shared" si="50"/>
        <v>F020</v>
      </c>
      <c r="Z316" s="37" t="str">
        <f t="shared" si="51"/>
        <v>F00.5</v>
      </c>
      <c r="AA316" s="37" t="str">
        <f t="shared" si="53"/>
        <v>F00.005</v>
      </c>
      <c r="AB316" s="498" t="str">
        <f t="shared" si="45"/>
        <v>F018</v>
      </c>
      <c r="AC316" s="572"/>
      <c r="AD316" s="572"/>
      <c r="AE316" s="572"/>
      <c r="AF316" s="572"/>
    </row>
    <row r="317" spans="1:32">
      <c r="A317" s="947">
        <f t="shared" si="54"/>
        <v>310</v>
      </c>
      <c r="B317" s="948">
        <v>13</v>
      </c>
      <c r="C317" s="949">
        <v>27248</v>
      </c>
      <c r="D317" s="949" t="s">
        <v>180</v>
      </c>
      <c r="E317" s="950">
        <v>7</v>
      </c>
      <c r="F317" s="644">
        <v>1974</v>
      </c>
      <c r="G317" s="948" t="s">
        <v>141</v>
      </c>
      <c r="H317" s="645" t="s">
        <v>149</v>
      </c>
      <c r="I317" s="951">
        <v>17</v>
      </c>
      <c r="J317" s="951">
        <v>0.3</v>
      </c>
      <c r="K317" s="952">
        <f t="shared" si="52"/>
        <v>2.8977272727272727E-3</v>
      </c>
      <c r="L317" s="644">
        <f t="shared" si="55"/>
        <v>21</v>
      </c>
      <c r="M317" s="935">
        <v>0.88888888888888884</v>
      </c>
      <c r="N317" s="936">
        <f t="shared" si="46"/>
        <v>0.88888888888888884</v>
      </c>
      <c r="O317" s="725"/>
      <c r="P317" s="725">
        <f t="shared" si="47"/>
        <v>-0.88888888888888884</v>
      </c>
      <c r="Q317" s="622"/>
      <c r="R317" s="36"/>
      <c r="S317" s="37" t="str">
        <f t="shared" si="48"/>
        <v>CarsonF0</v>
      </c>
      <c r="T317" s="37" t="str">
        <f t="shared" si="49"/>
        <v>1974F0</v>
      </c>
      <c r="U317" s="429">
        <v>10</v>
      </c>
      <c r="V317" s="1029">
        <v>0.2</v>
      </c>
      <c r="W317" s="598">
        <v>2E-3</v>
      </c>
      <c r="X317" s="429"/>
      <c r="Y317" s="37" t="str">
        <f t="shared" si="50"/>
        <v>F010</v>
      </c>
      <c r="Z317" s="37" t="str">
        <f t="shared" si="51"/>
        <v>F00.2</v>
      </c>
      <c r="AA317" s="37" t="str">
        <f t="shared" si="53"/>
        <v>F00.002</v>
      </c>
      <c r="AB317" s="498" t="str">
        <f t="shared" si="45"/>
        <v>F021</v>
      </c>
      <c r="AC317" s="572"/>
      <c r="AD317" s="572"/>
      <c r="AE317" s="572"/>
      <c r="AF317" s="572"/>
    </row>
    <row r="318" spans="1:32">
      <c r="A318" s="947">
        <f t="shared" si="54"/>
        <v>311</v>
      </c>
      <c r="B318" s="948">
        <v>1</v>
      </c>
      <c r="C318" s="949">
        <v>27479</v>
      </c>
      <c r="D318" s="949" t="s">
        <v>175</v>
      </c>
      <c r="E318" s="950">
        <v>26</v>
      </c>
      <c r="F318" s="644">
        <v>1975</v>
      </c>
      <c r="G318" s="948" t="s">
        <v>142</v>
      </c>
      <c r="H318" s="645" t="s">
        <v>152</v>
      </c>
      <c r="I318" s="951">
        <v>220</v>
      </c>
      <c r="J318" s="951">
        <v>1</v>
      </c>
      <c r="K318" s="952">
        <f t="shared" si="52"/>
        <v>0.125</v>
      </c>
      <c r="L318" s="644">
        <f t="shared" si="55"/>
        <v>23</v>
      </c>
      <c r="M318" s="935">
        <v>0.99305555555555547</v>
      </c>
      <c r="N318" s="936">
        <f t="shared" si="46"/>
        <v>0.99305555555555547</v>
      </c>
      <c r="O318" s="725"/>
      <c r="P318" s="725">
        <f t="shared" si="47"/>
        <v>-0.99305555555555547</v>
      </c>
      <c r="Q318" s="622"/>
      <c r="R318" s="37"/>
      <c r="S318" s="37" t="str">
        <f t="shared" si="48"/>
        <v>GrayF3</v>
      </c>
      <c r="T318" s="37" t="str">
        <f t="shared" si="49"/>
        <v>1975F3</v>
      </c>
      <c r="U318" s="429">
        <v>200</v>
      </c>
      <c r="V318" s="1029">
        <v>1</v>
      </c>
      <c r="W318" s="598">
        <v>0.1</v>
      </c>
      <c r="X318" s="429"/>
      <c r="Y318" s="37" t="str">
        <f t="shared" si="50"/>
        <v>F3200</v>
      </c>
      <c r="Z318" s="37" t="str">
        <f t="shared" si="51"/>
        <v>F31</v>
      </c>
      <c r="AA318" s="37" t="str">
        <f t="shared" si="53"/>
        <v>F30.1</v>
      </c>
      <c r="AB318" s="498" t="str">
        <f t="shared" si="45"/>
        <v>F323</v>
      </c>
      <c r="AC318" s="572"/>
      <c r="AD318" s="572"/>
      <c r="AE318" s="572"/>
      <c r="AF318" s="572"/>
    </row>
    <row r="319" spans="1:32">
      <c r="A319" s="947">
        <f t="shared" si="54"/>
        <v>312</v>
      </c>
      <c r="B319" s="948">
        <v>2</v>
      </c>
      <c r="C319" s="949">
        <v>27480</v>
      </c>
      <c r="D319" s="949" t="s">
        <v>175</v>
      </c>
      <c r="E319" s="950">
        <v>27</v>
      </c>
      <c r="F319" s="644">
        <v>1975</v>
      </c>
      <c r="G319" s="948" t="s">
        <v>142</v>
      </c>
      <c r="H319" s="645" t="s">
        <v>150</v>
      </c>
      <c r="I319" s="951">
        <v>17</v>
      </c>
      <c r="J319" s="951">
        <v>0.3</v>
      </c>
      <c r="K319" s="952">
        <f t="shared" si="52"/>
        <v>2.8977272727272727E-3</v>
      </c>
      <c r="L319" s="644">
        <f t="shared" si="55"/>
        <v>0</v>
      </c>
      <c r="M319" s="935">
        <v>6.9444444444444447E-4</v>
      </c>
      <c r="N319" s="936">
        <f t="shared" si="46"/>
        <v>6.9444444444444447E-4</v>
      </c>
      <c r="O319" s="725"/>
      <c r="P319" s="725">
        <f t="shared" si="47"/>
        <v>-6.9444444444444447E-4</v>
      </c>
      <c r="Q319" s="622"/>
      <c r="R319" s="37"/>
      <c r="S319" s="37" t="str">
        <f t="shared" si="48"/>
        <v>GrayF1</v>
      </c>
      <c r="T319" s="37" t="str">
        <f t="shared" si="49"/>
        <v>1975F1</v>
      </c>
      <c r="U319" s="429">
        <v>10</v>
      </c>
      <c r="V319" s="1029">
        <v>0.2</v>
      </c>
      <c r="W319" s="598">
        <v>2E-3</v>
      </c>
      <c r="X319" s="429"/>
      <c r="Y319" s="37" t="str">
        <f t="shared" si="50"/>
        <v>F110</v>
      </c>
      <c r="Z319" s="37" t="str">
        <f t="shared" si="51"/>
        <v>F10.2</v>
      </c>
      <c r="AA319" s="37" t="str">
        <f t="shared" si="53"/>
        <v>F10.002</v>
      </c>
      <c r="AB319" s="498" t="str">
        <f t="shared" si="45"/>
        <v>F10</v>
      </c>
      <c r="AC319" s="572"/>
      <c r="AD319" s="572"/>
      <c r="AE319" s="572"/>
      <c r="AF319" s="572"/>
    </row>
    <row r="320" spans="1:32">
      <c r="A320" s="947">
        <f t="shared" si="54"/>
        <v>313</v>
      </c>
      <c r="B320" s="948">
        <v>3</v>
      </c>
      <c r="C320" s="949">
        <v>27480</v>
      </c>
      <c r="D320" s="949" t="s">
        <v>175</v>
      </c>
      <c r="E320" s="950">
        <v>27</v>
      </c>
      <c r="F320" s="644">
        <v>1975</v>
      </c>
      <c r="G320" s="948" t="s">
        <v>133</v>
      </c>
      <c r="H320" s="645" t="s">
        <v>150</v>
      </c>
      <c r="I320" s="951">
        <v>20</v>
      </c>
      <c r="J320" s="951">
        <v>0.1</v>
      </c>
      <c r="K320" s="952">
        <f t="shared" si="52"/>
        <v>1.1363636363636365E-3</v>
      </c>
      <c r="L320" s="644">
        <f t="shared" si="55"/>
        <v>1</v>
      </c>
      <c r="M320" s="935">
        <v>4.1666666666666664E-2</v>
      </c>
      <c r="N320" s="936">
        <f t="shared" si="46"/>
        <v>4.1666666666666664E-2</v>
      </c>
      <c r="O320" s="725"/>
      <c r="P320" s="725">
        <f t="shared" si="47"/>
        <v>-4.1666666666666664E-2</v>
      </c>
      <c r="Q320" s="622"/>
      <c r="R320" s="37"/>
      <c r="S320" s="37" t="str">
        <f t="shared" si="48"/>
        <v>LipscombF1</v>
      </c>
      <c r="T320" s="37" t="str">
        <f t="shared" si="49"/>
        <v>1975F1</v>
      </c>
      <c r="U320" s="429">
        <v>20</v>
      </c>
      <c r="V320" s="1029">
        <v>0.1</v>
      </c>
      <c r="W320" s="598">
        <v>1E-3</v>
      </c>
      <c r="X320" s="429"/>
      <c r="Y320" s="37" t="str">
        <f t="shared" si="50"/>
        <v>F120</v>
      </c>
      <c r="Z320" s="37" t="str">
        <f t="shared" si="51"/>
        <v>F10.1</v>
      </c>
      <c r="AA320" s="37" t="str">
        <f t="shared" si="53"/>
        <v>F10.001</v>
      </c>
      <c r="AB320" s="498" t="str">
        <f t="shared" si="45"/>
        <v>F11</v>
      </c>
      <c r="AC320" s="572"/>
      <c r="AD320" s="572"/>
      <c r="AE320" s="572"/>
      <c r="AF320" s="572"/>
    </row>
    <row r="321" spans="1:32">
      <c r="A321" s="947">
        <f t="shared" si="54"/>
        <v>314</v>
      </c>
      <c r="B321" s="948">
        <v>4</v>
      </c>
      <c r="C321" s="949">
        <v>27524</v>
      </c>
      <c r="D321" s="949" t="s">
        <v>177</v>
      </c>
      <c r="E321" s="950">
        <v>10</v>
      </c>
      <c r="F321" s="644">
        <v>1975</v>
      </c>
      <c r="G321" s="948" t="s">
        <v>139</v>
      </c>
      <c r="H321" s="645" t="s">
        <v>149</v>
      </c>
      <c r="I321" s="951">
        <v>30</v>
      </c>
      <c r="J321" s="951">
        <v>1</v>
      </c>
      <c r="K321" s="952">
        <f t="shared" si="52"/>
        <v>1.7045454545454544E-2</v>
      </c>
      <c r="L321" s="644">
        <f t="shared" si="55"/>
        <v>19</v>
      </c>
      <c r="M321" s="935">
        <v>0.80555555555555547</v>
      </c>
      <c r="N321" s="936">
        <f t="shared" si="46"/>
        <v>0.80555555555555547</v>
      </c>
      <c r="O321" s="725"/>
      <c r="P321" s="725">
        <f t="shared" si="47"/>
        <v>-0.80555555555555547</v>
      </c>
      <c r="Q321" s="622"/>
      <c r="R321" s="37"/>
      <c r="S321" s="37" t="str">
        <f t="shared" si="48"/>
        <v>OldhamF0</v>
      </c>
      <c r="T321" s="37" t="str">
        <f t="shared" si="49"/>
        <v>1975F0</v>
      </c>
      <c r="U321" s="429">
        <v>20</v>
      </c>
      <c r="V321" s="1029">
        <v>1</v>
      </c>
      <c r="W321" s="598">
        <v>0.01</v>
      </c>
      <c r="X321" s="429"/>
      <c r="Y321" s="37" t="str">
        <f t="shared" si="50"/>
        <v>F020</v>
      </c>
      <c r="Z321" s="37" t="str">
        <f t="shared" si="51"/>
        <v>F01</v>
      </c>
      <c r="AA321" s="37" t="str">
        <f t="shared" si="53"/>
        <v>F00.01</v>
      </c>
      <c r="AB321" s="498" t="str">
        <f t="shared" si="45"/>
        <v>F019</v>
      </c>
      <c r="AC321" s="572"/>
      <c r="AD321" s="572"/>
      <c r="AE321" s="572"/>
      <c r="AF321" s="572"/>
    </row>
    <row r="322" spans="1:32">
      <c r="A322" s="947">
        <f t="shared" si="54"/>
        <v>315</v>
      </c>
      <c r="B322" s="948">
        <v>5</v>
      </c>
      <c r="C322" s="949">
        <v>27526</v>
      </c>
      <c r="D322" s="949" t="s">
        <v>177</v>
      </c>
      <c r="E322" s="950">
        <v>12</v>
      </c>
      <c r="F322" s="644">
        <v>1975</v>
      </c>
      <c r="G322" s="948" t="s">
        <v>134</v>
      </c>
      <c r="H322" s="645" t="s">
        <v>149</v>
      </c>
      <c r="I322" s="951">
        <v>60</v>
      </c>
      <c r="J322" s="951">
        <v>3.6</v>
      </c>
      <c r="K322" s="952">
        <f t="shared" si="52"/>
        <v>0.12272727272727273</v>
      </c>
      <c r="L322" s="644">
        <f t="shared" si="55"/>
        <v>17</v>
      </c>
      <c r="M322" s="935">
        <v>0.72222222222222221</v>
      </c>
      <c r="N322" s="936">
        <f t="shared" si="46"/>
        <v>0.72222222222222221</v>
      </c>
      <c r="O322" s="725"/>
      <c r="P322" s="725">
        <f t="shared" si="47"/>
        <v>-0.72222222222222221</v>
      </c>
      <c r="Q322" s="622"/>
      <c r="R322" s="37"/>
      <c r="S322" s="37" t="str">
        <f t="shared" si="48"/>
        <v>HartleyF0</v>
      </c>
      <c r="T322" s="37" t="str">
        <f t="shared" si="49"/>
        <v>1975F0</v>
      </c>
      <c r="U322" s="429">
        <v>50</v>
      </c>
      <c r="V322" s="1029">
        <v>2</v>
      </c>
      <c r="W322" s="598">
        <v>0.1</v>
      </c>
      <c r="X322" s="429"/>
      <c r="Y322" s="37" t="str">
        <f t="shared" si="50"/>
        <v>F050</v>
      </c>
      <c r="Z322" s="37" t="str">
        <f t="shared" si="51"/>
        <v>F02</v>
      </c>
      <c r="AA322" s="37" t="str">
        <f t="shared" si="53"/>
        <v>F00.1</v>
      </c>
      <c r="AB322" s="498" t="str">
        <f t="shared" si="45"/>
        <v>F017</v>
      </c>
      <c r="AC322" s="572"/>
      <c r="AD322" s="572"/>
      <c r="AE322" s="572"/>
      <c r="AF322" s="572"/>
    </row>
    <row r="323" spans="1:32">
      <c r="A323" s="947">
        <f t="shared" si="54"/>
        <v>316</v>
      </c>
      <c r="B323" s="948">
        <v>6</v>
      </c>
      <c r="C323" s="949">
        <v>27526</v>
      </c>
      <c r="D323" s="949" t="s">
        <v>177</v>
      </c>
      <c r="E323" s="950">
        <v>12</v>
      </c>
      <c r="F323" s="644">
        <v>1975</v>
      </c>
      <c r="G323" s="948" t="s">
        <v>141</v>
      </c>
      <c r="H323" s="645" t="s">
        <v>149</v>
      </c>
      <c r="I323" s="951">
        <v>30</v>
      </c>
      <c r="J323" s="951">
        <v>1</v>
      </c>
      <c r="K323" s="952">
        <f t="shared" si="52"/>
        <v>1.7045454545454544E-2</v>
      </c>
      <c r="L323" s="644">
        <f t="shared" si="55"/>
        <v>23</v>
      </c>
      <c r="M323" s="935">
        <v>0.97916666666666663</v>
      </c>
      <c r="N323" s="936">
        <f t="shared" si="46"/>
        <v>0.97916666666666663</v>
      </c>
      <c r="O323" s="725"/>
      <c r="P323" s="725">
        <f t="shared" si="47"/>
        <v>-0.97916666666666663</v>
      </c>
      <c r="Q323" s="622"/>
      <c r="R323" s="37"/>
      <c r="S323" s="37" t="str">
        <f t="shared" si="48"/>
        <v>CarsonF0</v>
      </c>
      <c r="T323" s="37" t="str">
        <f t="shared" si="49"/>
        <v>1975F0</v>
      </c>
      <c r="U323" s="429">
        <v>20</v>
      </c>
      <c r="V323" s="1029">
        <v>1</v>
      </c>
      <c r="W323" s="598">
        <v>0.01</v>
      </c>
      <c r="X323" s="429"/>
      <c r="Y323" s="37" t="str">
        <f t="shared" si="50"/>
        <v>F020</v>
      </c>
      <c r="Z323" s="37" t="str">
        <f t="shared" si="51"/>
        <v>F01</v>
      </c>
      <c r="AA323" s="37" t="str">
        <f t="shared" si="53"/>
        <v>F00.01</v>
      </c>
      <c r="AB323" s="498" t="str">
        <f t="shared" si="45"/>
        <v>F023</v>
      </c>
      <c r="AC323" s="572"/>
      <c r="AD323" s="572"/>
      <c r="AE323" s="572"/>
      <c r="AF323" s="572"/>
    </row>
    <row r="324" spans="1:32">
      <c r="A324" s="947">
        <f t="shared" si="54"/>
        <v>317</v>
      </c>
      <c r="B324" s="948">
        <v>7</v>
      </c>
      <c r="C324" s="949">
        <v>27526</v>
      </c>
      <c r="D324" s="949" t="s">
        <v>177</v>
      </c>
      <c r="E324" s="950">
        <v>12</v>
      </c>
      <c r="F324" s="644">
        <v>1975</v>
      </c>
      <c r="G324" s="948" t="s">
        <v>142</v>
      </c>
      <c r="H324" s="645" t="s">
        <v>149</v>
      </c>
      <c r="I324" s="951">
        <v>30</v>
      </c>
      <c r="J324" s="951">
        <v>0.5</v>
      </c>
      <c r="K324" s="952">
        <f t="shared" si="52"/>
        <v>8.5227272727272721E-3</v>
      </c>
      <c r="L324" s="644">
        <f t="shared" si="55"/>
        <v>23</v>
      </c>
      <c r="M324" s="935">
        <v>0.99791666666666667</v>
      </c>
      <c r="N324" s="936">
        <f t="shared" si="46"/>
        <v>0.99791666666666667</v>
      </c>
      <c r="O324" s="725"/>
      <c r="P324" s="725">
        <f t="shared" si="47"/>
        <v>-0.99791666666666667</v>
      </c>
      <c r="Q324" s="622"/>
      <c r="R324" s="37"/>
      <c r="S324" s="37" t="str">
        <f t="shared" si="48"/>
        <v>GrayF0</v>
      </c>
      <c r="T324" s="37" t="str">
        <f t="shared" si="49"/>
        <v>1975F0</v>
      </c>
      <c r="U324" s="429">
        <v>20</v>
      </c>
      <c r="V324" s="1029">
        <v>0.5</v>
      </c>
      <c r="W324" s="598">
        <v>5.0000000000000001E-3</v>
      </c>
      <c r="X324" s="429"/>
      <c r="Y324" s="37" t="str">
        <f t="shared" si="50"/>
        <v>F020</v>
      </c>
      <c r="Z324" s="37" t="str">
        <f t="shared" si="51"/>
        <v>F00.5</v>
      </c>
      <c r="AA324" s="37" t="str">
        <f t="shared" si="53"/>
        <v>F00.005</v>
      </c>
      <c r="AB324" s="498" t="str">
        <f t="shared" si="45"/>
        <v>F023</v>
      </c>
      <c r="AC324" s="572"/>
      <c r="AD324" s="572"/>
      <c r="AE324" s="572"/>
      <c r="AF324" s="572"/>
    </row>
    <row r="325" spans="1:32">
      <c r="A325" s="947">
        <f t="shared" si="54"/>
        <v>318</v>
      </c>
      <c r="B325" s="948">
        <v>8</v>
      </c>
      <c r="C325" s="949">
        <v>27536</v>
      </c>
      <c r="D325" s="949" t="s">
        <v>177</v>
      </c>
      <c r="E325" s="950">
        <v>22</v>
      </c>
      <c r="F325" s="644">
        <v>1975</v>
      </c>
      <c r="G325" s="948" t="s">
        <v>136</v>
      </c>
      <c r="H325" s="645" t="s">
        <v>149</v>
      </c>
      <c r="I325" s="951">
        <v>40</v>
      </c>
      <c r="J325" s="951">
        <v>2</v>
      </c>
      <c r="K325" s="952">
        <f t="shared" si="52"/>
        <v>4.5454545454545456E-2</v>
      </c>
      <c r="L325" s="644">
        <f t="shared" si="55"/>
        <v>19</v>
      </c>
      <c r="M325" s="935">
        <v>0.82291666666666663</v>
      </c>
      <c r="N325" s="936">
        <f t="shared" si="46"/>
        <v>0.82291666666666663</v>
      </c>
      <c r="O325" s="725"/>
      <c r="P325" s="725">
        <f t="shared" si="47"/>
        <v>-0.82291666666666663</v>
      </c>
      <c r="Q325" s="622"/>
      <c r="R325" s="37"/>
      <c r="S325" s="37" t="str">
        <f t="shared" si="48"/>
        <v>HutchinsonF0</v>
      </c>
      <c r="T325" s="37" t="str">
        <f t="shared" si="49"/>
        <v>1975F0</v>
      </c>
      <c r="U325" s="429">
        <v>20</v>
      </c>
      <c r="V325" s="1029">
        <v>2</v>
      </c>
      <c r="W325" s="598">
        <v>0.02</v>
      </c>
      <c r="X325" s="429"/>
      <c r="Y325" s="37" t="str">
        <f t="shared" si="50"/>
        <v>F020</v>
      </c>
      <c r="Z325" s="37" t="str">
        <f t="shared" si="51"/>
        <v>F02</v>
      </c>
      <c r="AA325" s="37" t="str">
        <f t="shared" si="53"/>
        <v>F00.02</v>
      </c>
      <c r="AB325" s="498" t="str">
        <f t="shared" si="45"/>
        <v>F019</v>
      </c>
      <c r="AC325" s="572"/>
      <c r="AD325" s="572"/>
      <c r="AE325" s="572"/>
      <c r="AF325" s="572"/>
    </row>
    <row r="326" spans="1:32">
      <c r="A326" s="947">
        <f t="shared" si="54"/>
        <v>319</v>
      </c>
      <c r="B326" s="948">
        <v>9</v>
      </c>
      <c r="C326" s="949">
        <v>27542</v>
      </c>
      <c r="D326" s="949" t="s">
        <v>177</v>
      </c>
      <c r="E326" s="950">
        <v>28</v>
      </c>
      <c r="F326" s="644">
        <v>1975</v>
      </c>
      <c r="G326" s="948" t="s">
        <v>146</v>
      </c>
      <c r="H326" s="645" t="s">
        <v>149</v>
      </c>
      <c r="I326" s="951">
        <v>50</v>
      </c>
      <c r="J326" s="951">
        <v>3</v>
      </c>
      <c r="K326" s="952">
        <f t="shared" si="52"/>
        <v>8.5227272727272721E-2</v>
      </c>
      <c r="L326" s="644">
        <f t="shared" si="55"/>
        <v>17</v>
      </c>
      <c r="M326" s="935">
        <v>0.73472222222222217</v>
      </c>
      <c r="N326" s="936">
        <f t="shared" si="46"/>
        <v>0.73472222222222217</v>
      </c>
      <c r="O326" s="725"/>
      <c r="P326" s="725">
        <f t="shared" si="47"/>
        <v>-0.73472222222222217</v>
      </c>
      <c r="Q326" s="622"/>
      <c r="R326" s="37"/>
      <c r="S326" s="37" t="str">
        <f t="shared" si="48"/>
        <v>ArmstrongF0</v>
      </c>
      <c r="T326" s="37" t="str">
        <f t="shared" si="49"/>
        <v>1975F0</v>
      </c>
      <c r="U326" s="429">
        <v>50</v>
      </c>
      <c r="V326" s="1029">
        <v>2</v>
      </c>
      <c r="W326" s="598">
        <v>0.05</v>
      </c>
      <c r="X326" s="429"/>
      <c r="Y326" s="37" t="str">
        <f t="shared" si="50"/>
        <v>F050</v>
      </c>
      <c r="Z326" s="37" t="str">
        <f t="shared" si="51"/>
        <v>F02</v>
      </c>
      <c r="AA326" s="37" t="str">
        <f t="shared" si="53"/>
        <v>F00.05</v>
      </c>
      <c r="AB326" s="498" t="str">
        <f t="shared" si="45"/>
        <v>F017</v>
      </c>
      <c r="AC326" s="572"/>
      <c r="AD326" s="572"/>
      <c r="AE326" s="572"/>
      <c r="AF326" s="572"/>
    </row>
    <row r="327" spans="1:32">
      <c r="A327" s="947">
        <f t="shared" si="54"/>
        <v>320</v>
      </c>
      <c r="B327" s="948">
        <v>10</v>
      </c>
      <c r="C327" s="949">
        <v>27542</v>
      </c>
      <c r="D327" s="949" t="s">
        <v>177</v>
      </c>
      <c r="E327" s="950">
        <v>28</v>
      </c>
      <c r="F327" s="644">
        <v>1975</v>
      </c>
      <c r="G327" s="948" t="s">
        <v>131</v>
      </c>
      <c r="H327" s="645" t="s">
        <v>149</v>
      </c>
      <c r="I327" s="951">
        <v>30</v>
      </c>
      <c r="J327" s="951">
        <v>0.5</v>
      </c>
      <c r="K327" s="952">
        <f t="shared" si="52"/>
        <v>8.5227272727272721E-3</v>
      </c>
      <c r="L327" s="644">
        <f t="shared" si="55"/>
        <v>18</v>
      </c>
      <c r="M327" s="935">
        <v>0.79027777777777775</v>
      </c>
      <c r="N327" s="936">
        <f t="shared" ref="N327:N390" si="56">+M327</f>
        <v>0.79027777777777775</v>
      </c>
      <c r="O327" s="725"/>
      <c r="P327" s="725">
        <f t="shared" si="47"/>
        <v>-0.79027777777777775</v>
      </c>
      <c r="Q327" s="622"/>
      <c r="R327" s="37"/>
      <c r="S327" s="37" t="str">
        <f t="shared" ref="S327:S390" si="57">CONCATENATE(G327,H327)</f>
        <v>HansfordF0</v>
      </c>
      <c r="T327" s="37" t="str">
        <f t="shared" si="49"/>
        <v>1975F0</v>
      </c>
      <c r="U327" s="429">
        <v>20</v>
      </c>
      <c r="V327" s="1029">
        <v>0.5</v>
      </c>
      <c r="W327" s="598">
        <v>5.0000000000000001E-3</v>
      </c>
      <c r="X327" s="429"/>
      <c r="Y327" s="37" t="str">
        <f t="shared" si="50"/>
        <v>F020</v>
      </c>
      <c r="Z327" s="37" t="str">
        <f t="shared" si="51"/>
        <v>F00.5</v>
      </c>
      <c r="AA327" s="37" t="str">
        <f t="shared" si="53"/>
        <v>F00.005</v>
      </c>
      <c r="AB327" s="498" t="str">
        <f t="shared" ref="AB327:AB390" si="58">CONCATENATE(H327,L327)</f>
        <v>F018</v>
      </c>
      <c r="AC327" s="572"/>
      <c r="AD327" s="572"/>
      <c r="AE327" s="572"/>
      <c r="AF327" s="572"/>
    </row>
    <row r="328" spans="1:32">
      <c r="A328" s="947">
        <f t="shared" si="54"/>
        <v>321</v>
      </c>
      <c r="B328" s="948">
        <v>11</v>
      </c>
      <c r="C328" s="949">
        <v>27542</v>
      </c>
      <c r="D328" s="949" t="s">
        <v>177</v>
      </c>
      <c r="E328" s="950">
        <v>28</v>
      </c>
      <c r="F328" s="644">
        <v>1975</v>
      </c>
      <c r="G328" s="948" t="s">
        <v>136</v>
      </c>
      <c r="H328" s="645" t="s">
        <v>149</v>
      </c>
      <c r="I328" s="951">
        <v>40</v>
      </c>
      <c r="J328" s="951">
        <v>1</v>
      </c>
      <c r="K328" s="952">
        <f t="shared" si="52"/>
        <v>2.2727272727272728E-2</v>
      </c>
      <c r="L328" s="644">
        <f t="shared" si="55"/>
        <v>19</v>
      </c>
      <c r="M328" s="935">
        <v>0.80902777777777779</v>
      </c>
      <c r="N328" s="936">
        <f t="shared" si="56"/>
        <v>0.80902777777777779</v>
      </c>
      <c r="O328" s="725"/>
      <c r="P328" s="725">
        <f t="shared" ref="P328:P391" si="59">+O328-N328</f>
        <v>-0.80902777777777779</v>
      </c>
      <c r="Q328" s="622"/>
      <c r="R328" s="37"/>
      <c r="S328" s="37" t="str">
        <f t="shared" si="57"/>
        <v>HutchinsonF0</v>
      </c>
      <c r="T328" s="37" t="str">
        <f t="shared" ref="T328:T391" si="60">CONCATENATE(F328,H328)</f>
        <v>1975F0</v>
      </c>
      <c r="U328" s="429">
        <v>20</v>
      </c>
      <c r="V328" s="1029">
        <v>1</v>
      </c>
      <c r="W328" s="598">
        <v>0.02</v>
      </c>
      <c r="X328" s="429"/>
      <c r="Y328" s="37" t="str">
        <f t="shared" ref="Y328:Y391" si="61">CONCATENATE(H328,U328)</f>
        <v>F020</v>
      </c>
      <c r="Z328" s="37" t="str">
        <f t="shared" ref="Z328:Z391" si="62">CONCATENATE(H328,V328)</f>
        <v>F01</v>
      </c>
      <c r="AA328" s="37" t="str">
        <f t="shared" si="53"/>
        <v>F00.02</v>
      </c>
      <c r="AB328" s="498" t="str">
        <f t="shared" si="58"/>
        <v>F019</v>
      </c>
      <c r="AC328" s="572"/>
      <c r="AD328" s="572"/>
      <c r="AE328" s="572"/>
      <c r="AF328" s="572"/>
    </row>
    <row r="329" spans="1:32">
      <c r="A329" s="947">
        <f t="shared" si="54"/>
        <v>322</v>
      </c>
      <c r="B329" s="948">
        <v>12</v>
      </c>
      <c r="C329" s="949">
        <v>27571</v>
      </c>
      <c r="D329" s="949" t="s">
        <v>178</v>
      </c>
      <c r="E329" s="950">
        <v>26</v>
      </c>
      <c r="F329" s="644">
        <v>1975</v>
      </c>
      <c r="G329" s="948" t="s">
        <v>131</v>
      </c>
      <c r="H329" s="645" t="s">
        <v>149</v>
      </c>
      <c r="I329" s="951">
        <v>60</v>
      </c>
      <c r="J329" s="951">
        <v>1.9</v>
      </c>
      <c r="K329" s="952">
        <f t="shared" ref="K329:K392" si="63">+(I329/1760)*J329</f>
        <v>6.477272727272726E-2</v>
      </c>
      <c r="L329" s="644">
        <f t="shared" si="55"/>
        <v>16</v>
      </c>
      <c r="M329" s="935">
        <v>0.69791666666666663</v>
      </c>
      <c r="N329" s="936">
        <f t="shared" si="56"/>
        <v>0.69791666666666663</v>
      </c>
      <c r="O329" s="725"/>
      <c r="P329" s="725">
        <f t="shared" si="59"/>
        <v>-0.69791666666666663</v>
      </c>
      <c r="Q329" s="622"/>
      <c r="R329" s="37"/>
      <c r="S329" s="37" t="str">
        <f t="shared" si="57"/>
        <v>HansfordF0</v>
      </c>
      <c r="T329" s="37" t="str">
        <f t="shared" si="60"/>
        <v>1975F0</v>
      </c>
      <c r="U329" s="429">
        <v>50</v>
      </c>
      <c r="V329" s="1029">
        <v>1</v>
      </c>
      <c r="W329" s="598">
        <v>0.05</v>
      </c>
      <c r="X329" s="429"/>
      <c r="Y329" s="37" t="str">
        <f t="shared" si="61"/>
        <v>F050</v>
      </c>
      <c r="Z329" s="37" t="str">
        <f t="shared" si="62"/>
        <v>F01</v>
      </c>
      <c r="AA329" s="37" t="str">
        <f t="shared" ref="AA329:AA392" si="64">CONCATENATE(H329,W329)</f>
        <v>F00.05</v>
      </c>
      <c r="AB329" s="498" t="str">
        <f t="shared" si="58"/>
        <v>F016</v>
      </c>
      <c r="AC329" s="572"/>
      <c r="AD329" s="572"/>
      <c r="AE329" s="572"/>
      <c r="AF329" s="572"/>
    </row>
    <row r="330" spans="1:32">
      <c r="A330" s="947">
        <f t="shared" ref="A330:A393" si="65">+A329+1</f>
        <v>323</v>
      </c>
      <c r="B330" s="948">
        <v>13</v>
      </c>
      <c r="C330" s="949">
        <v>27571</v>
      </c>
      <c r="D330" s="949" t="s">
        <v>178</v>
      </c>
      <c r="E330" s="950">
        <v>26</v>
      </c>
      <c r="F330" s="644">
        <v>1975</v>
      </c>
      <c r="G330" s="948" t="s">
        <v>131</v>
      </c>
      <c r="H330" s="645" t="s">
        <v>150</v>
      </c>
      <c r="I330" s="951">
        <v>40</v>
      </c>
      <c r="J330" s="951">
        <v>1</v>
      </c>
      <c r="K330" s="952">
        <f t="shared" si="63"/>
        <v>2.2727272727272728E-2</v>
      </c>
      <c r="L330" s="644">
        <f t="shared" si="55"/>
        <v>17</v>
      </c>
      <c r="M330" s="935">
        <v>0.72916666666666663</v>
      </c>
      <c r="N330" s="936">
        <f t="shared" si="56"/>
        <v>0.72916666666666663</v>
      </c>
      <c r="O330" s="725"/>
      <c r="P330" s="725">
        <f t="shared" si="59"/>
        <v>-0.72916666666666663</v>
      </c>
      <c r="Q330" s="622"/>
      <c r="R330" s="37"/>
      <c r="S330" s="37" t="str">
        <f t="shared" si="57"/>
        <v>HansfordF1</v>
      </c>
      <c r="T330" s="37" t="str">
        <f t="shared" si="60"/>
        <v>1975F1</v>
      </c>
      <c r="U330" s="429">
        <v>20</v>
      </c>
      <c r="V330" s="1029">
        <v>1</v>
      </c>
      <c r="W330" s="598">
        <v>0.02</v>
      </c>
      <c r="X330" s="429"/>
      <c r="Y330" s="37" t="str">
        <f t="shared" si="61"/>
        <v>F120</v>
      </c>
      <c r="Z330" s="37" t="str">
        <f t="shared" si="62"/>
        <v>F11</v>
      </c>
      <c r="AA330" s="37" t="str">
        <f t="shared" si="64"/>
        <v>F10.02</v>
      </c>
      <c r="AB330" s="498" t="str">
        <f t="shared" si="58"/>
        <v>F117</v>
      </c>
      <c r="AC330" s="572"/>
      <c r="AD330" s="572"/>
      <c r="AE330" s="572"/>
      <c r="AF330" s="572"/>
    </row>
    <row r="331" spans="1:32">
      <c r="A331" s="947">
        <f t="shared" si="65"/>
        <v>324</v>
      </c>
      <c r="B331" s="948">
        <v>14</v>
      </c>
      <c r="C331" s="949">
        <v>27584</v>
      </c>
      <c r="D331" s="949" t="s">
        <v>179</v>
      </c>
      <c r="E331" s="950">
        <v>9</v>
      </c>
      <c r="F331" s="644">
        <v>1975</v>
      </c>
      <c r="G331" s="948" t="s">
        <v>136</v>
      </c>
      <c r="H331" s="645" t="s">
        <v>149</v>
      </c>
      <c r="I331" s="951">
        <v>10</v>
      </c>
      <c r="J331" s="951">
        <v>0.1</v>
      </c>
      <c r="K331" s="952">
        <f t="shared" si="63"/>
        <v>5.6818181818181826E-4</v>
      </c>
      <c r="L331" s="644">
        <f t="shared" si="55"/>
        <v>20</v>
      </c>
      <c r="M331" s="935">
        <v>0.85069444444444453</v>
      </c>
      <c r="N331" s="936">
        <f t="shared" si="56"/>
        <v>0.85069444444444453</v>
      </c>
      <c r="O331" s="725"/>
      <c r="P331" s="725">
        <f t="shared" si="59"/>
        <v>-0.85069444444444453</v>
      </c>
      <c r="Q331" s="622"/>
      <c r="R331" s="37"/>
      <c r="S331" s="37" t="str">
        <f t="shared" si="57"/>
        <v>HutchinsonF0</v>
      </c>
      <c r="T331" s="37" t="str">
        <f t="shared" si="60"/>
        <v>1975F0</v>
      </c>
      <c r="U331" s="429">
        <v>10</v>
      </c>
      <c r="V331" s="1029">
        <v>0.1</v>
      </c>
      <c r="W331" s="598">
        <v>1E-3</v>
      </c>
      <c r="X331" s="429"/>
      <c r="Y331" s="37" t="str">
        <f t="shared" si="61"/>
        <v>F010</v>
      </c>
      <c r="Z331" s="37" t="str">
        <f t="shared" si="62"/>
        <v>F00.1</v>
      </c>
      <c r="AA331" s="37" t="str">
        <f t="shared" si="64"/>
        <v>F00.001</v>
      </c>
      <c r="AB331" s="498" t="str">
        <f t="shared" si="58"/>
        <v>F020</v>
      </c>
      <c r="AC331" s="572"/>
      <c r="AD331" s="572"/>
      <c r="AE331" s="572"/>
      <c r="AF331" s="572"/>
    </row>
    <row r="332" spans="1:32">
      <c r="A332" s="947">
        <f t="shared" si="65"/>
        <v>325</v>
      </c>
      <c r="B332" s="948">
        <v>15</v>
      </c>
      <c r="C332" s="949">
        <v>27585</v>
      </c>
      <c r="D332" s="949" t="s">
        <v>179</v>
      </c>
      <c r="E332" s="950">
        <v>10</v>
      </c>
      <c r="F332" s="644">
        <v>1975</v>
      </c>
      <c r="G332" s="948" t="s">
        <v>127</v>
      </c>
      <c r="H332" s="645" t="s">
        <v>150</v>
      </c>
      <c r="I332" s="951">
        <v>60</v>
      </c>
      <c r="J332" s="951">
        <v>2</v>
      </c>
      <c r="K332" s="952">
        <f t="shared" si="63"/>
        <v>6.8181818181818177E-2</v>
      </c>
      <c r="L332" s="644">
        <f t="shared" si="55"/>
        <v>16</v>
      </c>
      <c r="M332" s="935">
        <v>0.67708333333333337</v>
      </c>
      <c r="N332" s="936">
        <f t="shared" si="56"/>
        <v>0.67708333333333337</v>
      </c>
      <c r="O332" s="725"/>
      <c r="P332" s="725">
        <f t="shared" si="59"/>
        <v>-0.67708333333333337</v>
      </c>
      <c r="Q332" s="622"/>
      <c r="R332" s="37"/>
      <c r="S332" s="37" t="str">
        <f t="shared" si="57"/>
        <v>TexasF1</v>
      </c>
      <c r="T332" s="37" t="str">
        <f t="shared" si="60"/>
        <v>1975F1</v>
      </c>
      <c r="U332" s="429">
        <v>50</v>
      </c>
      <c r="V332" s="1029">
        <v>2</v>
      </c>
      <c r="W332" s="598">
        <v>0.05</v>
      </c>
      <c r="X332" s="429"/>
      <c r="Y332" s="37" t="str">
        <f t="shared" si="61"/>
        <v>F150</v>
      </c>
      <c r="Z332" s="37" t="str">
        <f t="shared" si="62"/>
        <v>F12</v>
      </c>
      <c r="AA332" s="37" t="str">
        <f t="shared" si="64"/>
        <v>F10.05</v>
      </c>
      <c r="AB332" s="498" t="str">
        <f t="shared" si="58"/>
        <v>F116</v>
      </c>
      <c r="AC332" s="572"/>
      <c r="AD332" s="572"/>
      <c r="AE332" s="572"/>
      <c r="AF332" s="572"/>
    </row>
    <row r="333" spans="1:32">
      <c r="A333" s="947">
        <f t="shared" si="65"/>
        <v>326</v>
      </c>
      <c r="B333" s="948">
        <v>16</v>
      </c>
      <c r="C333" s="949">
        <v>27717</v>
      </c>
      <c r="D333" s="949" t="s">
        <v>183</v>
      </c>
      <c r="E333" s="950">
        <v>19</v>
      </c>
      <c r="F333" s="644">
        <v>1975</v>
      </c>
      <c r="G333" s="948" t="s">
        <v>127</v>
      </c>
      <c r="H333" s="645" t="s">
        <v>151</v>
      </c>
      <c r="I333" s="951">
        <v>270</v>
      </c>
      <c r="J333" s="951">
        <v>0.3</v>
      </c>
      <c r="K333" s="952">
        <f t="shared" si="63"/>
        <v>4.6022727272727271E-2</v>
      </c>
      <c r="L333" s="644">
        <f t="shared" si="55"/>
        <v>3</v>
      </c>
      <c r="M333" s="935">
        <v>0.125</v>
      </c>
      <c r="N333" s="936">
        <f t="shared" si="56"/>
        <v>0.125</v>
      </c>
      <c r="O333" s="725"/>
      <c r="P333" s="725">
        <f t="shared" si="59"/>
        <v>-0.125</v>
      </c>
      <c r="Q333" s="622"/>
      <c r="R333" s="37"/>
      <c r="S333" s="37" t="str">
        <f t="shared" si="57"/>
        <v>TexasF2</v>
      </c>
      <c r="T333" s="37" t="str">
        <f t="shared" si="60"/>
        <v>1975F2</v>
      </c>
      <c r="U333" s="429">
        <v>200</v>
      </c>
      <c r="V333" s="1029">
        <v>0.2</v>
      </c>
      <c r="W333" s="598">
        <v>0.02</v>
      </c>
      <c r="X333" s="429"/>
      <c r="Y333" s="37" t="str">
        <f t="shared" si="61"/>
        <v>F2200</v>
      </c>
      <c r="Z333" s="37" t="str">
        <f t="shared" si="62"/>
        <v>F20.2</v>
      </c>
      <c r="AA333" s="37" t="str">
        <f t="shared" si="64"/>
        <v>F20.02</v>
      </c>
      <c r="AB333" s="498" t="str">
        <f t="shared" si="58"/>
        <v>F23</v>
      </c>
      <c r="AC333" s="572"/>
      <c r="AD333" s="572"/>
      <c r="AE333" s="572"/>
      <c r="AF333" s="572"/>
    </row>
    <row r="334" spans="1:32">
      <c r="A334" s="947">
        <f t="shared" si="65"/>
        <v>327</v>
      </c>
      <c r="B334" s="948">
        <v>1</v>
      </c>
      <c r="C334" s="949">
        <v>27857</v>
      </c>
      <c r="D334" s="949" t="s">
        <v>176</v>
      </c>
      <c r="E334" s="950">
        <v>7</v>
      </c>
      <c r="F334" s="644">
        <v>1976</v>
      </c>
      <c r="G334" s="948" t="s">
        <v>147</v>
      </c>
      <c r="H334" s="645" t="s">
        <v>149</v>
      </c>
      <c r="I334" s="951">
        <v>10</v>
      </c>
      <c r="J334" s="951">
        <v>0.1</v>
      </c>
      <c r="K334" s="952">
        <f t="shared" si="63"/>
        <v>5.6818181818181826E-4</v>
      </c>
      <c r="L334" s="644">
        <f t="shared" si="55"/>
        <v>16</v>
      </c>
      <c r="M334" s="935">
        <v>0.6875</v>
      </c>
      <c r="N334" s="936">
        <f t="shared" si="56"/>
        <v>0.6875</v>
      </c>
      <c r="O334" s="725"/>
      <c r="P334" s="725">
        <f t="shared" si="59"/>
        <v>-0.6875</v>
      </c>
      <c r="Q334" s="622"/>
      <c r="R334" s="37"/>
      <c r="S334" s="37" t="str">
        <f t="shared" si="57"/>
        <v>DonleyF0</v>
      </c>
      <c r="T334" s="37" t="str">
        <f t="shared" si="60"/>
        <v>1976F0</v>
      </c>
      <c r="U334" s="429">
        <v>10</v>
      </c>
      <c r="V334" s="1029">
        <v>0.1</v>
      </c>
      <c r="W334" s="598">
        <v>1E-3</v>
      </c>
      <c r="X334" s="429"/>
      <c r="Y334" s="37" t="str">
        <f t="shared" si="61"/>
        <v>F010</v>
      </c>
      <c r="Z334" s="37" t="str">
        <f t="shared" si="62"/>
        <v>F00.1</v>
      </c>
      <c r="AA334" s="37" t="str">
        <f t="shared" si="64"/>
        <v>F00.001</v>
      </c>
      <c r="AB334" s="498" t="str">
        <f t="shared" si="58"/>
        <v>F016</v>
      </c>
      <c r="AC334" s="572"/>
      <c r="AD334" s="572"/>
      <c r="AE334" s="572"/>
      <c r="AF334" s="572"/>
    </row>
    <row r="335" spans="1:32">
      <c r="A335" s="947">
        <f t="shared" si="65"/>
        <v>328</v>
      </c>
      <c r="B335" s="948">
        <v>2</v>
      </c>
      <c r="C335" s="949">
        <v>27857</v>
      </c>
      <c r="D335" s="949" t="s">
        <v>176</v>
      </c>
      <c r="E335" s="950">
        <v>7</v>
      </c>
      <c r="F335" s="644">
        <v>1976</v>
      </c>
      <c r="G335" s="948" t="s">
        <v>147</v>
      </c>
      <c r="H335" s="645" t="s">
        <v>149</v>
      </c>
      <c r="I335" s="951">
        <v>10</v>
      </c>
      <c r="J335" s="951">
        <v>0.1</v>
      </c>
      <c r="K335" s="952">
        <f t="shared" si="63"/>
        <v>5.6818181818181826E-4</v>
      </c>
      <c r="L335" s="644">
        <f t="shared" si="55"/>
        <v>16</v>
      </c>
      <c r="M335" s="935">
        <v>0.69097222222222221</v>
      </c>
      <c r="N335" s="936">
        <f t="shared" si="56"/>
        <v>0.69097222222222221</v>
      </c>
      <c r="O335" s="725"/>
      <c r="P335" s="725">
        <f t="shared" si="59"/>
        <v>-0.69097222222222221</v>
      </c>
      <c r="Q335" s="622"/>
      <c r="R335" s="37"/>
      <c r="S335" s="37" t="str">
        <f t="shared" si="57"/>
        <v>DonleyF0</v>
      </c>
      <c r="T335" s="37" t="str">
        <f t="shared" si="60"/>
        <v>1976F0</v>
      </c>
      <c r="U335" s="429">
        <v>10</v>
      </c>
      <c r="V335" s="1029">
        <v>0.1</v>
      </c>
      <c r="W335" s="598">
        <v>1E-3</v>
      </c>
      <c r="X335" s="429"/>
      <c r="Y335" s="37" t="str">
        <f t="shared" si="61"/>
        <v>F010</v>
      </c>
      <c r="Z335" s="37" t="str">
        <f t="shared" si="62"/>
        <v>F00.1</v>
      </c>
      <c r="AA335" s="37" t="str">
        <f t="shared" si="64"/>
        <v>F00.001</v>
      </c>
      <c r="AB335" s="498" t="str">
        <f t="shared" si="58"/>
        <v>F016</v>
      </c>
      <c r="AC335" s="572"/>
      <c r="AD335" s="572"/>
      <c r="AE335" s="572"/>
      <c r="AF335" s="572"/>
    </row>
    <row r="336" spans="1:32">
      <c r="A336" s="947">
        <f t="shared" si="65"/>
        <v>329</v>
      </c>
      <c r="B336" s="948">
        <v>3</v>
      </c>
      <c r="C336" s="949">
        <v>27857</v>
      </c>
      <c r="D336" s="949" t="s">
        <v>176</v>
      </c>
      <c r="E336" s="950">
        <v>7</v>
      </c>
      <c r="F336" s="644">
        <v>1976</v>
      </c>
      <c r="G336" s="948" t="s">
        <v>148</v>
      </c>
      <c r="H336" s="645" t="s">
        <v>149</v>
      </c>
      <c r="I336" s="951">
        <v>10</v>
      </c>
      <c r="J336" s="951">
        <v>0.1</v>
      </c>
      <c r="K336" s="952">
        <f t="shared" si="63"/>
        <v>5.6818181818181826E-4</v>
      </c>
      <c r="L336" s="644">
        <f t="shared" si="55"/>
        <v>17</v>
      </c>
      <c r="M336" s="935">
        <v>0.74305555555555547</v>
      </c>
      <c r="N336" s="936">
        <f t="shared" si="56"/>
        <v>0.74305555555555547</v>
      </c>
      <c r="O336" s="725"/>
      <c r="P336" s="725">
        <f t="shared" si="59"/>
        <v>-0.74305555555555547</v>
      </c>
      <c r="Q336" s="622"/>
      <c r="R336" s="37"/>
      <c r="S336" s="37" t="str">
        <f t="shared" si="57"/>
        <v>CollingsworthF0</v>
      </c>
      <c r="T336" s="37" t="str">
        <f t="shared" si="60"/>
        <v>1976F0</v>
      </c>
      <c r="U336" s="429">
        <v>10</v>
      </c>
      <c r="V336" s="1029">
        <v>0.1</v>
      </c>
      <c r="W336" s="598">
        <v>1E-3</v>
      </c>
      <c r="X336" s="429"/>
      <c r="Y336" s="37" t="str">
        <f t="shared" si="61"/>
        <v>F010</v>
      </c>
      <c r="Z336" s="37" t="str">
        <f t="shared" si="62"/>
        <v>F00.1</v>
      </c>
      <c r="AA336" s="37" t="str">
        <f t="shared" si="64"/>
        <v>F00.001</v>
      </c>
      <c r="AB336" s="498" t="str">
        <f t="shared" si="58"/>
        <v>F017</v>
      </c>
      <c r="AC336" s="572"/>
      <c r="AD336" s="572"/>
      <c r="AE336" s="572"/>
      <c r="AF336" s="572"/>
    </row>
    <row r="337" spans="1:32">
      <c r="A337" s="947">
        <f t="shared" si="65"/>
        <v>330</v>
      </c>
      <c r="B337" s="948">
        <v>4</v>
      </c>
      <c r="C337" s="949">
        <v>27865</v>
      </c>
      <c r="D337" s="949" t="s">
        <v>176</v>
      </c>
      <c r="E337" s="950">
        <v>15</v>
      </c>
      <c r="F337" s="644">
        <v>1976</v>
      </c>
      <c r="G337" s="948" t="s">
        <v>144</v>
      </c>
      <c r="H337" s="645" t="s">
        <v>150</v>
      </c>
      <c r="I337" s="951">
        <v>30</v>
      </c>
      <c r="J337" s="951">
        <v>0.5</v>
      </c>
      <c r="K337" s="952">
        <f t="shared" si="63"/>
        <v>8.5227272727272721E-3</v>
      </c>
      <c r="L337" s="644">
        <f t="shared" si="55"/>
        <v>12</v>
      </c>
      <c r="M337" s="935">
        <v>0.51736111111111105</v>
      </c>
      <c r="N337" s="936">
        <f t="shared" si="56"/>
        <v>0.51736111111111105</v>
      </c>
      <c r="O337" s="725"/>
      <c r="P337" s="725">
        <f t="shared" si="59"/>
        <v>-0.51736111111111105</v>
      </c>
      <c r="Q337" s="622"/>
      <c r="R337" s="37"/>
      <c r="S337" s="37" t="str">
        <f t="shared" si="57"/>
        <v>Deaf SmithF1</v>
      </c>
      <c r="T337" s="37" t="str">
        <f t="shared" si="60"/>
        <v>1976F1</v>
      </c>
      <c r="U337" s="429">
        <v>20</v>
      </c>
      <c r="V337" s="1029">
        <v>0.5</v>
      </c>
      <c r="W337" s="598">
        <v>5.0000000000000001E-3</v>
      </c>
      <c r="X337" s="429"/>
      <c r="Y337" s="37" t="str">
        <f t="shared" si="61"/>
        <v>F120</v>
      </c>
      <c r="Z337" s="37" t="str">
        <f t="shared" si="62"/>
        <v>F10.5</v>
      </c>
      <c r="AA337" s="37" t="str">
        <f t="shared" si="64"/>
        <v>F10.005</v>
      </c>
      <c r="AB337" s="498" t="str">
        <f t="shared" si="58"/>
        <v>F112</v>
      </c>
      <c r="AC337" s="572"/>
      <c r="AD337" s="572"/>
      <c r="AE337" s="572"/>
      <c r="AF337" s="572"/>
    </row>
    <row r="338" spans="1:32">
      <c r="A338" s="947">
        <f t="shared" si="65"/>
        <v>331</v>
      </c>
      <c r="B338" s="948">
        <v>5</v>
      </c>
      <c r="C338" s="949">
        <v>27865</v>
      </c>
      <c r="D338" s="949" t="s">
        <v>176</v>
      </c>
      <c r="E338" s="950">
        <v>15</v>
      </c>
      <c r="F338" s="644">
        <v>1976</v>
      </c>
      <c r="G338" s="948" t="s">
        <v>131</v>
      </c>
      <c r="H338" s="645" t="s">
        <v>149</v>
      </c>
      <c r="I338" s="951">
        <v>10</v>
      </c>
      <c r="J338" s="951">
        <v>0.1</v>
      </c>
      <c r="K338" s="952">
        <f t="shared" si="63"/>
        <v>5.6818181818181826E-4</v>
      </c>
      <c r="L338" s="644">
        <f t="shared" si="55"/>
        <v>14</v>
      </c>
      <c r="M338" s="935">
        <v>0.60416666666666663</v>
      </c>
      <c r="N338" s="936">
        <f t="shared" si="56"/>
        <v>0.60416666666666663</v>
      </c>
      <c r="O338" s="725"/>
      <c r="P338" s="725">
        <f t="shared" si="59"/>
        <v>-0.60416666666666663</v>
      </c>
      <c r="Q338" s="622"/>
      <c r="R338" s="37"/>
      <c r="S338" s="37" t="str">
        <f t="shared" si="57"/>
        <v>HansfordF0</v>
      </c>
      <c r="T338" s="37" t="str">
        <f t="shared" si="60"/>
        <v>1976F0</v>
      </c>
      <c r="U338" s="429">
        <v>10</v>
      </c>
      <c r="V338" s="1029">
        <v>0.1</v>
      </c>
      <c r="W338" s="598">
        <v>1E-3</v>
      </c>
      <c r="X338" s="429"/>
      <c r="Y338" s="37" t="str">
        <f t="shared" si="61"/>
        <v>F010</v>
      </c>
      <c r="Z338" s="37" t="str">
        <f t="shared" si="62"/>
        <v>F00.1</v>
      </c>
      <c r="AA338" s="37" t="str">
        <f t="shared" si="64"/>
        <v>F00.001</v>
      </c>
      <c r="AB338" s="498" t="str">
        <f t="shared" si="58"/>
        <v>F014</v>
      </c>
      <c r="AC338" s="572"/>
      <c r="AD338" s="572"/>
      <c r="AE338" s="572"/>
      <c r="AF338" s="572"/>
    </row>
    <row r="339" spans="1:32">
      <c r="A339" s="947">
        <f t="shared" si="65"/>
        <v>332</v>
      </c>
      <c r="B339" s="948">
        <v>6</v>
      </c>
      <c r="C339" s="949">
        <v>27865</v>
      </c>
      <c r="D339" s="949" t="s">
        <v>176</v>
      </c>
      <c r="E339" s="950">
        <v>15</v>
      </c>
      <c r="F339" s="644">
        <v>1976</v>
      </c>
      <c r="G339" s="948" t="s">
        <v>131</v>
      </c>
      <c r="H339" s="645" t="s">
        <v>149</v>
      </c>
      <c r="I339" s="951">
        <v>10</v>
      </c>
      <c r="J339" s="951">
        <v>0.1</v>
      </c>
      <c r="K339" s="952">
        <f t="shared" si="63"/>
        <v>5.6818181818181826E-4</v>
      </c>
      <c r="L339" s="644">
        <f t="shared" si="55"/>
        <v>14</v>
      </c>
      <c r="M339" s="935">
        <v>0.60416666666666663</v>
      </c>
      <c r="N339" s="936">
        <f t="shared" si="56"/>
        <v>0.60416666666666663</v>
      </c>
      <c r="O339" s="725"/>
      <c r="P339" s="725">
        <f t="shared" si="59"/>
        <v>-0.60416666666666663</v>
      </c>
      <c r="Q339" s="622"/>
      <c r="R339" s="37"/>
      <c r="S339" s="37" t="str">
        <f t="shared" si="57"/>
        <v>HansfordF0</v>
      </c>
      <c r="T339" s="37" t="str">
        <f t="shared" si="60"/>
        <v>1976F0</v>
      </c>
      <c r="U339" s="429">
        <v>10</v>
      </c>
      <c r="V339" s="1029">
        <v>0.1</v>
      </c>
      <c r="W339" s="598">
        <v>1E-3</v>
      </c>
      <c r="X339" s="429"/>
      <c r="Y339" s="37" t="str">
        <f t="shared" si="61"/>
        <v>F010</v>
      </c>
      <c r="Z339" s="37" t="str">
        <f t="shared" si="62"/>
        <v>F00.1</v>
      </c>
      <c r="AA339" s="37" t="str">
        <f t="shared" si="64"/>
        <v>F00.001</v>
      </c>
      <c r="AB339" s="498" t="str">
        <f t="shared" si="58"/>
        <v>F014</v>
      </c>
      <c r="AC339" s="572"/>
      <c r="AD339" s="572"/>
      <c r="AE339" s="572"/>
      <c r="AF339" s="572"/>
    </row>
    <row r="340" spans="1:32">
      <c r="A340" s="947">
        <f t="shared" si="65"/>
        <v>333</v>
      </c>
      <c r="B340" s="948">
        <v>7</v>
      </c>
      <c r="C340" s="949">
        <v>27865</v>
      </c>
      <c r="D340" s="949" t="s">
        <v>176</v>
      </c>
      <c r="E340" s="950">
        <v>15</v>
      </c>
      <c r="F340" s="644">
        <v>1976</v>
      </c>
      <c r="G340" s="948" t="s">
        <v>131</v>
      </c>
      <c r="H340" s="645" t="s">
        <v>149</v>
      </c>
      <c r="I340" s="951">
        <v>10</v>
      </c>
      <c r="J340" s="951">
        <v>0.1</v>
      </c>
      <c r="K340" s="952">
        <f t="shared" si="63"/>
        <v>5.6818181818181826E-4</v>
      </c>
      <c r="L340" s="644">
        <f t="shared" si="55"/>
        <v>14</v>
      </c>
      <c r="M340" s="935">
        <v>0.61597222222222225</v>
      </c>
      <c r="N340" s="936">
        <f t="shared" si="56"/>
        <v>0.61597222222222225</v>
      </c>
      <c r="O340" s="725"/>
      <c r="P340" s="725">
        <f t="shared" si="59"/>
        <v>-0.61597222222222225</v>
      </c>
      <c r="Q340" s="622"/>
      <c r="R340" s="37"/>
      <c r="S340" s="37" t="str">
        <f t="shared" si="57"/>
        <v>HansfordF0</v>
      </c>
      <c r="T340" s="37" t="str">
        <f t="shared" si="60"/>
        <v>1976F0</v>
      </c>
      <c r="U340" s="429">
        <v>10</v>
      </c>
      <c r="V340" s="1029">
        <v>0.1</v>
      </c>
      <c r="W340" s="598">
        <v>1E-3</v>
      </c>
      <c r="X340" s="429"/>
      <c r="Y340" s="37" t="str">
        <f t="shared" si="61"/>
        <v>F010</v>
      </c>
      <c r="Z340" s="37" t="str">
        <f t="shared" si="62"/>
        <v>F00.1</v>
      </c>
      <c r="AA340" s="37" t="str">
        <f t="shared" si="64"/>
        <v>F00.001</v>
      </c>
      <c r="AB340" s="498" t="str">
        <f t="shared" si="58"/>
        <v>F014</v>
      </c>
      <c r="AC340" s="572"/>
      <c r="AD340" s="572"/>
      <c r="AE340" s="572"/>
      <c r="AF340" s="572"/>
    </row>
    <row r="341" spans="1:32">
      <c r="A341" s="947">
        <f t="shared" si="65"/>
        <v>334</v>
      </c>
      <c r="B341" s="948">
        <v>8</v>
      </c>
      <c r="C341" s="949">
        <v>27869</v>
      </c>
      <c r="D341" s="949" t="s">
        <v>176</v>
      </c>
      <c r="E341" s="950">
        <v>19</v>
      </c>
      <c r="F341" s="644">
        <v>1976</v>
      </c>
      <c r="G341" s="948" t="s">
        <v>135</v>
      </c>
      <c r="H341" s="645" t="s">
        <v>149</v>
      </c>
      <c r="I341" s="951">
        <v>10</v>
      </c>
      <c r="J341" s="951">
        <v>0.1</v>
      </c>
      <c r="K341" s="952">
        <f t="shared" si="63"/>
        <v>5.6818181818181826E-4</v>
      </c>
      <c r="L341" s="644">
        <f t="shared" si="55"/>
        <v>14</v>
      </c>
      <c r="M341" s="935">
        <v>0.62152777777777779</v>
      </c>
      <c r="N341" s="936">
        <f t="shared" si="56"/>
        <v>0.62152777777777779</v>
      </c>
      <c r="O341" s="725"/>
      <c r="P341" s="725">
        <f t="shared" si="59"/>
        <v>-0.62152777777777779</v>
      </c>
      <c r="Q341" s="622"/>
      <c r="R341" s="37"/>
      <c r="S341" s="37" t="str">
        <f t="shared" si="57"/>
        <v>MooreF0</v>
      </c>
      <c r="T341" s="37" t="str">
        <f t="shared" si="60"/>
        <v>1976F0</v>
      </c>
      <c r="U341" s="429">
        <v>10</v>
      </c>
      <c r="V341" s="1029">
        <v>0.1</v>
      </c>
      <c r="W341" s="598">
        <v>1E-3</v>
      </c>
      <c r="X341" s="429"/>
      <c r="Y341" s="37" t="str">
        <f t="shared" si="61"/>
        <v>F010</v>
      </c>
      <c r="Z341" s="37" t="str">
        <f t="shared" si="62"/>
        <v>F00.1</v>
      </c>
      <c r="AA341" s="37" t="str">
        <f t="shared" si="64"/>
        <v>F00.001</v>
      </c>
      <c r="AB341" s="498" t="str">
        <f t="shared" si="58"/>
        <v>F014</v>
      </c>
      <c r="AC341" s="572"/>
      <c r="AD341" s="572"/>
      <c r="AE341" s="572"/>
      <c r="AF341" s="572"/>
    </row>
    <row r="342" spans="1:32">
      <c r="A342" s="947">
        <f t="shared" si="65"/>
        <v>335</v>
      </c>
      <c r="B342" s="948">
        <v>9</v>
      </c>
      <c r="C342" s="949">
        <v>27877</v>
      </c>
      <c r="D342" s="949" t="s">
        <v>176</v>
      </c>
      <c r="E342" s="950">
        <v>27</v>
      </c>
      <c r="F342" s="644">
        <v>1976</v>
      </c>
      <c r="G342" s="948" t="s">
        <v>135</v>
      </c>
      <c r="H342" s="645" t="s">
        <v>149</v>
      </c>
      <c r="I342" s="951">
        <v>10</v>
      </c>
      <c r="J342" s="951">
        <v>0.1</v>
      </c>
      <c r="K342" s="952">
        <f t="shared" si="63"/>
        <v>5.6818181818181826E-4</v>
      </c>
      <c r="L342" s="644">
        <f t="shared" si="55"/>
        <v>19</v>
      </c>
      <c r="M342" s="935">
        <v>0.79166666666666663</v>
      </c>
      <c r="N342" s="936">
        <f t="shared" si="56"/>
        <v>0.79166666666666663</v>
      </c>
      <c r="O342" s="725"/>
      <c r="P342" s="725">
        <f t="shared" si="59"/>
        <v>-0.79166666666666663</v>
      </c>
      <c r="Q342" s="622"/>
      <c r="R342" s="37"/>
      <c r="S342" s="37" t="str">
        <f t="shared" si="57"/>
        <v>MooreF0</v>
      </c>
      <c r="T342" s="37" t="str">
        <f t="shared" si="60"/>
        <v>1976F0</v>
      </c>
      <c r="U342" s="429">
        <v>10</v>
      </c>
      <c r="V342" s="1029">
        <v>0.1</v>
      </c>
      <c r="W342" s="598">
        <v>1E-3</v>
      </c>
      <c r="X342" s="429"/>
      <c r="Y342" s="37" t="str">
        <f t="shared" si="61"/>
        <v>F010</v>
      </c>
      <c r="Z342" s="37" t="str">
        <f t="shared" si="62"/>
        <v>F00.1</v>
      </c>
      <c r="AA342" s="37" t="str">
        <f t="shared" si="64"/>
        <v>F00.001</v>
      </c>
      <c r="AB342" s="498" t="str">
        <f t="shared" si="58"/>
        <v>F019</v>
      </c>
      <c r="AC342" s="572"/>
      <c r="AD342" s="572"/>
      <c r="AE342" s="572"/>
      <c r="AF342" s="572"/>
    </row>
    <row r="343" spans="1:32">
      <c r="A343" s="947">
        <f t="shared" si="65"/>
        <v>336</v>
      </c>
      <c r="B343" s="948">
        <v>10</v>
      </c>
      <c r="C343" s="949">
        <v>27932</v>
      </c>
      <c r="D343" s="949" t="s">
        <v>178</v>
      </c>
      <c r="E343" s="950">
        <v>21</v>
      </c>
      <c r="F343" s="644">
        <v>1976</v>
      </c>
      <c r="G343" s="948" t="s">
        <v>145</v>
      </c>
      <c r="H343" s="645" t="s">
        <v>149</v>
      </c>
      <c r="I343" s="951">
        <v>10</v>
      </c>
      <c r="J343" s="951">
        <v>0.3</v>
      </c>
      <c r="K343" s="952">
        <f t="shared" si="63"/>
        <v>1.7045454545454545E-3</v>
      </c>
      <c r="L343" s="644">
        <f t="shared" si="55"/>
        <v>18</v>
      </c>
      <c r="M343" s="935">
        <v>0.76249999999999996</v>
      </c>
      <c r="N343" s="936">
        <f t="shared" si="56"/>
        <v>0.76249999999999996</v>
      </c>
      <c r="O343" s="725"/>
      <c r="P343" s="725">
        <f t="shared" si="59"/>
        <v>-0.76249999999999996</v>
      </c>
      <c r="Q343" s="622"/>
      <c r="R343" s="37"/>
      <c r="S343" s="37" t="str">
        <f t="shared" si="57"/>
        <v>RandallF0</v>
      </c>
      <c r="T343" s="37" t="str">
        <f t="shared" si="60"/>
        <v>1976F0</v>
      </c>
      <c r="U343" s="429">
        <v>10</v>
      </c>
      <c r="V343" s="1029">
        <v>0.2</v>
      </c>
      <c r="W343" s="598">
        <v>2E-3</v>
      </c>
      <c r="X343" s="429"/>
      <c r="Y343" s="37" t="str">
        <f t="shared" si="61"/>
        <v>F010</v>
      </c>
      <c r="Z343" s="37" t="str">
        <f t="shared" si="62"/>
        <v>F00.2</v>
      </c>
      <c r="AA343" s="37" t="str">
        <f t="shared" si="64"/>
        <v>F00.002</v>
      </c>
      <c r="AB343" s="498" t="str">
        <f t="shared" si="58"/>
        <v>F018</v>
      </c>
      <c r="AC343" s="572"/>
      <c r="AD343" s="572"/>
      <c r="AE343" s="572"/>
      <c r="AF343" s="572"/>
    </row>
    <row r="344" spans="1:32">
      <c r="A344" s="947">
        <f t="shared" si="65"/>
        <v>337</v>
      </c>
      <c r="B344" s="948">
        <v>1</v>
      </c>
      <c r="C344" s="949">
        <v>28234</v>
      </c>
      <c r="D344" s="949" t="s">
        <v>176</v>
      </c>
      <c r="E344" s="950">
        <v>19</v>
      </c>
      <c r="F344" s="644">
        <v>1977</v>
      </c>
      <c r="G344" s="948" t="s">
        <v>147</v>
      </c>
      <c r="H344" s="645" t="s">
        <v>149</v>
      </c>
      <c r="I344" s="951">
        <v>10</v>
      </c>
      <c r="J344" s="951">
        <v>0.1</v>
      </c>
      <c r="K344" s="952">
        <f t="shared" si="63"/>
        <v>5.6818181818181826E-4</v>
      </c>
      <c r="L344" s="644">
        <f t="shared" si="55"/>
        <v>15</v>
      </c>
      <c r="M344" s="935">
        <v>0.64583333333333337</v>
      </c>
      <c r="N344" s="936">
        <f t="shared" si="56"/>
        <v>0.64583333333333337</v>
      </c>
      <c r="O344" s="725"/>
      <c r="P344" s="725">
        <f t="shared" si="59"/>
        <v>-0.64583333333333337</v>
      </c>
      <c r="Q344" s="622"/>
      <c r="R344" s="37"/>
      <c r="S344" s="37" t="str">
        <f t="shared" si="57"/>
        <v>DonleyF0</v>
      </c>
      <c r="T344" s="37" t="str">
        <f t="shared" si="60"/>
        <v>1977F0</v>
      </c>
      <c r="U344" s="429">
        <v>10</v>
      </c>
      <c r="V344" s="1029">
        <v>0.1</v>
      </c>
      <c r="W344" s="598">
        <v>1E-3</v>
      </c>
      <c r="X344" s="429"/>
      <c r="Y344" s="37" t="str">
        <f t="shared" si="61"/>
        <v>F010</v>
      </c>
      <c r="Z344" s="37" t="str">
        <f t="shared" si="62"/>
        <v>F00.1</v>
      </c>
      <c r="AA344" s="37" t="str">
        <f t="shared" si="64"/>
        <v>F00.001</v>
      </c>
      <c r="AB344" s="498" t="str">
        <f t="shared" si="58"/>
        <v>F015</v>
      </c>
      <c r="AC344" s="572"/>
      <c r="AD344" s="572"/>
      <c r="AE344" s="572"/>
      <c r="AF344" s="572"/>
    </row>
    <row r="345" spans="1:32">
      <c r="A345" s="947">
        <f t="shared" si="65"/>
        <v>338</v>
      </c>
      <c r="B345" s="948">
        <v>2</v>
      </c>
      <c r="C345" s="949">
        <v>28246</v>
      </c>
      <c r="D345" s="949" t="s">
        <v>177</v>
      </c>
      <c r="E345" s="950">
        <v>1</v>
      </c>
      <c r="F345" s="644">
        <v>1977</v>
      </c>
      <c r="G345" s="948" t="s">
        <v>128</v>
      </c>
      <c r="H345" s="645" t="s">
        <v>151</v>
      </c>
      <c r="I345" s="951">
        <v>100</v>
      </c>
      <c r="J345" s="951">
        <v>2.7</v>
      </c>
      <c r="K345" s="952">
        <f t="shared" si="63"/>
        <v>0.15340909090909091</v>
      </c>
      <c r="L345" s="644">
        <f t="shared" si="55"/>
        <v>15</v>
      </c>
      <c r="M345" s="935">
        <v>0.65972222222222221</v>
      </c>
      <c r="N345" s="936">
        <f t="shared" si="56"/>
        <v>0.65972222222222221</v>
      </c>
      <c r="O345" s="725">
        <v>0.67361111111111116</v>
      </c>
      <c r="P345" s="725">
        <f t="shared" si="59"/>
        <v>1.3888888888888951E-2</v>
      </c>
      <c r="Q345" s="622"/>
      <c r="R345" s="37"/>
      <c r="S345" s="37" t="str">
        <f t="shared" si="57"/>
        <v>BeaverF2</v>
      </c>
      <c r="T345" s="37" t="str">
        <f t="shared" si="60"/>
        <v>1977F2</v>
      </c>
      <c r="U345" s="429">
        <v>100</v>
      </c>
      <c r="V345" s="1029">
        <v>2</v>
      </c>
      <c r="W345" s="598">
        <v>0.1</v>
      </c>
      <c r="X345" s="429"/>
      <c r="Y345" s="37" t="str">
        <f t="shared" si="61"/>
        <v>F2100</v>
      </c>
      <c r="Z345" s="37" t="str">
        <f t="shared" si="62"/>
        <v>F22</v>
      </c>
      <c r="AA345" s="37" t="str">
        <f t="shared" si="64"/>
        <v>F20.1</v>
      </c>
      <c r="AB345" s="498" t="str">
        <f t="shared" si="58"/>
        <v>F215</v>
      </c>
      <c r="AC345" s="572"/>
      <c r="AD345" s="572"/>
      <c r="AE345" s="572"/>
      <c r="AF345" s="572"/>
    </row>
    <row r="346" spans="1:32" ht="25.5">
      <c r="A346" s="947">
        <f t="shared" si="65"/>
        <v>339</v>
      </c>
      <c r="B346" s="948">
        <v>3</v>
      </c>
      <c r="C346" s="949">
        <v>28259</v>
      </c>
      <c r="D346" s="949" t="s">
        <v>177</v>
      </c>
      <c r="E346" s="950">
        <v>14</v>
      </c>
      <c r="F346" s="644">
        <v>1977</v>
      </c>
      <c r="G346" s="948" t="s">
        <v>129</v>
      </c>
      <c r="H346" s="645" t="s">
        <v>150</v>
      </c>
      <c r="I346" s="951">
        <v>20</v>
      </c>
      <c r="J346" s="951">
        <v>1</v>
      </c>
      <c r="K346" s="952">
        <f t="shared" si="63"/>
        <v>1.1363636363636364E-2</v>
      </c>
      <c r="L346" s="644">
        <f t="shared" si="55"/>
        <v>0</v>
      </c>
      <c r="M346" s="935">
        <v>6.9444444444444447E-4</v>
      </c>
      <c r="N346" s="936">
        <f t="shared" si="56"/>
        <v>6.9444444444444447E-4</v>
      </c>
      <c r="O346" s="725"/>
      <c r="P346" s="725">
        <f t="shared" si="59"/>
        <v>-6.9444444444444447E-4</v>
      </c>
      <c r="Q346" s="380" t="s">
        <v>868</v>
      </c>
      <c r="R346" s="37"/>
      <c r="S346" s="37" t="str">
        <f t="shared" si="57"/>
        <v>DallamF1</v>
      </c>
      <c r="T346" s="37" t="str">
        <f t="shared" si="60"/>
        <v>1977F1</v>
      </c>
      <c r="U346" s="429">
        <v>20</v>
      </c>
      <c r="V346" s="1029">
        <v>1</v>
      </c>
      <c r="W346" s="598">
        <v>0.01</v>
      </c>
      <c r="X346" s="429"/>
      <c r="Y346" s="37" t="str">
        <f t="shared" si="61"/>
        <v>F120</v>
      </c>
      <c r="Z346" s="37" t="str">
        <f t="shared" si="62"/>
        <v>F11</v>
      </c>
      <c r="AA346" s="37" t="str">
        <f t="shared" si="64"/>
        <v>F10.01</v>
      </c>
      <c r="AB346" s="498" t="str">
        <f t="shared" si="58"/>
        <v>F10</v>
      </c>
      <c r="AC346" s="572"/>
      <c r="AD346" s="572"/>
      <c r="AE346" s="572"/>
      <c r="AF346" s="572"/>
    </row>
    <row r="347" spans="1:32">
      <c r="A347" s="947">
        <f t="shared" si="65"/>
        <v>340</v>
      </c>
      <c r="B347" s="948">
        <v>4</v>
      </c>
      <c r="C347" s="949">
        <v>28259</v>
      </c>
      <c r="D347" s="949" t="s">
        <v>177</v>
      </c>
      <c r="E347" s="950">
        <v>14</v>
      </c>
      <c r="F347" s="644">
        <v>1977</v>
      </c>
      <c r="G347" s="948" t="s">
        <v>141</v>
      </c>
      <c r="H347" s="645" t="s">
        <v>150</v>
      </c>
      <c r="I347" s="951">
        <v>20</v>
      </c>
      <c r="J347" s="951">
        <v>1</v>
      </c>
      <c r="K347" s="952">
        <f t="shared" si="63"/>
        <v>1.1363636363636364E-2</v>
      </c>
      <c r="L347" s="644">
        <f t="shared" si="55"/>
        <v>14</v>
      </c>
      <c r="M347" s="935">
        <v>0.60069444444444442</v>
      </c>
      <c r="N347" s="936">
        <f t="shared" si="56"/>
        <v>0.60069444444444442</v>
      </c>
      <c r="O347" s="725">
        <v>0.6020833333333333</v>
      </c>
      <c r="P347" s="725">
        <f t="shared" si="59"/>
        <v>1.388888888888884E-3</v>
      </c>
      <c r="Q347" s="622" t="s">
        <v>98</v>
      </c>
      <c r="R347" s="37"/>
      <c r="S347" s="37" t="str">
        <f t="shared" si="57"/>
        <v>CarsonF1</v>
      </c>
      <c r="T347" s="37" t="str">
        <f t="shared" si="60"/>
        <v>1977F1</v>
      </c>
      <c r="U347" s="429">
        <v>20</v>
      </c>
      <c r="V347" s="1029">
        <v>1</v>
      </c>
      <c r="W347" s="598">
        <v>0.01</v>
      </c>
      <c r="X347" s="429"/>
      <c r="Y347" s="37" t="str">
        <f t="shared" si="61"/>
        <v>F120</v>
      </c>
      <c r="Z347" s="37" t="str">
        <f t="shared" si="62"/>
        <v>F11</v>
      </c>
      <c r="AA347" s="37" t="str">
        <f t="shared" si="64"/>
        <v>F10.01</v>
      </c>
      <c r="AB347" s="498" t="str">
        <f t="shared" si="58"/>
        <v>F114</v>
      </c>
      <c r="AC347" s="572"/>
      <c r="AD347" s="572"/>
      <c r="AE347" s="572"/>
      <c r="AF347" s="572"/>
    </row>
    <row r="348" spans="1:32">
      <c r="A348" s="947">
        <f t="shared" si="65"/>
        <v>341</v>
      </c>
      <c r="B348" s="948">
        <v>5</v>
      </c>
      <c r="C348" s="949">
        <v>28261</v>
      </c>
      <c r="D348" s="949" t="s">
        <v>177</v>
      </c>
      <c r="E348" s="950">
        <v>16</v>
      </c>
      <c r="F348" s="644">
        <v>1977</v>
      </c>
      <c r="G348" s="948" t="s">
        <v>148</v>
      </c>
      <c r="H348" s="645" t="s">
        <v>152</v>
      </c>
      <c r="I348" s="951">
        <v>500</v>
      </c>
      <c r="J348" s="951">
        <v>16.7</v>
      </c>
      <c r="K348" s="952">
        <f t="shared" si="63"/>
        <v>4.7443181818181817</v>
      </c>
      <c r="L348" s="644">
        <f t="shared" si="55"/>
        <v>15</v>
      </c>
      <c r="M348" s="935">
        <v>0.63194444444444442</v>
      </c>
      <c r="N348" s="936">
        <f t="shared" si="56"/>
        <v>0.63194444444444442</v>
      </c>
      <c r="O348" s="725">
        <v>0.65972222222222221</v>
      </c>
      <c r="P348" s="725">
        <f t="shared" si="59"/>
        <v>2.777777777777779E-2</v>
      </c>
      <c r="Q348" s="622" t="s">
        <v>99</v>
      </c>
      <c r="R348" s="37"/>
      <c r="S348" s="37" t="str">
        <f t="shared" si="57"/>
        <v>CollingsworthF3</v>
      </c>
      <c r="T348" s="37" t="str">
        <f t="shared" si="60"/>
        <v>1977F3</v>
      </c>
      <c r="U348" s="429">
        <v>500</v>
      </c>
      <c r="V348" s="1029">
        <v>10</v>
      </c>
      <c r="W348" s="598">
        <v>2</v>
      </c>
      <c r="X348" s="429"/>
      <c r="Y348" s="37" t="str">
        <f t="shared" si="61"/>
        <v>F3500</v>
      </c>
      <c r="Z348" s="37" t="str">
        <f t="shared" si="62"/>
        <v>F310</v>
      </c>
      <c r="AA348" s="37" t="str">
        <f t="shared" si="64"/>
        <v>F32</v>
      </c>
      <c r="AB348" s="498" t="str">
        <f t="shared" si="58"/>
        <v>F315</v>
      </c>
      <c r="AC348" s="572"/>
      <c r="AD348" s="572"/>
      <c r="AE348" s="572"/>
      <c r="AF348" s="572"/>
    </row>
    <row r="349" spans="1:32" ht="40.5" customHeight="1">
      <c r="A349" s="947">
        <f t="shared" si="65"/>
        <v>342</v>
      </c>
      <c r="B349" s="948">
        <v>6</v>
      </c>
      <c r="C349" s="949">
        <v>28261</v>
      </c>
      <c r="D349" s="949" t="s">
        <v>177</v>
      </c>
      <c r="E349" s="950">
        <v>16</v>
      </c>
      <c r="F349" s="644">
        <v>1977</v>
      </c>
      <c r="G349" s="948" t="s">
        <v>148</v>
      </c>
      <c r="H349" s="645" t="s">
        <v>152</v>
      </c>
      <c r="I349" s="951">
        <v>500</v>
      </c>
      <c r="J349" s="951">
        <v>3</v>
      </c>
      <c r="K349" s="952">
        <f t="shared" si="63"/>
        <v>0.85227272727272729</v>
      </c>
      <c r="L349" s="644">
        <f t="shared" si="55"/>
        <v>16</v>
      </c>
      <c r="M349" s="935">
        <v>0.67013888888888884</v>
      </c>
      <c r="N349" s="936">
        <f t="shared" si="56"/>
        <v>0.67013888888888884</v>
      </c>
      <c r="O349" s="725">
        <v>0.67569444444444438</v>
      </c>
      <c r="P349" s="725">
        <f t="shared" si="59"/>
        <v>5.5555555555555358E-3</v>
      </c>
      <c r="Q349" s="380" t="s">
        <v>750</v>
      </c>
      <c r="R349" s="37"/>
      <c r="S349" s="37" t="str">
        <f t="shared" si="57"/>
        <v>CollingsworthF3</v>
      </c>
      <c r="T349" s="37" t="str">
        <f t="shared" si="60"/>
        <v>1977F3</v>
      </c>
      <c r="U349" s="429">
        <v>500</v>
      </c>
      <c r="V349" s="1029">
        <v>2</v>
      </c>
      <c r="W349" s="598">
        <v>0.5</v>
      </c>
      <c r="X349" s="429"/>
      <c r="Y349" s="37" t="str">
        <f t="shared" si="61"/>
        <v>F3500</v>
      </c>
      <c r="Z349" s="37" t="str">
        <f t="shared" si="62"/>
        <v>F32</v>
      </c>
      <c r="AA349" s="37" t="str">
        <f t="shared" si="64"/>
        <v>F30.5</v>
      </c>
      <c r="AB349" s="498" t="str">
        <f t="shared" si="58"/>
        <v>F316</v>
      </c>
      <c r="AC349" s="572"/>
      <c r="AD349" s="572"/>
      <c r="AE349" s="572"/>
      <c r="AF349" s="572"/>
    </row>
    <row r="350" spans="1:32" ht="41.25" customHeight="1">
      <c r="A350" s="947">
        <f t="shared" si="65"/>
        <v>343</v>
      </c>
      <c r="B350" s="948">
        <v>7</v>
      </c>
      <c r="C350" s="949">
        <v>28261</v>
      </c>
      <c r="D350" s="949" t="s">
        <v>177</v>
      </c>
      <c r="E350" s="950">
        <v>16</v>
      </c>
      <c r="F350" s="644">
        <v>1977</v>
      </c>
      <c r="G350" s="948" t="s">
        <v>143</v>
      </c>
      <c r="H350" s="645" t="s">
        <v>152</v>
      </c>
      <c r="I350" s="951">
        <v>500</v>
      </c>
      <c r="J350" s="951">
        <v>12</v>
      </c>
      <c r="K350" s="952">
        <f t="shared" si="63"/>
        <v>3.4090909090909092</v>
      </c>
      <c r="L350" s="644">
        <f t="shared" ref="L350:L413" si="66">HOUR(N350)</f>
        <v>16</v>
      </c>
      <c r="M350" s="935">
        <v>0.67569444444444438</v>
      </c>
      <c r="N350" s="936">
        <f t="shared" si="56"/>
        <v>0.67569444444444438</v>
      </c>
      <c r="O350" s="725">
        <v>0.69444444444444453</v>
      </c>
      <c r="P350" s="725">
        <f t="shared" si="59"/>
        <v>1.8750000000000155E-2</v>
      </c>
      <c r="Q350" s="380" t="s">
        <v>751</v>
      </c>
      <c r="R350" s="37"/>
      <c r="S350" s="37" t="str">
        <f t="shared" si="57"/>
        <v>WheelerF3</v>
      </c>
      <c r="T350" s="37" t="str">
        <f t="shared" si="60"/>
        <v>1977F3</v>
      </c>
      <c r="U350" s="429">
        <v>20</v>
      </c>
      <c r="V350" s="1029">
        <v>10</v>
      </c>
      <c r="W350" s="598">
        <v>2</v>
      </c>
      <c r="X350" s="429"/>
      <c r="Y350" s="37" t="str">
        <f t="shared" si="61"/>
        <v>F320</v>
      </c>
      <c r="Z350" s="37" t="str">
        <f t="shared" si="62"/>
        <v>F310</v>
      </c>
      <c r="AA350" s="37" t="str">
        <f t="shared" si="64"/>
        <v>F32</v>
      </c>
      <c r="AB350" s="498" t="str">
        <f t="shared" si="58"/>
        <v>F316</v>
      </c>
      <c r="AC350" s="572"/>
      <c r="AD350" s="572"/>
      <c r="AE350" s="572"/>
      <c r="AF350" s="572"/>
    </row>
    <row r="351" spans="1:32">
      <c r="A351" s="947">
        <f t="shared" si="65"/>
        <v>344</v>
      </c>
      <c r="B351" s="948">
        <v>8</v>
      </c>
      <c r="C351" s="949">
        <v>28262</v>
      </c>
      <c r="D351" s="949" t="s">
        <v>177</v>
      </c>
      <c r="E351" s="950">
        <v>17</v>
      </c>
      <c r="F351" s="644">
        <v>1977</v>
      </c>
      <c r="G351" s="948" t="s">
        <v>146</v>
      </c>
      <c r="H351" s="645" t="s">
        <v>149</v>
      </c>
      <c r="I351" s="951">
        <v>20</v>
      </c>
      <c r="J351" s="951">
        <v>0.2</v>
      </c>
      <c r="K351" s="952">
        <f t="shared" si="63"/>
        <v>2.2727272727272731E-3</v>
      </c>
      <c r="L351" s="644">
        <f t="shared" si="66"/>
        <v>18</v>
      </c>
      <c r="M351" s="935">
        <v>0.77083333333333337</v>
      </c>
      <c r="N351" s="936">
        <f t="shared" si="56"/>
        <v>0.77083333333333337</v>
      </c>
      <c r="O351" s="725"/>
      <c r="P351" s="725">
        <f t="shared" si="59"/>
        <v>-0.77083333333333337</v>
      </c>
      <c r="Q351" s="622" t="s">
        <v>1188</v>
      </c>
      <c r="R351" s="37"/>
      <c r="S351" s="37" t="str">
        <f t="shared" si="57"/>
        <v>ArmstrongF0</v>
      </c>
      <c r="T351" s="37" t="str">
        <f t="shared" si="60"/>
        <v>1977F0</v>
      </c>
      <c r="U351" s="429">
        <v>20</v>
      </c>
      <c r="V351" s="1029">
        <v>0.2</v>
      </c>
      <c r="W351" s="598">
        <v>2E-3</v>
      </c>
      <c r="X351" s="429"/>
      <c r="Y351" s="37" t="str">
        <f t="shared" si="61"/>
        <v>F020</v>
      </c>
      <c r="Z351" s="37" t="str">
        <f t="shared" si="62"/>
        <v>F00.2</v>
      </c>
      <c r="AA351" s="37" t="str">
        <f t="shared" si="64"/>
        <v>F00.002</v>
      </c>
      <c r="AB351" s="498" t="str">
        <f t="shared" si="58"/>
        <v>F018</v>
      </c>
      <c r="AC351" s="572"/>
      <c r="AD351" s="572"/>
      <c r="AE351" s="572"/>
      <c r="AF351" s="572"/>
    </row>
    <row r="352" spans="1:32">
      <c r="A352" s="947">
        <f t="shared" si="65"/>
        <v>345</v>
      </c>
      <c r="B352" s="948">
        <v>9</v>
      </c>
      <c r="C352" s="949">
        <v>28262</v>
      </c>
      <c r="D352" s="949" t="s">
        <v>177</v>
      </c>
      <c r="E352" s="950">
        <v>17</v>
      </c>
      <c r="F352" s="644">
        <v>1977</v>
      </c>
      <c r="G352" s="948" t="s">
        <v>136</v>
      </c>
      <c r="H352" s="645" t="s">
        <v>150</v>
      </c>
      <c r="I352" s="951">
        <v>20</v>
      </c>
      <c r="J352" s="951">
        <v>1</v>
      </c>
      <c r="K352" s="952">
        <f t="shared" si="63"/>
        <v>1.1363636363636364E-2</v>
      </c>
      <c r="L352" s="644">
        <f t="shared" si="66"/>
        <v>19</v>
      </c>
      <c r="M352" s="935">
        <v>0.79166666666666663</v>
      </c>
      <c r="N352" s="936">
        <f t="shared" si="56"/>
        <v>0.79166666666666663</v>
      </c>
      <c r="O352" s="725"/>
      <c r="P352" s="725">
        <f t="shared" si="59"/>
        <v>-0.79166666666666663</v>
      </c>
      <c r="Q352" s="622" t="s">
        <v>1189</v>
      </c>
      <c r="R352" s="37"/>
      <c r="S352" s="37" t="str">
        <f t="shared" si="57"/>
        <v>HutchinsonF1</v>
      </c>
      <c r="T352" s="37" t="str">
        <f t="shared" si="60"/>
        <v>1977F1</v>
      </c>
      <c r="U352" s="429">
        <v>20</v>
      </c>
      <c r="V352" s="1029">
        <v>1</v>
      </c>
      <c r="W352" s="598">
        <v>0.01</v>
      </c>
      <c r="X352" s="429"/>
      <c r="Y352" s="37" t="str">
        <f t="shared" si="61"/>
        <v>F120</v>
      </c>
      <c r="Z352" s="37" t="str">
        <f t="shared" si="62"/>
        <v>F11</v>
      </c>
      <c r="AA352" s="37" t="str">
        <f t="shared" si="64"/>
        <v>F10.01</v>
      </c>
      <c r="AB352" s="498" t="str">
        <f t="shared" si="58"/>
        <v>F119</v>
      </c>
      <c r="AC352" s="572"/>
      <c r="AD352" s="572"/>
      <c r="AE352" s="572"/>
      <c r="AF352" s="572"/>
    </row>
    <row r="353" spans="1:32">
      <c r="A353" s="947">
        <f t="shared" si="65"/>
        <v>346</v>
      </c>
      <c r="B353" s="948">
        <v>10</v>
      </c>
      <c r="C353" s="949">
        <v>28262</v>
      </c>
      <c r="D353" s="949" t="s">
        <v>177</v>
      </c>
      <c r="E353" s="950">
        <v>17</v>
      </c>
      <c r="F353" s="644">
        <v>1977</v>
      </c>
      <c r="G353" s="948" t="s">
        <v>146</v>
      </c>
      <c r="H353" s="645" t="s">
        <v>150</v>
      </c>
      <c r="I353" s="951">
        <v>20</v>
      </c>
      <c r="J353" s="951">
        <v>6.4</v>
      </c>
      <c r="K353" s="952">
        <f t="shared" si="63"/>
        <v>7.2727272727272738E-2</v>
      </c>
      <c r="L353" s="644">
        <f t="shared" si="66"/>
        <v>19</v>
      </c>
      <c r="M353" s="935">
        <v>0.81041666666666667</v>
      </c>
      <c r="N353" s="936">
        <f t="shared" si="56"/>
        <v>0.81041666666666667</v>
      </c>
      <c r="O353" s="725"/>
      <c r="P353" s="725">
        <f t="shared" si="59"/>
        <v>-0.81041666666666667</v>
      </c>
      <c r="Q353" s="622" t="s">
        <v>47</v>
      </c>
      <c r="R353" s="37"/>
      <c r="S353" s="37" t="str">
        <f t="shared" si="57"/>
        <v>ArmstrongF1</v>
      </c>
      <c r="T353" s="37" t="str">
        <f t="shared" si="60"/>
        <v>1977F1</v>
      </c>
      <c r="U353" s="429">
        <v>20</v>
      </c>
      <c r="V353" s="1029">
        <v>5</v>
      </c>
      <c r="W353" s="598">
        <v>0.05</v>
      </c>
      <c r="X353" s="429"/>
      <c r="Y353" s="37" t="str">
        <f t="shared" si="61"/>
        <v>F120</v>
      </c>
      <c r="Z353" s="37" t="str">
        <f t="shared" si="62"/>
        <v>F15</v>
      </c>
      <c r="AA353" s="37" t="str">
        <f t="shared" si="64"/>
        <v>F10.05</v>
      </c>
      <c r="AB353" s="498" t="str">
        <f t="shared" si="58"/>
        <v>F119</v>
      </c>
      <c r="AC353" s="572"/>
      <c r="AD353" s="572"/>
      <c r="AE353" s="572"/>
      <c r="AF353" s="572"/>
    </row>
    <row r="354" spans="1:32">
      <c r="A354" s="947">
        <f t="shared" si="65"/>
        <v>347</v>
      </c>
      <c r="B354" s="948">
        <v>11</v>
      </c>
      <c r="C354" s="949">
        <v>28262</v>
      </c>
      <c r="D354" s="949" t="s">
        <v>177</v>
      </c>
      <c r="E354" s="950">
        <v>17</v>
      </c>
      <c r="F354" s="644">
        <v>1977</v>
      </c>
      <c r="G354" s="948" t="s">
        <v>141</v>
      </c>
      <c r="H354" s="645" t="s">
        <v>150</v>
      </c>
      <c r="I354" s="951">
        <v>20</v>
      </c>
      <c r="J354" s="951">
        <v>1</v>
      </c>
      <c r="K354" s="952">
        <f t="shared" si="63"/>
        <v>1.1363636363636364E-2</v>
      </c>
      <c r="L354" s="644">
        <f t="shared" si="66"/>
        <v>19</v>
      </c>
      <c r="M354" s="935">
        <v>0.82638888888888884</v>
      </c>
      <c r="N354" s="936">
        <f t="shared" si="56"/>
        <v>0.82638888888888884</v>
      </c>
      <c r="O354" s="725"/>
      <c r="P354" s="725">
        <f t="shared" si="59"/>
        <v>-0.82638888888888884</v>
      </c>
      <c r="Q354" s="622" t="s">
        <v>1190</v>
      </c>
      <c r="R354" s="37"/>
      <c r="S354" s="37" t="str">
        <f t="shared" si="57"/>
        <v>CarsonF1</v>
      </c>
      <c r="T354" s="37" t="str">
        <f t="shared" si="60"/>
        <v>1977F1</v>
      </c>
      <c r="U354" s="429">
        <v>20</v>
      </c>
      <c r="V354" s="1029">
        <v>1</v>
      </c>
      <c r="W354" s="598">
        <v>0.01</v>
      </c>
      <c r="X354" s="429"/>
      <c r="Y354" s="37" t="str">
        <f t="shared" si="61"/>
        <v>F120</v>
      </c>
      <c r="Z354" s="37" t="str">
        <f t="shared" si="62"/>
        <v>F11</v>
      </c>
      <c r="AA354" s="37" t="str">
        <f t="shared" si="64"/>
        <v>F10.01</v>
      </c>
      <c r="AB354" s="498" t="str">
        <f t="shared" si="58"/>
        <v>F119</v>
      </c>
      <c r="AC354" s="572"/>
      <c r="AD354" s="572"/>
      <c r="AE354" s="572"/>
      <c r="AF354" s="572"/>
    </row>
    <row r="355" spans="1:32">
      <c r="A355" s="947">
        <f t="shared" si="65"/>
        <v>348</v>
      </c>
      <c r="B355" s="948">
        <v>12</v>
      </c>
      <c r="C355" s="949">
        <v>28262</v>
      </c>
      <c r="D355" s="949" t="s">
        <v>177</v>
      </c>
      <c r="E355" s="950">
        <v>17</v>
      </c>
      <c r="F355" s="644">
        <v>1977</v>
      </c>
      <c r="G355" s="948" t="s">
        <v>146</v>
      </c>
      <c r="H355" s="645" t="s">
        <v>150</v>
      </c>
      <c r="I355" s="951">
        <v>20</v>
      </c>
      <c r="J355" s="951">
        <v>1</v>
      </c>
      <c r="K355" s="952">
        <f t="shared" si="63"/>
        <v>1.1363636363636364E-2</v>
      </c>
      <c r="L355" s="644">
        <f t="shared" si="66"/>
        <v>20</v>
      </c>
      <c r="M355" s="935">
        <v>0.86111111111111116</v>
      </c>
      <c r="N355" s="936">
        <f t="shared" si="56"/>
        <v>0.86111111111111116</v>
      </c>
      <c r="O355" s="725"/>
      <c r="P355" s="725">
        <f t="shared" si="59"/>
        <v>-0.86111111111111116</v>
      </c>
      <c r="Q355" s="622" t="s">
        <v>1191</v>
      </c>
      <c r="R355" s="37"/>
      <c r="S355" s="37" t="str">
        <f t="shared" si="57"/>
        <v>ArmstrongF1</v>
      </c>
      <c r="T355" s="37" t="str">
        <f t="shared" si="60"/>
        <v>1977F1</v>
      </c>
      <c r="U355" s="429">
        <v>20</v>
      </c>
      <c r="V355" s="1029">
        <v>1</v>
      </c>
      <c r="W355" s="598">
        <v>0.01</v>
      </c>
      <c r="X355" s="429"/>
      <c r="Y355" s="37" t="str">
        <f t="shared" si="61"/>
        <v>F120</v>
      </c>
      <c r="Z355" s="37" t="str">
        <f t="shared" si="62"/>
        <v>F11</v>
      </c>
      <c r="AA355" s="37" t="str">
        <f t="shared" si="64"/>
        <v>F10.01</v>
      </c>
      <c r="AB355" s="498" t="str">
        <f t="shared" si="58"/>
        <v>F120</v>
      </c>
      <c r="AC355" s="572"/>
      <c r="AD355" s="572"/>
      <c r="AE355" s="572"/>
      <c r="AF355" s="572"/>
    </row>
    <row r="356" spans="1:32">
      <c r="A356" s="947">
        <f t="shared" si="65"/>
        <v>349</v>
      </c>
      <c r="B356" s="948">
        <v>13</v>
      </c>
      <c r="C356" s="949">
        <v>28262</v>
      </c>
      <c r="D356" s="949" t="s">
        <v>177</v>
      </c>
      <c r="E356" s="950">
        <v>17</v>
      </c>
      <c r="F356" s="644">
        <v>1977</v>
      </c>
      <c r="G356" s="948" t="s">
        <v>142</v>
      </c>
      <c r="H356" s="645" t="s">
        <v>149</v>
      </c>
      <c r="I356" s="951">
        <v>20</v>
      </c>
      <c r="J356" s="951">
        <v>0.5</v>
      </c>
      <c r="K356" s="952">
        <f t="shared" si="63"/>
        <v>5.681818181818182E-3</v>
      </c>
      <c r="L356" s="644">
        <f t="shared" si="66"/>
        <v>22</v>
      </c>
      <c r="M356" s="935">
        <v>0.92361111111111116</v>
      </c>
      <c r="N356" s="936">
        <f t="shared" si="56"/>
        <v>0.92361111111111116</v>
      </c>
      <c r="O356" s="725"/>
      <c r="P356" s="725">
        <f t="shared" si="59"/>
        <v>-0.92361111111111116</v>
      </c>
      <c r="Q356" s="622" t="s">
        <v>1192</v>
      </c>
      <c r="R356" s="37"/>
      <c r="S356" s="37" t="str">
        <f t="shared" si="57"/>
        <v>GrayF0</v>
      </c>
      <c r="T356" s="37" t="str">
        <f t="shared" si="60"/>
        <v>1977F0</v>
      </c>
      <c r="U356" s="429">
        <v>20</v>
      </c>
      <c r="V356" s="1029">
        <v>0.5</v>
      </c>
      <c r="W356" s="598">
        <v>5.0000000000000001E-3</v>
      </c>
      <c r="X356" s="429"/>
      <c r="Y356" s="37" t="str">
        <f t="shared" si="61"/>
        <v>F020</v>
      </c>
      <c r="Z356" s="37" t="str">
        <f t="shared" si="62"/>
        <v>F00.5</v>
      </c>
      <c r="AA356" s="37" t="str">
        <f t="shared" si="64"/>
        <v>F00.005</v>
      </c>
      <c r="AB356" s="498" t="str">
        <f t="shared" si="58"/>
        <v>F022</v>
      </c>
      <c r="AC356" s="572"/>
      <c r="AD356" s="572"/>
      <c r="AE356" s="572"/>
      <c r="AF356" s="572"/>
    </row>
    <row r="357" spans="1:32" ht="41.25" customHeight="1">
      <c r="A357" s="947">
        <f t="shared" si="65"/>
        <v>350</v>
      </c>
      <c r="B357" s="948">
        <v>14</v>
      </c>
      <c r="C357" s="949">
        <v>28263</v>
      </c>
      <c r="D357" s="949" t="s">
        <v>177</v>
      </c>
      <c r="E357" s="950">
        <v>18</v>
      </c>
      <c r="F357" s="644">
        <v>1977</v>
      </c>
      <c r="G357" s="948" t="s">
        <v>126</v>
      </c>
      <c r="H357" s="645" t="s">
        <v>153</v>
      </c>
      <c r="I357" s="951">
        <v>440</v>
      </c>
      <c r="J357" s="951">
        <v>29.3</v>
      </c>
      <c r="K357" s="952">
        <f t="shared" si="63"/>
        <v>7.3250000000000002</v>
      </c>
      <c r="L357" s="644">
        <f t="shared" si="66"/>
        <v>13</v>
      </c>
      <c r="M357" s="935">
        <v>0.57638888888888895</v>
      </c>
      <c r="N357" s="936">
        <f t="shared" si="56"/>
        <v>0.57638888888888895</v>
      </c>
      <c r="O357" s="725">
        <v>0.60069444444444442</v>
      </c>
      <c r="P357" s="725">
        <f t="shared" si="59"/>
        <v>2.4305555555555469E-2</v>
      </c>
      <c r="Q357" s="380" t="s">
        <v>752</v>
      </c>
      <c r="R357" s="37"/>
      <c r="S357" s="37" t="str">
        <f t="shared" si="57"/>
        <v>CimarronF4</v>
      </c>
      <c r="T357" s="37" t="str">
        <f t="shared" si="60"/>
        <v>1977F4</v>
      </c>
      <c r="U357" s="429">
        <v>200</v>
      </c>
      <c r="V357" s="1029">
        <v>20</v>
      </c>
      <c r="W357" s="598">
        <v>5</v>
      </c>
      <c r="X357" s="429"/>
      <c r="Y357" s="37" t="str">
        <f t="shared" si="61"/>
        <v>F4200</v>
      </c>
      <c r="Z357" s="37" t="str">
        <f t="shared" si="62"/>
        <v>F420</v>
      </c>
      <c r="AA357" s="37" t="str">
        <f t="shared" si="64"/>
        <v>F45</v>
      </c>
      <c r="AB357" s="498" t="str">
        <f t="shared" si="58"/>
        <v>F413</v>
      </c>
      <c r="AC357" s="572"/>
      <c r="AD357" s="572"/>
      <c r="AE357" s="572"/>
      <c r="AF357" s="572"/>
    </row>
    <row r="358" spans="1:32" ht="43.5" customHeight="1">
      <c r="A358" s="947">
        <f t="shared" si="65"/>
        <v>351</v>
      </c>
      <c r="B358" s="948">
        <v>15</v>
      </c>
      <c r="C358" s="949">
        <v>28263</v>
      </c>
      <c r="D358" s="949" t="s">
        <v>177</v>
      </c>
      <c r="E358" s="950">
        <v>18</v>
      </c>
      <c r="F358" s="644">
        <v>1977</v>
      </c>
      <c r="G358" s="948" t="s">
        <v>126</v>
      </c>
      <c r="H358" s="645" t="s">
        <v>151</v>
      </c>
      <c r="I358" s="951">
        <v>50</v>
      </c>
      <c r="J358" s="951">
        <v>16.100000000000001</v>
      </c>
      <c r="K358" s="952">
        <f t="shared" si="63"/>
        <v>0.45738636363636365</v>
      </c>
      <c r="L358" s="644">
        <f t="shared" si="66"/>
        <v>13</v>
      </c>
      <c r="M358" s="935">
        <v>0.5625</v>
      </c>
      <c r="N358" s="936">
        <f t="shared" si="56"/>
        <v>0.5625</v>
      </c>
      <c r="O358" s="725"/>
      <c r="P358" s="725">
        <f t="shared" si="59"/>
        <v>-0.5625</v>
      </c>
      <c r="Q358" s="380" t="s">
        <v>753</v>
      </c>
      <c r="R358" s="37"/>
      <c r="S358" s="37" t="str">
        <f t="shared" si="57"/>
        <v>CimarronF2</v>
      </c>
      <c r="T358" s="37" t="str">
        <f t="shared" si="60"/>
        <v>1977F2</v>
      </c>
      <c r="U358" s="429">
        <v>50</v>
      </c>
      <c r="V358" s="1029">
        <v>10</v>
      </c>
      <c r="W358" s="598">
        <v>0.2</v>
      </c>
      <c r="X358" s="429"/>
      <c r="Y358" s="37" t="str">
        <f t="shared" si="61"/>
        <v>F250</v>
      </c>
      <c r="Z358" s="37" t="str">
        <f t="shared" si="62"/>
        <v>F210</v>
      </c>
      <c r="AA358" s="37" t="str">
        <f t="shared" si="64"/>
        <v>F20.2</v>
      </c>
      <c r="AB358" s="498" t="str">
        <f t="shared" si="58"/>
        <v>F213</v>
      </c>
      <c r="AC358" s="572"/>
      <c r="AD358" s="572"/>
      <c r="AE358" s="572"/>
      <c r="AF358" s="572"/>
    </row>
    <row r="359" spans="1:32">
      <c r="A359" s="947">
        <f t="shared" si="65"/>
        <v>352</v>
      </c>
      <c r="B359" s="948">
        <v>16</v>
      </c>
      <c r="C359" s="949">
        <v>28265</v>
      </c>
      <c r="D359" s="949" t="s">
        <v>177</v>
      </c>
      <c r="E359" s="950">
        <v>20</v>
      </c>
      <c r="F359" s="644">
        <v>1977</v>
      </c>
      <c r="G359" s="948" t="s">
        <v>147</v>
      </c>
      <c r="H359" s="645" t="s">
        <v>150</v>
      </c>
      <c r="I359" s="951">
        <v>30</v>
      </c>
      <c r="J359" s="951">
        <v>2</v>
      </c>
      <c r="K359" s="952">
        <f t="shared" si="63"/>
        <v>3.4090909090909088E-2</v>
      </c>
      <c r="L359" s="644">
        <f t="shared" si="66"/>
        <v>15</v>
      </c>
      <c r="M359" s="935">
        <v>0.64444444444444449</v>
      </c>
      <c r="N359" s="936">
        <f t="shared" si="56"/>
        <v>0.64444444444444449</v>
      </c>
      <c r="O359" s="725"/>
      <c r="P359" s="725">
        <f t="shared" si="59"/>
        <v>-0.64444444444444449</v>
      </c>
      <c r="Q359" s="622" t="s">
        <v>1193</v>
      </c>
      <c r="R359" s="37"/>
      <c r="S359" s="37" t="str">
        <f t="shared" si="57"/>
        <v>DonleyF1</v>
      </c>
      <c r="T359" s="37" t="str">
        <f t="shared" si="60"/>
        <v>1977F1</v>
      </c>
      <c r="U359" s="429">
        <v>20</v>
      </c>
      <c r="V359" s="1029">
        <v>2</v>
      </c>
      <c r="W359" s="598">
        <v>0.02</v>
      </c>
      <c r="X359" s="429"/>
      <c r="Y359" s="37" t="str">
        <f t="shared" si="61"/>
        <v>F120</v>
      </c>
      <c r="Z359" s="37" t="str">
        <f t="shared" si="62"/>
        <v>F12</v>
      </c>
      <c r="AA359" s="37" t="str">
        <f t="shared" si="64"/>
        <v>F10.02</v>
      </c>
      <c r="AB359" s="498" t="str">
        <f t="shared" si="58"/>
        <v>F115</v>
      </c>
      <c r="AC359" s="572"/>
      <c r="AD359" s="572"/>
      <c r="AE359" s="572"/>
      <c r="AF359" s="572"/>
    </row>
    <row r="360" spans="1:32">
      <c r="A360" s="947">
        <f t="shared" si="65"/>
        <v>353</v>
      </c>
      <c r="B360" s="948">
        <v>17</v>
      </c>
      <c r="C360" s="949">
        <v>28265</v>
      </c>
      <c r="D360" s="949" t="s">
        <v>177</v>
      </c>
      <c r="E360" s="950">
        <v>20</v>
      </c>
      <c r="F360" s="644">
        <v>1977</v>
      </c>
      <c r="G360" s="948" t="s">
        <v>143</v>
      </c>
      <c r="H360" s="645" t="s">
        <v>149</v>
      </c>
      <c r="I360" s="951">
        <v>20</v>
      </c>
      <c r="J360" s="951">
        <v>1</v>
      </c>
      <c r="K360" s="952">
        <f t="shared" si="63"/>
        <v>1.1363636363636364E-2</v>
      </c>
      <c r="L360" s="644">
        <f t="shared" si="66"/>
        <v>17</v>
      </c>
      <c r="M360" s="935">
        <v>0.71805555555555556</v>
      </c>
      <c r="N360" s="936">
        <f t="shared" si="56"/>
        <v>0.71805555555555556</v>
      </c>
      <c r="O360" s="725"/>
      <c r="P360" s="725">
        <f t="shared" si="59"/>
        <v>-0.71805555555555556</v>
      </c>
      <c r="Q360" s="622" t="s">
        <v>1194</v>
      </c>
      <c r="R360" s="37"/>
      <c r="S360" s="37" t="str">
        <f t="shared" si="57"/>
        <v>WheelerF0</v>
      </c>
      <c r="T360" s="37" t="str">
        <f t="shared" si="60"/>
        <v>1977F0</v>
      </c>
      <c r="U360" s="429">
        <v>20</v>
      </c>
      <c r="V360" s="1029">
        <v>1</v>
      </c>
      <c r="W360" s="598">
        <v>0.01</v>
      </c>
      <c r="X360" s="429"/>
      <c r="Y360" s="37" t="str">
        <f t="shared" si="61"/>
        <v>F020</v>
      </c>
      <c r="Z360" s="37" t="str">
        <f t="shared" si="62"/>
        <v>F01</v>
      </c>
      <c r="AA360" s="37" t="str">
        <f t="shared" si="64"/>
        <v>F00.01</v>
      </c>
      <c r="AB360" s="498" t="str">
        <f t="shared" si="58"/>
        <v>F017</v>
      </c>
      <c r="AC360" s="572"/>
      <c r="AD360" s="572"/>
      <c r="AE360" s="572"/>
      <c r="AF360" s="572"/>
    </row>
    <row r="361" spans="1:32">
      <c r="A361" s="947">
        <f t="shared" si="65"/>
        <v>354</v>
      </c>
      <c r="B361" s="948">
        <v>18</v>
      </c>
      <c r="C361" s="949">
        <v>28267</v>
      </c>
      <c r="D361" s="949" t="s">
        <v>177</v>
      </c>
      <c r="E361" s="950">
        <v>22</v>
      </c>
      <c r="F361" s="644">
        <v>1977</v>
      </c>
      <c r="G361" s="948" t="s">
        <v>133</v>
      </c>
      <c r="H361" s="645" t="s">
        <v>150</v>
      </c>
      <c r="I361" s="951">
        <v>30</v>
      </c>
      <c r="J361" s="951">
        <v>2</v>
      </c>
      <c r="K361" s="952">
        <f t="shared" si="63"/>
        <v>3.4090909090909088E-2</v>
      </c>
      <c r="L361" s="644">
        <f t="shared" si="66"/>
        <v>18</v>
      </c>
      <c r="M361" s="935">
        <v>0.76597222222222217</v>
      </c>
      <c r="N361" s="936">
        <f t="shared" si="56"/>
        <v>0.76597222222222217</v>
      </c>
      <c r="O361" s="725"/>
      <c r="P361" s="725">
        <f t="shared" si="59"/>
        <v>-0.76597222222222217</v>
      </c>
      <c r="Q361" s="622"/>
      <c r="R361" s="37"/>
      <c r="S361" s="37" t="str">
        <f t="shared" si="57"/>
        <v>LipscombF1</v>
      </c>
      <c r="T361" s="37" t="str">
        <f t="shared" si="60"/>
        <v>1977F1</v>
      </c>
      <c r="U361" s="429">
        <v>20</v>
      </c>
      <c r="V361" s="1029">
        <v>2</v>
      </c>
      <c r="W361" s="598">
        <v>0.02</v>
      </c>
      <c r="X361" s="429"/>
      <c r="Y361" s="37" t="str">
        <f t="shared" si="61"/>
        <v>F120</v>
      </c>
      <c r="Z361" s="37" t="str">
        <f t="shared" si="62"/>
        <v>F12</v>
      </c>
      <c r="AA361" s="37" t="str">
        <f t="shared" si="64"/>
        <v>F10.02</v>
      </c>
      <c r="AB361" s="498" t="str">
        <f t="shared" si="58"/>
        <v>F118</v>
      </c>
      <c r="AC361" s="572"/>
      <c r="AD361" s="572"/>
      <c r="AE361" s="572"/>
      <c r="AF361" s="572"/>
    </row>
    <row r="362" spans="1:32">
      <c r="A362" s="947">
        <f t="shared" si="65"/>
        <v>355</v>
      </c>
      <c r="B362" s="948">
        <v>19</v>
      </c>
      <c r="C362" s="949">
        <v>28270</v>
      </c>
      <c r="D362" s="949" t="s">
        <v>177</v>
      </c>
      <c r="E362" s="950">
        <v>25</v>
      </c>
      <c r="F362" s="644">
        <v>1977</v>
      </c>
      <c r="G362" s="948" t="s">
        <v>131</v>
      </c>
      <c r="H362" s="645" t="s">
        <v>149</v>
      </c>
      <c r="I362" s="951">
        <v>20</v>
      </c>
      <c r="J362" s="951">
        <v>1</v>
      </c>
      <c r="K362" s="952">
        <f t="shared" si="63"/>
        <v>1.1363636363636364E-2</v>
      </c>
      <c r="L362" s="644">
        <f t="shared" si="66"/>
        <v>17</v>
      </c>
      <c r="M362" s="935">
        <v>0.71944444444444444</v>
      </c>
      <c r="N362" s="936">
        <f t="shared" si="56"/>
        <v>0.71944444444444444</v>
      </c>
      <c r="O362" s="725"/>
      <c r="P362" s="725">
        <f t="shared" si="59"/>
        <v>-0.71944444444444444</v>
      </c>
      <c r="Q362" s="622"/>
      <c r="R362" s="37"/>
      <c r="S362" s="37" t="str">
        <f t="shared" si="57"/>
        <v>HansfordF0</v>
      </c>
      <c r="T362" s="37" t="str">
        <f t="shared" si="60"/>
        <v>1977F0</v>
      </c>
      <c r="U362" s="429">
        <v>20</v>
      </c>
      <c r="V362" s="1029">
        <v>1</v>
      </c>
      <c r="W362" s="598">
        <v>0.01</v>
      </c>
      <c r="X362" s="429"/>
      <c r="Y362" s="37" t="str">
        <f t="shared" si="61"/>
        <v>F020</v>
      </c>
      <c r="Z362" s="37" t="str">
        <f t="shared" si="62"/>
        <v>F01</v>
      </c>
      <c r="AA362" s="37" t="str">
        <f t="shared" si="64"/>
        <v>F00.01</v>
      </c>
      <c r="AB362" s="498" t="str">
        <f t="shared" si="58"/>
        <v>F017</v>
      </c>
      <c r="AC362" s="572"/>
      <c r="AD362" s="572"/>
      <c r="AE362" s="572"/>
      <c r="AF362" s="572"/>
    </row>
    <row r="363" spans="1:32">
      <c r="A363" s="947">
        <f t="shared" si="65"/>
        <v>356</v>
      </c>
      <c r="B363" s="948">
        <v>20</v>
      </c>
      <c r="C363" s="949">
        <v>28295</v>
      </c>
      <c r="D363" s="949" t="s">
        <v>178</v>
      </c>
      <c r="E363" s="950">
        <v>19</v>
      </c>
      <c r="F363" s="644">
        <v>1977</v>
      </c>
      <c r="G363" s="948" t="s">
        <v>130</v>
      </c>
      <c r="H363" s="645" t="s">
        <v>149</v>
      </c>
      <c r="I363" s="951">
        <v>30</v>
      </c>
      <c r="J363" s="951">
        <v>0.5</v>
      </c>
      <c r="K363" s="952">
        <f t="shared" si="63"/>
        <v>8.5227272727272721E-3</v>
      </c>
      <c r="L363" s="644">
        <f t="shared" si="66"/>
        <v>20</v>
      </c>
      <c r="M363" s="935">
        <v>0.87152777777777779</v>
      </c>
      <c r="N363" s="936">
        <f t="shared" si="56"/>
        <v>0.87152777777777779</v>
      </c>
      <c r="O363" s="725"/>
      <c r="P363" s="725">
        <f t="shared" si="59"/>
        <v>-0.87152777777777779</v>
      </c>
      <c r="Q363" s="622"/>
      <c r="R363" s="37"/>
      <c r="S363" s="37" t="str">
        <f t="shared" si="57"/>
        <v>ShermanF0</v>
      </c>
      <c r="T363" s="37" t="str">
        <f t="shared" si="60"/>
        <v>1977F0</v>
      </c>
      <c r="U363" s="429">
        <v>20</v>
      </c>
      <c r="V363" s="1029">
        <v>0.5</v>
      </c>
      <c r="W363" s="598">
        <v>5.0000000000000001E-3</v>
      </c>
      <c r="X363" s="429"/>
      <c r="Y363" s="37" t="str">
        <f t="shared" si="61"/>
        <v>F020</v>
      </c>
      <c r="Z363" s="37" t="str">
        <f t="shared" si="62"/>
        <v>F00.5</v>
      </c>
      <c r="AA363" s="37" t="str">
        <f t="shared" si="64"/>
        <v>F00.005</v>
      </c>
      <c r="AB363" s="498" t="str">
        <f t="shared" si="58"/>
        <v>F020</v>
      </c>
      <c r="AC363" s="572"/>
      <c r="AD363" s="572"/>
      <c r="AE363" s="572"/>
      <c r="AF363" s="572"/>
    </row>
    <row r="364" spans="1:32">
      <c r="A364" s="947">
        <f t="shared" si="65"/>
        <v>357</v>
      </c>
      <c r="B364" s="948">
        <v>21</v>
      </c>
      <c r="C364" s="949">
        <v>28331</v>
      </c>
      <c r="D364" s="949" t="s">
        <v>179</v>
      </c>
      <c r="E364" s="950">
        <v>25</v>
      </c>
      <c r="F364" s="644">
        <v>1977</v>
      </c>
      <c r="G364" s="948" t="s">
        <v>130</v>
      </c>
      <c r="H364" s="645" t="s">
        <v>150</v>
      </c>
      <c r="I364" s="951">
        <v>20</v>
      </c>
      <c r="J364" s="951">
        <v>0.5</v>
      </c>
      <c r="K364" s="952">
        <f t="shared" si="63"/>
        <v>5.681818181818182E-3</v>
      </c>
      <c r="L364" s="644">
        <f t="shared" si="66"/>
        <v>23</v>
      </c>
      <c r="M364" s="935">
        <v>0.9590277777777777</v>
      </c>
      <c r="N364" s="936">
        <f t="shared" si="56"/>
        <v>0.9590277777777777</v>
      </c>
      <c r="O364" s="725"/>
      <c r="P364" s="725">
        <f t="shared" si="59"/>
        <v>-0.9590277777777777</v>
      </c>
      <c r="Q364" s="622"/>
      <c r="R364" s="37"/>
      <c r="S364" s="37" t="str">
        <f t="shared" si="57"/>
        <v>ShermanF1</v>
      </c>
      <c r="T364" s="37" t="str">
        <f t="shared" si="60"/>
        <v>1977F1</v>
      </c>
      <c r="U364" s="429">
        <v>20</v>
      </c>
      <c r="V364" s="1029">
        <v>0.5</v>
      </c>
      <c r="W364" s="598">
        <v>5.0000000000000001E-3</v>
      </c>
      <c r="X364" s="429"/>
      <c r="Y364" s="37" t="str">
        <f t="shared" si="61"/>
        <v>F120</v>
      </c>
      <c r="Z364" s="37" t="str">
        <f t="shared" si="62"/>
        <v>F10.5</v>
      </c>
      <c r="AA364" s="37" t="str">
        <f t="shared" si="64"/>
        <v>F10.005</v>
      </c>
      <c r="AB364" s="498" t="str">
        <f t="shared" si="58"/>
        <v>F123</v>
      </c>
      <c r="AC364" s="572"/>
      <c r="AD364" s="572"/>
      <c r="AE364" s="572"/>
      <c r="AF364" s="572"/>
    </row>
    <row r="365" spans="1:32">
      <c r="A365" s="947">
        <f t="shared" si="65"/>
        <v>358</v>
      </c>
      <c r="B365" s="948">
        <v>22</v>
      </c>
      <c r="C365" s="949">
        <v>28339</v>
      </c>
      <c r="D365" s="949" t="s">
        <v>180</v>
      </c>
      <c r="E365" s="950">
        <v>2</v>
      </c>
      <c r="F365" s="644">
        <v>1977</v>
      </c>
      <c r="G365" s="948" t="s">
        <v>131</v>
      </c>
      <c r="H365" s="645" t="s">
        <v>149</v>
      </c>
      <c r="I365" s="951">
        <v>30</v>
      </c>
      <c r="J365" s="951">
        <v>0.5</v>
      </c>
      <c r="K365" s="952">
        <f t="shared" si="63"/>
        <v>8.5227272727272721E-3</v>
      </c>
      <c r="L365" s="644">
        <f t="shared" si="66"/>
        <v>16</v>
      </c>
      <c r="M365" s="935">
        <v>0.6875</v>
      </c>
      <c r="N365" s="936">
        <f t="shared" si="56"/>
        <v>0.6875</v>
      </c>
      <c r="O365" s="725"/>
      <c r="P365" s="725">
        <f t="shared" si="59"/>
        <v>-0.6875</v>
      </c>
      <c r="Q365" s="622"/>
      <c r="R365" s="37"/>
      <c r="S365" s="37" t="str">
        <f t="shared" si="57"/>
        <v>HansfordF0</v>
      </c>
      <c r="T365" s="37" t="str">
        <f t="shared" si="60"/>
        <v>1977F0</v>
      </c>
      <c r="U365" s="429">
        <v>20</v>
      </c>
      <c r="V365" s="1029">
        <v>0.5</v>
      </c>
      <c r="W365" s="598">
        <v>5.0000000000000001E-3</v>
      </c>
      <c r="X365" s="429"/>
      <c r="Y365" s="37" t="str">
        <f t="shared" si="61"/>
        <v>F020</v>
      </c>
      <c r="Z365" s="37" t="str">
        <f t="shared" si="62"/>
        <v>F00.5</v>
      </c>
      <c r="AA365" s="37" t="str">
        <f t="shared" si="64"/>
        <v>F00.005</v>
      </c>
      <c r="AB365" s="498" t="str">
        <f t="shared" si="58"/>
        <v>F016</v>
      </c>
      <c r="AC365" s="572"/>
      <c r="AD365" s="572"/>
      <c r="AE365" s="572"/>
      <c r="AF365" s="572"/>
    </row>
    <row r="366" spans="1:32">
      <c r="A366" s="947">
        <f t="shared" si="65"/>
        <v>359</v>
      </c>
      <c r="B366" s="948">
        <v>1</v>
      </c>
      <c r="C366" s="949">
        <v>28610</v>
      </c>
      <c r="D366" s="949" t="s">
        <v>176</v>
      </c>
      <c r="E366" s="950">
        <v>30</v>
      </c>
      <c r="F366" s="644">
        <v>1978</v>
      </c>
      <c r="G366" s="948" t="s">
        <v>132</v>
      </c>
      <c r="H366" s="645" t="s">
        <v>151</v>
      </c>
      <c r="I366" s="951">
        <v>100</v>
      </c>
      <c r="J366" s="951">
        <v>8.6</v>
      </c>
      <c r="K366" s="952">
        <f t="shared" si="63"/>
        <v>0.48863636363636359</v>
      </c>
      <c r="L366" s="644">
        <f t="shared" si="66"/>
        <v>15</v>
      </c>
      <c r="M366" s="935">
        <v>0.64166666666666672</v>
      </c>
      <c r="N366" s="936">
        <f t="shared" si="56"/>
        <v>0.64166666666666672</v>
      </c>
      <c r="O366" s="725"/>
      <c r="P366" s="725">
        <f t="shared" si="59"/>
        <v>-0.64166666666666672</v>
      </c>
      <c r="Q366" s="622"/>
      <c r="R366" s="37"/>
      <c r="S366" s="37" t="str">
        <f t="shared" si="57"/>
        <v>OchiltreeF2</v>
      </c>
      <c r="T366" s="37" t="str">
        <f t="shared" si="60"/>
        <v>1978F2</v>
      </c>
      <c r="U366" s="429">
        <v>100</v>
      </c>
      <c r="V366" s="1029">
        <v>5</v>
      </c>
      <c r="W366" s="598">
        <v>0.2</v>
      </c>
      <c r="X366" s="429"/>
      <c r="Y366" s="37" t="str">
        <f t="shared" si="61"/>
        <v>F2100</v>
      </c>
      <c r="Z366" s="37" t="str">
        <f t="shared" si="62"/>
        <v>F25</v>
      </c>
      <c r="AA366" s="37" t="str">
        <f t="shared" si="64"/>
        <v>F20.2</v>
      </c>
      <c r="AB366" s="498" t="str">
        <f t="shared" si="58"/>
        <v>F215</v>
      </c>
      <c r="AC366" s="572"/>
      <c r="AD366" s="572"/>
      <c r="AE366" s="572"/>
      <c r="AF366" s="572"/>
    </row>
    <row r="367" spans="1:32">
      <c r="A367" s="947">
        <f t="shared" si="65"/>
        <v>360</v>
      </c>
      <c r="B367" s="948">
        <v>2</v>
      </c>
      <c r="C367" s="949">
        <v>28610</v>
      </c>
      <c r="D367" s="949" t="s">
        <v>176</v>
      </c>
      <c r="E367" s="950">
        <v>30</v>
      </c>
      <c r="F367" s="644">
        <v>1978</v>
      </c>
      <c r="G367" s="948" t="s">
        <v>133</v>
      </c>
      <c r="H367" s="645" t="s">
        <v>152</v>
      </c>
      <c r="I367" s="951">
        <v>100</v>
      </c>
      <c r="J367" s="951">
        <v>14.4</v>
      </c>
      <c r="K367" s="952">
        <f t="shared" si="63"/>
        <v>0.81818181818181812</v>
      </c>
      <c r="L367" s="644">
        <f t="shared" si="66"/>
        <v>16</v>
      </c>
      <c r="M367" s="935">
        <v>0.68611111111111101</v>
      </c>
      <c r="N367" s="936">
        <f t="shared" si="56"/>
        <v>0.68611111111111101</v>
      </c>
      <c r="O367" s="725"/>
      <c r="P367" s="725">
        <f t="shared" si="59"/>
        <v>-0.68611111111111101</v>
      </c>
      <c r="Q367" s="622"/>
      <c r="R367" s="37"/>
      <c r="S367" s="37" t="str">
        <f t="shared" si="57"/>
        <v>LipscombF3</v>
      </c>
      <c r="T367" s="37" t="str">
        <f t="shared" si="60"/>
        <v>1978F3</v>
      </c>
      <c r="U367" s="429">
        <v>100</v>
      </c>
      <c r="V367" s="1029">
        <v>10</v>
      </c>
      <c r="W367" s="598">
        <v>0.5</v>
      </c>
      <c r="X367" s="429"/>
      <c r="Y367" s="37" t="str">
        <f t="shared" si="61"/>
        <v>F3100</v>
      </c>
      <c r="Z367" s="37" t="str">
        <f t="shared" si="62"/>
        <v>F310</v>
      </c>
      <c r="AA367" s="37" t="str">
        <f t="shared" si="64"/>
        <v>F30.5</v>
      </c>
      <c r="AB367" s="498" t="str">
        <f t="shared" si="58"/>
        <v>F316</v>
      </c>
      <c r="AC367" s="572"/>
      <c r="AD367" s="572"/>
      <c r="AE367" s="572"/>
      <c r="AF367" s="572"/>
    </row>
    <row r="368" spans="1:32">
      <c r="A368" s="947">
        <f t="shared" si="65"/>
        <v>361</v>
      </c>
      <c r="B368" s="948">
        <v>3</v>
      </c>
      <c r="C368" s="949">
        <v>28613</v>
      </c>
      <c r="D368" s="949" t="s">
        <v>177</v>
      </c>
      <c r="E368" s="950">
        <v>3</v>
      </c>
      <c r="F368" s="644">
        <v>1978</v>
      </c>
      <c r="G368" s="948" t="s">
        <v>133</v>
      </c>
      <c r="H368" s="645" t="s">
        <v>149</v>
      </c>
      <c r="I368" s="951">
        <v>400</v>
      </c>
      <c r="J368" s="951">
        <v>6.5</v>
      </c>
      <c r="K368" s="952">
        <f t="shared" si="63"/>
        <v>1.4772727272727273</v>
      </c>
      <c r="L368" s="644">
        <f t="shared" si="66"/>
        <v>16</v>
      </c>
      <c r="M368" s="935">
        <v>0.6875</v>
      </c>
      <c r="N368" s="936">
        <f t="shared" si="56"/>
        <v>0.6875</v>
      </c>
      <c r="O368" s="725"/>
      <c r="P368" s="725">
        <f t="shared" si="59"/>
        <v>-0.6875</v>
      </c>
      <c r="Q368" s="622"/>
      <c r="R368" s="37"/>
      <c r="S368" s="37" t="str">
        <f t="shared" si="57"/>
        <v>LipscombF0</v>
      </c>
      <c r="T368" s="37" t="str">
        <f t="shared" si="60"/>
        <v>1978F0</v>
      </c>
      <c r="U368" s="429">
        <v>200</v>
      </c>
      <c r="V368" s="1029">
        <v>5</v>
      </c>
      <c r="W368" s="598">
        <v>1</v>
      </c>
      <c r="X368" s="429"/>
      <c r="Y368" s="37" t="str">
        <f t="shared" si="61"/>
        <v>F0200</v>
      </c>
      <c r="Z368" s="37" t="str">
        <f t="shared" si="62"/>
        <v>F05</v>
      </c>
      <c r="AA368" s="37" t="str">
        <f t="shared" si="64"/>
        <v>F01</v>
      </c>
      <c r="AB368" s="498" t="str">
        <f t="shared" si="58"/>
        <v>F016</v>
      </c>
      <c r="AC368" s="572"/>
      <c r="AD368" s="572"/>
      <c r="AE368" s="572"/>
      <c r="AF368" s="572"/>
    </row>
    <row r="369" spans="1:32">
      <c r="A369" s="947">
        <f t="shared" si="65"/>
        <v>362</v>
      </c>
      <c r="B369" s="948">
        <v>4</v>
      </c>
      <c r="C369" s="949">
        <v>28614</v>
      </c>
      <c r="D369" s="949" t="s">
        <v>177</v>
      </c>
      <c r="E369" s="950">
        <v>4</v>
      </c>
      <c r="F369" s="644">
        <v>1978</v>
      </c>
      <c r="G369" s="948" t="s">
        <v>130</v>
      </c>
      <c r="H369" s="645" t="s">
        <v>149</v>
      </c>
      <c r="I369" s="951">
        <v>60</v>
      </c>
      <c r="J369" s="951">
        <v>11.3</v>
      </c>
      <c r="K369" s="952">
        <f t="shared" si="63"/>
        <v>0.3852272727272727</v>
      </c>
      <c r="L369" s="644">
        <f t="shared" si="66"/>
        <v>16</v>
      </c>
      <c r="M369" s="935">
        <v>0.70138888888888884</v>
      </c>
      <c r="N369" s="936">
        <f t="shared" si="56"/>
        <v>0.70138888888888884</v>
      </c>
      <c r="O369" s="725"/>
      <c r="P369" s="725">
        <f t="shared" si="59"/>
        <v>-0.70138888888888884</v>
      </c>
      <c r="Q369" s="622"/>
      <c r="R369" s="37"/>
      <c r="S369" s="37" t="str">
        <f t="shared" si="57"/>
        <v>ShermanF0</v>
      </c>
      <c r="T369" s="37" t="str">
        <f t="shared" si="60"/>
        <v>1978F0</v>
      </c>
      <c r="U369" s="429">
        <v>50</v>
      </c>
      <c r="V369" s="1029">
        <v>10</v>
      </c>
      <c r="W369" s="598">
        <v>0.2</v>
      </c>
      <c r="X369" s="429"/>
      <c r="Y369" s="37" t="str">
        <f t="shared" si="61"/>
        <v>F050</v>
      </c>
      <c r="Z369" s="37" t="str">
        <f t="shared" si="62"/>
        <v>F010</v>
      </c>
      <c r="AA369" s="37" t="str">
        <f t="shared" si="64"/>
        <v>F00.2</v>
      </c>
      <c r="AB369" s="498" t="str">
        <f t="shared" si="58"/>
        <v>F016</v>
      </c>
      <c r="AC369" s="572"/>
      <c r="AD369" s="572"/>
      <c r="AE369" s="572"/>
      <c r="AF369" s="572"/>
    </row>
    <row r="370" spans="1:32">
      <c r="A370" s="947">
        <f t="shared" si="65"/>
        <v>363</v>
      </c>
      <c r="B370" s="948">
        <v>5</v>
      </c>
      <c r="C370" s="949">
        <v>28615</v>
      </c>
      <c r="D370" s="949" t="s">
        <v>177</v>
      </c>
      <c r="E370" s="950">
        <v>5</v>
      </c>
      <c r="F370" s="644">
        <v>1978</v>
      </c>
      <c r="G370" s="948" t="s">
        <v>129</v>
      </c>
      <c r="H370" s="645" t="s">
        <v>149</v>
      </c>
      <c r="I370" s="951">
        <v>30</v>
      </c>
      <c r="J370" s="951">
        <v>4.5</v>
      </c>
      <c r="K370" s="952">
        <f t="shared" si="63"/>
        <v>7.6704545454545442E-2</v>
      </c>
      <c r="L370" s="644">
        <f t="shared" si="66"/>
        <v>17</v>
      </c>
      <c r="M370" s="935">
        <v>0.73958333333333337</v>
      </c>
      <c r="N370" s="936">
        <f t="shared" si="56"/>
        <v>0.73958333333333337</v>
      </c>
      <c r="O370" s="725"/>
      <c r="P370" s="725">
        <f t="shared" si="59"/>
        <v>-0.73958333333333337</v>
      </c>
      <c r="Q370" s="622"/>
      <c r="R370" s="37"/>
      <c r="S370" s="37" t="str">
        <f t="shared" si="57"/>
        <v>DallamF0</v>
      </c>
      <c r="T370" s="37" t="str">
        <f t="shared" si="60"/>
        <v>1978F0</v>
      </c>
      <c r="U370" s="429">
        <v>20</v>
      </c>
      <c r="V370" s="1029">
        <v>2</v>
      </c>
      <c r="W370" s="598">
        <v>0.05</v>
      </c>
      <c r="X370" s="429"/>
      <c r="Y370" s="37" t="str">
        <f t="shared" si="61"/>
        <v>F020</v>
      </c>
      <c r="Z370" s="37" t="str">
        <f t="shared" si="62"/>
        <v>F02</v>
      </c>
      <c r="AA370" s="37" t="str">
        <f t="shared" si="64"/>
        <v>F00.05</v>
      </c>
      <c r="AB370" s="498" t="str">
        <f t="shared" si="58"/>
        <v>F017</v>
      </c>
      <c r="AC370" s="572"/>
      <c r="AD370" s="572"/>
      <c r="AE370" s="572"/>
      <c r="AF370" s="572"/>
    </row>
    <row r="371" spans="1:32">
      <c r="A371" s="947">
        <f t="shared" si="65"/>
        <v>364</v>
      </c>
      <c r="B371" s="948">
        <v>6</v>
      </c>
      <c r="C371" s="949">
        <v>28615</v>
      </c>
      <c r="D371" s="949" t="s">
        <v>177</v>
      </c>
      <c r="E371" s="950">
        <v>5</v>
      </c>
      <c r="F371" s="644">
        <v>1978</v>
      </c>
      <c r="G371" s="948" t="s">
        <v>129</v>
      </c>
      <c r="H371" s="645" t="s">
        <v>149</v>
      </c>
      <c r="I371" s="951">
        <v>30</v>
      </c>
      <c r="J371" s="951">
        <v>2</v>
      </c>
      <c r="K371" s="952">
        <f t="shared" si="63"/>
        <v>3.4090909090909088E-2</v>
      </c>
      <c r="L371" s="644">
        <f t="shared" si="66"/>
        <v>18</v>
      </c>
      <c r="M371" s="935">
        <v>0.77083333333333337</v>
      </c>
      <c r="N371" s="936">
        <f t="shared" si="56"/>
        <v>0.77083333333333337</v>
      </c>
      <c r="O371" s="725"/>
      <c r="P371" s="725">
        <f t="shared" si="59"/>
        <v>-0.77083333333333337</v>
      </c>
      <c r="Q371" s="622"/>
      <c r="R371" s="37"/>
      <c r="S371" s="37" t="str">
        <f t="shared" si="57"/>
        <v>DallamF0</v>
      </c>
      <c r="T371" s="37" t="str">
        <f t="shared" si="60"/>
        <v>1978F0</v>
      </c>
      <c r="U371" s="429">
        <v>20</v>
      </c>
      <c r="V371" s="1029">
        <v>2</v>
      </c>
      <c r="W371" s="598">
        <v>0.02</v>
      </c>
      <c r="X371" s="429"/>
      <c r="Y371" s="37" t="str">
        <f t="shared" si="61"/>
        <v>F020</v>
      </c>
      <c r="Z371" s="37" t="str">
        <f t="shared" si="62"/>
        <v>F02</v>
      </c>
      <c r="AA371" s="37" t="str">
        <f t="shared" si="64"/>
        <v>F00.02</v>
      </c>
      <c r="AB371" s="498" t="str">
        <f t="shared" si="58"/>
        <v>F018</v>
      </c>
      <c r="AC371" s="572"/>
      <c r="AD371" s="572"/>
      <c r="AE371" s="572"/>
      <c r="AF371" s="572"/>
    </row>
    <row r="372" spans="1:32">
      <c r="A372" s="947">
        <f t="shared" si="65"/>
        <v>365</v>
      </c>
      <c r="B372" s="948">
        <v>7</v>
      </c>
      <c r="C372" s="949">
        <v>28630</v>
      </c>
      <c r="D372" s="949" t="s">
        <v>177</v>
      </c>
      <c r="E372" s="950">
        <v>20</v>
      </c>
      <c r="F372" s="644">
        <v>1978</v>
      </c>
      <c r="G372" s="948" t="s">
        <v>143</v>
      </c>
      <c r="H372" s="645" t="s">
        <v>149</v>
      </c>
      <c r="I372" s="951">
        <v>30</v>
      </c>
      <c r="J372" s="951">
        <v>2</v>
      </c>
      <c r="K372" s="952">
        <f t="shared" si="63"/>
        <v>3.4090909090909088E-2</v>
      </c>
      <c r="L372" s="644">
        <f t="shared" si="66"/>
        <v>23</v>
      </c>
      <c r="M372" s="935">
        <v>0.96597222222222223</v>
      </c>
      <c r="N372" s="936">
        <f t="shared" si="56"/>
        <v>0.96597222222222223</v>
      </c>
      <c r="O372" s="725"/>
      <c r="P372" s="725">
        <f t="shared" si="59"/>
        <v>-0.96597222222222223</v>
      </c>
      <c r="Q372" s="622"/>
      <c r="R372" s="37"/>
      <c r="S372" s="37" t="str">
        <f t="shared" si="57"/>
        <v>WheelerF0</v>
      </c>
      <c r="T372" s="37" t="str">
        <f t="shared" si="60"/>
        <v>1978F0</v>
      </c>
      <c r="U372" s="429">
        <v>20</v>
      </c>
      <c r="V372" s="1029">
        <v>2</v>
      </c>
      <c r="W372" s="598">
        <v>0.02</v>
      </c>
      <c r="X372" s="429"/>
      <c r="Y372" s="37" t="str">
        <f t="shared" si="61"/>
        <v>F020</v>
      </c>
      <c r="Z372" s="37" t="str">
        <f t="shared" si="62"/>
        <v>F02</v>
      </c>
      <c r="AA372" s="37" t="str">
        <f t="shared" si="64"/>
        <v>F00.02</v>
      </c>
      <c r="AB372" s="498" t="str">
        <f t="shared" si="58"/>
        <v>F023</v>
      </c>
      <c r="AC372" s="572"/>
      <c r="AD372" s="572"/>
      <c r="AE372" s="572"/>
      <c r="AF372" s="572"/>
    </row>
    <row r="373" spans="1:32">
      <c r="A373" s="947">
        <f t="shared" si="65"/>
        <v>366</v>
      </c>
      <c r="B373" s="948">
        <v>8</v>
      </c>
      <c r="C373" s="949">
        <v>28635</v>
      </c>
      <c r="D373" s="949" t="s">
        <v>177</v>
      </c>
      <c r="E373" s="950">
        <v>25</v>
      </c>
      <c r="F373" s="644">
        <v>1978</v>
      </c>
      <c r="G373" s="948" t="s">
        <v>144</v>
      </c>
      <c r="H373" s="645" t="s">
        <v>149</v>
      </c>
      <c r="I373" s="951">
        <v>60</v>
      </c>
      <c r="J373" s="951">
        <v>6.1</v>
      </c>
      <c r="K373" s="952">
        <f t="shared" si="63"/>
        <v>0.20795454545454542</v>
      </c>
      <c r="L373" s="644">
        <f t="shared" si="66"/>
        <v>18</v>
      </c>
      <c r="M373" s="935">
        <v>0.76736111111111116</v>
      </c>
      <c r="N373" s="936">
        <f t="shared" si="56"/>
        <v>0.76736111111111116</v>
      </c>
      <c r="O373" s="725"/>
      <c r="P373" s="725">
        <f t="shared" si="59"/>
        <v>-0.76736111111111116</v>
      </c>
      <c r="Q373" s="622"/>
      <c r="R373" s="37"/>
      <c r="S373" s="37" t="str">
        <f t="shared" si="57"/>
        <v>Deaf SmithF0</v>
      </c>
      <c r="T373" s="37" t="str">
        <f t="shared" si="60"/>
        <v>1978F0</v>
      </c>
      <c r="U373" s="429">
        <v>50</v>
      </c>
      <c r="V373" s="1029">
        <v>5</v>
      </c>
      <c r="W373" s="598">
        <v>0.2</v>
      </c>
      <c r="X373" s="429"/>
      <c r="Y373" s="37" t="str">
        <f t="shared" si="61"/>
        <v>F050</v>
      </c>
      <c r="Z373" s="37" t="str">
        <f t="shared" si="62"/>
        <v>F05</v>
      </c>
      <c r="AA373" s="37" t="str">
        <f t="shared" si="64"/>
        <v>F00.2</v>
      </c>
      <c r="AB373" s="498" t="str">
        <f t="shared" si="58"/>
        <v>F018</v>
      </c>
      <c r="AC373" s="572"/>
      <c r="AD373" s="572"/>
      <c r="AE373" s="572"/>
      <c r="AF373" s="572"/>
    </row>
    <row r="374" spans="1:32">
      <c r="A374" s="947">
        <f t="shared" si="65"/>
        <v>367</v>
      </c>
      <c r="B374" s="948">
        <v>9</v>
      </c>
      <c r="C374" s="949">
        <v>28636</v>
      </c>
      <c r="D374" s="949" t="s">
        <v>177</v>
      </c>
      <c r="E374" s="950">
        <v>26</v>
      </c>
      <c r="F374" s="644">
        <v>1978</v>
      </c>
      <c r="G374" s="948" t="s">
        <v>145</v>
      </c>
      <c r="H374" s="645" t="s">
        <v>149</v>
      </c>
      <c r="I374" s="951">
        <v>40</v>
      </c>
      <c r="J374" s="951">
        <v>1</v>
      </c>
      <c r="K374" s="952">
        <f t="shared" si="63"/>
        <v>2.2727272727272728E-2</v>
      </c>
      <c r="L374" s="644">
        <f t="shared" si="66"/>
        <v>18</v>
      </c>
      <c r="M374" s="935">
        <v>0.78888888888888886</v>
      </c>
      <c r="N374" s="936">
        <f t="shared" si="56"/>
        <v>0.78888888888888886</v>
      </c>
      <c r="O374" s="725"/>
      <c r="P374" s="725">
        <f t="shared" si="59"/>
        <v>-0.78888888888888886</v>
      </c>
      <c r="Q374" s="622"/>
      <c r="R374" s="37"/>
      <c r="S374" s="37" t="str">
        <f t="shared" si="57"/>
        <v>RandallF0</v>
      </c>
      <c r="T374" s="37" t="str">
        <f t="shared" si="60"/>
        <v>1978F0</v>
      </c>
      <c r="U374" s="429">
        <v>20</v>
      </c>
      <c r="V374" s="1029">
        <v>1</v>
      </c>
      <c r="W374" s="598">
        <v>0.02</v>
      </c>
      <c r="X374" s="429"/>
      <c r="Y374" s="37" t="str">
        <f t="shared" si="61"/>
        <v>F020</v>
      </c>
      <c r="Z374" s="37" t="str">
        <f t="shared" si="62"/>
        <v>F01</v>
      </c>
      <c r="AA374" s="37" t="str">
        <f t="shared" si="64"/>
        <v>F00.02</v>
      </c>
      <c r="AB374" s="498" t="str">
        <f t="shared" si="58"/>
        <v>F018</v>
      </c>
      <c r="AC374" s="572"/>
      <c r="AD374" s="572"/>
      <c r="AE374" s="572"/>
      <c r="AF374" s="572"/>
    </row>
    <row r="375" spans="1:32">
      <c r="A375" s="947">
        <f t="shared" si="65"/>
        <v>368</v>
      </c>
      <c r="B375" s="948">
        <v>10</v>
      </c>
      <c r="C375" s="949">
        <v>28636</v>
      </c>
      <c r="D375" s="949" t="s">
        <v>177</v>
      </c>
      <c r="E375" s="950">
        <v>26</v>
      </c>
      <c r="F375" s="644">
        <v>1978</v>
      </c>
      <c r="G375" s="948" t="s">
        <v>144</v>
      </c>
      <c r="H375" s="645" t="s">
        <v>149</v>
      </c>
      <c r="I375" s="951">
        <v>30</v>
      </c>
      <c r="J375" s="951">
        <v>2</v>
      </c>
      <c r="K375" s="952">
        <f t="shared" si="63"/>
        <v>3.4090909090909088E-2</v>
      </c>
      <c r="L375" s="644">
        <f t="shared" si="66"/>
        <v>19</v>
      </c>
      <c r="M375" s="935">
        <v>0.7944444444444444</v>
      </c>
      <c r="N375" s="936">
        <f t="shared" si="56"/>
        <v>0.7944444444444444</v>
      </c>
      <c r="O375" s="725"/>
      <c r="P375" s="725">
        <f t="shared" si="59"/>
        <v>-0.7944444444444444</v>
      </c>
      <c r="Q375" s="622"/>
      <c r="R375" s="37"/>
      <c r="S375" s="37" t="str">
        <f t="shared" si="57"/>
        <v>Deaf SmithF0</v>
      </c>
      <c r="T375" s="37" t="str">
        <f t="shared" si="60"/>
        <v>1978F0</v>
      </c>
      <c r="U375" s="429">
        <v>20</v>
      </c>
      <c r="V375" s="1029">
        <v>2</v>
      </c>
      <c r="W375" s="598">
        <v>0.02</v>
      </c>
      <c r="X375" s="429"/>
      <c r="Y375" s="37" t="str">
        <f t="shared" si="61"/>
        <v>F020</v>
      </c>
      <c r="Z375" s="37" t="str">
        <f t="shared" si="62"/>
        <v>F02</v>
      </c>
      <c r="AA375" s="37" t="str">
        <f t="shared" si="64"/>
        <v>F00.02</v>
      </c>
      <c r="AB375" s="498" t="str">
        <f t="shared" si="58"/>
        <v>F019</v>
      </c>
      <c r="AC375" s="572"/>
      <c r="AD375" s="572"/>
      <c r="AE375" s="572"/>
      <c r="AF375" s="572"/>
    </row>
    <row r="376" spans="1:32">
      <c r="A376" s="947">
        <f t="shared" si="65"/>
        <v>369</v>
      </c>
      <c r="B376" s="948">
        <v>11</v>
      </c>
      <c r="C376" s="949">
        <v>28636</v>
      </c>
      <c r="D376" s="949" t="s">
        <v>177</v>
      </c>
      <c r="E376" s="950">
        <v>26</v>
      </c>
      <c r="F376" s="644">
        <v>1978</v>
      </c>
      <c r="G376" s="948" t="s">
        <v>144</v>
      </c>
      <c r="H376" s="645" t="s">
        <v>149</v>
      </c>
      <c r="I376" s="951">
        <v>50</v>
      </c>
      <c r="J376" s="951">
        <v>2</v>
      </c>
      <c r="K376" s="952">
        <f t="shared" si="63"/>
        <v>5.6818181818181816E-2</v>
      </c>
      <c r="L376" s="644">
        <f t="shared" si="66"/>
        <v>19</v>
      </c>
      <c r="M376" s="935">
        <v>0.80902777777777779</v>
      </c>
      <c r="N376" s="936">
        <f t="shared" si="56"/>
        <v>0.80902777777777779</v>
      </c>
      <c r="O376" s="725"/>
      <c r="P376" s="725">
        <f t="shared" si="59"/>
        <v>-0.80902777777777779</v>
      </c>
      <c r="Q376" s="622"/>
      <c r="R376" s="37"/>
      <c r="S376" s="37" t="str">
        <f t="shared" si="57"/>
        <v>Deaf SmithF0</v>
      </c>
      <c r="T376" s="37" t="str">
        <f t="shared" si="60"/>
        <v>1978F0</v>
      </c>
      <c r="U376" s="429">
        <v>50</v>
      </c>
      <c r="V376" s="1029">
        <v>2</v>
      </c>
      <c r="W376" s="598">
        <v>0.05</v>
      </c>
      <c r="X376" s="429"/>
      <c r="Y376" s="37" t="str">
        <f t="shared" si="61"/>
        <v>F050</v>
      </c>
      <c r="Z376" s="37" t="str">
        <f t="shared" si="62"/>
        <v>F02</v>
      </c>
      <c r="AA376" s="37" t="str">
        <f t="shared" si="64"/>
        <v>F00.05</v>
      </c>
      <c r="AB376" s="498" t="str">
        <f t="shared" si="58"/>
        <v>F019</v>
      </c>
      <c r="AC376" s="572"/>
      <c r="AD376" s="572"/>
      <c r="AE376" s="572"/>
      <c r="AF376" s="572"/>
    </row>
    <row r="377" spans="1:32">
      <c r="A377" s="947">
        <f t="shared" si="65"/>
        <v>370</v>
      </c>
      <c r="B377" s="948">
        <v>12</v>
      </c>
      <c r="C377" s="949">
        <v>28636</v>
      </c>
      <c r="D377" s="949" t="s">
        <v>177</v>
      </c>
      <c r="E377" s="950">
        <v>26</v>
      </c>
      <c r="F377" s="644">
        <v>1978</v>
      </c>
      <c r="G377" s="948" t="s">
        <v>147</v>
      </c>
      <c r="H377" s="645" t="s">
        <v>149</v>
      </c>
      <c r="I377" s="951">
        <v>40</v>
      </c>
      <c r="J377" s="951">
        <v>1</v>
      </c>
      <c r="K377" s="952">
        <f t="shared" si="63"/>
        <v>2.2727272727272728E-2</v>
      </c>
      <c r="L377" s="644">
        <f t="shared" si="66"/>
        <v>22</v>
      </c>
      <c r="M377" s="935">
        <v>0.91666666666666663</v>
      </c>
      <c r="N377" s="936">
        <f t="shared" si="56"/>
        <v>0.91666666666666663</v>
      </c>
      <c r="O377" s="725"/>
      <c r="P377" s="725">
        <f t="shared" si="59"/>
        <v>-0.91666666666666663</v>
      </c>
      <c r="Q377" s="622"/>
      <c r="R377" s="37"/>
      <c r="S377" s="37" t="str">
        <f t="shared" si="57"/>
        <v>DonleyF0</v>
      </c>
      <c r="T377" s="37" t="str">
        <f t="shared" si="60"/>
        <v>1978F0</v>
      </c>
      <c r="U377" s="429">
        <v>20</v>
      </c>
      <c r="V377" s="1029">
        <v>1</v>
      </c>
      <c r="W377" s="598">
        <v>0.02</v>
      </c>
      <c r="X377" s="429"/>
      <c r="Y377" s="37" t="str">
        <f t="shared" si="61"/>
        <v>F020</v>
      </c>
      <c r="Z377" s="37" t="str">
        <f t="shared" si="62"/>
        <v>F01</v>
      </c>
      <c r="AA377" s="37" t="str">
        <f t="shared" si="64"/>
        <v>F00.02</v>
      </c>
      <c r="AB377" s="498" t="str">
        <f t="shared" si="58"/>
        <v>F022</v>
      </c>
      <c r="AC377" s="572"/>
      <c r="AD377" s="572"/>
      <c r="AE377" s="572"/>
      <c r="AF377" s="572"/>
    </row>
    <row r="378" spans="1:32">
      <c r="A378" s="947">
        <f t="shared" si="65"/>
        <v>371</v>
      </c>
      <c r="B378" s="948">
        <v>13</v>
      </c>
      <c r="C378" s="949">
        <v>28637</v>
      </c>
      <c r="D378" s="949" t="s">
        <v>177</v>
      </c>
      <c r="E378" s="950">
        <v>27</v>
      </c>
      <c r="F378" s="644">
        <v>1978</v>
      </c>
      <c r="G378" s="948" t="s">
        <v>148</v>
      </c>
      <c r="H378" s="645" t="s">
        <v>149</v>
      </c>
      <c r="I378" s="951">
        <v>30</v>
      </c>
      <c r="J378" s="951">
        <v>2</v>
      </c>
      <c r="K378" s="952">
        <f t="shared" si="63"/>
        <v>3.4090909090909088E-2</v>
      </c>
      <c r="L378" s="644">
        <f t="shared" si="66"/>
        <v>2</v>
      </c>
      <c r="M378" s="935">
        <v>8.3333333333333329E-2</v>
      </c>
      <c r="N378" s="936">
        <f t="shared" si="56"/>
        <v>8.3333333333333329E-2</v>
      </c>
      <c r="O378" s="725"/>
      <c r="P378" s="725">
        <f t="shared" si="59"/>
        <v>-8.3333333333333329E-2</v>
      </c>
      <c r="Q378" s="622"/>
      <c r="R378" s="36"/>
      <c r="S378" s="37" t="str">
        <f t="shared" si="57"/>
        <v>CollingsworthF0</v>
      </c>
      <c r="T378" s="37" t="str">
        <f t="shared" si="60"/>
        <v>1978F0</v>
      </c>
      <c r="U378" s="429">
        <v>20</v>
      </c>
      <c r="V378" s="1029">
        <v>2</v>
      </c>
      <c r="W378" s="598">
        <v>0.02</v>
      </c>
      <c r="X378" s="429"/>
      <c r="Y378" s="37" t="str">
        <f t="shared" si="61"/>
        <v>F020</v>
      </c>
      <c r="Z378" s="37" t="str">
        <f t="shared" si="62"/>
        <v>F02</v>
      </c>
      <c r="AA378" s="37" t="str">
        <f t="shared" si="64"/>
        <v>F00.02</v>
      </c>
      <c r="AB378" s="498" t="str">
        <f t="shared" si="58"/>
        <v>F02</v>
      </c>
      <c r="AC378" s="572"/>
      <c r="AD378" s="572"/>
      <c r="AE378" s="572"/>
      <c r="AF378" s="572"/>
    </row>
    <row r="379" spans="1:32">
      <c r="A379" s="947">
        <f t="shared" si="65"/>
        <v>372</v>
      </c>
      <c r="B379" s="948">
        <v>14</v>
      </c>
      <c r="C379" s="949">
        <v>28641</v>
      </c>
      <c r="D379" s="949" t="s">
        <v>177</v>
      </c>
      <c r="E379" s="950">
        <v>31</v>
      </c>
      <c r="F379" s="644">
        <v>1978</v>
      </c>
      <c r="G379" s="948" t="s">
        <v>144</v>
      </c>
      <c r="H379" s="645" t="s">
        <v>149</v>
      </c>
      <c r="I379" s="951">
        <v>30</v>
      </c>
      <c r="J379" s="951">
        <v>2</v>
      </c>
      <c r="K379" s="952">
        <f t="shared" si="63"/>
        <v>3.4090909090909088E-2</v>
      </c>
      <c r="L379" s="644">
        <f t="shared" si="66"/>
        <v>15</v>
      </c>
      <c r="M379" s="935">
        <v>0.64930555555555558</v>
      </c>
      <c r="N379" s="936">
        <f t="shared" si="56"/>
        <v>0.64930555555555558</v>
      </c>
      <c r="O379" s="725"/>
      <c r="P379" s="725">
        <f t="shared" si="59"/>
        <v>-0.64930555555555558</v>
      </c>
      <c r="Q379" s="622"/>
      <c r="R379" s="36"/>
      <c r="S379" s="37" t="str">
        <f t="shared" si="57"/>
        <v>Deaf SmithF0</v>
      </c>
      <c r="T379" s="37" t="str">
        <f t="shared" si="60"/>
        <v>1978F0</v>
      </c>
      <c r="U379" s="429">
        <v>20</v>
      </c>
      <c r="V379" s="1029">
        <v>2</v>
      </c>
      <c r="W379" s="598">
        <v>0.02</v>
      </c>
      <c r="X379" s="429"/>
      <c r="Y379" s="37" t="str">
        <f t="shared" si="61"/>
        <v>F020</v>
      </c>
      <c r="Z379" s="37" t="str">
        <f t="shared" si="62"/>
        <v>F02</v>
      </c>
      <c r="AA379" s="37" t="str">
        <f t="shared" si="64"/>
        <v>F00.02</v>
      </c>
      <c r="AB379" s="498" t="str">
        <f t="shared" si="58"/>
        <v>F015</v>
      </c>
      <c r="AC379" s="572"/>
      <c r="AD379" s="572"/>
      <c r="AE379" s="572"/>
      <c r="AF379" s="572"/>
    </row>
    <row r="380" spans="1:32">
      <c r="A380" s="947">
        <f t="shared" si="65"/>
        <v>373</v>
      </c>
      <c r="B380" s="948">
        <v>15</v>
      </c>
      <c r="C380" s="949">
        <v>28645</v>
      </c>
      <c r="D380" s="949" t="s">
        <v>178</v>
      </c>
      <c r="E380" s="950">
        <v>4</v>
      </c>
      <c r="F380" s="644">
        <v>1978</v>
      </c>
      <c r="G380" s="948" t="s">
        <v>130</v>
      </c>
      <c r="H380" s="645" t="s">
        <v>149</v>
      </c>
      <c r="I380" s="951">
        <v>60</v>
      </c>
      <c r="J380" s="951">
        <v>1</v>
      </c>
      <c r="K380" s="952">
        <f t="shared" si="63"/>
        <v>3.4090909090909088E-2</v>
      </c>
      <c r="L380" s="644">
        <f t="shared" si="66"/>
        <v>0</v>
      </c>
      <c r="M380" s="935">
        <v>2.9861111111111113E-2</v>
      </c>
      <c r="N380" s="936">
        <f t="shared" si="56"/>
        <v>2.9861111111111113E-2</v>
      </c>
      <c r="O380" s="725"/>
      <c r="P380" s="725">
        <f t="shared" si="59"/>
        <v>-2.9861111111111113E-2</v>
      </c>
      <c r="Q380" s="622"/>
      <c r="R380" s="36"/>
      <c r="S380" s="37" t="str">
        <f t="shared" si="57"/>
        <v>ShermanF0</v>
      </c>
      <c r="T380" s="37" t="str">
        <f t="shared" si="60"/>
        <v>1978F0</v>
      </c>
      <c r="U380" s="429">
        <v>50</v>
      </c>
      <c r="V380" s="1029">
        <v>1</v>
      </c>
      <c r="W380" s="598">
        <v>0.02</v>
      </c>
      <c r="X380" s="429"/>
      <c r="Y380" s="37" t="str">
        <f t="shared" si="61"/>
        <v>F050</v>
      </c>
      <c r="Z380" s="37" t="str">
        <f t="shared" si="62"/>
        <v>F01</v>
      </c>
      <c r="AA380" s="37" t="str">
        <f t="shared" si="64"/>
        <v>F00.02</v>
      </c>
      <c r="AB380" s="498" t="str">
        <f t="shared" si="58"/>
        <v>F00</v>
      </c>
      <c r="AC380" s="572"/>
      <c r="AD380" s="572"/>
      <c r="AE380" s="572"/>
      <c r="AF380" s="572"/>
    </row>
    <row r="381" spans="1:32">
      <c r="A381" s="947">
        <f t="shared" si="65"/>
        <v>374</v>
      </c>
      <c r="B381" s="948">
        <v>16</v>
      </c>
      <c r="C381" s="949">
        <v>28672</v>
      </c>
      <c r="D381" s="949" t="s">
        <v>179</v>
      </c>
      <c r="E381" s="950">
        <v>1</v>
      </c>
      <c r="F381" s="644">
        <v>1978</v>
      </c>
      <c r="G381" s="948" t="s">
        <v>130</v>
      </c>
      <c r="H381" s="645" t="s">
        <v>149</v>
      </c>
      <c r="I381" s="951">
        <v>7</v>
      </c>
      <c r="J381" s="951">
        <v>0.4</v>
      </c>
      <c r="K381" s="952">
        <f t="shared" si="63"/>
        <v>1.5909090909090907E-3</v>
      </c>
      <c r="L381" s="644">
        <f t="shared" si="66"/>
        <v>16</v>
      </c>
      <c r="M381" s="935">
        <v>0.68055555555555547</v>
      </c>
      <c r="N381" s="936">
        <f t="shared" si="56"/>
        <v>0.68055555555555547</v>
      </c>
      <c r="O381" s="725"/>
      <c r="P381" s="725">
        <f t="shared" si="59"/>
        <v>-0.68055555555555547</v>
      </c>
      <c r="Q381" s="622"/>
      <c r="R381" s="36"/>
      <c r="S381" s="37" t="str">
        <f t="shared" si="57"/>
        <v>ShermanF0</v>
      </c>
      <c r="T381" s="37" t="str">
        <f t="shared" si="60"/>
        <v>1978F0</v>
      </c>
      <c r="U381" s="429">
        <v>5</v>
      </c>
      <c r="V381" s="1029">
        <v>0.2</v>
      </c>
      <c r="W381" s="598">
        <v>2E-3</v>
      </c>
      <c r="X381" s="429"/>
      <c r="Y381" s="37" t="str">
        <f t="shared" si="61"/>
        <v>F05</v>
      </c>
      <c r="Z381" s="37" t="str">
        <f t="shared" si="62"/>
        <v>F00.2</v>
      </c>
      <c r="AA381" s="37" t="str">
        <f t="shared" si="64"/>
        <v>F00.002</v>
      </c>
      <c r="AB381" s="498" t="str">
        <f t="shared" si="58"/>
        <v>F016</v>
      </c>
      <c r="AC381" s="572"/>
      <c r="AD381" s="572"/>
      <c r="AE381" s="572"/>
      <c r="AF381" s="572"/>
    </row>
    <row r="382" spans="1:32">
      <c r="A382" s="947">
        <f t="shared" si="65"/>
        <v>375</v>
      </c>
      <c r="B382" s="948">
        <v>1</v>
      </c>
      <c r="C382" s="949">
        <v>28932</v>
      </c>
      <c r="D382" s="963" t="s">
        <v>175</v>
      </c>
      <c r="E382" s="904">
        <v>18</v>
      </c>
      <c r="F382" s="644">
        <v>1979</v>
      </c>
      <c r="G382" s="948" t="s">
        <v>141</v>
      </c>
      <c r="H382" s="645" t="s">
        <v>149</v>
      </c>
      <c r="I382" s="951">
        <v>30</v>
      </c>
      <c r="J382" s="951">
        <v>0.5</v>
      </c>
      <c r="K382" s="952">
        <f t="shared" si="63"/>
        <v>8.5227272727272721E-3</v>
      </c>
      <c r="L382" s="644">
        <f t="shared" si="66"/>
        <v>2</v>
      </c>
      <c r="M382" s="935">
        <v>0.10416666666666667</v>
      </c>
      <c r="N382" s="936">
        <f t="shared" si="56"/>
        <v>0.10416666666666667</v>
      </c>
      <c r="O382" s="725"/>
      <c r="P382" s="725">
        <f t="shared" si="59"/>
        <v>-0.10416666666666667</v>
      </c>
      <c r="Q382" s="622"/>
      <c r="R382" s="37"/>
      <c r="S382" s="37" t="str">
        <f t="shared" si="57"/>
        <v>CarsonF0</v>
      </c>
      <c r="T382" s="37" t="str">
        <f t="shared" si="60"/>
        <v>1979F0</v>
      </c>
      <c r="U382" s="429">
        <v>20</v>
      </c>
      <c r="V382" s="1029">
        <v>0.5</v>
      </c>
      <c r="W382" s="598">
        <v>5.0000000000000001E-3</v>
      </c>
      <c r="X382" s="429"/>
      <c r="Y382" s="37" t="str">
        <f t="shared" si="61"/>
        <v>F020</v>
      </c>
      <c r="Z382" s="37" t="str">
        <f t="shared" si="62"/>
        <v>F00.5</v>
      </c>
      <c r="AA382" s="37" t="str">
        <f t="shared" si="64"/>
        <v>F00.005</v>
      </c>
      <c r="AB382" s="498" t="str">
        <f t="shared" si="58"/>
        <v>F02</v>
      </c>
      <c r="AC382" s="572"/>
      <c r="AD382" s="572"/>
      <c r="AE382" s="572"/>
      <c r="AF382" s="572"/>
    </row>
    <row r="383" spans="1:32">
      <c r="A383" s="947">
        <f t="shared" si="65"/>
        <v>376</v>
      </c>
      <c r="B383" s="948">
        <v>2</v>
      </c>
      <c r="C383" s="949">
        <v>28932</v>
      </c>
      <c r="D383" s="963" t="s">
        <v>175</v>
      </c>
      <c r="E383" s="904">
        <v>18</v>
      </c>
      <c r="F383" s="644">
        <v>1979</v>
      </c>
      <c r="G383" s="948" t="s">
        <v>148</v>
      </c>
      <c r="H383" s="645" t="s">
        <v>150</v>
      </c>
      <c r="I383" s="951">
        <v>500</v>
      </c>
      <c r="J383" s="951">
        <v>13.3</v>
      </c>
      <c r="K383" s="952">
        <f t="shared" si="63"/>
        <v>3.7784090909090913</v>
      </c>
      <c r="L383" s="644">
        <f t="shared" si="66"/>
        <v>3</v>
      </c>
      <c r="M383" s="935">
        <v>0.13194444444444445</v>
      </c>
      <c r="N383" s="936">
        <f t="shared" si="56"/>
        <v>0.13194444444444445</v>
      </c>
      <c r="O383" s="725"/>
      <c r="P383" s="725">
        <f t="shared" si="59"/>
        <v>-0.13194444444444445</v>
      </c>
      <c r="Q383" s="622"/>
      <c r="R383" s="37"/>
      <c r="S383" s="37" t="str">
        <f t="shared" si="57"/>
        <v>CollingsworthF1</v>
      </c>
      <c r="T383" s="37" t="str">
        <f t="shared" si="60"/>
        <v>1979F1</v>
      </c>
      <c r="U383" s="429">
        <v>500</v>
      </c>
      <c r="V383" s="1029">
        <v>10</v>
      </c>
      <c r="W383" s="598">
        <v>2</v>
      </c>
      <c r="X383" s="429"/>
      <c r="Y383" s="37" t="str">
        <f t="shared" si="61"/>
        <v>F1500</v>
      </c>
      <c r="Z383" s="37" t="str">
        <f t="shared" si="62"/>
        <v>F110</v>
      </c>
      <c r="AA383" s="37" t="str">
        <f t="shared" si="64"/>
        <v>F12</v>
      </c>
      <c r="AB383" s="498" t="str">
        <f t="shared" si="58"/>
        <v>F13</v>
      </c>
      <c r="AC383" s="572"/>
      <c r="AD383" s="572"/>
      <c r="AE383" s="572"/>
      <c r="AF383" s="572"/>
    </row>
    <row r="384" spans="1:32">
      <c r="A384" s="947">
        <f t="shared" si="65"/>
        <v>377</v>
      </c>
      <c r="B384" s="948">
        <v>3</v>
      </c>
      <c r="C384" s="949">
        <v>28984</v>
      </c>
      <c r="D384" s="949" t="s">
        <v>177</v>
      </c>
      <c r="E384" s="950">
        <v>9</v>
      </c>
      <c r="F384" s="644">
        <v>1979</v>
      </c>
      <c r="G384" s="948" t="s">
        <v>138</v>
      </c>
      <c r="H384" s="645" t="s">
        <v>149</v>
      </c>
      <c r="I384" s="951">
        <v>33</v>
      </c>
      <c r="J384" s="951">
        <v>5.7</v>
      </c>
      <c r="K384" s="952">
        <f t="shared" si="63"/>
        <v>0.106875</v>
      </c>
      <c r="L384" s="644">
        <f t="shared" si="66"/>
        <v>17</v>
      </c>
      <c r="M384" s="935">
        <v>0.72013888888888899</v>
      </c>
      <c r="N384" s="936">
        <f t="shared" si="56"/>
        <v>0.72013888888888899</v>
      </c>
      <c r="O384" s="725"/>
      <c r="P384" s="725">
        <f t="shared" si="59"/>
        <v>-0.72013888888888899</v>
      </c>
      <c r="Q384" s="622"/>
      <c r="R384" s="37"/>
      <c r="S384" s="37" t="str">
        <f t="shared" si="57"/>
        <v>HemphillF0</v>
      </c>
      <c r="T384" s="37" t="str">
        <f t="shared" si="60"/>
        <v>1979F0</v>
      </c>
      <c r="U384" s="429">
        <v>20</v>
      </c>
      <c r="V384" s="1029">
        <v>5</v>
      </c>
      <c r="W384" s="598">
        <v>0.1</v>
      </c>
      <c r="X384" s="429"/>
      <c r="Y384" s="37" t="str">
        <f t="shared" si="61"/>
        <v>F020</v>
      </c>
      <c r="Z384" s="37" t="str">
        <f t="shared" si="62"/>
        <v>F05</v>
      </c>
      <c r="AA384" s="37" t="str">
        <f t="shared" si="64"/>
        <v>F00.1</v>
      </c>
      <c r="AB384" s="498" t="str">
        <f t="shared" si="58"/>
        <v>F017</v>
      </c>
      <c r="AC384" s="572"/>
      <c r="AD384" s="572"/>
      <c r="AE384" s="572"/>
      <c r="AF384" s="572"/>
    </row>
    <row r="385" spans="1:32">
      <c r="A385" s="947">
        <f t="shared" si="65"/>
        <v>378</v>
      </c>
      <c r="B385" s="948">
        <v>4</v>
      </c>
      <c r="C385" s="949">
        <v>29001</v>
      </c>
      <c r="D385" s="949" t="s">
        <v>177</v>
      </c>
      <c r="E385" s="950">
        <v>26</v>
      </c>
      <c r="F385" s="644">
        <v>1979</v>
      </c>
      <c r="G385" s="948" t="s">
        <v>142</v>
      </c>
      <c r="H385" s="645" t="s">
        <v>149</v>
      </c>
      <c r="I385" s="951">
        <v>30</v>
      </c>
      <c r="J385" s="951">
        <v>0.3</v>
      </c>
      <c r="K385" s="952">
        <f t="shared" si="63"/>
        <v>5.1136363636363627E-3</v>
      </c>
      <c r="L385" s="644">
        <f t="shared" si="66"/>
        <v>15</v>
      </c>
      <c r="M385" s="935">
        <v>0.65347222222222223</v>
      </c>
      <c r="N385" s="936">
        <f t="shared" si="56"/>
        <v>0.65347222222222223</v>
      </c>
      <c r="O385" s="725"/>
      <c r="P385" s="725">
        <f t="shared" si="59"/>
        <v>-0.65347222222222223</v>
      </c>
      <c r="Q385" s="622"/>
      <c r="R385" s="37"/>
      <c r="S385" s="37" t="str">
        <f t="shared" si="57"/>
        <v>GrayF0</v>
      </c>
      <c r="T385" s="37" t="str">
        <f t="shared" si="60"/>
        <v>1979F0</v>
      </c>
      <c r="U385" s="429">
        <v>20</v>
      </c>
      <c r="V385" s="1029">
        <v>0.2</v>
      </c>
      <c r="W385" s="598">
        <v>5.0000000000000001E-3</v>
      </c>
      <c r="X385" s="429"/>
      <c r="Y385" s="37" t="str">
        <f t="shared" si="61"/>
        <v>F020</v>
      </c>
      <c r="Z385" s="37" t="str">
        <f t="shared" si="62"/>
        <v>F00.2</v>
      </c>
      <c r="AA385" s="37" t="str">
        <f t="shared" si="64"/>
        <v>F00.005</v>
      </c>
      <c r="AB385" s="498" t="str">
        <f t="shared" si="58"/>
        <v>F015</v>
      </c>
      <c r="AC385" s="572"/>
      <c r="AD385" s="572"/>
      <c r="AE385" s="572"/>
      <c r="AF385" s="572"/>
    </row>
    <row r="386" spans="1:32">
      <c r="A386" s="947">
        <f t="shared" si="65"/>
        <v>379</v>
      </c>
      <c r="B386" s="948">
        <v>5</v>
      </c>
      <c r="C386" s="949">
        <v>29002</v>
      </c>
      <c r="D386" s="949" t="s">
        <v>177</v>
      </c>
      <c r="E386" s="950">
        <v>27</v>
      </c>
      <c r="F386" s="644">
        <v>1979</v>
      </c>
      <c r="G386" s="948" t="s">
        <v>139</v>
      </c>
      <c r="H386" s="645" t="s">
        <v>149</v>
      </c>
      <c r="I386" s="951">
        <v>10</v>
      </c>
      <c r="J386" s="951">
        <v>0.1</v>
      </c>
      <c r="K386" s="952">
        <f t="shared" si="63"/>
        <v>5.6818181818181826E-4</v>
      </c>
      <c r="L386" s="644">
        <f t="shared" si="66"/>
        <v>16</v>
      </c>
      <c r="M386" s="935">
        <v>0.6875</v>
      </c>
      <c r="N386" s="936">
        <f t="shared" si="56"/>
        <v>0.6875</v>
      </c>
      <c r="O386" s="725"/>
      <c r="P386" s="725">
        <f t="shared" si="59"/>
        <v>-0.6875</v>
      </c>
      <c r="Q386" s="622"/>
      <c r="R386" s="37"/>
      <c r="S386" s="37" t="str">
        <f t="shared" si="57"/>
        <v>OldhamF0</v>
      </c>
      <c r="T386" s="37" t="str">
        <f t="shared" si="60"/>
        <v>1979F0</v>
      </c>
      <c r="U386" s="429">
        <v>10</v>
      </c>
      <c r="V386" s="1029">
        <v>0.1</v>
      </c>
      <c r="W386" s="598">
        <v>1E-3</v>
      </c>
      <c r="X386" s="429"/>
      <c r="Y386" s="37" t="str">
        <f t="shared" si="61"/>
        <v>F010</v>
      </c>
      <c r="Z386" s="37" t="str">
        <f t="shared" si="62"/>
        <v>F00.1</v>
      </c>
      <c r="AA386" s="37" t="str">
        <f t="shared" si="64"/>
        <v>F00.001</v>
      </c>
      <c r="AB386" s="498" t="str">
        <f t="shared" si="58"/>
        <v>F016</v>
      </c>
      <c r="AC386" s="572"/>
      <c r="AD386" s="572"/>
      <c r="AE386" s="572"/>
      <c r="AF386" s="572"/>
    </row>
    <row r="387" spans="1:32">
      <c r="A387" s="947">
        <f t="shared" si="65"/>
        <v>380</v>
      </c>
      <c r="B387" s="948">
        <v>6</v>
      </c>
      <c r="C387" s="949">
        <v>29043</v>
      </c>
      <c r="D387" s="949" t="s">
        <v>179</v>
      </c>
      <c r="E387" s="950">
        <v>7</v>
      </c>
      <c r="F387" s="644">
        <v>1979</v>
      </c>
      <c r="G387" s="948" t="s">
        <v>140</v>
      </c>
      <c r="H387" s="645" t="s">
        <v>149</v>
      </c>
      <c r="I387" s="951">
        <v>10</v>
      </c>
      <c r="J387" s="951">
        <v>0.1</v>
      </c>
      <c r="K387" s="952">
        <f t="shared" si="63"/>
        <v>5.6818181818181826E-4</v>
      </c>
      <c r="L387" s="644">
        <f t="shared" si="66"/>
        <v>21</v>
      </c>
      <c r="M387" s="935">
        <v>0.88194444444444453</v>
      </c>
      <c r="N387" s="936">
        <f t="shared" si="56"/>
        <v>0.88194444444444453</v>
      </c>
      <c r="O387" s="725"/>
      <c r="P387" s="725">
        <f t="shared" si="59"/>
        <v>-0.88194444444444453</v>
      </c>
      <c r="Q387" s="622"/>
      <c r="R387" s="37"/>
      <c r="S387" s="37" t="str">
        <f t="shared" si="57"/>
        <v>PotterF0</v>
      </c>
      <c r="T387" s="37" t="str">
        <f t="shared" si="60"/>
        <v>1979F0</v>
      </c>
      <c r="U387" s="429">
        <v>10</v>
      </c>
      <c r="V387" s="1029">
        <v>0.1</v>
      </c>
      <c r="W387" s="598">
        <v>1E-3</v>
      </c>
      <c r="X387" s="429"/>
      <c r="Y387" s="37" t="str">
        <f t="shared" si="61"/>
        <v>F010</v>
      </c>
      <c r="Z387" s="37" t="str">
        <f t="shared" si="62"/>
        <v>F00.1</v>
      </c>
      <c r="AA387" s="37" t="str">
        <f t="shared" si="64"/>
        <v>F00.001</v>
      </c>
      <c r="AB387" s="498" t="str">
        <f t="shared" si="58"/>
        <v>F021</v>
      </c>
      <c r="AC387" s="572"/>
      <c r="AD387" s="572"/>
      <c r="AE387" s="572"/>
      <c r="AF387" s="572"/>
    </row>
    <row r="388" spans="1:32">
      <c r="A388" s="947">
        <f t="shared" si="65"/>
        <v>381</v>
      </c>
      <c r="B388" s="948">
        <v>7</v>
      </c>
      <c r="C388" s="949">
        <v>29059</v>
      </c>
      <c r="D388" s="949" t="s">
        <v>179</v>
      </c>
      <c r="E388" s="950">
        <v>23</v>
      </c>
      <c r="F388" s="644">
        <v>1979</v>
      </c>
      <c r="G388" s="948" t="s">
        <v>138</v>
      </c>
      <c r="H388" s="645" t="s">
        <v>149</v>
      </c>
      <c r="I388" s="951">
        <v>10</v>
      </c>
      <c r="J388" s="951">
        <v>0.1</v>
      </c>
      <c r="K388" s="952">
        <f t="shared" si="63"/>
        <v>5.6818181818181826E-4</v>
      </c>
      <c r="L388" s="644">
        <f t="shared" si="66"/>
        <v>16</v>
      </c>
      <c r="M388" s="935">
        <v>0.70486111111111116</v>
      </c>
      <c r="N388" s="936">
        <f t="shared" si="56"/>
        <v>0.70486111111111116</v>
      </c>
      <c r="O388" s="725"/>
      <c r="P388" s="725">
        <f t="shared" si="59"/>
        <v>-0.70486111111111116</v>
      </c>
      <c r="Q388" s="622"/>
      <c r="R388" s="37"/>
      <c r="S388" s="37" t="str">
        <f t="shared" si="57"/>
        <v>HemphillF0</v>
      </c>
      <c r="T388" s="37" t="str">
        <f t="shared" si="60"/>
        <v>1979F0</v>
      </c>
      <c r="U388" s="429">
        <v>10</v>
      </c>
      <c r="V388" s="1029">
        <v>0.1</v>
      </c>
      <c r="W388" s="598">
        <v>1E-3</v>
      </c>
      <c r="X388" s="429"/>
      <c r="Y388" s="37" t="str">
        <f t="shared" si="61"/>
        <v>F010</v>
      </c>
      <c r="Z388" s="37" t="str">
        <f t="shared" si="62"/>
        <v>F00.1</v>
      </c>
      <c r="AA388" s="37" t="str">
        <f t="shared" si="64"/>
        <v>F00.001</v>
      </c>
      <c r="AB388" s="498" t="str">
        <f t="shared" si="58"/>
        <v>F016</v>
      </c>
      <c r="AC388" s="572"/>
      <c r="AD388" s="572"/>
      <c r="AE388" s="572"/>
      <c r="AF388" s="572"/>
    </row>
    <row r="389" spans="1:32">
      <c r="A389" s="947">
        <f t="shared" si="65"/>
        <v>382</v>
      </c>
      <c r="B389" s="948">
        <v>8</v>
      </c>
      <c r="C389" s="949">
        <v>29060</v>
      </c>
      <c r="D389" s="949" t="s">
        <v>179</v>
      </c>
      <c r="E389" s="950">
        <v>24</v>
      </c>
      <c r="F389" s="644">
        <v>1979</v>
      </c>
      <c r="G389" s="948" t="s">
        <v>131</v>
      </c>
      <c r="H389" s="645" t="s">
        <v>149</v>
      </c>
      <c r="I389" s="951">
        <v>10</v>
      </c>
      <c r="J389" s="951">
        <v>0.1</v>
      </c>
      <c r="K389" s="952">
        <f t="shared" si="63"/>
        <v>5.6818181818181826E-4</v>
      </c>
      <c r="L389" s="644">
        <f t="shared" si="66"/>
        <v>16</v>
      </c>
      <c r="M389" s="935">
        <v>0.70486111111111116</v>
      </c>
      <c r="N389" s="936">
        <f t="shared" si="56"/>
        <v>0.70486111111111116</v>
      </c>
      <c r="O389" s="725"/>
      <c r="P389" s="725">
        <f t="shared" si="59"/>
        <v>-0.70486111111111116</v>
      </c>
      <c r="Q389" s="622"/>
      <c r="R389" s="37"/>
      <c r="S389" s="37" t="str">
        <f t="shared" si="57"/>
        <v>HansfordF0</v>
      </c>
      <c r="T389" s="37" t="str">
        <f t="shared" si="60"/>
        <v>1979F0</v>
      </c>
      <c r="U389" s="429">
        <v>10</v>
      </c>
      <c r="V389" s="1029">
        <v>0.1</v>
      </c>
      <c r="W389" s="598">
        <v>1E-3</v>
      </c>
      <c r="X389" s="429"/>
      <c r="Y389" s="37" t="str">
        <f t="shared" si="61"/>
        <v>F010</v>
      </c>
      <c r="Z389" s="37" t="str">
        <f t="shared" si="62"/>
        <v>F00.1</v>
      </c>
      <c r="AA389" s="37" t="str">
        <f t="shared" si="64"/>
        <v>F00.001</v>
      </c>
      <c r="AB389" s="498" t="str">
        <f t="shared" si="58"/>
        <v>F016</v>
      </c>
      <c r="AC389" s="572"/>
      <c r="AD389" s="572"/>
      <c r="AE389" s="572"/>
      <c r="AF389" s="572"/>
    </row>
    <row r="390" spans="1:32">
      <c r="A390" s="947">
        <f t="shared" si="65"/>
        <v>383</v>
      </c>
      <c r="B390" s="948">
        <v>9</v>
      </c>
      <c r="C390" s="949">
        <v>29060</v>
      </c>
      <c r="D390" s="949" t="s">
        <v>179</v>
      </c>
      <c r="E390" s="950">
        <v>24</v>
      </c>
      <c r="F390" s="644">
        <v>1979</v>
      </c>
      <c r="G390" s="948" t="s">
        <v>131</v>
      </c>
      <c r="H390" s="645" t="s">
        <v>149</v>
      </c>
      <c r="I390" s="951">
        <v>10</v>
      </c>
      <c r="J390" s="951">
        <v>0.1</v>
      </c>
      <c r="K390" s="952">
        <f t="shared" si="63"/>
        <v>5.6818181818181826E-4</v>
      </c>
      <c r="L390" s="644">
        <f t="shared" si="66"/>
        <v>16</v>
      </c>
      <c r="M390" s="935">
        <v>0.70486111111111116</v>
      </c>
      <c r="N390" s="936">
        <f t="shared" si="56"/>
        <v>0.70486111111111116</v>
      </c>
      <c r="O390" s="725"/>
      <c r="P390" s="725">
        <f t="shared" si="59"/>
        <v>-0.70486111111111116</v>
      </c>
      <c r="Q390" s="622"/>
      <c r="R390" s="37"/>
      <c r="S390" s="37" t="str">
        <f t="shared" si="57"/>
        <v>HansfordF0</v>
      </c>
      <c r="T390" s="37" t="str">
        <f t="shared" si="60"/>
        <v>1979F0</v>
      </c>
      <c r="U390" s="429">
        <v>10</v>
      </c>
      <c r="V390" s="1029">
        <v>0.1</v>
      </c>
      <c r="W390" s="598">
        <v>1E-3</v>
      </c>
      <c r="X390" s="429"/>
      <c r="Y390" s="37" t="str">
        <f t="shared" si="61"/>
        <v>F010</v>
      </c>
      <c r="Z390" s="37" t="str">
        <f t="shared" si="62"/>
        <v>F00.1</v>
      </c>
      <c r="AA390" s="37" t="str">
        <f t="shared" si="64"/>
        <v>F00.001</v>
      </c>
      <c r="AB390" s="498" t="str">
        <f t="shared" si="58"/>
        <v>F016</v>
      </c>
      <c r="AC390" s="572"/>
      <c r="AD390" s="572"/>
      <c r="AE390" s="572"/>
      <c r="AF390" s="572"/>
    </row>
    <row r="391" spans="1:32">
      <c r="A391" s="947">
        <f t="shared" si="65"/>
        <v>384</v>
      </c>
      <c r="B391" s="948">
        <v>10</v>
      </c>
      <c r="C391" s="949">
        <v>29088</v>
      </c>
      <c r="D391" s="949" t="s">
        <v>180</v>
      </c>
      <c r="E391" s="950">
        <v>21</v>
      </c>
      <c r="F391" s="644">
        <v>1979</v>
      </c>
      <c r="G391" s="948" t="s">
        <v>138</v>
      </c>
      <c r="H391" s="645" t="s">
        <v>149</v>
      </c>
      <c r="I391" s="951">
        <v>20</v>
      </c>
      <c r="J391" s="951">
        <v>1</v>
      </c>
      <c r="K391" s="952">
        <f t="shared" si="63"/>
        <v>1.1363636363636364E-2</v>
      </c>
      <c r="L391" s="644">
        <f t="shared" si="66"/>
        <v>17</v>
      </c>
      <c r="M391" s="935">
        <v>0.73263888888888884</v>
      </c>
      <c r="N391" s="936">
        <f t="shared" ref="N391:N454" si="67">+M391</f>
        <v>0.73263888888888884</v>
      </c>
      <c r="O391" s="725"/>
      <c r="P391" s="725">
        <f t="shared" si="59"/>
        <v>-0.73263888888888884</v>
      </c>
      <c r="Q391" s="622"/>
      <c r="R391" s="37"/>
      <c r="S391" s="37" t="str">
        <f t="shared" ref="S391:S454" si="68">CONCATENATE(G391,H391)</f>
        <v>HemphillF0</v>
      </c>
      <c r="T391" s="37" t="str">
        <f t="shared" si="60"/>
        <v>1979F0</v>
      </c>
      <c r="U391" s="429">
        <v>20</v>
      </c>
      <c r="V391" s="1029">
        <v>1</v>
      </c>
      <c r="W391" s="598">
        <v>0.01</v>
      </c>
      <c r="X391" s="429"/>
      <c r="Y391" s="37" t="str">
        <f t="shared" si="61"/>
        <v>F020</v>
      </c>
      <c r="Z391" s="37" t="str">
        <f t="shared" si="62"/>
        <v>F01</v>
      </c>
      <c r="AA391" s="37" t="str">
        <f t="shared" si="64"/>
        <v>F00.01</v>
      </c>
      <c r="AB391" s="498" t="str">
        <f t="shared" ref="AB391:AB454" si="69">CONCATENATE(H391,L391)</f>
        <v>F017</v>
      </c>
      <c r="AC391" s="572"/>
      <c r="AD391" s="572"/>
      <c r="AE391" s="572"/>
      <c r="AF391" s="572"/>
    </row>
    <row r="392" spans="1:32">
      <c r="A392" s="947">
        <f t="shared" si="65"/>
        <v>385</v>
      </c>
      <c r="B392" s="948">
        <v>11</v>
      </c>
      <c r="C392" s="949">
        <v>29092</v>
      </c>
      <c r="D392" s="949" t="s">
        <v>180</v>
      </c>
      <c r="E392" s="950">
        <v>25</v>
      </c>
      <c r="F392" s="644">
        <v>1979</v>
      </c>
      <c r="G392" s="948" t="s">
        <v>130</v>
      </c>
      <c r="H392" s="645" t="s">
        <v>149</v>
      </c>
      <c r="I392" s="951">
        <v>10</v>
      </c>
      <c r="J392" s="951">
        <v>0.1</v>
      </c>
      <c r="K392" s="952">
        <f t="shared" si="63"/>
        <v>5.6818181818181826E-4</v>
      </c>
      <c r="L392" s="644">
        <f t="shared" si="66"/>
        <v>22</v>
      </c>
      <c r="M392" s="935">
        <v>0.92500000000000004</v>
      </c>
      <c r="N392" s="936">
        <f t="shared" si="67"/>
        <v>0.92500000000000004</v>
      </c>
      <c r="O392" s="725"/>
      <c r="P392" s="725">
        <f t="shared" ref="P392:P455" si="70">+O392-N392</f>
        <v>-0.92500000000000004</v>
      </c>
      <c r="Q392" s="622"/>
      <c r="R392" s="37"/>
      <c r="S392" s="37" t="str">
        <f t="shared" si="68"/>
        <v>ShermanF0</v>
      </c>
      <c r="T392" s="37" t="str">
        <f t="shared" ref="T392:T455" si="71">CONCATENATE(F392,H392)</f>
        <v>1979F0</v>
      </c>
      <c r="U392" s="429">
        <v>10</v>
      </c>
      <c r="V392" s="1029">
        <v>0.1</v>
      </c>
      <c r="W392" s="598">
        <v>1E-3</v>
      </c>
      <c r="X392" s="429"/>
      <c r="Y392" s="37" t="str">
        <f t="shared" ref="Y392:Y455" si="72">CONCATENATE(H392,U392)</f>
        <v>F010</v>
      </c>
      <c r="Z392" s="37" t="str">
        <f t="shared" ref="Z392:Z455" si="73">CONCATENATE(H392,V392)</f>
        <v>F00.1</v>
      </c>
      <c r="AA392" s="37" t="str">
        <f t="shared" si="64"/>
        <v>F00.001</v>
      </c>
      <c r="AB392" s="498" t="str">
        <f t="shared" si="69"/>
        <v>F022</v>
      </c>
      <c r="AC392" s="572"/>
      <c r="AD392" s="572"/>
      <c r="AE392" s="572"/>
      <c r="AF392" s="572"/>
    </row>
    <row r="393" spans="1:32">
      <c r="A393" s="947">
        <f t="shared" si="65"/>
        <v>386</v>
      </c>
      <c r="B393" s="948">
        <v>1</v>
      </c>
      <c r="C393" s="949">
        <v>29335</v>
      </c>
      <c r="D393" s="949" t="s">
        <v>176</v>
      </c>
      <c r="E393" s="950">
        <v>24</v>
      </c>
      <c r="F393" s="644">
        <v>1980</v>
      </c>
      <c r="G393" s="948" t="s">
        <v>145</v>
      </c>
      <c r="H393" s="645" t="s">
        <v>149</v>
      </c>
      <c r="I393" s="951">
        <v>7</v>
      </c>
      <c r="J393" s="951">
        <v>0.5</v>
      </c>
      <c r="K393" s="952">
        <f t="shared" ref="K393:K456" si="74">+(I393/1760)*J393</f>
        <v>1.9886363636363634E-3</v>
      </c>
      <c r="L393" s="644">
        <f t="shared" si="66"/>
        <v>12</v>
      </c>
      <c r="M393" s="935">
        <v>0.50694444444444442</v>
      </c>
      <c r="N393" s="936">
        <f t="shared" si="67"/>
        <v>0.50694444444444442</v>
      </c>
      <c r="O393" s="725"/>
      <c r="P393" s="725">
        <f t="shared" si="70"/>
        <v>-0.50694444444444442</v>
      </c>
      <c r="Q393" s="622"/>
      <c r="R393" s="37"/>
      <c r="S393" s="37" t="str">
        <f t="shared" si="68"/>
        <v>RandallF0</v>
      </c>
      <c r="T393" s="37" t="str">
        <f t="shared" si="71"/>
        <v>1980F0</v>
      </c>
      <c r="U393" s="429">
        <v>5</v>
      </c>
      <c r="V393" s="1029">
        <v>0.5</v>
      </c>
      <c r="W393" s="598">
        <v>2E-3</v>
      </c>
      <c r="X393" s="429"/>
      <c r="Y393" s="37" t="str">
        <f t="shared" si="72"/>
        <v>F05</v>
      </c>
      <c r="Z393" s="37" t="str">
        <f t="shared" si="73"/>
        <v>F00.5</v>
      </c>
      <c r="AA393" s="37" t="str">
        <f t="shared" ref="AA393:AA456" si="75">CONCATENATE(H393,W393)</f>
        <v>F00.002</v>
      </c>
      <c r="AB393" s="498" t="str">
        <f t="shared" si="69"/>
        <v>F012</v>
      </c>
      <c r="AC393" s="572"/>
      <c r="AD393" s="572"/>
      <c r="AE393" s="572"/>
      <c r="AF393" s="572"/>
    </row>
    <row r="394" spans="1:32">
      <c r="A394" s="947">
        <f t="shared" ref="A394:A457" si="76">+A393+1</f>
        <v>387</v>
      </c>
      <c r="B394" s="948">
        <v>2</v>
      </c>
      <c r="C394" s="949">
        <v>29335</v>
      </c>
      <c r="D394" s="949" t="s">
        <v>176</v>
      </c>
      <c r="E394" s="950">
        <v>24</v>
      </c>
      <c r="F394" s="644">
        <v>1980</v>
      </c>
      <c r="G394" s="948" t="s">
        <v>138</v>
      </c>
      <c r="H394" s="645" t="s">
        <v>149</v>
      </c>
      <c r="I394" s="951">
        <v>7</v>
      </c>
      <c r="J394" s="951">
        <v>1.5</v>
      </c>
      <c r="K394" s="952">
        <f t="shared" si="74"/>
        <v>5.9659090909090903E-3</v>
      </c>
      <c r="L394" s="644">
        <f t="shared" si="66"/>
        <v>17</v>
      </c>
      <c r="M394" s="935">
        <v>0.72916666666666663</v>
      </c>
      <c r="N394" s="936">
        <f t="shared" si="67"/>
        <v>0.72916666666666663</v>
      </c>
      <c r="O394" s="725"/>
      <c r="P394" s="725">
        <f t="shared" si="70"/>
        <v>-0.72916666666666663</v>
      </c>
      <c r="Q394" s="622"/>
      <c r="R394" s="37"/>
      <c r="S394" s="37" t="str">
        <f t="shared" si="68"/>
        <v>HemphillF0</v>
      </c>
      <c r="T394" s="37" t="str">
        <f t="shared" si="71"/>
        <v>1980F0</v>
      </c>
      <c r="U394" s="429">
        <v>5</v>
      </c>
      <c r="V394" s="1029">
        <v>1</v>
      </c>
      <c r="W394" s="598">
        <v>5.0000000000000001E-3</v>
      </c>
      <c r="X394" s="429"/>
      <c r="Y394" s="37" t="str">
        <f t="shared" si="72"/>
        <v>F05</v>
      </c>
      <c r="Z394" s="37" t="str">
        <f t="shared" si="73"/>
        <v>F01</v>
      </c>
      <c r="AA394" s="37" t="str">
        <f t="shared" si="75"/>
        <v>F00.005</v>
      </c>
      <c r="AB394" s="498" t="str">
        <f t="shared" si="69"/>
        <v>F017</v>
      </c>
      <c r="AC394" s="572"/>
      <c r="AD394" s="572"/>
      <c r="AE394" s="572"/>
      <c r="AF394" s="572"/>
    </row>
    <row r="395" spans="1:32">
      <c r="A395" s="947">
        <f t="shared" si="76"/>
        <v>388</v>
      </c>
      <c r="B395" s="948">
        <v>3</v>
      </c>
      <c r="C395" s="949">
        <v>29361</v>
      </c>
      <c r="D395" s="949" t="s">
        <v>177</v>
      </c>
      <c r="E395" s="950">
        <v>20</v>
      </c>
      <c r="F395" s="644">
        <v>1980</v>
      </c>
      <c r="G395" s="948" t="s">
        <v>128</v>
      </c>
      <c r="H395" s="645" t="s">
        <v>149</v>
      </c>
      <c r="I395" s="951">
        <v>10</v>
      </c>
      <c r="J395" s="951">
        <v>0.1</v>
      </c>
      <c r="K395" s="952">
        <f t="shared" si="74"/>
        <v>5.6818181818181826E-4</v>
      </c>
      <c r="L395" s="644">
        <f t="shared" si="66"/>
        <v>16</v>
      </c>
      <c r="M395" s="935">
        <v>0.68402777777777779</v>
      </c>
      <c r="N395" s="936">
        <f t="shared" si="67"/>
        <v>0.68402777777777779</v>
      </c>
      <c r="O395" s="725"/>
      <c r="P395" s="725">
        <f t="shared" si="70"/>
        <v>-0.68402777777777779</v>
      </c>
      <c r="Q395" s="622"/>
      <c r="R395" s="37"/>
      <c r="S395" s="37" t="str">
        <f t="shared" si="68"/>
        <v>BeaverF0</v>
      </c>
      <c r="T395" s="37" t="str">
        <f t="shared" si="71"/>
        <v>1980F0</v>
      </c>
      <c r="U395" s="429">
        <v>10</v>
      </c>
      <c r="V395" s="1029">
        <v>0.1</v>
      </c>
      <c r="W395" s="598">
        <v>1E-3</v>
      </c>
      <c r="X395" s="429"/>
      <c r="Y395" s="37" t="str">
        <f t="shared" si="72"/>
        <v>F010</v>
      </c>
      <c r="Z395" s="37" t="str">
        <f t="shared" si="73"/>
        <v>F00.1</v>
      </c>
      <c r="AA395" s="37" t="str">
        <f t="shared" si="75"/>
        <v>F00.001</v>
      </c>
      <c r="AB395" s="498" t="str">
        <f t="shared" si="69"/>
        <v>F016</v>
      </c>
      <c r="AC395" s="572"/>
      <c r="AD395" s="572"/>
      <c r="AE395" s="572"/>
      <c r="AF395" s="572"/>
    </row>
    <row r="396" spans="1:32">
      <c r="A396" s="947">
        <f t="shared" si="76"/>
        <v>389</v>
      </c>
      <c r="B396" s="948">
        <v>4</v>
      </c>
      <c r="C396" s="949">
        <v>29368</v>
      </c>
      <c r="D396" s="949" t="s">
        <v>177</v>
      </c>
      <c r="E396" s="950">
        <v>27</v>
      </c>
      <c r="F396" s="644">
        <v>1980</v>
      </c>
      <c r="G396" s="948" t="s">
        <v>135</v>
      </c>
      <c r="H396" s="645" t="s">
        <v>150</v>
      </c>
      <c r="I396" s="951">
        <v>10</v>
      </c>
      <c r="J396" s="951">
        <v>0.1</v>
      </c>
      <c r="K396" s="952">
        <f t="shared" si="74"/>
        <v>5.6818181818181826E-4</v>
      </c>
      <c r="L396" s="644">
        <f t="shared" si="66"/>
        <v>14</v>
      </c>
      <c r="M396" s="935">
        <v>0.59375</v>
      </c>
      <c r="N396" s="936">
        <f t="shared" si="67"/>
        <v>0.59375</v>
      </c>
      <c r="O396" s="725"/>
      <c r="P396" s="725">
        <f t="shared" si="70"/>
        <v>-0.59375</v>
      </c>
      <c r="Q396" s="622"/>
      <c r="R396" s="37"/>
      <c r="S396" s="37" t="str">
        <f t="shared" si="68"/>
        <v>MooreF1</v>
      </c>
      <c r="T396" s="37" t="str">
        <f t="shared" si="71"/>
        <v>1980F1</v>
      </c>
      <c r="U396" s="429">
        <v>10</v>
      </c>
      <c r="V396" s="1029">
        <v>0.1</v>
      </c>
      <c r="W396" s="598">
        <v>1E-3</v>
      </c>
      <c r="X396" s="429"/>
      <c r="Y396" s="37" t="str">
        <f t="shared" si="72"/>
        <v>F110</v>
      </c>
      <c r="Z396" s="37" t="str">
        <f t="shared" si="73"/>
        <v>F10.1</v>
      </c>
      <c r="AA396" s="37" t="str">
        <f t="shared" si="75"/>
        <v>F10.001</v>
      </c>
      <c r="AB396" s="498" t="str">
        <f t="shared" si="69"/>
        <v>F114</v>
      </c>
      <c r="AC396" s="572"/>
      <c r="AD396" s="572"/>
      <c r="AE396" s="572"/>
      <c r="AF396" s="572"/>
    </row>
    <row r="397" spans="1:32">
      <c r="A397" s="947">
        <f t="shared" si="76"/>
        <v>390</v>
      </c>
      <c r="B397" s="948">
        <v>5</v>
      </c>
      <c r="C397" s="949">
        <v>29368</v>
      </c>
      <c r="D397" s="949" t="s">
        <v>177</v>
      </c>
      <c r="E397" s="950">
        <v>27</v>
      </c>
      <c r="F397" s="644">
        <v>1980</v>
      </c>
      <c r="G397" s="948" t="s">
        <v>134</v>
      </c>
      <c r="H397" s="645" t="s">
        <v>149</v>
      </c>
      <c r="I397" s="951">
        <v>10</v>
      </c>
      <c r="J397" s="951">
        <v>0.1</v>
      </c>
      <c r="K397" s="952">
        <f t="shared" si="74"/>
        <v>5.6818181818181826E-4</v>
      </c>
      <c r="L397" s="644">
        <f t="shared" si="66"/>
        <v>15</v>
      </c>
      <c r="M397" s="935">
        <v>0.63541666666666663</v>
      </c>
      <c r="N397" s="936">
        <f t="shared" si="67"/>
        <v>0.63541666666666663</v>
      </c>
      <c r="O397" s="725"/>
      <c r="P397" s="725">
        <f t="shared" si="70"/>
        <v>-0.63541666666666663</v>
      </c>
      <c r="Q397" s="622"/>
      <c r="R397" s="37"/>
      <c r="S397" s="37" t="str">
        <f t="shared" si="68"/>
        <v>HartleyF0</v>
      </c>
      <c r="T397" s="37" t="str">
        <f t="shared" si="71"/>
        <v>1980F0</v>
      </c>
      <c r="U397" s="429">
        <v>10</v>
      </c>
      <c r="V397" s="1029">
        <v>0.1</v>
      </c>
      <c r="W397" s="598">
        <v>1E-3</v>
      </c>
      <c r="X397" s="429"/>
      <c r="Y397" s="37" t="str">
        <f t="shared" si="72"/>
        <v>F010</v>
      </c>
      <c r="Z397" s="37" t="str">
        <f t="shared" si="73"/>
        <v>F00.1</v>
      </c>
      <c r="AA397" s="37" t="str">
        <f t="shared" si="75"/>
        <v>F00.001</v>
      </c>
      <c r="AB397" s="498" t="str">
        <f t="shared" si="69"/>
        <v>F015</v>
      </c>
      <c r="AC397" s="572"/>
      <c r="AD397" s="572"/>
      <c r="AE397" s="572"/>
      <c r="AF397" s="572"/>
    </row>
    <row r="398" spans="1:32">
      <c r="A398" s="947">
        <f t="shared" si="76"/>
        <v>391</v>
      </c>
      <c r="B398" s="948">
        <v>6</v>
      </c>
      <c r="C398" s="949">
        <v>29368</v>
      </c>
      <c r="D398" s="949" t="s">
        <v>177</v>
      </c>
      <c r="E398" s="950">
        <v>27</v>
      </c>
      <c r="F398" s="644">
        <v>1980</v>
      </c>
      <c r="G398" s="948" t="s">
        <v>134</v>
      </c>
      <c r="H398" s="645" t="s">
        <v>149</v>
      </c>
      <c r="I398" s="951">
        <v>10</v>
      </c>
      <c r="J398" s="951">
        <v>0.1</v>
      </c>
      <c r="K398" s="952">
        <f t="shared" si="74"/>
        <v>5.6818181818181826E-4</v>
      </c>
      <c r="L398" s="644">
        <f t="shared" si="66"/>
        <v>15</v>
      </c>
      <c r="M398" s="935">
        <v>0.65138888888888891</v>
      </c>
      <c r="N398" s="936">
        <f t="shared" si="67"/>
        <v>0.65138888888888891</v>
      </c>
      <c r="O398" s="725"/>
      <c r="P398" s="725">
        <f t="shared" si="70"/>
        <v>-0.65138888888888891</v>
      </c>
      <c r="Q398" s="622"/>
      <c r="R398" s="37"/>
      <c r="S398" s="37" t="str">
        <f t="shared" si="68"/>
        <v>HartleyF0</v>
      </c>
      <c r="T398" s="37" t="str">
        <f t="shared" si="71"/>
        <v>1980F0</v>
      </c>
      <c r="U398" s="429">
        <v>10</v>
      </c>
      <c r="V398" s="1029">
        <v>0.1</v>
      </c>
      <c r="W398" s="598">
        <v>1E-3</v>
      </c>
      <c r="X398" s="429"/>
      <c r="Y398" s="37" t="str">
        <f t="shared" si="72"/>
        <v>F010</v>
      </c>
      <c r="Z398" s="37" t="str">
        <f t="shared" si="73"/>
        <v>F00.1</v>
      </c>
      <c r="AA398" s="37" t="str">
        <f t="shared" si="75"/>
        <v>F00.001</v>
      </c>
      <c r="AB398" s="498" t="str">
        <f t="shared" si="69"/>
        <v>F015</v>
      </c>
      <c r="AC398" s="572"/>
      <c r="AD398" s="572"/>
      <c r="AE398" s="572"/>
      <c r="AF398" s="572"/>
    </row>
    <row r="399" spans="1:32">
      <c r="A399" s="947">
        <f t="shared" si="76"/>
        <v>392</v>
      </c>
      <c r="B399" s="948">
        <v>7</v>
      </c>
      <c r="C399" s="949">
        <v>29369</v>
      </c>
      <c r="D399" s="949" t="s">
        <v>177</v>
      </c>
      <c r="E399" s="950">
        <v>28</v>
      </c>
      <c r="F399" s="644">
        <v>1980</v>
      </c>
      <c r="G399" s="948" t="s">
        <v>131</v>
      </c>
      <c r="H399" s="645" t="s">
        <v>149</v>
      </c>
      <c r="I399" s="951">
        <v>20</v>
      </c>
      <c r="J399" s="951">
        <v>0.3</v>
      </c>
      <c r="K399" s="952">
        <f t="shared" si="74"/>
        <v>3.4090909090909089E-3</v>
      </c>
      <c r="L399" s="644">
        <f t="shared" si="66"/>
        <v>17</v>
      </c>
      <c r="M399" s="935">
        <v>0.73263888888888884</v>
      </c>
      <c r="N399" s="936">
        <f t="shared" si="67"/>
        <v>0.73263888888888884</v>
      </c>
      <c r="O399" s="725"/>
      <c r="P399" s="725">
        <f t="shared" si="70"/>
        <v>-0.73263888888888884</v>
      </c>
      <c r="Q399" s="622"/>
      <c r="R399" s="37"/>
      <c r="S399" s="37" t="str">
        <f t="shared" si="68"/>
        <v>HansfordF0</v>
      </c>
      <c r="T399" s="37" t="str">
        <f t="shared" si="71"/>
        <v>1980F0</v>
      </c>
      <c r="U399" s="429">
        <v>20</v>
      </c>
      <c r="V399" s="1029">
        <v>0.2</v>
      </c>
      <c r="W399" s="598">
        <v>2E-3</v>
      </c>
      <c r="X399" s="429"/>
      <c r="Y399" s="37" t="str">
        <f t="shared" si="72"/>
        <v>F020</v>
      </c>
      <c r="Z399" s="37" t="str">
        <f t="shared" si="73"/>
        <v>F00.2</v>
      </c>
      <c r="AA399" s="37" t="str">
        <f t="shared" si="75"/>
        <v>F00.002</v>
      </c>
      <c r="AB399" s="498" t="str">
        <f t="shared" si="69"/>
        <v>F017</v>
      </c>
      <c r="AC399" s="572"/>
      <c r="AD399" s="572"/>
      <c r="AE399" s="572"/>
      <c r="AF399" s="572"/>
    </row>
    <row r="400" spans="1:32">
      <c r="A400" s="947">
        <f t="shared" si="76"/>
        <v>393</v>
      </c>
      <c r="B400" s="948">
        <v>8</v>
      </c>
      <c r="C400" s="949">
        <v>29369</v>
      </c>
      <c r="D400" s="949" t="s">
        <v>177</v>
      </c>
      <c r="E400" s="950">
        <v>28</v>
      </c>
      <c r="F400" s="644">
        <v>1980</v>
      </c>
      <c r="G400" s="948" t="s">
        <v>143</v>
      </c>
      <c r="H400" s="645" t="s">
        <v>151</v>
      </c>
      <c r="I400" s="951">
        <v>50</v>
      </c>
      <c r="J400" s="951">
        <v>8</v>
      </c>
      <c r="K400" s="952">
        <f t="shared" si="74"/>
        <v>0.22727272727272727</v>
      </c>
      <c r="L400" s="644">
        <f t="shared" si="66"/>
        <v>20</v>
      </c>
      <c r="M400" s="935">
        <v>0.85416666666666663</v>
      </c>
      <c r="N400" s="936">
        <f t="shared" si="67"/>
        <v>0.85416666666666663</v>
      </c>
      <c r="O400" s="725"/>
      <c r="P400" s="725">
        <f t="shared" si="70"/>
        <v>-0.85416666666666663</v>
      </c>
      <c r="Q400" s="622"/>
      <c r="R400" s="37"/>
      <c r="S400" s="37" t="str">
        <f t="shared" si="68"/>
        <v>WheelerF2</v>
      </c>
      <c r="T400" s="37" t="str">
        <f t="shared" si="71"/>
        <v>1980F2</v>
      </c>
      <c r="U400" s="429">
        <v>50</v>
      </c>
      <c r="V400" s="1029">
        <v>5</v>
      </c>
      <c r="W400" s="598">
        <v>0.2</v>
      </c>
      <c r="X400" s="429"/>
      <c r="Y400" s="37" t="str">
        <f t="shared" si="72"/>
        <v>F250</v>
      </c>
      <c r="Z400" s="37" t="str">
        <f t="shared" si="73"/>
        <v>F25</v>
      </c>
      <c r="AA400" s="37" t="str">
        <f t="shared" si="75"/>
        <v>F20.2</v>
      </c>
      <c r="AB400" s="498" t="str">
        <f t="shared" si="69"/>
        <v>F220</v>
      </c>
      <c r="AC400" s="572"/>
      <c r="AD400" s="572"/>
      <c r="AE400" s="572"/>
      <c r="AF400" s="572"/>
    </row>
    <row r="401" spans="1:32">
      <c r="A401" s="947">
        <f t="shared" si="76"/>
        <v>394</v>
      </c>
      <c r="B401" s="948">
        <v>9</v>
      </c>
      <c r="C401" s="949">
        <v>29369</v>
      </c>
      <c r="D401" s="949" t="s">
        <v>177</v>
      </c>
      <c r="E401" s="950">
        <v>28</v>
      </c>
      <c r="F401" s="644">
        <v>1980</v>
      </c>
      <c r="G401" s="948" t="s">
        <v>148</v>
      </c>
      <c r="H401" s="645" t="s">
        <v>151</v>
      </c>
      <c r="I401" s="951">
        <v>10</v>
      </c>
      <c r="J401" s="951">
        <v>0.1</v>
      </c>
      <c r="K401" s="952">
        <f t="shared" si="74"/>
        <v>5.6818181818181826E-4</v>
      </c>
      <c r="L401" s="644">
        <f t="shared" si="66"/>
        <v>23</v>
      </c>
      <c r="M401" s="935">
        <v>0.99652777777777779</v>
      </c>
      <c r="N401" s="936">
        <f t="shared" si="67"/>
        <v>0.99652777777777779</v>
      </c>
      <c r="O401" s="725"/>
      <c r="P401" s="725">
        <f t="shared" si="70"/>
        <v>-0.99652777777777779</v>
      </c>
      <c r="Q401" s="622"/>
      <c r="R401" s="37"/>
      <c r="S401" s="37" t="str">
        <f t="shared" si="68"/>
        <v>CollingsworthF2</v>
      </c>
      <c r="T401" s="37" t="str">
        <f t="shared" si="71"/>
        <v>1980F2</v>
      </c>
      <c r="U401" s="429">
        <v>10</v>
      </c>
      <c r="V401" s="1029">
        <v>0.1</v>
      </c>
      <c r="W401" s="598">
        <v>1E-3</v>
      </c>
      <c r="X401" s="429"/>
      <c r="Y401" s="37" t="str">
        <f t="shared" si="72"/>
        <v>F210</v>
      </c>
      <c r="Z401" s="37" t="str">
        <f t="shared" si="73"/>
        <v>F20.1</v>
      </c>
      <c r="AA401" s="37" t="str">
        <f t="shared" si="75"/>
        <v>F20.001</v>
      </c>
      <c r="AB401" s="498" t="str">
        <f t="shared" si="69"/>
        <v>F223</v>
      </c>
      <c r="AC401" s="572"/>
      <c r="AD401" s="572"/>
      <c r="AE401" s="572"/>
      <c r="AF401" s="572"/>
    </row>
    <row r="402" spans="1:32">
      <c r="A402" s="947">
        <f t="shared" si="76"/>
        <v>395</v>
      </c>
      <c r="B402" s="948">
        <v>10</v>
      </c>
      <c r="C402" s="949">
        <v>29370</v>
      </c>
      <c r="D402" s="949" t="s">
        <v>177</v>
      </c>
      <c r="E402" s="950">
        <v>29</v>
      </c>
      <c r="F402" s="644">
        <v>1980</v>
      </c>
      <c r="G402" s="948" t="s">
        <v>148</v>
      </c>
      <c r="H402" s="645" t="s">
        <v>151</v>
      </c>
      <c r="I402" s="951">
        <v>160</v>
      </c>
      <c r="J402" s="951">
        <v>16.2</v>
      </c>
      <c r="K402" s="952">
        <f t="shared" si="74"/>
        <v>1.4727272727272727</v>
      </c>
      <c r="L402" s="644">
        <f t="shared" si="66"/>
        <v>16</v>
      </c>
      <c r="M402" s="935">
        <v>0.69236111111111109</v>
      </c>
      <c r="N402" s="936">
        <f t="shared" si="67"/>
        <v>0.69236111111111109</v>
      </c>
      <c r="O402" s="725"/>
      <c r="P402" s="725">
        <f t="shared" si="70"/>
        <v>-0.69236111111111109</v>
      </c>
      <c r="Q402" s="622"/>
      <c r="R402" s="37"/>
      <c r="S402" s="37" t="str">
        <f t="shared" si="68"/>
        <v>CollingsworthF2</v>
      </c>
      <c r="T402" s="37" t="str">
        <f t="shared" si="71"/>
        <v>1980F2</v>
      </c>
      <c r="U402" s="429">
        <v>100</v>
      </c>
      <c r="V402" s="1029">
        <v>10</v>
      </c>
      <c r="W402" s="598">
        <v>1</v>
      </c>
      <c r="X402" s="429"/>
      <c r="Y402" s="37" t="str">
        <f t="shared" si="72"/>
        <v>F2100</v>
      </c>
      <c r="Z402" s="37" t="str">
        <f t="shared" si="73"/>
        <v>F210</v>
      </c>
      <c r="AA402" s="37" t="str">
        <f t="shared" si="75"/>
        <v>F21</v>
      </c>
      <c r="AB402" s="498" t="str">
        <f t="shared" si="69"/>
        <v>F216</v>
      </c>
      <c r="AC402" s="572"/>
      <c r="AD402" s="572"/>
      <c r="AE402" s="572"/>
      <c r="AF402" s="572"/>
    </row>
    <row r="403" spans="1:32">
      <c r="A403" s="947">
        <f t="shared" si="76"/>
        <v>396</v>
      </c>
      <c r="B403" s="948">
        <v>11</v>
      </c>
      <c r="C403" s="949">
        <v>29376</v>
      </c>
      <c r="D403" s="949" t="s">
        <v>178</v>
      </c>
      <c r="E403" s="950">
        <v>4</v>
      </c>
      <c r="F403" s="644">
        <v>1980</v>
      </c>
      <c r="G403" s="948" t="s">
        <v>131</v>
      </c>
      <c r="H403" s="645" t="s">
        <v>150</v>
      </c>
      <c r="I403" s="951">
        <v>60</v>
      </c>
      <c r="J403" s="951">
        <v>2.5</v>
      </c>
      <c r="K403" s="952">
        <f t="shared" si="74"/>
        <v>8.5227272727272721E-2</v>
      </c>
      <c r="L403" s="644">
        <f t="shared" si="66"/>
        <v>17</v>
      </c>
      <c r="M403" s="935">
        <v>0.73611111111111116</v>
      </c>
      <c r="N403" s="936">
        <f t="shared" si="67"/>
        <v>0.73611111111111116</v>
      </c>
      <c r="O403" s="725"/>
      <c r="P403" s="725">
        <f t="shared" si="70"/>
        <v>-0.73611111111111116</v>
      </c>
      <c r="Q403" s="622"/>
      <c r="R403" s="37"/>
      <c r="S403" s="37" t="str">
        <f t="shared" si="68"/>
        <v>HansfordF1</v>
      </c>
      <c r="T403" s="37" t="str">
        <f t="shared" si="71"/>
        <v>1980F1</v>
      </c>
      <c r="U403" s="429">
        <v>50</v>
      </c>
      <c r="V403" s="1029">
        <v>2</v>
      </c>
      <c r="W403" s="598">
        <v>0.05</v>
      </c>
      <c r="X403" s="429"/>
      <c r="Y403" s="37" t="str">
        <f t="shared" si="72"/>
        <v>F150</v>
      </c>
      <c r="Z403" s="37" t="str">
        <f t="shared" si="73"/>
        <v>F12</v>
      </c>
      <c r="AA403" s="37" t="str">
        <f t="shared" si="75"/>
        <v>F10.05</v>
      </c>
      <c r="AB403" s="498" t="str">
        <f t="shared" si="69"/>
        <v>F117</v>
      </c>
      <c r="AC403" s="572"/>
      <c r="AD403" s="572"/>
      <c r="AE403" s="572"/>
      <c r="AF403" s="572"/>
    </row>
    <row r="404" spans="1:32">
      <c r="A404" s="947">
        <f t="shared" si="76"/>
        <v>397</v>
      </c>
      <c r="B404" s="948">
        <v>12</v>
      </c>
      <c r="C404" s="949">
        <v>29438</v>
      </c>
      <c r="D404" s="949" t="s">
        <v>180</v>
      </c>
      <c r="E404" s="950">
        <v>5</v>
      </c>
      <c r="F404" s="644">
        <v>1980</v>
      </c>
      <c r="G404" s="948" t="s">
        <v>127</v>
      </c>
      <c r="H404" s="645" t="s">
        <v>150</v>
      </c>
      <c r="I404" s="951">
        <v>100</v>
      </c>
      <c r="J404" s="951">
        <v>0.6</v>
      </c>
      <c r="K404" s="952">
        <f t="shared" si="74"/>
        <v>3.4090909090909088E-2</v>
      </c>
      <c r="L404" s="644">
        <f t="shared" si="66"/>
        <v>16</v>
      </c>
      <c r="M404" s="935">
        <v>0.66666666666666663</v>
      </c>
      <c r="N404" s="936">
        <f t="shared" si="67"/>
        <v>0.66666666666666663</v>
      </c>
      <c r="O404" s="725"/>
      <c r="P404" s="725">
        <f t="shared" si="70"/>
        <v>-0.66666666666666663</v>
      </c>
      <c r="Q404" s="622"/>
      <c r="R404" s="37"/>
      <c r="S404" s="37" t="str">
        <f t="shared" si="68"/>
        <v>TexasF1</v>
      </c>
      <c r="T404" s="37" t="str">
        <f t="shared" si="71"/>
        <v>1980F1</v>
      </c>
      <c r="U404" s="429">
        <v>100</v>
      </c>
      <c r="V404" s="1029">
        <v>0.5</v>
      </c>
      <c r="W404" s="598">
        <v>0.02</v>
      </c>
      <c r="X404" s="429"/>
      <c r="Y404" s="37" t="str">
        <f t="shared" si="72"/>
        <v>F1100</v>
      </c>
      <c r="Z404" s="37" t="str">
        <f t="shared" si="73"/>
        <v>F10.5</v>
      </c>
      <c r="AA404" s="37" t="str">
        <f t="shared" si="75"/>
        <v>F10.02</v>
      </c>
      <c r="AB404" s="498" t="str">
        <f t="shared" si="69"/>
        <v>F116</v>
      </c>
      <c r="AC404" s="572"/>
      <c r="AD404" s="572"/>
      <c r="AE404" s="572"/>
      <c r="AF404" s="572"/>
    </row>
    <row r="405" spans="1:32">
      <c r="A405" s="947">
        <f t="shared" si="76"/>
        <v>398</v>
      </c>
      <c r="B405" s="948">
        <v>13</v>
      </c>
      <c r="C405" s="949">
        <v>29438</v>
      </c>
      <c r="D405" s="949" t="s">
        <v>180</v>
      </c>
      <c r="E405" s="950">
        <v>5</v>
      </c>
      <c r="F405" s="644">
        <v>1980</v>
      </c>
      <c r="G405" s="948" t="s">
        <v>127</v>
      </c>
      <c r="H405" s="645" t="s">
        <v>150</v>
      </c>
      <c r="I405" s="951">
        <v>100</v>
      </c>
      <c r="J405" s="951">
        <v>3.6</v>
      </c>
      <c r="K405" s="952">
        <f t="shared" si="74"/>
        <v>0.20454545454545453</v>
      </c>
      <c r="L405" s="644">
        <f t="shared" si="66"/>
        <v>16</v>
      </c>
      <c r="M405" s="935">
        <v>0.69444444444444453</v>
      </c>
      <c r="N405" s="936">
        <f t="shared" si="67"/>
        <v>0.69444444444444453</v>
      </c>
      <c r="O405" s="725"/>
      <c r="P405" s="725">
        <f t="shared" si="70"/>
        <v>-0.69444444444444453</v>
      </c>
      <c r="Q405" s="622"/>
      <c r="R405" s="37"/>
      <c r="S405" s="37" t="str">
        <f t="shared" si="68"/>
        <v>TexasF1</v>
      </c>
      <c r="T405" s="37" t="str">
        <f t="shared" si="71"/>
        <v>1980F1</v>
      </c>
      <c r="U405" s="429">
        <v>100</v>
      </c>
      <c r="V405" s="1029">
        <v>2</v>
      </c>
      <c r="W405" s="598">
        <v>0.2</v>
      </c>
      <c r="X405" s="429"/>
      <c r="Y405" s="37" t="str">
        <f t="shared" si="72"/>
        <v>F1100</v>
      </c>
      <c r="Z405" s="37" t="str">
        <f t="shared" si="73"/>
        <v>F12</v>
      </c>
      <c r="AA405" s="37" t="str">
        <f t="shared" si="75"/>
        <v>F10.2</v>
      </c>
      <c r="AB405" s="498" t="str">
        <f t="shared" si="69"/>
        <v>F116</v>
      </c>
      <c r="AC405" s="572"/>
      <c r="AD405" s="572"/>
      <c r="AE405" s="572"/>
      <c r="AF405" s="572"/>
    </row>
    <row r="406" spans="1:32">
      <c r="A406" s="947">
        <f t="shared" si="76"/>
        <v>399</v>
      </c>
      <c r="B406" s="948">
        <v>1</v>
      </c>
      <c r="C406" s="949">
        <v>29648</v>
      </c>
      <c r="D406" s="963" t="s">
        <v>175</v>
      </c>
      <c r="E406" s="904">
        <v>3</v>
      </c>
      <c r="F406" s="644">
        <v>1981</v>
      </c>
      <c r="G406" s="948" t="s">
        <v>136</v>
      </c>
      <c r="H406" s="645" t="s">
        <v>149</v>
      </c>
      <c r="I406" s="951">
        <v>50</v>
      </c>
      <c r="J406" s="951">
        <v>1</v>
      </c>
      <c r="K406" s="952">
        <f t="shared" si="74"/>
        <v>2.8409090909090908E-2</v>
      </c>
      <c r="L406" s="644">
        <f t="shared" si="66"/>
        <v>16</v>
      </c>
      <c r="M406" s="935">
        <v>0.68402777777777779</v>
      </c>
      <c r="N406" s="936">
        <f t="shared" si="67"/>
        <v>0.68402777777777779</v>
      </c>
      <c r="O406" s="725"/>
      <c r="P406" s="725">
        <f t="shared" si="70"/>
        <v>-0.68402777777777779</v>
      </c>
      <c r="Q406" s="622"/>
      <c r="R406" s="37"/>
      <c r="S406" s="37" t="str">
        <f t="shared" si="68"/>
        <v>HutchinsonF0</v>
      </c>
      <c r="T406" s="37" t="str">
        <f t="shared" si="71"/>
        <v>1981F0</v>
      </c>
      <c r="U406" s="429">
        <v>50</v>
      </c>
      <c r="V406" s="1029">
        <v>1</v>
      </c>
      <c r="W406" s="598">
        <v>0.02</v>
      </c>
      <c r="X406" s="429"/>
      <c r="Y406" s="37" t="str">
        <f t="shared" si="72"/>
        <v>F050</v>
      </c>
      <c r="Z406" s="37" t="str">
        <f t="shared" si="73"/>
        <v>F01</v>
      </c>
      <c r="AA406" s="37" t="str">
        <f t="shared" si="75"/>
        <v>F00.02</v>
      </c>
      <c r="AB406" s="498" t="str">
        <f t="shared" si="69"/>
        <v>F016</v>
      </c>
      <c r="AC406" s="572"/>
      <c r="AD406" s="572"/>
      <c r="AE406" s="572"/>
      <c r="AF406" s="572"/>
    </row>
    <row r="407" spans="1:32">
      <c r="A407" s="947">
        <f t="shared" si="76"/>
        <v>400</v>
      </c>
      <c r="B407" s="948">
        <v>2</v>
      </c>
      <c r="C407" s="949">
        <v>29712</v>
      </c>
      <c r="D407" s="949" t="s">
        <v>177</v>
      </c>
      <c r="E407" s="950">
        <v>6</v>
      </c>
      <c r="F407" s="644">
        <v>1981</v>
      </c>
      <c r="G407" s="948" t="s">
        <v>131</v>
      </c>
      <c r="H407" s="645" t="s">
        <v>149</v>
      </c>
      <c r="I407" s="951">
        <v>30</v>
      </c>
      <c r="J407" s="951">
        <v>0.5</v>
      </c>
      <c r="K407" s="952">
        <f t="shared" si="74"/>
        <v>8.5227272727272721E-3</v>
      </c>
      <c r="L407" s="644">
        <f t="shared" si="66"/>
        <v>20</v>
      </c>
      <c r="M407" s="935">
        <v>0.84722222222222221</v>
      </c>
      <c r="N407" s="936">
        <f t="shared" si="67"/>
        <v>0.84722222222222221</v>
      </c>
      <c r="O407" s="725"/>
      <c r="P407" s="725">
        <f t="shared" si="70"/>
        <v>-0.84722222222222221</v>
      </c>
      <c r="Q407" s="622"/>
      <c r="R407" s="37"/>
      <c r="S407" s="37" t="str">
        <f t="shared" si="68"/>
        <v>HansfordF0</v>
      </c>
      <c r="T407" s="37" t="str">
        <f t="shared" si="71"/>
        <v>1981F0</v>
      </c>
      <c r="U407" s="429">
        <v>20</v>
      </c>
      <c r="V407" s="1029">
        <v>0.5</v>
      </c>
      <c r="W407" s="598">
        <v>5.0000000000000001E-3</v>
      </c>
      <c r="X407" s="429"/>
      <c r="Y407" s="37" t="str">
        <f t="shared" si="72"/>
        <v>F020</v>
      </c>
      <c r="Z407" s="37" t="str">
        <f t="shared" si="73"/>
        <v>F00.5</v>
      </c>
      <c r="AA407" s="37" t="str">
        <f t="shared" si="75"/>
        <v>F00.005</v>
      </c>
      <c r="AB407" s="498" t="str">
        <f t="shared" si="69"/>
        <v>F020</v>
      </c>
      <c r="AC407" s="572"/>
      <c r="AD407" s="572"/>
      <c r="AE407" s="572"/>
      <c r="AF407" s="572"/>
    </row>
    <row r="408" spans="1:32">
      <c r="A408" s="947">
        <f t="shared" si="76"/>
        <v>401</v>
      </c>
      <c r="B408" s="948">
        <v>3</v>
      </c>
      <c r="C408" s="949">
        <v>29714</v>
      </c>
      <c r="D408" s="949" t="s">
        <v>177</v>
      </c>
      <c r="E408" s="950">
        <v>8</v>
      </c>
      <c r="F408" s="644">
        <v>1981</v>
      </c>
      <c r="G408" s="948" t="s">
        <v>138</v>
      </c>
      <c r="H408" s="645" t="s">
        <v>150</v>
      </c>
      <c r="I408" s="951">
        <v>30</v>
      </c>
      <c r="J408" s="951">
        <v>1</v>
      </c>
      <c r="K408" s="952">
        <f t="shared" si="74"/>
        <v>1.7045454545454544E-2</v>
      </c>
      <c r="L408" s="644">
        <f t="shared" si="66"/>
        <v>22</v>
      </c>
      <c r="M408" s="935">
        <v>0.9375</v>
      </c>
      <c r="N408" s="936">
        <f t="shared" si="67"/>
        <v>0.9375</v>
      </c>
      <c r="O408" s="725"/>
      <c r="P408" s="725">
        <f t="shared" si="70"/>
        <v>-0.9375</v>
      </c>
      <c r="Q408" s="622"/>
      <c r="R408" s="37"/>
      <c r="S408" s="37" t="str">
        <f t="shared" si="68"/>
        <v>HemphillF1</v>
      </c>
      <c r="T408" s="37" t="str">
        <f t="shared" si="71"/>
        <v>1981F1</v>
      </c>
      <c r="U408" s="429">
        <v>20</v>
      </c>
      <c r="V408" s="1029">
        <v>1</v>
      </c>
      <c r="W408" s="598">
        <v>0.01</v>
      </c>
      <c r="X408" s="429"/>
      <c r="Y408" s="37" t="str">
        <f t="shared" si="72"/>
        <v>F120</v>
      </c>
      <c r="Z408" s="37" t="str">
        <f t="shared" si="73"/>
        <v>F11</v>
      </c>
      <c r="AA408" s="37" t="str">
        <f t="shared" si="75"/>
        <v>F10.01</v>
      </c>
      <c r="AB408" s="498" t="str">
        <f t="shared" si="69"/>
        <v>F122</v>
      </c>
      <c r="AC408" s="572"/>
      <c r="AD408" s="572"/>
      <c r="AE408" s="572"/>
      <c r="AF408" s="572"/>
    </row>
    <row r="409" spans="1:32">
      <c r="A409" s="947">
        <f t="shared" si="76"/>
        <v>402</v>
      </c>
      <c r="B409" s="948">
        <v>4</v>
      </c>
      <c r="C409" s="949">
        <v>29738</v>
      </c>
      <c r="D409" s="949" t="s">
        <v>178</v>
      </c>
      <c r="E409" s="950">
        <v>1</v>
      </c>
      <c r="F409" s="644">
        <v>1981</v>
      </c>
      <c r="G409" s="948" t="s">
        <v>148</v>
      </c>
      <c r="H409" s="645" t="s">
        <v>149</v>
      </c>
      <c r="I409" s="951">
        <v>20</v>
      </c>
      <c r="J409" s="951">
        <v>0.3</v>
      </c>
      <c r="K409" s="952">
        <f t="shared" si="74"/>
        <v>3.4090909090909089E-3</v>
      </c>
      <c r="L409" s="644">
        <f t="shared" si="66"/>
        <v>17</v>
      </c>
      <c r="M409" s="935">
        <v>0.72222222222222221</v>
      </c>
      <c r="N409" s="936">
        <f t="shared" si="67"/>
        <v>0.72222222222222221</v>
      </c>
      <c r="O409" s="725"/>
      <c r="P409" s="725">
        <f t="shared" si="70"/>
        <v>-0.72222222222222221</v>
      </c>
      <c r="Q409" s="622"/>
      <c r="R409" s="37"/>
      <c r="S409" s="37" t="str">
        <f t="shared" si="68"/>
        <v>CollingsworthF0</v>
      </c>
      <c r="T409" s="37" t="str">
        <f t="shared" si="71"/>
        <v>1981F0</v>
      </c>
      <c r="U409" s="429">
        <v>20</v>
      </c>
      <c r="V409" s="1029">
        <v>0.2</v>
      </c>
      <c r="W409" s="598">
        <v>2E-3</v>
      </c>
      <c r="X409" s="429"/>
      <c r="Y409" s="37" t="str">
        <f t="shared" si="72"/>
        <v>F020</v>
      </c>
      <c r="Z409" s="37" t="str">
        <f t="shared" si="73"/>
        <v>F00.2</v>
      </c>
      <c r="AA409" s="37" t="str">
        <f t="shared" si="75"/>
        <v>F00.002</v>
      </c>
      <c r="AB409" s="498" t="str">
        <f t="shared" si="69"/>
        <v>F017</v>
      </c>
      <c r="AC409" s="572"/>
      <c r="AD409" s="572"/>
      <c r="AE409" s="572"/>
      <c r="AF409" s="572"/>
    </row>
    <row r="410" spans="1:32">
      <c r="A410" s="947">
        <f t="shared" si="76"/>
        <v>403</v>
      </c>
      <c r="B410" s="948">
        <v>5</v>
      </c>
      <c r="C410" s="949">
        <v>29738</v>
      </c>
      <c r="D410" s="949" t="s">
        <v>178</v>
      </c>
      <c r="E410" s="950">
        <v>1</v>
      </c>
      <c r="F410" s="644">
        <v>1981</v>
      </c>
      <c r="G410" s="948" t="s">
        <v>148</v>
      </c>
      <c r="H410" s="645" t="s">
        <v>151</v>
      </c>
      <c r="I410" s="951">
        <v>50</v>
      </c>
      <c r="J410" s="951">
        <v>5.7</v>
      </c>
      <c r="K410" s="952">
        <f t="shared" si="74"/>
        <v>0.16193181818181818</v>
      </c>
      <c r="L410" s="644">
        <f t="shared" si="66"/>
        <v>17</v>
      </c>
      <c r="M410" s="935">
        <v>0.72916666666666663</v>
      </c>
      <c r="N410" s="936">
        <f t="shared" si="67"/>
        <v>0.72916666666666663</v>
      </c>
      <c r="O410" s="725"/>
      <c r="P410" s="725">
        <f t="shared" si="70"/>
        <v>-0.72916666666666663</v>
      </c>
      <c r="Q410" s="622" t="s">
        <v>90</v>
      </c>
      <c r="R410" s="37"/>
      <c r="S410" s="37" t="str">
        <f t="shared" si="68"/>
        <v>CollingsworthF2</v>
      </c>
      <c r="T410" s="37" t="str">
        <f t="shared" si="71"/>
        <v>1981F2</v>
      </c>
      <c r="U410" s="429">
        <v>50</v>
      </c>
      <c r="V410" s="1029">
        <v>5</v>
      </c>
      <c r="W410" s="598">
        <v>0.1</v>
      </c>
      <c r="X410" s="429"/>
      <c r="Y410" s="37" t="str">
        <f t="shared" si="72"/>
        <v>F250</v>
      </c>
      <c r="Z410" s="37" t="str">
        <f t="shared" si="73"/>
        <v>F25</v>
      </c>
      <c r="AA410" s="37" t="str">
        <f t="shared" si="75"/>
        <v>F20.1</v>
      </c>
      <c r="AB410" s="498" t="str">
        <f t="shared" si="69"/>
        <v>F217</v>
      </c>
      <c r="AC410" s="572"/>
      <c r="AD410" s="572"/>
      <c r="AE410" s="572"/>
      <c r="AF410" s="572"/>
    </row>
    <row r="411" spans="1:32">
      <c r="A411" s="947">
        <f t="shared" si="76"/>
        <v>404</v>
      </c>
      <c r="B411" s="948">
        <v>6</v>
      </c>
      <c r="C411" s="949">
        <v>29739</v>
      </c>
      <c r="D411" s="949" t="s">
        <v>178</v>
      </c>
      <c r="E411" s="950">
        <v>2</v>
      </c>
      <c r="F411" s="644">
        <v>1981</v>
      </c>
      <c r="G411" s="948" t="s">
        <v>135</v>
      </c>
      <c r="H411" s="645" t="s">
        <v>149</v>
      </c>
      <c r="I411" s="951">
        <v>10</v>
      </c>
      <c r="J411" s="951">
        <v>0.3</v>
      </c>
      <c r="K411" s="952">
        <f t="shared" si="74"/>
        <v>1.7045454545454545E-3</v>
      </c>
      <c r="L411" s="644">
        <f t="shared" si="66"/>
        <v>17</v>
      </c>
      <c r="M411" s="935">
        <v>0.70833333333333337</v>
      </c>
      <c r="N411" s="936">
        <f t="shared" si="67"/>
        <v>0.70833333333333337</v>
      </c>
      <c r="O411" s="725"/>
      <c r="P411" s="725">
        <f t="shared" si="70"/>
        <v>-0.70833333333333337</v>
      </c>
      <c r="Q411" s="622"/>
      <c r="R411" s="37"/>
      <c r="S411" s="37" t="str">
        <f t="shared" si="68"/>
        <v>MooreF0</v>
      </c>
      <c r="T411" s="37" t="str">
        <f t="shared" si="71"/>
        <v>1981F0</v>
      </c>
      <c r="U411" s="429">
        <v>10</v>
      </c>
      <c r="V411" s="1029">
        <v>0.2</v>
      </c>
      <c r="W411" s="598">
        <v>2E-3</v>
      </c>
      <c r="X411" s="429"/>
      <c r="Y411" s="37" t="str">
        <f t="shared" si="72"/>
        <v>F010</v>
      </c>
      <c r="Z411" s="37" t="str">
        <f t="shared" si="73"/>
        <v>F00.2</v>
      </c>
      <c r="AA411" s="37" t="str">
        <f t="shared" si="75"/>
        <v>F00.002</v>
      </c>
      <c r="AB411" s="498" t="str">
        <f t="shared" si="69"/>
        <v>F017</v>
      </c>
      <c r="AC411" s="572"/>
      <c r="AD411" s="572"/>
      <c r="AE411" s="572"/>
      <c r="AF411" s="572"/>
    </row>
    <row r="412" spans="1:32">
      <c r="A412" s="947">
        <f t="shared" si="76"/>
        <v>405</v>
      </c>
      <c r="B412" s="948">
        <v>7</v>
      </c>
      <c r="C412" s="949">
        <v>29739</v>
      </c>
      <c r="D412" s="949" t="s">
        <v>178</v>
      </c>
      <c r="E412" s="950">
        <v>2</v>
      </c>
      <c r="F412" s="644">
        <v>1981</v>
      </c>
      <c r="G412" s="948" t="s">
        <v>135</v>
      </c>
      <c r="H412" s="645" t="s">
        <v>149</v>
      </c>
      <c r="I412" s="951">
        <v>10</v>
      </c>
      <c r="J412" s="951">
        <v>0.3</v>
      </c>
      <c r="K412" s="952">
        <f t="shared" si="74"/>
        <v>1.7045454545454545E-3</v>
      </c>
      <c r="L412" s="644">
        <f t="shared" si="66"/>
        <v>17</v>
      </c>
      <c r="M412" s="935">
        <v>0.70833333333333337</v>
      </c>
      <c r="N412" s="936">
        <f t="shared" si="67"/>
        <v>0.70833333333333337</v>
      </c>
      <c r="O412" s="725"/>
      <c r="P412" s="725">
        <f t="shared" si="70"/>
        <v>-0.70833333333333337</v>
      </c>
      <c r="Q412" s="622"/>
      <c r="R412" s="37"/>
      <c r="S412" s="37" t="str">
        <f t="shared" si="68"/>
        <v>MooreF0</v>
      </c>
      <c r="T412" s="37" t="str">
        <f t="shared" si="71"/>
        <v>1981F0</v>
      </c>
      <c r="U412" s="429">
        <v>10</v>
      </c>
      <c r="V412" s="1029">
        <v>0.2</v>
      </c>
      <c r="W412" s="598">
        <v>2E-3</v>
      </c>
      <c r="X412" s="429"/>
      <c r="Y412" s="37" t="str">
        <f t="shared" si="72"/>
        <v>F010</v>
      </c>
      <c r="Z412" s="37" t="str">
        <f t="shared" si="73"/>
        <v>F00.2</v>
      </c>
      <c r="AA412" s="37" t="str">
        <f t="shared" si="75"/>
        <v>F00.002</v>
      </c>
      <c r="AB412" s="498" t="str">
        <f t="shared" si="69"/>
        <v>F017</v>
      </c>
      <c r="AC412" s="572"/>
      <c r="AD412" s="572"/>
      <c r="AE412" s="572"/>
      <c r="AF412" s="572"/>
    </row>
    <row r="413" spans="1:32">
      <c r="A413" s="947">
        <f t="shared" si="76"/>
        <v>406</v>
      </c>
      <c r="B413" s="948">
        <v>8</v>
      </c>
      <c r="C413" s="949">
        <v>29739</v>
      </c>
      <c r="D413" s="949" t="s">
        <v>178</v>
      </c>
      <c r="E413" s="950">
        <v>2</v>
      </c>
      <c r="F413" s="644">
        <v>1981</v>
      </c>
      <c r="G413" s="948" t="s">
        <v>127</v>
      </c>
      <c r="H413" s="645" t="s">
        <v>149</v>
      </c>
      <c r="I413" s="951">
        <v>10</v>
      </c>
      <c r="J413" s="951">
        <v>0.1</v>
      </c>
      <c r="K413" s="952">
        <f t="shared" si="74"/>
        <v>5.6818181818181826E-4</v>
      </c>
      <c r="L413" s="644">
        <f t="shared" si="66"/>
        <v>17</v>
      </c>
      <c r="M413" s="935">
        <v>0.70833333333333337</v>
      </c>
      <c r="N413" s="936">
        <f t="shared" si="67"/>
        <v>0.70833333333333337</v>
      </c>
      <c r="O413" s="725"/>
      <c r="P413" s="725">
        <f t="shared" si="70"/>
        <v>-0.70833333333333337</v>
      </c>
      <c r="Q413" s="622"/>
      <c r="R413" s="37"/>
      <c r="S413" s="37" t="str">
        <f t="shared" si="68"/>
        <v>TexasF0</v>
      </c>
      <c r="T413" s="37" t="str">
        <f t="shared" si="71"/>
        <v>1981F0</v>
      </c>
      <c r="U413" s="429">
        <v>10</v>
      </c>
      <c r="V413" s="1029">
        <v>0.1</v>
      </c>
      <c r="W413" s="598">
        <v>1E-3</v>
      </c>
      <c r="X413" s="429"/>
      <c r="Y413" s="37" t="str">
        <f t="shared" si="72"/>
        <v>F010</v>
      </c>
      <c r="Z413" s="37" t="str">
        <f t="shared" si="73"/>
        <v>F00.1</v>
      </c>
      <c r="AA413" s="37" t="str">
        <f t="shared" si="75"/>
        <v>F00.001</v>
      </c>
      <c r="AB413" s="498" t="str">
        <f t="shared" si="69"/>
        <v>F017</v>
      </c>
      <c r="AC413" s="572"/>
      <c r="AD413" s="572"/>
      <c r="AE413" s="572"/>
      <c r="AF413" s="572"/>
    </row>
    <row r="414" spans="1:32">
      <c r="A414" s="947">
        <f t="shared" si="76"/>
        <v>407</v>
      </c>
      <c r="B414" s="948">
        <v>9</v>
      </c>
      <c r="C414" s="949">
        <v>29739</v>
      </c>
      <c r="D414" s="949" t="s">
        <v>178</v>
      </c>
      <c r="E414" s="950">
        <v>2</v>
      </c>
      <c r="F414" s="644">
        <v>1981</v>
      </c>
      <c r="G414" s="948" t="s">
        <v>148</v>
      </c>
      <c r="H414" s="645" t="s">
        <v>150</v>
      </c>
      <c r="I414" s="951">
        <v>40</v>
      </c>
      <c r="J414" s="951">
        <v>1</v>
      </c>
      <c r="K414" s="952">
        <f t="shared" si="74"/>
        <v>2.2727272727272728E-2</v>
      </c>
      <c r="L414" s="644">
        <f t="shared" ref="L414:L477" si="77">HOUR(N414)</f>
        <v>21</v>
      </c>
      <c r="M414" s="935">
        <v>0.875</v>
      </c>
      <c r="N414" s="936">
        <f t="shared" si="67"/>
        <v>0.875</v>
      </c>
      <c r="O414" s="725"/>
      <c r="P414" s="725">
        <f t="shared" si="70"/>
        <v>-0.875</v>
      </c>
      <c r="Q414" s="622"/>
      <c r="R414" s="37"/>
      <c r="S414" s="37" t="str">
        <f t="shared" si="68"/>
        <v>CollingsworthF1</v>
      </c>
      <c r="T414" s="37" t="str">
        <f t="shared" si="71"/>
        <v>1981F1</v>
      </c>
      <c r="U414" s="429">
        <v>20</v>
      </c>
      <c r="V414" s="1029">
        <v>1</v>
      </c>
      <c r="W414" s="598">
        <v>0.02</v>
      </c>
      <c r="X414" s="429"/>
      <c r="Y414" s="37" t="str">
        <f t="shared" si="72"/>
        <v>F120</v>
      </c>
      <c r="Z414" s="37" t="str">
        <f t="shared" si="73"/>
        <v>F11</v>
      </c>
      <c r="AA414" s="37" t="str">
        <f t="shared" si="75"/>
        <v>F10.02</v>
      </c>
      <c r="AB414" s="498" t="str">
        <f t="shared" si="69"/>
        <v>F121</v>
      </c>
      <c r="AC414" s="572"/>
      <c r="AD414" s="572"/>
      <c r="AE414" s="572"/>
      <c r="AF414" s="572"/>
    </row>
    <row r="415" spans="1:32">
      <c r="A415" s="947">
        <f t="shared" si="76"/>
        <v>408</v>
      </c>
      <c r="B415" s="948">
        <v>10</v>
      </c>
      <c r="C415" s="949">
        <v>29748</v>
      </c>
      <c r="D415" s="949" t="s">
        <v>178</v>
      </c>
      <c r="E415" s="950">
        <v>11</v>
      </c>
      <c r="F415" s="644">
        <v>1981</v>
      </c>
      <c r="G415" s="948" t="s">
        <v>126</v>
      </c>
      <c r="H415" s="645" t="s">
        <v>149</v>
      </c>
      <c r="I415" s="951">
        <v>10</v>
      </c>
      <c r="J415" s="951">
        <v>0.1</v>
      </c>
      <c r="K415" s="952">
        <f t="shared" si="74"/>
        <v>5.6818181818181826E-4</v>
      </c>
      <c r="L415" s="644">
        <f t="shared" si="77"/>
        <v>18</v>
      </c>
      <c r="M415" s="935">
        <v>0.75</v>
      </c>
      <c r="N415" s="936">
        <f t="shared" si="67"/>
        <v>0.75</v>
      </c>
      <c r="O415" s="725"/>
      <c r="P415" s="725">
        <f t="shared" si="70"/>
        <v>-0.75</v>
      </c>
      <c r="Q415" s="622"/>
      <c r="R415" s="37"/>
      <c r="S415" s="37" t="str">
        <f t="shared" si="68"/>
        <v>CimarronF0</v>
      </c>
      <c r="T415" s="37" t="str">
        <f t="shared" si="71"/>
        <v>1981F0</v>
      </c>
      <c r="U415" s="429">
        <v>10</v>
      </c>
      <c r="V415" s="1029">
        <v>0.1</v>
      </c>
      <c r="W415" s="598">
        <v>1E-3</v>
      </c>
      <c r="X415" s="429"/>
      <c r="Y415" s="37" t="str">
        <f t="shared" si="72"/>
        <v>F010</v>
      </c>
      <c r="Z415" s="37" t="str">
        <f t="shared" si="73"/>
        <v>F00.1</v>
      </c>
      <c r="AA415" s="37" t="str">
        <f t="shared" si="75"/>
        <v>F00.001</v>
      </c>
      <c r="AB415" s="498" t="str">
        <f t="shared" si="69"/>
        <v>F018</v>
      </c>
      <c r="AC415" s="572"/>
      <c r="AD415" s="572"/>
      <c r="AE415" s="572"/>
      <c r="AF415" s="572"/>
    </row>
    <row r="416" spans="1:32">
      <c r="A416" s="947">
        <f t="shared" si="76"/>
        <v>409</v>
      </c>
      <c r="B416" s="948">
        <v>11</v>
      </c>
      <c r="C416" s="949">
        <v>29748</v>
      </c>
      <c r="D416" s="949" t="s">
        <v>178</v>
      </c>
      <c r="E416" s="950">
        <v>11</v>
      </c>
      <c r="F416" s="644">
        <v>1981</v>
      </c>
      <c r="G416" s="948" t="s">
        <v>141</v>
      </c>
      <c r="H416" s="645" t="s">
        <v>149</v>
      </c>
      <c r="I416" s="951">
        <v>30</v>
      </c>
      <c r="J416" s="951">
        <v>0.5</v>
      </c>
      <c r="K416" s="952">
        <f t="shared" si="74"/>
        <v>8.5227272727272721E-3</v>
      </c>
      <c r="L416" s="644">
        <f t="shared" si="77"/>
        <v>21</v>
      </c>
      <c r="M416" s="935">
        <v>0.89583333333333337</v>
      </c>
      <c r="N416" s="936">
        <f t="shared" si="67"/>
        <v>0.89583333333333337</v>
      </c>
      <c r="O416" s="725"/>
      <c r="P416" s="725">
        <f t="shared" si="70"/>
        <v>-0.89583333333333337</v>
      </c>
      <c r="Q416" s="622"/>
      <c r="R416" s="37"/>
      <c r="S416" s="37" t="str">
        <f t="shared" si="68"/>
        <v>CarsonF0</v>
      </c>
      <c r="T416" s="37" t="str">
        <f t="shared" si="71"/>
        <v>1981F0</v>
      </c>
      <c r="U416" s="429">
        <v>20</v>
      </c>
      <c r="V416" s="1029">
        <v>0.5</v>
      </c>
      <c r="W416" s="598">
        <v>5.0000000000000001E-3</v>
      </c>
      <c r="X416" s="429"/>
      <c r="Y416" s="37" t="str">
        <f t="shared" si="72"/>
        <v>F020</v>
      </c>
      <c r="Z416" s="37" t="str">
        <f t="shared" si="73"/>
        <v>F00.5</v>
      </c>
      <c r="AA416" s="37" t="str">
        <f t="shared" si="75"/>
        <v>F00.005</v>
      </c>
      <c r="AB416" s="498" t="str">
        <f t="shared" si="69"/>
        <v>F021</v>
      </c>
      <c r="AC416" s="572"/>
      <c r="AD416" s="572"/>
      <c r="AE416" s="572"/>
      <c r="AF416" s="572"/>
    </row>
    <row r="417" spans="1:32">
      <c r="A417" s="947">
        <f t="shared" si="76"/>
        <v>410</v>
      </c>
      <c r="B417" s="948">
        <v>12</v>
      </c>
      <c r="C417" s="949">
        <v>29771</v>
      </c>
      <c r="D417" s="949" t="s">
        <v>179</v>
      </c>
      <c r="E417" s="950">
        <v>4</v>
      </c>
      <c r="F417" s="644">
        <v>1981</v>
      </c>
      <c r="G417" s="948" t="s">
        <v>131</v>
      </c>
      <c r="H417" s="645" t="s">
        <v>149</v>
      </c>
      <c r="I417" s="951">
        <v>10</v>
      </c>
      <c r="J417" s="951">
        <v>0.2</v>
      </c>
      <c r="K417" s="952">
        <f t="shared" si="74"/>
        <v>1.1363636363636365E-3</v>
      </c>
      <c r="L417" s="644">
        <f t="shared" si="77"/>
        <v>16</v>
      </c>
      <c r="M417" s="935">
        <v>0.6875</v>
      </c>
      <c r="N417" s="936">
        <f t="shared" si="67"/>
        <v>0.6875</v>
      </c>
      <c r="O417" s="725"/>
      <c r="P417" s="725">
        <f t="shared" si="70"/>
        <v>-0.6875</v>
      </c>
      <c r="Q417" s="622"/>
      <c r="R417" s="37"/>
      <c r="S417" s="37" t="str">
        <f t="shared" si="68"/>
        <v>HansfordF0</v>
      </c>
      <c r="T417" s="37" t="str">
        <f t="shared" si="71"/>
        <v>1981F0</v>
      </c>
      <c r="U417" s="429">
        <v>10</v>
      </c>
      <c r="V417" s="1029">
        <v>0.2</v>
      </c>
      <c r="W417" s="598">
        <v>1E-3</v>
      </c>
      <c r="X417" s="429"/>
      <c r="Y417" s="37" t="str">
        <f t="shared" si="72"/>
        <v>F010</v>
      </c>
      <c r="Z417" s="37" t="str">
        <f t="shared" si="73"/>
        <v>F00.2</v>
      </c>
      <c r="AA417" s="37" t="str">
        <f t="shared" si="75"/>
        <v>F00.001</v>
      </c>
      <c r="AB417" s="498" t="str">
        <f t="shared" si="69"/>
        <v>F016</v>
      </c>
      <c r="AC417" s="572"/>
      <c r="AD417" s="572"/>
      <c r="AE417" s="572"/>
      <c r="AF417" s="572"/>
    </row>
    <row r="418" spans="1:32">
      <c r="A418" s="947">
        <f t="shared" si="76"/>
        <v>411</v>
      </c>
      <c r="B418" s="948">
        <v>13</v>
      </c>
      <c r="C418" s="949">
        <v>29774</v>
      </c>
      <c r="D418" s="949" t="s">
        <v>179</v>
      </c>
      <c r="E418" s="950">
        <v>7</v>
      </c>
      <c r="F418" s="644">
        <v>1981</v>
      </c>
      <c r="G418" s="948" t="s">
        <v>144</v>
      </c>
      <c r="H418" s="645" t="s">
        <v>150</v>
      </c>
      <c r="I418" s="951">
        <v>10</v>
      </c>
      <c r="J418" s="951">
        <v>0.3</v>
      </c>
      <c r="K418" s="952">
        <f t="shared" si="74"/>
        <v>1.7045454545454545E-3</v>
      </c>
      <c r="L418" s="644">
        <f t="shared" si="77"/>
        <v>23</v>
      </c>
      <c r="M418" s="935">
        <v>0.96875</v>
      </c>
      <c r="N418" s="936">
        <f t="shared" si="67"/>
        <v>0.96875</v>
      </c>
      <c r="O418" s="725"/>
      <c r="P418" s="725">
        <f t="shared" si="70"/>
        <v>-0.96875</v>
      </c>
      <c r="Q418" s="622"/>
      <c r="R418" s="37"/>
      <c r="S418" s="37" t="str">
        <f t="shared" si="68"/>
        <v>Deaf SmithF1</v>
      </c>
      <c r="T418" s="37" t="str">
        <f t="shared" si="71"/>
        <v>1981F1</v>
      </c>
      <c r="U418" s="429">
        <v>10</v>
      </c>
      <c r="V418" s="1029">
        <v>0.2</v>
      </c>
      <c r="W418" s="598">
        <v>2E-3</v>
      </c>
      <c r="X418" s="429"/>
      <c r="Y418" s="37" t="str">
        <f t="shared" si="72"/>
        <v>F110</v>
      </c>
      <c r="Z418" s="37" t="str">
        <f t="shared" si="73"/>
        <v>F10.2</v>
      </c>
      <c r="AA418" s="37" t="str">
        <f t="shared" si="75"/>
        <v>F10.002</v>
      </c>
      <c r="AB418" s="498" t="str">
        <f t="shared" si="69"/>
        <v>F123</v>
      </c>
      <c r="AC418" s="572"/>
      <c r="AD418" s="572"/>
      <c r="AE418" s="572"/>
      <c r="AF418" s="572"/>
    </row>
    <row r="419" spans="1:32">
      <c r="A419" s="947">
        <f t="shared" si="76"/>
        <v>412</v>
      </c>
      <c r="B419" s="948">
        <v>14</v>
      </c>
      <c r="C419" s="949">
        <v>29804</v>
      </c>
      <c r="D419" s="949" t="s">
        <v>180</v>
      </c>
      <c r="E419" s="950">
        <v>6</v>
      </c>
      <c r="F419" s="644">
        <v>1981</v>
      </c>
      <c r="G419" s="948" t="s">
        <v>129</v>
      </c>
      <c r="H419" s="645" t="s">
        <v>149</v>
      </c>
      <c r="I419" s="951">
        <v>67</v>
      </c>
      <c r="J419" s="951">
        <v>0.1</v>
      </c>
      <c r="K419" s="952">
        <f t="shared" si="74"/>
        <v>3.806818181818182E-3</v>
      </c>
      <c r="L419" s="644">
        <f t="shared" si="77"/>
        <v>12</v>
      </c>
      <c r="M419" s="935">
        <v>0.54027777777777775</v>
      </c>
      <c r="N419" s="936">
        <f t="shared" si="67"/>
        <v>0.54027777777777775</v>
      </c>
      <c r="O419" s="725"/>
      <c r="P419" s="725">
        <f t="shared" si="70"/>
        <v>-0.54027777777777775</v>
      </c>
      <c r="Q419" s="622"/>
      <c r="R419" s="37"/>
      <c r="S419" s="37" t="str">
        <f t="shared" si="68"/>
        <v>DallamF0</v>
      </c>
      <c r="T419" s="37" t="str">
        <f t="shared" si="71"/>
        <v>1981F0</v>
      </c>
      <c r="U419" s="429">
        <v>50</v>
      </c>
      <c r="V419" s="1029">
        <v>0.1</v>
      </c>
      <c r="W419" s="598">
        <v>2E-3</v>
      </c>
      <c r="X419" s="429"/>
      <c r="Y419" s="37" t="str">
        <f t="shared" si="72"/>
        <v>F050</v>
      </c>
      <c r="Z419" s="37" t="str">
        <f t="shared" si="73"/>
        <v>F00.1</v>
      </c>
      <c r="AA419" s="37" t="str">
        <f t="shared" si="75"/>
        <v>F00.002</v>
      </c>
      <c r="AB419" s="498" t="str">
        <f t="shared" si="69"/>
        <v>F012</v>
      </c>
      <c r="AC419" s="572"/>
      <c r="AD419" s="572"/>
      <c r="AE419" s="572"/>
      <c r="AF419" s="572"/>
    </row>
    <row r="420" spans="1:32" ht="63.75">
      <c r="A420" s="947">
        <f t="shared" si="76"/>
        <v>413</v>
      </c>
      <c r="B420" s="948">
        <v>1</v>
      </c>
      <c r="C420" s="949">
        <v>30028</v>
      </c>
      <c r="D420" s="963" t="s">
        <v>175</v>
      </c>
      <c r="E420" s="904">
        <v>18</v>
      </c>
      <c r="F420" s="644">
        <v>1982</v>
      </c>
      <c r="G420" s="948" t="s">
        <v>135</v>
      </c>
      <c r="H420" s="645" t="s">
        <v>153</v>
      </c>
      <c r="I420" s="951">
        <v>880</v>
      </c>
      <c r="J420" s="951">
        <v>5.9</v>
      </c>
      <c r="K420" s="952">
        <f t="shared" si="74"/>
        <v>2.95</v>
      </c>
      <c r="L420" s="644">
        <f t="shared" si="77"/>
        <v>23</v>
      </c>
      <c r="M420" s="935">
        <v>0.99652777777777779</v>
      </c>
      <c r="N420" s="936">
        <f t="shared" si="67"/>
        <v>0.99652777777777779</v>
      </c>
      <c r="O420" s="725"/>
      <c r="P420" s="725">
        <f t="shared" si="70"/>
        <v>-0.99652777777777779</v>
      </c>
      <c r="Q420" s="106" t="s">
        <v>1195</v>
      </c>
      <c r="R420" s="37"/>
      <c r="S420" s="37" t="str">
        <f t="shared" si="68"/>
        <v>MooreF4</v>
      </c>
      <c r="T420" s="37" t="str">
        <f t="shared" si="71"/>
        <v>1982F4</v>
      </c>
      <c r="U420" s="429">
        <v>500</v>
      </c>
      <c r="V420" s="1029">
        <v>5</v>
      </c>
      <c r="W420" s="598">
        <v>2</v>
      </c>
      <c r="X420" s="429"/>
      <c r="Y420" s="37" t="str">
        <f t="shared" si="72"/>
        <v>F4500</v>
      </c>
      <c r="Z420" s="37" t="str">
        <f t="shared" si="73"/>
        <v>F45</v>
      </c>
      <c r="AA420" s="37" t="str">
        <f t="shared" si="75"/>
        <v>F42</v>
      </c>
      <c r="AB420" s="498" t="str">
        <f t="shared" si="69"/>
        <v>F423</v>
      </c>
      <c r="AC420" s="572"/>
      <c r="AD420" s="572"/>
      <c r="AE420" s="572"/>
      <c r="AF420" s="572"/>
    </row>
    <row r="421" spans="1:32" ht="41.25" customHeight="1">
      <c r="A421" s="947">
        <f t="shared" si="76"/>
        <v>414</v>
      </c>
      <c r="B421" s="948">
        <v>2</v>
      </c>
      <c r="C421" s="949">
        <v>30029</v>
      </c>
      <c r="D421" s="963" t="s">
        <v>175</v>
      </c>
      <c r="E421" s="904">
        <v>19</v>
      </c>
      <c r="F421" s="644">
        <v>1982</v>
      </c>
      <c r="G421" s="948" t="s">
        <v>131</v>
      </c>
      <c r="H421" s="645" t="s">
        <v>153</v>
      </c>
      <c r="I421" s="951">
        <v>880</v>
      </c>
      <c r="J421" s="951">
        <v>48</v>
      </c>
      <c r="K421" s="952">
        <f t="shared" si="74"/>
        <v>24</v>
      </c>
      <c r="L421" s="644">
        <f t="shared" si="77"/>
        <v>0</v>
      </c>
      <c r="M421" s="935">
        <v>6.9444444444444447E-4</v>
      </c>
      <c r="N421" s="936">
        <f t="shared" si="67"/>
        <v>6.9444444444444447E-4</v>
      </c>
      <c r="O421" s="725"/>
      <c r="P421" s="725">
        <f t="shared" si="70"/>
        <v>-6.9444444444444447E-4</v>
      </c>
      <c r="Q421" s="106" t="s">
        <v>754</v>
      </c>
      <c r="R421" s="36"/>
      <c r="S421" s="37" t="str">
        <f t="shared" si="68"/>
        <v>HansfordF4</v>
      </c>
      <c r="T421" s="37" t="str">
        <f t="shared" si="71"/>
        <v>1982F4</v>
      </c>
      <c r="U421" s="429">
        <v>500</v>
      </c>
      <c r="V421" s="1029">
        <v>20</v>
      </c>
      <c r="W421" s="598">
        <v>20</v>
      </c>
      <c r="X421" s="429"/>
      <c r="Y421" s="37" t="str">
        <f t="shared" si="72"/>
        <v>F4500</v>
      </c>
      <c r="Z421" s="37" t="str">
        <f t="shared" si="73"/>
        <v>F420</v>
      </c>
      <c r="AA421" s="37" t="str">
        <f t="shared" si="75"/>
        <v>F420</v>
      </c>
      <c r="AB421" s="498" t="str">
        <f t="shared" si="69"/>
        <v>F40</v>
      </c>
      <c r="AC421" s="572"/>
      <c r="AD421" s="572"/>
      <c r="AE421" s="572"/>
      <c r="AF421" s="572"/>
    </row>
    <row r="422" spans="1:32" ht="54.75" customHeight="1">
      <c r="A422" s="947">
        <f t="shared" si="76"/>
        <v>415</v>
      </c>
      <c r="B422" s="948">
        <v>3</v>
      </c>
      <c r="C422" s="949">
        <v>30029</v>
      </c>
      <c r="D422" s="963" t="s">
        <v>175</v>
      </c>
      <c r="E422" s="904">
        <v>19</v>
      </c>
      <c r="F422" s="644">
        <v>1982</v>
      </c>
      <c r="G422" s="948" t="s">
        <v>132</v>
      </c>
      <c r="H422" s="645" t="s">
        <v>153</v>
      </c>
      <c r="I422" s="951">
        <v>880</v>
      </c>
      <c r="J422" s="951">
        <v>5</v>
      </c>
      <c r="K422" s="952">
        <f t="shared" si="74"/>
        <v>2.5</v>
      </c>
      <c r="L422" s="644">
        <f t="shared" si="77"/>
        <v>0</v>
      </c>
      <c r="M422" s="935">
        <v>3.4722222222222224E-2</v>
      </c>
      <c r="N422" s="936">
        <f t="shared" si="67"/>
        <v>3.4722222222222224E-2</v>
      </c>
      <c r="O422" s="725"/>
      <c r="P422" s="725">
        <f t="shared" si="70"/>
        <v>-3.4722222222222224E-2</v>
      </c>
      <c r="Q422" s="106" t="s">
        <v>874</v>
      </c>
      <c r="R422" s="36"/>
      <c r="S422" s="37" t="str">
        <f t="shared" si="68"/>
        <v>OchiltreeF4</v>
      </c>
      <c r="T422" s="37" t="str">
        <f t="shared" si="71"/>
        <v>1982F4</v>
      </c>
      <c r="U422" s="429">
        <v>500</v>
      </c>
      <c r="V422" s="1029">
        <v>5</v>
      </c>
      <c r="W422" s="598">
        <v>2</v>
      </c>
      <c r="X422" s="429"/>
      <c r="Y422" s="37" t="str">
        <f t="shared" si="72"/>
        <v>F4500</v>
      </c>
      <c r="Z422" s="37" t="str">
        <f t="shared" si="73"/>
        <v>F45</v>
      </c>
      <c r="AA422" s="37" t="str">
        <f t="shared" si="75"/>
        <v>F42</v>
      </c>
      <c r="AB422" s="498" t="str">
        <f t="shared" si="69"/>
        <v>F40</v>
      </c>
      <c r="AC422" s="572"/>
      <c r="AD422" s="572"/>
      <c r="AE422" s="572"/>
      <c r="AF422" s="572"/>
    </row>
    <row r="423" spans="1:32" ht="41.25" customHeight="1">
      <c r="A423" s="947">
        <f t="shared" si="76"/>
        <v>416</v>
      </c>
      <c r="B423" s="948">
        <v>4</v>
      </c>
      <c r="C423" s="949">
        <v>30029</v>
      </c>
      <c r="D423" s="963" t="s">
        <v>175</v>
      </c>
      <c r="E423" s="904">
        <v>19</v>
      </c>
      <c r="F423" s="644">
        <v>1982</v>
      </c>
      <c r="G423" s="948" t="s">
        <v>128</v>
      </c>
      <c r="H423" s="645" t="s">
        <v>152</v>
      </c>
      <c r="I423" s="951">
        <v>880</v>
      </c>
      <c r="J423" s="951">
        <v>29</v>
      </c>
      <c r="K423" s="952">
        <f t="shared" si="74"/>
        <v>14.5</v>
      </c>
      <c r="L423" s="644">
        <f t="shared" si="77"/>
        <v>1</v>
      </c>
      <c r="M423" s="935">
        <v>4.1666666666666664E-2</v>
      </c>
      <c r="N423" s="936">
        <f t="shared" si="67"/>
        <v>4.1666666666666664E-2</v>
      </c>
      <c r="O423" s="725"/>
      <c r="P423" s="725">
        <f t="shared" si="70"/>
        <v>-4.1666666666666664E-2</v>
      </c>
      <c r="Q423" s="106" t="s">
        <v>1196</v>
      </c>
      <c r="R423" s="36"/>
      <c r="S423" s="37" t="str">
        <f t="shared" si="68"/>
        <v>BeaverF3</v>
      </c>
      <c r="T423" s="37" t="str">
        <f t="shared" si="71"/>
        <v>1982F3</v>
      </c>
      <c r="U423" s="429">
        <v>500</v>
      </c>
      <c r="V423" s="1029">
        <v>20</v>
      </c>
      <c r="W423" s="598">
        <v>10</v>
      </c>
      <c r="X423" s="429"/>
      <c r="Y423" s="37" t="str">
        <f t="shared" si="72"/>
        <v>F3500</v>
      </c>
      <c r="Z423" s="37" t="str">
        <f t="shared" si="73"/>
        <v>F320</v>
      </c>
      <c r="AA423" s="37" t="str">
        <f t="shared" si="75"/>
        <v>F310</v>
      </c>
      <c r="AB423" s="498" t="str">
        <f t="shared" si="69"/>
        <v>F31</v>
      </c>
      <c r="AC423" s="572"/>
      <c r="AD423" s="572"/>
      <c r="AE423" s="572"/>
      <c r="AF423" s="572"/>
    </row>
    <row r="424" spans="1:32">
      <c r="A424" s="947">
        <f t="shared" si="76"/>
        <v>417</v>
      </c>
      <c r="B424" s="948">
        <v>5</v>
      </c>
      <c r="C424" s="949">
        <v>30080</v>
      </c>
      <c r="D424" s="949" t="s">
        <v>177</v>
      </c>
      <c r="E424" s="904">
        <v>9</v>
      </c>
      <c r="F424" s="644">
        <v>1982</v>
      </c>
      <c r="G424" s="948" t="s">
        <v>136</v>
      </c>
      <c r="H424" s="645" t="s">
        <v>149</v>
      </c>
      <c r="I424" s="951">
        <v>20</v>
      </c>
      <c r="J424" s="951">
        <v>0.2</v>
      </c>
      <c r="K424" s="952">
        <f t="shared" si="74"/>
        <v>2.2727272727272731E-3</v>
      </c>
      <c r="L424" s="644">
        <f t="shared" si="77"/>
        <v>18</v>
      </c>
      <c r="M424" s="935">
        <v>0.77361111111111114</v>
      </c>
      <c r="N424" s="936">
        <f t="shared" si="67"/>
        <v>0.77361111111111114</v>
      </c>
      <c r="O424" s="725"/>
      <c r="P424" s="725">
        <f t="shared" si="70"/>
        <v>-0.77361111111111114</v>
      </c>
      <c r="Q424" s="622" t="s">
        <v>1198</v>
      </c>
      <c r="R424" s="36"/>
      <c r="S424" s="37" t="str">
        <f t="shared" si="68"/>
        <v>HutchinsonF0</v>
      </c>
      <c r="T424" s="37" t="str">
        <f t="shared" si="71"/>
        <v>1982F0</v>
      </c>
      <c r="U424" s="429">
        <v>20</v>
      </c>
      <c r="V424" s="1029">
        <v>0.2</v>
      </c>
      <c r="W424" s="598">
        <v>2E-3</v>
      </c>
      <c r="X424" s="429"/>
      <c r="Y424" s="37" t="str">
        <f t="shared" si="72"/>
        <v>F020</v>
      </c>
      <c r="Z424" s="37" t="str">
        <f t="shared" si="73"/>
        <v>F00.2</v>
      </c>
      <c r="AA424" s="37" t="str">
        <f t="shared" si="75"/>
        <v>F00.002</v>
      </c>
      <c r="AB424" s="498" t="str">
        <f t="shared" si="69"/>
        <v>F018</v>
      </c>
      <c r="AC424" s="572"/>
      <c r="AD424" s="572"/>
      <c r="AE424" s="572"/>
      <c r="AF424" s="572"/>
    </row>
    <row r="425" spans="1:32">
      <c r="A425" s="947">
        <f t="shared" si="76"/>
        <v>418</v>
      </c>
      <c r="B425" s="948">
        <v>6</v>
      </c>
      <c r="C425" s="949">
        <v>30080</v>
      </c>
      <c r="D425" s="949" t="s">
        <v>177</v>
      </c>
      <c r="E425" s="904">
        <v>9</v>
      </c>
      <c r="F425" s="644">
        <v>1982</v>
      </c>
      <c r="G425" s="948" t="s">
        <v>135</v>
      </c>
      <c r="H425" s="645" t="s">
        <v>149</v>
      </c>
      <c r="I425" s="951">
        <v>10</v>
      </c>
      <c r="J425" s="951">
        <v>0.1</v>
      </c>
      <c r="K425" s="952">
        <f t="shared" si="74"/>
        <v>5.6818181818181826E-4</v>
      </c>
      <c r="L425" s="644">
        <f t="shared" si="77"/>
        <v>18</v>
      </c>
      <c r="M425" s="935">
        <v>0.78680555555555554</v>
      </c>
      <c r="N425" s="936">
        <f t="shared" si="67"/>
        <v>0.78680555555555554</v>
      </c>
      <c r="O425" s="725"/>
      <c r="P425" s="725">
        <f t="shared" si="70"/>
        <v>-0.78680555555555554</v>
      </c>
      <c r="Q425" s="622" t="s">
        <v>1199</v>
      </c>
      <c r="R425" s="36"/>
      <c r="S425" s="37" t="str">
        <f t="shared" si="68"/>
        <v>MooreF0</v>
      </c>
      <c r="T425" s="37" t="str">
        <f t="shared" si="71"/>
        <v>1982F0</v>
      </c>
      <c r="U425" s="429">
        <v>10</v>
      </c>
      <c r="V425" s="1029">
        <v>0.1</v>
      </c>
      <c r="W425" s="598">
        <v>1E-3</v>
      </c>
      <c r="X425" s="429"/>
      <c r="Y425" s="37" t="str">
        <f t="shared" si="72"/>
        <v>F010</v>
      </c>
      <c r="Z425" s="37" t="str">
        <f t="shared" si="73"/>
        <v>F00.1</v>
      </c>
      <c r="AA425" s="37" t="str">
        <f t="shared" si="75"/>
        <v>F00.001</v>
      </c>
      <c r="AB425" s="498" t="str">
        <f t="shared" si="69"/>
        <v>F018</v>
      </c>
      <c r="AC425" s="572"/>
      <c r="AD425" s="572"/>
      <c r="AE425" s="572"/>
      <c r="AF425" s="572"/>
    </row>
    <row r="426" spans="1:32">
      <c r="A426" s="947">
        <f t="shared" si="76"/>
        <v>419</v>
      </c>
      <c r="B426" s="948">
        <v>7</v>
      </c>
      <c r="C426" s="949">
        <v>30080</v>
      </c>
      <c r="D426" s="949" t="s">
        <v>177</v>
      </c>
      <c r="E426" s="904">
        <v>9</v>
      </c>
      <c r="F426" s="644">
        <v>1982</v>
      </c>
      <c r="G426" s="948" t="s">
        <v>144</v>
      </c>
      <c r="H426" s="645" t="s">
        <v>149</v>
      </c>
      <c r="I426" s="951">
        <v>100</v>
      </c>
      <c r="J426" s="951">
        <v>1</v>
      </c>
      <c r="K426" s="952">
        <f t="shared" si="74"/>
        <v>5.6818181818181816E-2</v>
      </c>
      <c r="L426" s="644">
        <f t="shared" si="77"/>
        <v>19</v>
      </c>
      <c r="M426" s="935">
        <v>0.80069444444444438</v>
      </c>
      <c r="N426" s="936">
        <f t="shared" si="67"/>
        <v>0.80069444444444438</v>
      </c>
      <c r="O426" s="725"/>
      <c r="P426" s="725">
        <f t="shared" si="70"/>
        <v>-0.80069444444444438</v>
      </c>
      <c r="Q426" s="380" t="s">
        <v>1200</v>
      </c>
      <c r="R426" s="36"/>
      <c r="S426" s="37" t="str">
        <f t="shared" si="68"/>
        <v>Deaf SmithF0</v>
      </c>
      <c r="T426" s="37" t="str">
        <f t="shared" si="71"/>
        <v>1982F0</v>
      </c>
      <c r="U426" s="429">
        <v>100</v>
      </c>
      <c r="V426" s="1029">
        <v>1</v>
      </c>
      <c r="W426" s="598">
        <v>0.05</v>
      </c>
      <c r="X426" s="429"/>
      <c r="Y426" s="37" t="str">
        <f t="shared" si="72"/>
        <v>F0100</v>
      </c>
      <c r="Z426" s="37" t="str">
        <f t="shared" si="73"/>
        <v>F01</v>
      </c>
      <c r="AA426" s="37" t="str">
        <f t="shared" si="75"/>
        <v>F00.05</v>
      </c>
      <c r="AB426" s="498" t="str">
        <f t="shared" si="69"/>
        <v>F019</v>
      </c>
      <c r="AC426" s="572"/>
      <c r="AD426" s="572"/>
      <c r="AE426" s="572"/>
      <c r="AF426" s="572"/>
    </row>
    <row r="427" spans="1:32" ht="25.5">
      <c r="A427" s="947">
        <f t="shared" si="76"/>
        <v>420</v>
      </c>
      <c r="B427" s="948">
        <v>8</v>
      </c>
      <c r="C427" s="949">
        <v>30080</v>
      </c>
      <c r="D427" s="949" t="s">
        <v>177</v>
      </c>
      <c r="E427" s="904">
        <v>9</v>
      </c>
      <c r="F427" s="644">
        <v>1982</v>
      </c>
      <c r="G427" s="948" t="s">
        <v>145</v>
      </c>
      <c r="H427" s="645" t="s">
        <v>152</v>
      </c>
      <c r="I427" s="951">
        <v>40</v>
      </c>
      <c r="J427" s="951">
        <v>2</v>
      </c>
      <c r="K427" s="952">
        <f t="shared" si="74"/>
        <v>4.5454545454545456E-2</v>
      </c>
      <c r="L427" s="644">
        <f t="shared" si="77"/>
        <v>19</v>
      </c>
      <c r="M427" s="935">
        <v>0.7993055555555556</v>
      </c>
      <c r="N427" s="936">
        <f t="shared" si="67"/>
        <v>0.7993055555555556</v>
      </c>
      <c r="O427" s="725">
        <v>0.80208333333333337</v>
      </c>
      <c r="P427" s="725">
        <f t="shared" si="70"/>
        <v>2.7777777777777679E-3</v>
      </c>
      <c r="Q427" s="622" t="s">
        <v>1201</v>
      </c>
      <c r="R427" s="36"/>
      <c r="S427" s="37" t="str">
        <f t="shared" si="68"/>
        <v>RandallF3</v>
      </c>
      <c r="T427" s="37" t="str">
        <f t="shared" si="71"/>
        <v>1982F3</v>
      </c>
      <c r="U427" s="429">
        <v>20</v>
      </c>
      <c r="V427" s="1029">
        <v>2</v>
      </c>
      <c r="W427" s="598">
        <v>0.02</v>
      </c>
      <c r="X427" s="429"/>
      <c r="Y427" s="37" t="str">
        <f t="shared" si="72"/>
        <v>F320</v>
      </c>
      <c r="Z427" s="37" t="str">
        <f t="shared" si="73"/>
        <v>F32</v>
      </c>
      <c r="AA427" s="37" t="str">
        <f t="shared" si="75"/>
        <v>F30.02</v>
      </c>
      <c r="AB427" s="498" t="str">
        <f t="shared" si="69"/>
        <v>F319</v>
      </c>
      <c r="AC427" s="572"/>
      <c r="AD427" s="572"/>
      <c r="AE427" s="572"/>
      <c r="AF427" s="572"/>
    </row>
    <row r="428" spans="1:32">
      <c r="A428" s="947">
        <f t="shared" si="76"/>
        <v>421</v>
      </c>
      <c r="B428" s="948">
        <v>9</v>
      </c>
      <c r="C428" s="949">
        <v>30080</v>
      </c>
      <c r="D428" s="949" t="s">
        <v>177</v>
      </c>
      <c r="E428" s="904">
        <v>9</v>
      </c>
      <c r="F428" s="644">
        <v>1982</v>
      </c>
      <c r="G428" s="948" t="s">
        <v>140</v>
      </c>
      <c r="H428" s="645" t="s">
        <v>152</v>
      </c>
      <c r="I428" s="951">
        <v>40</v>
      </c>
      <c r="J428" s="951">
        <v>6</v>
      </c>
      <c r="K428" s="952">
        <f t="shared" si="74"/>
        <v>0.13636363636363635</v>
      </c>
      <c r="L428" s="644">
        <f t="shared" si="77"/>
        <v>19</v>
      </c>
      <c r="M428" s="935">
        <v>0.80208333333333337</v>
      </c>
      <c r="N428" s="936">
        <f t="shared" si="67"/>
        <v>0.80208333333333337</v>
      </c>
      <c r="O428" s="725"/>
      <c r="P428" s="725">
        <f t="shared" si="70"/>
        <v>-0.80208333333333337</v>
      </c>
      <c r="Q428" s="622" t="s">
        <v>80</v>
      </c>
      <c r="R428" s="36"/>
      <c r="S428" s="37" t="str">
        <f t="shared" si="68"/>
        <v>PotterF3</v>
      </c>
      <c r="T428" s="37" t="str">
        <f t="shared" si="71"/>
        <v>1982F3</v>
      </c>
      <c r="U428" s="429">
        <v>20</v>
      </c>
      <c r="V428" s="1029">
        <v>5</v>
      </c>
      <c r="W428" s="598">
        <v>0.1</v>
      </c>
      <c r="X428" s="429"/>
      <c r="Y428" s="37" t="str">
        <f t="shared" si="72"/>
        <v>F320</v>
      </c>
      <c r="Z428" s="37" t="str">
        <f t="shared" si="73"/>
        <v>F35</v>
      </c>
      <c r="AA428" s="37" t="str">
        <f t="shared" si="75"/>
        <v>F30.1</v>
      </c>
      <c r="AB428" s="498" t="str">
        <f t="shared" si="69"/>
        <v>F319</v>
      </c>
      <c r="AC428" s="572"/>
      <c r="AD428" s="572"/>
      <c r="AE428" s="572"/>
      <c r="AF428" s="572"/>
    </row>
    <row r="429" spans="1:32">
      <c r="A429" s="947">
        <f t="shared" si="76"/>
        <v>422</v>
      </c>
      <c r="B429" s="948">
        <v>10</v>
      </c>
      <c r="C429" s="949">
        <v>30080</v>
      </c>
      <c r="D429" s="949" t="s">
        <v>177</v>
      </c>
      <c r="E429" s="904">
        <v>9</v>
      </c>
      <c r="F429" s="644">
        <v>1982</v>
      </c>
      <c r="G429" s="948" t="s">
        <v>145</v>
      </c>
      <c r="H429" s="645" t="s">
        <v>149</v>
      </c>
      <c r="I429" s="951">
        <v>10</v>
      </c>
      <c r="J429" s="951">
        <v>0.1</v>
      </c>
      <c r="K429" s="952">
        <f t="shared" si="74"/>
        <v>5.6818181818181826E-4</v>
      </c>
      <c r="L429" s="644">
        <f t="shared" si="77"/>
        <v>19</v>
      </c>
      <c r="M429" s="935">
        <v>0.80833333333333324</v>
      </c>
      <c r="N429" s="936">
        <f t="shared" si="67"/>
        <v>0.80833333333333324</v>
      </c>
      <c r="O429" s="725"/>
      <c r="P429" s="725">
        <f t="shared" si="70"/>
        <v>-0.80833333333333324</v>
      </c>
      <c r="Q429" s="622" t="s">
        <v>1202</v>
      </c>
      <c r="R429" s="36"/>
      <c r="S429" s="37" t="str">
        <f t="shared" si="68"/>
        <v>RandallF0</v>
      </c>
      <c r="T429" s="37" t="str">
        <f t="shared" si="71"/>
        <v>1982F0</v>
      </c>
      <c r="U429" s="429">
        <v>10</v>
      </c>
      <c r="V429" s="1029">
        <v>0.1</v>
      </c>
      <c r="W429" s="598">
        <v>1E-3</v>
      </c>
      <c r="X429" s="429"/>
      <c r="Y429" s="37" t="str">
        <f t="shared" si="72"/>
        <v>F010</v>
      </c>
      <c r="Z429" s="37" t="str">
        <f t="shared" si="73"/>
        <v>F00.1</v>
      </c>
      <c r="AA429" s="37" t="str">
        <f t="shared" si="75"/>
        <v>F00.001</v>
      </c>
      <c r="AB429" s="498" t="str">
        <f t="shared" si="69"/>
        <v>F019</v>
      </c>
      <c r="AC429" s="572"/>
      <c r="AD429" s="572"/>
      <c r="AE429" s="572"/>
      <c r="AF429" s="572"/>
    </row>
    <row r="430" spans="1:32">
      <c r="A430" s="947">
        <f t="shared" si="76"/>
        <v>423</v>
      </c>
      <c r="B430" s="948">
        <v>11</v>
      </c>
      <c r="C430" s="949">
        <v>30080</v>
      </c>
      <c r="D430" s="949" t="s">
        <v>177</v>
      </c>
      <c r="E430" s="904">
        <v>9</v>
      </c>
      <c r="F430" s="644">
        <v>1982</v>
      </c>
      <c r="G430" s="948" t="s">
        <v>140</v>
      </c>
      <c r="H430" s="645" t="s">
        <v>150</v>
      </c>
      <c r="I430" s="951">
        <v>10</v>
      </c>
      <c r="J430" s="951">
        <v>0.1</v>
      </c>
      <c r="K430" s="952">
        <f t="shared" si="74"/>
        <v>5.6818181818181826E-4</v>
      </c>
      <c r="L430" s="644">
        <f t="shared" si="77"/>
        <v>20</v>
      </c>
      <c r="M430" s="935">
        <v>0.83333333333333337</v>
      </c>
      <c r="N430" s="936">
        <f t="shared" si="67"/>
        <v>0.83333333333333337</v>
      </c>
      <c r="O430" s="725"/>
      <c r="P430" s="725">
        <f t="shared" si="70"/>
        <v>-0.83333333333333337</v>
      </c>
      <c r="Q430" s="380" t="s">
        <v>1203</v>
      </c>
      <c r="R430" s="37"/>
      <c r="S430" s="37" t="str">
        <f t="shared" si="68"/>
        <v>PotterF1</v>
      </c>
      <c r="T430" s="37" t="str">
        <f t="shared" si="71"/>
        <v>1982F1</v>
      </c>
      <c r="U430" s="429">
        <v>10</v>
      </c>
      <c r="V430" s="1029">
        <v>0.1</v>
      </c>
      <c r="W430" s="598">
        <v>1E-3</v>
      </c>
      <c r="X430" s="429"/>
      <c r="Y430" s="37" t="str">
        <f t="shared" si="72"/>
        <v>F110</v>
      </c>
      <c r="Z430" s="37" t="str">
        <f t="shared" si="73"/>
        <v>F10.1</v>
      </c>
      <c r="AA430" s="37" t="str">
        <f t="shared" si="75"/>
        <v>F10.001</v>
      </c>
      <c r="AB430" s="498" t="str">
        <f t="shared" si="69"/>
        <v>F120</v>
      </c>
      <c r="AC430" s="572"/>
      <c r="AD430" s="572"/>
      <c r="AE430" s="572"/>
      <c r="AF430" s="572"/>
    </row>
    <row r="431" spans="1:32">
      <c r="A431" s="947">
        <f t="shared" si="76"/>
        <v>424</v>
      </c>
      <c r="B431" s="948">
        <v>12</v>
      </c>
      <c r="C431" s="949">
        <v>30082</v>
      </c>
      <c r="D431" s="949" t="s">
        <v>177</v>
      </c>
      <c r="E431" s="904">
        <v>11</v>
      </c>
      <c r="F431" s="644">
        <v>1982</v>
      </c>
      <c r="G431" s="948" t="s">
        <v>146</v>
      </c>
      <c r="H431" s="645" t="s">
        <v>149</v>
      </c>
      <c r="I431" s="951">
        <v>20</v>
      </c>
      <c r="J431" s="951">
        <v>0.1</v>
      </c>
      <c r="K431" s="952">
        <f t="shared" si="74"/>
        <v>1.1363636363636365E-3</v>
      </c>
      <c r="L431" s="644">
        <f t="shared" si="77"/>
        <v>14</v>
      </c>
      <c r="M431" s="935">
        <v>0.60069444444444442</v>
      </c>
      <c r="N431" s="936">
        <f t="shared" si="67"/>
        <v>0.60069444444444442</v>
      </c>
      <c r="O431" s="725"/>
      <c r="P431" s="725">
        <f t="shared" si="70"/>
        <v>-0.60069444444444442</v>
      </c>
      <c r="Q431" s="622"/>
      <c r="R431" s="37"/>
      <c r="S431" s="37" t="str">
        <f t="shared" si="68"/>
        <v>ArmstrongF0</v>
      </c>
      <c r="T431" s="37" t="str">
        <f t="shared" si="71"/>
        <v>1982F0</v>
      </c>
      <c r="U431" s="429">
        <v>20</v>
      </c>
      <c r="V431" s="1029">
        <v>0.1</v>
      </c>
      <c r="W431" s="598">
        <v>1E-3</v>
      </c>
      <c r="X431" s="429"/>
      <c r="Y431" s="37" t="str">
        <f t="shared" si="72"/>
        <v>F020</v>
      </c>
      <c r="Z431" s="37" t="str">
        <f t="shared" si="73"/>
        <v>F00.1</v>
      </c>
      <c r="AA431" s="37" t="str">
        <f t="shared" si="75"/>
        <v>F00.001</v>
      </c>
      <c r="AB431" s="498" t="str">
        <f t="shared" si="69"/>
        <v>F014</v>
      </c>
      <c r="AC431" s="572"/>
      <c r="AD431" s="572"/>
      <c r="AE431" s="572"/>
      <c r="AF431" s="572"/>
    </row>
    <row r="432" spans="1:32">
      <c r="A432" s="947">
        <f t="shared" si="76"/>
        <v>425</v>
      </c>
      <c r="B432" s="948">
        <v>13</v>
      </c>
      <c r="C432" s="949">
        <v>30083</v>
      </c>
      <c r="D432" s="949" t="s">
        <v>177</v>
      </c>
      <c r="E432" s="904">
        <v>12</v>
      </c>
      <c r="F432" s="644">
        <v>1982</v>
      </c>
      <c r="G432" s="948" t="s">
        <v>141</v>
      </c>
      <c r="H432" s="645" t="s">
        <v>150</v>
      </c>
      <c r="I432" s="951">
        <v>30</v>
      </c>
      <c r="J432" s="951">
        <v>0.6</v>
      </c>
      <c r="K432" s="952">
        <f t="shared" si="74"/>
        <v>1.0227272727272725E-2</v>
      </c>
      <c r="L432" s="644">
        <f t="shared" si="77"/>
        <v>14</v>
      </c>
      <c r="M432" s="935">
        <v>0.61111111111111105</v>
      </c>
      <c r="N432" s="936">
        <f t="shared" si="67"/>
        <v>0.61111111111111105</v>
      </c>
      <c r="O432" s="725"/>
      <c r="P432" s="725">
        <f t="shared" si="70"/>
        <v>-0.61111111111111105</v>
      </c>
      <c r="Q432" s="622"/>
      <c r="R432" s="37"/>
      <c r="S432" s="37" t="str">
        <f t="shared" si="68"/>
        <v>CarsonF1</v>
      </c>
      <c r="T432" s="37" t="str">
        <f t="shared" si="71"/>
        <v>1982F1</v>
      </c>
      <c r="U432" s="429">
        <v>20</v>
      </c>
      <c r="V432" s="1029">
        <v>0.5</v>
      </c>
      <c r="W432" s="598">
        <v>0.01</v>
      </c>
      <c r="X432" s="429"/>
      <c r="Y432" s="37" t="str">
        <f t="shared" si="72"/>
        <v>F120</v>
      </c>
      <c r="Z432" s="37" t="str">
        <f t="shared" si="73"/>
        <v>F10.5</v>
      </c>
      <c r="AA432" s="37" t="str">
        <f t="shared" si="75"/>
        <v>F10.01</v>
      </c>
      <c r="AB432" s="498" t="str">
        <f t="shared" si="69"/>
        <v>F114</v>
      </c>
      <c r="AC432" s="572"/>
      <c r="AD432" s="572"/>
      <c r="AE432" s="572"/>
      <c r="AF432" s="572"/>
    </row>
    <row r="433" spans="1:32">
      <c r="A433" s="947">
        <f t="shared" si="76"/>
        <v>426</v>
      </c>
      <c r="B433" s="948">
        <v>14</v>
      </c>
      <c r="C433" s="949">
        <v>30083</v>
      </c>
      <c r="D433" s="949" t="s">
        <v>177</v>
      </c>
      <c r="E433" s="904">
        <v>12</v>
      </c>
      <c r="F433" s="644">
        <v>1982</v>
      </c>
      <c r="G433" s="948" t="s">
        <v>142</v>
      </c>
      <c r="H433" s="645" t="s">
        <v>149</v>
      </c>
      <c r="I433" s="951">
        <v>10</v>
      </c>
      <c r="J433" s="951">
        <v>0.1</v>
      </c>
      <c r="K433" s="952">
        <f t="shared" si="74"/>
        <v>5.6818181818181826E-4</v>
      </c>
      <c r="L433" s="644">
        <f t="shared" si="77"/>
        <v>15</v>
      </c>
      <c r="M433" s="935">
        <v>0.64375000000000004</v>
      </c>
      <c r="N433" s="936">
        <f t="shared" si="67"/>
        <v>0.64375000000000004</v>
      </c>
      <c r="O433" s="725"/>
      <c r="P433" s="725">
        <f t="shared" si="70"/>
        <v>-0.64375000000000004</v>
      </c>
      <c r="Q433" s="622"/>
      <c r="R433" s="37"/>
      <c r="S433" s="37" t="str">
        <f t="shared" si="68"/>
        <v>GrayF0</v>
      </c>
      <c r="T433" s="37" t="str">
        <f t="shared" si="71"/>
        <v>1982F0</v>
      </c>
      <c r="U433" s="429">
        <v>10</v>
      </c>
      <c r="V433" s="1029">
        <v>0.1</v>
      </c>
      <c r="W433" s="598">
        <v>1E-3</v>
      </c>
      <c r="X433" s="429"/>
      <c r="Y433" s="37" t="str">
        <f t="shared" si="72"/>
        <v>F010</v>
      </c>
      <c r="Z433" s="37" t="str">
        <f t="shared" si="73"/>
        <v>F00.1</v>
      </c>
      <c r="AA433" s="37" t="str">
        <f t="shared" si="75"/>
        <v>F00.001</v>
      </c>
      <c r="AB433" s="498" t="str">
        <f t="shared" si="69"/>
        <v>F015</v>
      </c>
      <c r="AC433" s="572"/>
      <c r="AD433" s="572"/>
      <c r="AE433" s="572"/>
      <c r="AF433" s="572"/>
    </row>
    <row r="434" spans="1:32" ht="15" customHeight="1">
      <c r="A434" s="947">
        <f t="shared" si="76"/>
        <v>427</v>
      </c>
      <c r="B434" s="948">
        <v>15</v>
      </c>
      <c r="C434" s="949">
        <v>30088</v>
      </c>
      <c r="D434" s="949" t="s">
        <v>177</v>
      </c>
      <c r="E434" s="904">
        <v>17</v>
      </c>
      <c r="F434" s="644">
        <v>1982</v>
      </c>
      <c r="G434" s="948" t="s">
        <v>146</v>
      </c>
      <c r="H434" s="645" t="s">
        <v>149</v>
      </c>
      <c r="I434" s="951">
        <v>20</v>
      </c>
      <c r="J434" s="951">
        <v>0.2</v>
      </c>
      <c r="K434" s="952">
        <f t="shared" si="74"/>
        <v>2.2727272727272731E-3</v>
      </c>
      <c r="L434" s="644">
        <f t="shared" si="77"/>
        <v>19</v>
      </c>
      <c r="M434" s="935">
        <v>0.80902777777777779</v>
      </c>
      <c r="N434" s="936">
        <f t="shared" si="67"/>
        <v>0.80902777777777779</v>
      </c>
      <c r="O434" s="725"/>
      <c r="P434" s="725">
        <f t="shared" si="70"/>
        <v>-0.80902777777777779</v>
      </c>
      <c r="Q434" s="622"/>
      <c r="R434" s="37"/>
      <c r="S434" s="37" t="str">
        <f t="shared" si="68"/>
        <v>ArmstrongF0</v>
      </c>
      <c r="T434" s="37" t="str">
        <f t="shared" si="71"/>
        <v>1982F0</v>
      </c>
      <c r="U434" s="429">
        <v>20</v>
      </c>
      <c r="V434" s="1029">
        <v>0.2</v>
      </c>
      <c r="W434" s="598">
        <v>2E-3</v>
      </c>
      <c r="X434" s="429"/>
      <c r="Y434" s="37" t="str">
        <f t="shared" si="72"/>
        <v>F020</v>
      </c>
      <c r="Z434" s="37" t="str">
        <f t="shared" si="73"/>
        <v>F00.2</v>
      </c>
      <c r="AA434" s="37" t="str">
        <f t="shared" si="75"/>
        <v>F00.002</v>
      </c>
      <c r="AB434" s="498" t="str">
        <f t="shared" si="69"/>
        <v>F019</v>
      </c>
      <c r="AC434" s="572"/>
      <c r="AD434" s="572"/>
      <c r="AE434" s="572"/>
      <c r="AF434" s="572"/>
    </row>
    <row r="435" spans="1:32">
      <c r="A435" s="947">
        <f t="shared" si="76"/>
        <v>428</v>
      </c>
      <c r="B435" s="948">
        <v>16</v>
      </c>
      <c r="C435" s="949">
        <v>30089</v>
      </c>
      <c r="D435" s="949" t="s">
        <v>177</v>
      </c>
      <c r="E435" s="904">
        <v>18</v>
      </c>
      <c r="F435" s="644">
        <v>1982</v>
      </c>
      <c r="G435" s="948" t="s">
        <v>141</v>
      </c>
      <c r="H435" s="645" t="s">
        <v>149</v>
      </c>
      <c r="I435" s="951">
        <v>10</v>
      </c>
      <c r="J435" s="951">
        <v>0.1</v>
      </c>
      <c r="K435" s="952">
        <f t="shared" si="74"/>
        <v>5.6818181818181826E-4</v>
      </c>
      <c r="L435" s="644">
        <f t="shared" si="77"/>
        <v>19</v>
      </c>
      <c r="M435" s="935">
        <v>0.83263888888888893</v>
      </c>
      <c r="N435" s="936">
        <f t="shared" si="67"/>
        <v>0.83263888888888893</v>
      </c>
      <c r="O435" s="725"/>
      <c r="P435" s="725">
        <f t="shared" si="70"/>
        <v>-0.83263888888888893</v>
      </c>
      <c r="Q435" s="622"/>
      <c r="R435" s="37"/>
      <c r="S435" s="37" t="str">
        <f t="shared" si="68"/>
        <v>CarsonF0</v>
      </c>
      <c r="T435" s="37" t="str">
        <f t="shared" si="71"/>
        <v>1982F0</v>
      </c>
      <c r="U435" s="429">
        <v>10</v>
      </c>
      <c r="V435" s="1029">
        <v>0.1</v>
      </c>
      <c r="W435" s="598">
        <v>1E-3</v>
      </c>
      <c r="X435" s="429"/>
      <c r="Y435" s="37" t="str">
        <f t="shared" si="72"/>
        <v>F010</v>
      </c>
      <c r="Z435" s="37" t="str">
        <f t="shared" si="73"/>
        <v>F00.1</v>
      </c>
      <c r="AA435" s="37" t="str">
        <f t="shared" si="75"/>
        <v>F00.001</v>
      </c>
      <c r="AB435" s="498" t="str">
        <f t="shared" si="69"/>
        <v>F019</v>
      </c>
      <c r="AC435" s="572"/>
      <c r="AD435" s="572"/>
      <c r="AE435" s="572"/>
      <c r="AF435" s="572"/>
    </row>
    <row r="436" spans="1:32">
      <c r="A436" s="947">
        <f t="shared" si="76"/>
        <v>429</v>
      </c>
      <c r="B436" s="948">
        <v>17</v>
      </c>
      <c r="C436" s="949">
        <v>30089</v>
      </c>
      <c r="D436" s="949" t="s">
        <v>177</v>
      </c>
      <c r="E436" s="904">
        <v>18</v>
      </c>
      <c r="F436" s="644">
        <v>1982</v>
      </c>
      <c r="G436" s="948" t="s">
        <v>130</v>
      </c>
      <c r="H436" s="645" t="s">
        <v>149</v>
      </c>
      <c r="I436" s="951">
        <v>7</v>
      </c>
      <c r="J436" s="951">
        <v>0.1</v>
      </c>
      <c r="K436" s="952">
        <f t="shared" si="74"/>
        <v>3.9772727272727269E-4</v>
      </c>
      <c r="L436" s="644">
        <f t="shared" si="77"/>
        <v>19</v>
      </c>
      <c r="M436" s="935">
        <v>0.83263888888888893</v>
      </c>
      <c r="N436" s="936">
        <f t="shared" si="67"/>
        <v>0.83263888888888893</v>
      </c>
      <c r="O436" s="725"/>
      <c r="P436" s="725">
        <f t="shared" si="70"/>
        <v>-0.83263888888888893</v>
      </c>
      <c r="Q436" s="622"/>
      <c r="R436" s="37"/>
      <c r="S436" s="37" t="str">
        <f t="shared" si="68"/>
        <v>ShermanF0</v>
      </c>
      <c r="T436" s="37" t="str">
        <f t="shared" si="71"/>
        <v>1982F0</v>
      </c>
      <c r="U436" s="429">
        <v>5</v>
      </c>
      <c r="V436" s="1029">
        <v>0.1</v>
      </c>
      <c r="W436" s="598">
        <v>2.0000000000000001E-4</v>
      </c>
      <c r="X436" s="429"/>
      <c r="Y436" s="37" t="str">
        <f t="shared" si="72"/>
        <v>F05</v>
      </c>
      <c r="Z436" s="37" t="str">
        <f t="shared" si="73"/>
        <v>F00.1</v>
      </c>
      <c r="AA436" s="37" t="str">
        <f t="shared" si="75"/>
        <v>F00.0002</v>
      </c>
      <c r="AB436" s="498" t="str">
        <f t="shared" si="69"/>
        <v>F019</v>
      </c>
      <c r="AC436" s="572"/>
      <c r="AD436" s="572"/>
      <c r="AE436" s="572"/>
      <c r="AF436" s="572"/>
    </row>
    <row r="437" spans="1:32" ht="51">
      <c r="A437" s="947">
        <f t="shared" si="76"/>
        <v>430</v>
      </c>
      <c r="B437" s="948">
        <v>18</v>
      </c>
      <c r="C437" s="949">
        <v>30090</v>
      </c>
      <c r="D437" s="949" t="s">
        <v>177</v>
      </c>
      <c r="E437" s="904">
        <v>19</v>
      </c>
      <c r="F437" s="644">
        <v>1982</v>
      </c>
      <c r="G437" s="948" t="s">
        <v>141</v>
      </c>
      <c r="H437" s="645" t="s">
        <v>149</v>
      </c>
      <c r="I437" s="951">
        <v>50</v>
      </c>
      <c r="J437" s="951">
        <v>0.5</v>
      </c>
      <c r="K437" s="952">
        <f t="shared" si="74"/>
        <v>1.4204545454545454E-2</v>
      </c>
      <c r="L437" s="644">
        <f t="shared" si="77"/>
        <v>16</v>
      </c>
      <c r="M437" s="935">
        <v>0.70694444444444438</v>
      </c>
      <c r="N437" s="936">
        <f t="shared" si="67"/>
        <v>0.70694444444444438</v>
      </c>
      <c r="O437" s="725"/>
      <c r="P437" s="725">
        <f t="shared" si="70"/>
        <v>-0.70694444444444438</v>
      </c>
      <c r="Q437" s="380" t="s">
        <v>1212</v>
      </c>
      <c r="R437" s="37"/>
      <c r="S437" s="37" t="str">
        <f t="shared" si="68"/>
        <v>CarsonF0</v>
      </c>
      <c r="T437" s="37" t="str">
        <f t="shared" si="71"/>
        <v>1982F0</v>
      </c>
      <c r="U437" s="429">
        <v>50</v>
      </c>
      <c r="V437" s="1029">
        <v>0.5</v>
      </c>
      <c r="W437" s="598">
        <v>0.01</v>
      </c>
      <c r="X437" s="429"/>
      <c r="Y437" s="37" t="str">
        <f t="shared" si="72"/>
        <v>F050</v>
      </c>
      <c r="Z437" s="37" t="str">
        <f t="shared" si="73"/>
        <v>F00.5</v>
      </c>
      <c r="AA437" s="37" t="str">
        <f t="shared" si="75"/>
        <v>F00.01</v>
      </c>
      <c r="AB437" s="498" t="str">
        <f t="shared" si="69"/>
        <v>F016</v>
      </c>
      <c r="AC437" s="572"/>
      <c r="AD437" s="572"/>
      <c r="AE437" s="572"/>
      <c r="AF437" s="572"/>
    </row>
    <row r="438" spans="1:32" ht="51">
      <c r="A438" s="947">
        <f t="shared" si="76"/>
        <v>431</v>
      </c>
      <c r="B438" s="948">
        <v>19</v>
      </c>
      <c r="C438" s="949">
        <v>30090</v>
      </c>
      <c r="D438" s="949" t="s">
        <v>177</v>
      </c>
      <c r="E438" s="904">
        <v>19</v>
      </c>
      <c r="F438" s="644">
        <v>1982</v>
      </c>
      <c r="G438" s="948" t="s">
        <v>142</v>
      </c>
      <c r="H438" s="645" t="s">
        <v>152</v>
      </c>
      <c r="I438" s="951">
        <v>587</v>
      </c>
      <c r="J438" s="951">
        <v>1.5</v>
      </c>
      <c r="K438" s="952">
        <f t="shared" si="74"/>
        <v>0.50028409090909087</v>
      </c>
      <c r="L438" s="644">
        <f t="shared" si="77"/>
        <v>17</v>
      </c>
      <c r="M438" s="935">
        <v>0.72430555555555554</v>
      </c>
      <c r="N438" s="936">
        <f t="shared" si="67"/>
        <v>0.72430555555555554</v>
      </c>
      <c r="O438" s="725"/>
      <c r="P438" s="725">
        <f t="shared" si="70"/>
        <v>-0.72430555555555554</v>
      </c>
      <c r="Q438" s="380" t="s">
        <v>1211</v>
      </c>
      <c r="R438" s="37"/>
      <c r="S438" s="37" t="str">
        <f t="shared" si="68"/>
        <v>GrayF3</v>
      </c>
      <c r="T438" s="37" t="str">
        <f t="shared" si="71"/>
        <v>1982F3</v>
      </c>
      <c r="U438" s="429">
        <v>500</v>
      </c>
      <c r="V438" s="1029">
        <v>1</v>
      </c>
      <c r="W438" s="598">
        <v>0.5</v>
      </c>
      <c r="X438" s="429"/>
      <c r="Y438" s="37" t="str">
        <f t="shared" si="72"/>
        <v>F3500</v>
      </c>
      <c r="Z438" s="37" t="str">
        <f t="shared" si="73"/>
        <v>F31</v>
      </c>
      <c r="AA438" s="37" t="str">
        <f t="shared" si="75"/>
        <v>F30.5</v>
      </c>
      <c r="AB438" s="498" t="str">
        <f t="shared" si="69"/>
        <v>F317</v>
      </c>
      <c r="AC438" s="572"/>
      <c r="AD438" s="572"/>
      <c r="AE438" s="572"/>
      <c r="AF438" s="572"/>
    </row>
    <row r="439" spans="1:32">
      <c r="A439" s="947">
        <f t="shared" si="76"/>
        <v>432</v>
      </c>
      <c r="B439" s="948">
        <v>20</v>
      </c>
      <c r="C439" s="949">
        <v>30090</v>
      </c>
      <c r="D439" s="949" t="s">
        <v>177</v>
      </c>
      <c r="E439" s="904">
        <v>19</v>
      </c>
      <c r="F439" s="644">
        <v>1982</v>
      </c>
      <c r="G439" s="948" t="s">
        <v>142</v>
      </c>
      <c r="H439" s="645" t="s">
        <v>152</v>
      </c>
      <c r="I439" s="951">
        <v>880</v>
      </c>
      <c r="J439" s="951">
        <v>4</v>
      </c>
      <c r="K439" s="952">
        <f t="shared" si="74"/>
        <v>2</v>
      </c>
      <c r="L439" s="644">
        <f t="shared" si="77"/>
        <v>17</v>
      </c>
      <c r="M439" s="935">
        <v>0.74513888888888891</v>
      </c>
      <c r="N439" s="936">
        <f t="shared" si="67"/>
        <v>0.74513888888888891</v>
      </c>
      <c r="O439" s="725"/>
      <c r="P439" s="725">
        <f t="shared" si="70"/>
        <v>-0.74513888888888891</v>
      </c>
      <c r="Q439" s="380" t="s">
        <v>1209</v>
      </c>
      <c r="R439" s="37"/>
      <c r="S439" s="37" t="str">
        <f t="shared" si="68"/>
        <v>GrayF3</v>
      </c>
      <c r="T439" s="37" t="str">
        <f t="shared" si="71"/>
        <v>1982F3</v>
      </c>
      <c r="U439" s="429">
        <v>500</v>
      </c>
      <c r="V439" s="1029">
        <v>2</v>
      </c>
      <c r="W439" s="598">
        <v>2</v>
      </c>
      <c r="X439" s="429"/>
      <c r="Y439" s="37" t="str">
        <f t="shared" si="72"/>
        <v>F3500</v>
      </c>
      <c r="Z439" s="37" t="str">
        <f t="shared" si="73"/>
        <v>F32</v>
      </c>
      <c r="AA439" s="37" t="str">
        <f t="shared" si="75"/>
        <v>F32</v>
      </c>
      <c r="AB439" s="498" t="str">
        <f t="shared" si="69"/>
        <v>F317</v>
      </c>
      <c r="AC439" s="572"/>
      <c r="AD439" s="572"/>
      <c r="AE439" s="572"/>
      <c r="AF439" s="572"/>
    </row>
    <row r="440" spans="1:32">
      <c r="A440" s="947">
        <f t="shared" si="76"/>
        <v>433</v>
      </c>
      <c r="B440" s="948">
        <v>21</v>
      </c>
      <c r="C440" s="949">
        <v>30090</v>
      </c>
      <c r="D440" s="949" t="s">
        <v>177</v>
      </c>
      <c r="E440" s="904">
        <v>19</v>
      </c>
      <c r="F440" s="644">
        <v>1982</v>
      </c>
      <c r="G440" s="948" t="s">
        <v>142</v>
      </c>
      <c r="H440" s="645" t="s">
        <v>149</v>
      </c>
      <c r="I440" s="951">
        <v>20</v>
      </c>
      <c r="J440" s="951">
        <v>0.5</v>
      </c>
      <c r="K440" s="952">
        <f t="shared" si="74"/>
        <v>5.681818181818182E-3</v>
      </c>
      <c r="L440" s="644">
        <f t="shared" si="77"/>
        <v>18</v>
      </c>
      <c r="M440" s="935">
        <v>0.75624999999999998</v>
      </c>
      <c r="N440" s="936">
        <f t="shared" si="67"/>
        <v>0.75624999999999998</v>
      </c>
      <c r="O440" s="725"/>
      <c r="P440" s="725">
        <f t="shared" si="70"/>
        <v>-0.75624999999999998</v>
      </c>
      <c r="Q440" s="380" t="s">
        <v>1210</v>
      </c>
      <c r="R440" s="37"/>
      <c r="S440" s="37" t="str">
        <f t="shared" si="68"/>
        <v>GrayF0</v>
      </c>
      <c r="T440" s="37" t="str">
        <f t="shared" si="71"/>
        <v>1982F0</v>
      </c>
      <c r="U440" s="429">
        <v>20</v>
      </c>
      <c r="V440" s="1029">
        <v>0.5</v>
      </c>
      <c r="W440" s="598">
        <v>5.0000000000000001E-3</v>
      </c>
      <c r="X440" s="429"/>
      <c r="Y440" s="37" t="str">
        <f t="shared" si="72"/>
        <v>F020</v>
      </c>
      <c r="Z440" s="37" t="str">
        <f t="shared" si="73"/>
        <v>F00.5</v>
      </c>
      <c r="AA440" s="37" t="str">
        <f t="shared" si="75"/>
        <v>F00.005</v>
      </c>
      <c r="AB440" s="498" t="str">
        <f t="shared" si="69"/>
        <v>F018</v>
      </c>
      <c r="AC440" s="572"/>
      <c r="AD440" s="572"/>
      <c r="AE440" s="572"/>
      <c r="AF440" s="572"/>
    </row>
    <row r="441" spans="1:32">
      <c r="A441" s="947">
        <f t="shared" si="76"/>
        <v>434</v>
      </c>
      <c r="B441" s="948">
        <v>22</v>
      </c>
      <c r="C441" s="949">
        <v>30090</v>
      </c>
      <c r="D441" s="949" t="s">
        <v>177</v>
      </c>
      <c r="E441" s="904">
        <v>19</v>
      </c>
      <c r="F441" s="644">
        <v>1982</v>
      </c>
      <c r="G441" s="948" t="s">
        <v>142</v>
      </c>
      <c r="H441" s="645" t="s">
        <v>151</v>
      </c>
      <c r="I441" s="951">
        <v>1760</v>
      </c>
      <c r="J441" s="951">
        <v>6</v>
      </c>
      <c r="K441" s="952">
        <f t="shared" si="74"/>
        <v>6</v>
      </c>
      <c r="L441" s="644">
        <f t="shared" si="77"/>
        <v>18</v>
      </c>
      <c r="M441" s="935">
        <v>0.7583333333333333</v>
      </c>
      <c r="N441" s="936">
        <f t="shared" si="67"/>
        <v>0.7583333333333333</v>
      </c>
      <c r="O441" s="725"/>
      <c r="P441" s="725">
        <f t="shared" si="70"/>
        <v>-0.7583333333333333</v>
      </c>
      <c r="Q441" s="380" t="s">
        <v>1210</v>
      </c>
      <c r="R441" s="37"/>
      <c r="S441" s="37" t="str">
        <f t="shared" si="68"/>
        <v>GrayF2</v>
      </c>
      <c r="T441" s="37" t="str">
        <f t="shared" si="71"/>
        <v>1982F2</v>
      </c>
      <c r="U441" s="429">
        <v>1000</v>
      </c>
      <c r="V441" s="1029">
        <v>5</v>
      </c>
      <c r="W441" s="598">
        <v>5</v>
      </c>
      <c r="X441" s="429"/>
      <c r="Y441" s="37" t="str">
        <f t="shared" si="72"/>
        <v>F21000</v>
      </c>
      <c r="Z441" s="37" t="str">
        <f t="shared" si="73"/>
        <v>F25</v>
      </c>
      <c r="AA441" s="37" t="str">
        <f t="shared" si="75"/>
        <v>F25</v>
      </c>
      <c r="AB441" s="498" t="str">
        <f t="shared" si="69"/>
        <v>F218</v>
      </c>
      <c r="AC441" s="572"/>
      <c r="AD441" s="572"/>
      <c r="AE441" s="572"/>
      <c r="AF441" s="572"/>
    </row>
    <row r="442" spans="1:32">
      <c r="A442" s="947">
        <f t="shared" si="76"/>
        <v>435</v>
      </c>
      <c r="B442" s="948">
        <v>23</v>
      </c>
      <c r="C442" s="949">
        <v>30090</v>
      </c>
      <c r="D442" s="949" t="s">
        <v>177</v>
      </c>
      <c r="E442" s="904">
        <v>19</v>
      </c>
      <c r="F442" s="644">
        <v>1982</v>
      </c>
      <c r="G442" s="948" t="s">
        <v>142</v>
      </c>
      <c r="H442" s="645" t="s">
        <v>152</v>
      </c>
      <c r="I442" s="951">
        <v>100</v>
      </c>
      <c r="J442" s="951">
        <v>2</v>
      </c>
      <c r="K442" s="952">
        <f t="shared" si="74"/>
        <v>0.11363636363636363</v>
      </c>
      <c r="L442" s="644">
        <f t="shared" si="77"/>
        <v>18</v>
      </c>
      <c r="M442" s="935">
        <v>0.76736111111111116</v>
      </c>
      <c r="N442" s="936">
        <f t="shared" si="67"/>
        <v>0.76736111111111116</v>
      </c>
      <c r="O442" s="725"/>
      <c r="P442" s="725">
        <f t="shared" si="70"/>
        <v>-0.76736111111111116</v>
      </c>
      <c r="Q442" s="622" t="s">
        <v>1208</v>
      </c>
      <c r="R442" s="37"/>
      <c r="S442" s="37" t="str">
        <f t="shared" si="68"/>
        <v>GrayF3</v>
      </c>
      <c r="T442" s="37" t="str">
        <f t="shared" si="71"/>
        <v>1982F3</v>
      </c>
      <c r="U442" s="429">
        <v>100</v>
      </c>
      <c r="V442" s="1029">
        <v>2</v>
      </c>
      <c r="W442" s="598">
        <v>0.1</v>
      </c>
      <c r="X442" s="429"/>
      <c r="Y442" s="37" t="str">
        <f t="shared" si="72"/>
        <v>F3100</v>
      </c>
      <c r="Z442" s="37" t="str">
        <f t="shared" si="73"/>
        <v>F32</v>
      </c>
      <c r="AA442" s="37" t="str">
        <f t="shared" si="75"/>
        <v>F30.1</v>
      </c>
      <c r="AB442" s="498" t="str">
        <f t="shared" si="69"/>
        <v>F318</v>
      </c>
      <c r="AC442" s="572"/>
      <c r="AD442" s="572"/>
      <c r="AE442" s="572"/>
      <c r="AF442" s="572"/>
    </row>
    <row r="443" spans="1:32">
      <c r="A443" s="947">
        <f t="shared" si="76"/>
        <v>436</v>
      </c>
      <c r="B443" s="948">
        <v>24</v>
      </c>
      <c r="C443" s="949">
        <v>30090</v>
      </c>
      <c r="D443" s="949" t="s">
        <v>177</v>
      </c>
      <c r="E443" s="904">
        <v>19</v>
      </c>
      <c r="F443" s="644">
        <v>1982</v>
      </c>
      <c r="G443" s="948" t="s">
        <v>142</v>
      </c>
      <c r="H443" s="645" t="s">
        <v>151</v>
      </c>
      <c r="I443" s="951">
        <v>200</v>
      </c>
      <c r="J443" s="951">
        <v>2</v>
      </c>
      <c r="K443" s="952">
        <f t="shared" si="74"/>
        <v>0.22727272727272727</v>
      </c>
      <c r="L443" s="644">
        <f t="shared" si="77"/>
        <v>18</v>
      </c>
      <c r="M443" s="935">
        <v>0.78472222222222221</v>
      </c>
      <c r="N443" s="936">
        <f t="shared" si="67"/>
        <v>0.78472222222222221</v>
      </c>
      <c r="O443" s="725"/>
      <c r="P443" s="725">
        <f t="shared" si="70"/>
        <v>-0.78472222222222221</v>
      </c>
      <c r="Q443" s="916" t="s">
        <v>1207</v>
      </c>
      <c r="R443" s="37"/>
      <c r="S443" s="37" t="str">
        <f t="shared" si="68"/>
        <v>GrayF2</v>
      </c>
      <c r="T443" s="37" t="str">
        <f t="shared" si="71"/>
        <v>1982F2</v>
      </c>
      <c r="U443" s="429">
        <v>200</v>
      </c>
      <c r="V443" s="1029">
        <v>2</v>
      </c>
      <c r="W443" s="598">
        <v>0.2</v>
      </c>
      <c r="X443" s="429"/>
      <c r="Y443" s="37" t="str">
        <f t="shared" si="72"/>
        <v>F2200</v>
      </c>
      <c r="Z443" s="37" t="str">
        <f t="shared" si="73"/>
        <v>F22</v>
      </c>
      <c r="AA443" s="37" t="str">
        <f t="shared" si="75"/>
        <v>F20.2</v>
      </c>
      <c r="AB443" s="498" t="str">
        <f t="shared" si="69"/>
        <v>F218</v>
      </c>
      <c r="AC443" s="572"/>
      <c r="AD443" s="572"/>
      <c r="AE443" s="572"/>
      <c r="AF443" s="572"/>
    </row>
    <row r="444" spans="1:32">
      <c r="A444" s="947">
        <f t="shared" si="76"/>
        <v>437</v>
      </c>
      <c r="B444" s="948">
        <v>25</v>
      </c>
      <c r="C444" s="949">
        <v>30090</v>
      </c>
      <c r="D444" s="949" t="s">
        <v>177</v>
      </c>
      <c r="E444" s="904">
        <v>19</v>
      </c>
      <c r="F444" s="644">
        <v>1982</v>
      </c>
      <c r="G444" s="948" t="s">
        <v>137</v>
      </c>
      <c r="H444" s="645" t="s">
        <v>149</v>
      </c>
      <c r="I444" s="951">
        <v>20</v>
      </c>
      <c r="J444" s="951">
        <v>0.3</v>
      </c>
      <c r="K444" s="952">
        <f t="shared" si="74"/>
        <v>3.4090909090909089E-3</v>
      </c>
      <c r="L444" s="644">
        <f t="shared" si="77"/>
        <v>19</v>
      </c>
      <c r="M444" s="935">
        <v>0.7944444444444444</v>
      </c>
      <c r="N444" s="936">
        <f t="shared" si="67"/>
        <v>0.7944444444444444</v>
      </c>
      <c r="O444" s="725"/>
      <c r="P444" s="725">
        <f t="shared" si="70"/>
        <v>-0.7944444444444444</v>
      </c>
      <c r="Q444" s="380" t="s">
        <v>1206</v>
      </c>
      <c r="R444" s="37"/>
      <c r="S444" s="37" t="str">
        <f t="shared" si="68"/>
        <v>RobertsF0</v>
      </c>
      <c r="T444" s="37" t="str">
        <f t="shared" si="71"/>
        <v>1982F0</v>
      </c>
      <c r="U444" s="429">
        <v>20</v>
      </c>
      <c r="V444" s="1029">
        <v>0.2</v>
      </c>
      <c r="W444" s="598">
        <v>2E-3</v>
      </c>
      <c r="X444" s="429"/>
      <c r="Y444" s="37" t="str">
        <f t="shared" si="72"/>
        <v>F020</v>
      </c>
      <c r="Z444" s="37" t="str">
        <f t="shared" si="73"/>
        <v>F00.2</v>
      </c>
      <c r="AA444" s="37" t="str">
        <f t="shared" si="75"/>
        <v>F00.002</v>
      </c>
      <c r="AB444" s="498" t="str">
        <f t="shared" si="69"/>
        <v>F019</v>
      </c>
      <c r="AC444" s="572"/>
      <c r="AD444" s="572"/>
      <c r="AE444" s="572"/>
      <c r="AF444" s="572"/>
    </row>
    <row r="445" spans="1:32">
      <c r="A445" s="947">
        <f t="shared" si="76"/>
        <v>438</v>
      </c>
      <c r="B445" s="948">
        <v>26</v>
      </c>
      <c r="C445" s="949">
        <v>30090</v>
      </c>
      <c r="D445" s="949" t="s">
        <v>177</v>
      </c>
      <c r="E445" s="904">
        <v>19</v>
      </c>
      <c r="F445" s="644">
        <v>1982</v>
      </c>
      <c r="G445" s="948" t="s">
        <v>138</v>
      </c>
      <c r="H445" s="645" t="s">
        <v>150</v>
      </c>
      <c r="I445" s="951">
        <v>10</v>
      </c>
      <c r="J445" s="951">
        <v>0.4</v>
      </c>
      <c r="K445" s="952">
        <f t="shared" si="74"/>
        <v>2.2727272727272731E-3</v>
      </c>
      <c r="L445" s="644">
        <f t="shared" si="77"/>
        <v>19</v>
      </c>
      <c r="M445" s="935">
        <v>0.81597222222222221</v>
      </c>
      <c r="N445" s="936">
        <f t="shared" si="67"/>
        <v>0.81597222222222221</v>
      </c>
      <c r="O445" s="725"/>
      <c r="P445" s="725">
        <f t="shared" si="70"/>
        <v>-0.81597222222222221</v>
      </c>
      <c r="Q445" s="622" t="s">
        <v>1205</v>
      </c>
      <c r="R445" s="37"/>
      <c r="S445" s="37" t="str">
        <f t="shared" si="68"/>
        <v>HemphillF1</v>
      </c>
      <c r="T445" s="37" t="str">
        <f t="shared" si="71"/>
        <v>1982F1</v>
      </c>
      <c r="U445" s="429">
        <v>10</v>
      </c>
      <c r="V445" s="1029">
        <v>0.2</v>
      </c>
      <c r="W445" s="598">
        <v>2E-3</v>
      </c>
      <c r="X445" s="429"/>
      <c r="Y445" s="37" t="str">
        <f t="shared" si="72"/>
        <v>F110</v>
      </c>
      <c r="Z445" s="37" t="str">
        <f t="shared" si="73"/>
        <v>F10.2</v>
      </c>
      <c r="AA445" s="37" t="str">
        <f t="shared" si="75"/>
        <v>F10.002</v>
      </c>
      <c r="AB445" s="498" t="str">
        <f t="shared" si="69"/>
        <v>F119</v>
      </c>
      <c r="AC445" s="572"/>
      <c r="AD445" s="572"/>
      <c r="AE445" s="572"/>
      <c r="AF445" s="572"/>
    </row>
    <row r="446" spans="1:32">
      <c r="A446" s="947">
        <f t="shared" si="76"/>
        <v>439</v>
      </c>
      <c r="B446" s="948">
        <v>27</v>
      </c>
      <c r="C446" s="949">
        <v>30090</v>
      </c>
      <c r="D446" s="949" t="s">
        <v>177</v>
      </c>
      <c r="E446" s="904">
        <v>19</v>
      </c>
      <c r="F446" s="644">
        <v>1982</v>
      </c>
      <c r="G446" s="948" t="s">
        <v>137</v>
      </c>
      <c r="H446" s="645" t="s">
        <v>150</v>
      </c>
      <c r="I446" s="951">
        <v>10</v>
      </c>
      <c r="J446" s="951">
        <v>0.2</v>
      </c>
      <c r="K446" s="952">
        <f t="shared" si="74"/>
        <v>1.1363636363636365E-3</v>
      </c>
      <c r="L446" s="644">
        <f t="shared" si="77"/>
        <v>19</v>
      </c>
      <c r="M446" s="935">
        <v>0.81597222222222221</v>
      </c>
      <c r="N446" s="936">
        <f t="shared" si="67"/>
        <v>0.81597222222222221</v>
      </c>
      <c r="O446" s="725"/>
      <c r="P446" s="725">
        <f t="shared" si="70"/>
        <v>-0.81597222222222221</v>
      </c>
      <c r="Q446" s="622" t="s">
        <v>1204</v>
      </c>
      <c r="R446" s="37"/>
      <c r="S446" s="37" t="str">
        <f t="shared" si="68"/>
        <v>RobertsF1</v>
      </c>
      <c r="T446" s="37" t="str">
        <f t="shared" si="71"/>
        <v>1982F1</v>
      </c>
      <c r="U446" s="429">
        <v>10</v>
      </c>
      <c r="V446" s="1029">
        <v>0.2</v>
      </c>
      <c r="W446" s="598">
        <v>1E-3</v>
      </c>
      <c r="X446" s="429"/>
      <c r="Y446" s="37" t="str">
        <f t="shared" si="72"/>
        <v>F110</v>
      </c>
      <c r="Z446" s="37" t="str">
        <f t="shared" si="73"/>
        <v>F10.2</v>
      </c>
      <c r="AA446" s="37" t="str">
        <f t="shared" si="75"/>
        <v>F10.001</v>
      </c>
      <c r="AB446" s="498" t="str">
        <f t="shared" si="69"/>
        <v>F119</v>
      </c>
      <c r="AC446" s="572"/>
      <c r="AD446" s="572"/>
      <c r="AE446" s="572"/>
      <c r="AF446" s="572"/>
    </row>
    <row r="447" spans="1:32">
      <c r="A447" s="947">
        <f t="shared" si="76"/>
        <v>440</v>
      </c>
      <c r="B447" s="948">
        <v>28</v>
      </c>
      <c r="C447" s="949">
        <v>30095</v>
      </c>
      <c r="D447" s="949" t="s">
        <v>177</v>
      </c>
      <c r="E447" s="904">
        <v>24</v>
      </c>
      <c r="F447" s="644">
        <v>1982</v>
      </c>
      <c r="G447" s="948" t="s">
        <v>128</v>
      </c>
      <c r="H447" s="645" t="s">
        <v>149</v>
      </c>
      <c r="I447" s="951">
        <v>10</v>
      </c>
      <c r="J447" s="951">
        <v>4</v>
      </c>
      <c r="K447" s="952">
        <f t="shared" si="74"/>
        <v>2.2727272727272728E-2</v>
      </c>
      <c r="L447" s="644">
        <f t="shared" si="77"/>
        <v>16</v>
      </c>
      <c r="M447" s="935">
        <v>0.69791666666666663</v>
      </c>
      <c r="N447" s="936">
        <f t="shared" si="67"/>
        <v>0.69791666666666663</v>
      </c>
      <c r="O447" s="725"/>
      <c r="P447" s="725">
        <f t="shared" si="70"/>
        <v>-0.69791666666666663</v>
      </c>
      <c r="Q447" s="622"/>
      <c r="R447" s="37"/>
      <c r="S447" s="37" t="str">
        <f t="shared" si="68"/>
        <v>BeaverF0</v>
      </c>
      <c r="T447" s="37" t="str">
        <f t="shared" si="71"/>
        <v>1982F0</v>
      </c>
      <c r="U447" s="429">
        <v>10</v>
      </c>
      <c r="V447" s="1029">
        <v>2</v>
      </c>
      <c r="W447" s="598">
        <v>0.02</v>
      </c>
      <c r="X447" s="429"/>
      <c r="Y447" s="37" t="str">
        <f t="shared" si="72"/>
        <v>F010</v>
      </c>
      <c r="Z447" s="37" t="str">
        <f t="shared" si="73"/>
        <v>F02</v>
      </c>
      <c r="AA447" s="37" t="str">
        <f t="shared" si="75"/>
        <v>F00.02</v>
      </c>
      <c r="AB447" s="498" t="str">
        <f t="shared" si="69"/>
        <v>F016</v>
      </c>
      <c r="AC447" s="572"/>
      <c r="AD447" s="572"/>
      <c r="AE447" s="572"/>
      <c r="AF447" s="572"/>
    </row>
    <row r="448" spans="1:32">
      <c r="A448" s="947">
        <f t="shared" si="76"/>
        <v>441</v>
      </c>
      <c r="B448" s="948">
        <v>29</v>
      </c>
      <c r="C448" s="949">
        <v>30101</v>
      </c>
      <c r="D448" s="949" t="s">
        <v>177</v>
      </c>
      <c r="E448" s="904">
        <v>30</v>
      </c>
      <c r="F448" s="644">
        <v>1982</v>
      </c>
      <c r="G448" s="948" t="s">
        <v>127</v>
      </c>
      <c r="H448" s="645" t="s">
        <v>149</v>
      </c>
      <c r="I448" s="951">
        <v>10</v>
      </c>
      <c r="J448" s="951">
        <v>0.1</v>
      </c>
      <c r="K448" s="952">
        <f t="shared" si="74"/>
        <v>5.6818181818181826E-4</v>
      </c>
      <c r="L448" s="644">
        <f t="shared" si="77"/>
        <v>17</v>
      </c>
      <c r="M448" s="935">
        <v>0.73958333333333337</v>
      </c>
      <c r="N448" s="936">
        <f t="shared" si="67"/>
        <v>0.73958333333333337</v>
      </c>
      <c r="O448" s="725"/>
      <c r="P448" s="725">
        <f t="shared" si="70"/>
        <v>-0.73958333333333337</v>
      </c>
      <c r="Q448" s="622"/>
      <c r="R448" s="37"/>
      <c r="S448" s="37" t="str">
        <f t="shared" si="68"/>
        <v>TexasF0</v>
      </c>
      <c r="T448" s="37" t="str">
        <f t="shared" si="71"/>
        <v>1982F0</v>
      </c>
      <c r="U448" s="429">
        <v>10</v>
      </c>
      <c r="V448" s="1029">
        <v>0.1</v>
      </c>
      <c r="W448" s="598">
        <v>1E-3</v>
      </c>
      <c r="X448" s="429"/>
      <c r="Y448" s="37" t="str">
        <f t="shared" si="72"/>
        <v>F010</v>
      </c>
      <c r="Z448" s="37" t="str">
        <f t="shared" si="73"/>
        <v>F00.1</v>
      </c>
      <c r="AA448" s="37" t="str">
        <f t="shared" si="75"/>
        <v>F00.001</v>
      </c>
      <c r="AB448" s="498" t="str">
        <f t="shared" si="69"/>
        <v>F017</v>
      </c>
      <c r="AC448" s="572"/>
      <c r="AD448" s="572"/>
      <c r="AE448" s="572"/>
      <c r="AF448" s="572"/>
    </row>
    <row r="449" spans="1:32">
      <c r="A449" s="947">
        <f t="shared" si="76"/>
        <v>442</v>
      </c>
      <c r="B449" s="948">
        <v>30</v>
      </c>
      <c r="C449" s="949">
        <v>30101</v>
      </c>
      <c r="D449" s="949" t="s">
        <v>177</v>
      </c>
      <c r="E449" s="904">
        <v>30</v>
      </c>
      <c r="F449" s="644">
        <v>1982</v>
      </c>
      <c r="G449" s="948" t="s">
        <v>132</v>
      </c>
      <c r="H449" s="645" t="s">
        <v>150</v>
      </c>
      <c r="I449" s="951">
        <v>50</v>
      </c>
      <c r="J449" s="951">
        <v>0.4</v>
      </c>
      <c r="K449" s="952">
        <f t="shared" si="74"/>
        <v>1.1363636363636364E-2</v>
      </c>
      <c r="L449" s="644">
        <f t="shared" si="77"/>
        <v>18</v>
      </c>
      <c r="M449" s="935">
        <v>0.77083333333333337</v>
      </c>
      <c r="N449" s="936">
        <f t="shared" si="67"/>
        <v>0.77083333333333337</v>
      </c>
      <c r="O449" s="725"/>
      <c r="P449" s="725">
        <f t="shared" si="70"/>
        <v>-0.77083333333333337</v>
      </c>
      <c r="Q449" s="622"/>
      <c r="R449" s="37"/>
      <c r="S449" s="37" t="str">
        <f t="shared" si="68"/>
        <v>OchiltreeF1</v>
      </c>
      <c r="T449" s="37" t="str">
        <f t="shared" si="71"/>
        <v>1982F1</v>
      </c>
      <c r="U449" s="429">
        <v>50</v>
      </c>
      <c r="V449" s="1029">
        <v>0.2</v>
      </c>
      <c r="W449" s="598">
        <v>0.01</v>
      </c>
      <c r="X449" s="429"/>
      <c r="Y449" s="37" t="str">
        <f t="shared" si="72"/>
        <v>F150</v>
      </c>
      <c r="Z449" s="37" t="str">
        <f t="shared" si="73"/>
        <v>F10.2</v>
      </c>
      <c r="AA449" s="37" t="str">
        <f t="shared" si="75"/>
        <v>F10.01</v>
      </c>
      <c r="AB449" s="498" t="str">
        <f t="shared" si="69"/>
        <v>F118</v>
      </c>
      <c r="AC449" s="572"/>
      <c r="AD449" s="572"/>
      <c r="AE449" s="572"/>
      <c r="AF449" s="572"/>
    </row>
    <row r="450" spans="1:32">
      <c r="A450" s="947">
        <f t="shared" si="76"/>
        <v>443</v>
      </c>
      <c r="B450" s="948">
        <v>31</v>
      </c>
      <c r="C450" s="949">
        <v>30107</v>
      </c>
      <c r="D450" s="949" t="s">
        <v>178</v>
      </c>
      <c r="E450" s="904">
        <v>5</v>
      </c>
      <c r="F450" s="644">
        <v>1982</v>
      </c>
      <c r="G450" s="948" t="s">
        <v>136</v>
      </c>
      <c r="H450" s="645" t="s">
        <v>151</v>
      </c>
      <c r="I450" s="951">
        <v>67</v>
      </c>
      <c r="J450" s="951">
        <v>3</v>
      </c>
      <c r="K450" s="952">
        <f t="shared" si="74"/>
        <v>0.11420454545454546</v>
      </c>
      <c r="L450" s="644">
        <f t="shared" si="77"/>
        <v>18</v>
      </c>
      <c r="M450" s="935">
        <v>0.77222222222222225</v>
      </c>
      <c r="N450" s="936">
        <f t="shared" si="67"/>
        <v>0.77222222222222225</v>
      </c>
      <c r="O450" s="725"/>
      <c r="P450" s="725">
        <f t="shared" si="70"/>
        <v>-0.77222222222222225</v>
      </c>
      <c r="Q450" s="622"/>
      <c r="R450" s="37"/>
      <c r="S450" s="37" t="str">
        <f t="shared" si="68"/>
        <v>HutchinsonF2</v>
      </c>
      <c r="T450" s="37" t="str">
        <f t="shared" si="71"/>
        <v>1982F2</v>
      </c>
      <c r="U450" s="429">
        <v>50</v>
      </c>
      <c r="V450" s="1029">
        <v>2</v>
      </c>
      <c r="W450" s="598">
        <v>0.1</v>
      </c>
      <c r="X450" s="429"/>
      <c r="Y450" s="37" t="str">
        <f t="shared" si="72"/>
        <v>F250</v>
      </c>
      <c r="Z450" s="37" t="str">
        <f t="shared" si="73"/>
        <v>F22</v>
      </c>
      <c r="AA450" s="37" t="str">
        <f t="shared" si="75"/>
        <v>F20.1</v>
      </c>
      <c r="AB450" s="498" t="str">
        <f t="shared" si="69"/>
        <v>F218</v>
      </c>
      <c r="AC450" s="572"/>
      <c r="AD450" s="572"/>
      <c r="AE450" s="572"/>
      <c r="AF450" s="572"/>
    </row>
    <row r="451" spans="1:32">
      <c r="A451" s="947">
        <f t="shared" si="76"/>
        <v>444</v>
      </c>
      <c r="B451" s="948">
        <v>32</v>
      </c>
      <c r="C451" s="949">
        <v>30116</v>
      </c>
      <c r="D451" s="949" t="s">
        <v>178</v>
      </c>
      <c r="E451" s="904">
        <v>14</v>
      </c>
      <c r="F451" s="644">
        <v>1982</v>
      </c>
      <c r="G451" s="948" t="s">
        <v>131</v>
      </c>
      <c r="H451" s="645" t="s">
        <v>151</v>
      </c>
      <c r="I451" s="951">
        <v>100</v>
      </c>
      <c r="J451" s="951">
        <v>12.2</v>
      </c>
      <c r="K451" s="952">
        <f t="shared" si="74"/>
        <v>0.69318181818181812</v>
      </c>
      <c r="L451" s="644">
        <f t="shared" si="77"/>
        <v>19</v>
      </c>
      <c r="M451" s="935">
        <v>0.79791666666666661</v>
      </c>
      <c r="N451" s="936">
        <f t="shared" si="67"/>
        <v>0.79791666666666661</v>
      </c>
      <c r="O451" s="725"/>
      <c r="P451" s="725">
        <f t="shared" si="70"/>
        <v>-0.79791666666666661</v>
      </c>
      <c r="Q451" s="622" t="s">
        <v>91</v>
      </c>
      <c r="R451" s="37"/>
      <c r="S451" s="37" t="str">
        <f t="shared" si="68"/>
        <v>HansfordF2</v>
      </c>
      <c r="T451" s="37" t="str">
        <f t="shared" si="71"/>
        <v>1982F2</v>
      </c>
      <c r="U451" s="429">
        <v>100</v>
      </c>
      <c r="V451" s="1029">
        <v>10</v>
      </c>
      <c r="W451" s="598">
        <v>0.5</v>
      </c>
      <c r="X451" s="429"/>
      <c r="Y451" s="37" t="str">
        <f t="shared" si="72"/>
        <v>F2100</v>
      </c>
      <c r="Z451" s="37" t="str">
        <f t="shared" si="73"/>
        <v>F210</v>
      </c>
      <c r="AA451" s="37" t="str">
        <f t="shared" si="75"/>
        <v>F20.5</v>
      </c>
      <c r="AB451" s="498" t="str">
        <f t="shared" si="69"/>
        <v>F219</v>
      </c>
      <c r="AC451" s="572"/>
      <c r="AD451" s="572"/>
      <c r="AE451" s="572"/>
      <c r="AF451" s="572"/>
    </row>
    <row r="452" spans="1:32">
      <c r="A452" s="947">
        <f t="shared" si="76"/>
        <v>445</v>
      </c>
      <c r="B452" s="948">
        <v>33</v>
      </c>
      <c r="C452" s="949">
        <v>30116</v>
      </c>
      <c r="D452" s="949" t="s">
        <v>178</v>
      </c>
      <c r="E452" s="904">
        <v>14</v>
      </c>
      <c r="F452" s="644">
        <v>1982</v>
      </c>
      <c r="G452" s="948" t="s">
        <v>141</v>
      </c>
      <c r="H452" s="645" t="s">
        <v>149</v>
      </c>
      <c r="I452" s="951">
        <v>3</v>
      </c>
      <c r="J452" s="951">
        <v>0.1</v>
      </c>
      <c r="K452" s="952">
        <f t="shared" si="74"/>
        <v>1.7045454545454547E-4</v>
      </c>
      <c r="L452" s="644">
        <f t="shared" si="77"/>
        <v>19</v>
      </c>
      <c r="M452" s="935">
        <v>0.80208333333333337</v>
      </c>
      <c r="N452" s="936">
        <f t="shared" si="67"/>
        <v>0.80208333333333337</v>
      </c>
      <c r="O452" s="725"/>
      <c r="P452" s="725">
        <f t="shared" si="70"/>
        <v>-0.80208333333333337</v>
      </c>
      <c r="Q452" s="622"/>
      <c r="R452" s="37"/>
      <c r="S452" s="37" t="str">
        <f t="shared" si="68"/>
        <v>CarsonF0</v>
      </c>
      <c r="T452" s="37" t="str">
        <f t="shared" si="71"/>
        <v>1982F0</v>
      </c>
      <c r="U452" s="429">
        <v>2</v>
      </c>
      <c r="V452" s="1029">
        <v>0.1</v>
      </c>
      <c r="W452" s="598">
        <v>2.0000000000000001E-4</v>
      </c>
      <c r="X452" s="429"/>
      <c r="Y452" s="37" t="str">
        <f t="shared" si="72"/>
        <v>F02</v>
      </c>
      <c r="Z452" s="37" t="str">
        <f t="shared" si="73"/>
        <v>F00.1</v>
      </c>
      <c r="AA452" s="37" t="str">
        <f t="shared" si="75"/>
        <v>F00.0002</v>
      </c>
      <c r="AB452" s="498" t="str">
        <f t="shared" si="69"/>
        <v>F019</v>
      </c>
      <c r="AC452" s="572"/>
      <c r="AD452" s="572"/>
      <c r="AE452" s="572"/>
      <c r="AF452" s="572"/>
    </row>
    <row r="453" spans="1:32">
      <c r="A453" s="947">
        <f t="shared" si="76"/>
        <v>446</v>
      </c>
      <c r="B453" s="948">
        <v>34</v>
      </c>
      <c r="C453" s="949">
        <v>30116</v>
      </c>
      <c r="D453" s="949" t="s">
        <v>178</v>
      </c>
      <c r="E453" s="904">
        <v>14</v>
      </c>
      <c r="F453" s="644">
        <v>1982</v>
      </c>
      <c r="G453" s="948" t="s">
        <v>132</v>
      </c>
      <c r="H453" s="645" t="s">
        <v>151</v>
      </c>
      <c r="I453" s="951">
        <v>100</v>
      </c>
      <c r="J453" s="951">
        <v>5</v>
      </c>
      <c r="K453" s="952">
        <f t="shared" si="74"/>
        <v>0.28409090909090906</v>
      </c>
      <c r="L453" s="644">
        <f t="shared" si="77"/>
        <v>19</v>
      </c>
      <c r="M453" s="935">
        <v>0.80902777777777779</v>
      </c>
      <c r="N453" s="936">
        <f t="shared" si="67"/>
        <v>0.80902777777777779</v>
      </c>
      <c r="O453" s="725"/>
      <c r="P453" s="725">
        <f t="shared" si="70"/>
        <v>-0.80902777777777779</v>
      </c>
      <c r="Q453" s="622" t="s">
        <v>92</v>
      </c>
      <c r="R453" s="36"/>
      <c r="S453" s="37" t="str">
        <f t="shared" si="68"/>
        <v>OchiltreeF2</v>
      </c>
      <c r="T453" s="37" t="str">
        <f t="shared" si="71"/>
        <v>1982F2</v>
      </c>
      <c r="U453" s="429">
        <v>100</v>
      </c>
      <c r="V453" s="1029">
        <v>5</v>
      </c>
      <c r="W453" s="598">
        <v>0.2</v>
      </c>
      <c r="X453" s="429"/>
      <c r="Y453" s="37" t="str">
        <f t="shared" si="72"/>
        <v>F2100</v>
      </c>
      <c r="Z453" s="37" t="str">
        <f t="shared" si="73"/>
        <v>F25</v>
      </c>
      <c r="AA453" s="37" t="str">
        <f t="shared" si="75"/>
        <v>F20.2</v>
      </c>
      <c r="AB453" s="498" t="str">
        <f t="shared" si="69"/>
        <v>F219</v>
      </c>
      <c r="AC453" s="572"/>
      <c r="AD453" s="572"/>
      <c r="AE453" s="572"/>
      <c r="AF453" s="572"/>
    </row>
    <row r="454" spans="1:32">
      <c r="A454" s="947">
        <f t="shared" si="76"/>
        <v>447</v>
      </c>
      <c r="B454" s="948">
        <v>35</v>
      </c>
      <c r="C454" s="949">
        <v>30116</v>
      </c>
      <c r="D454" s="949" t="s">
        <v>178</v>
      </c>
      <c r="E454" s="904">
        <v>14</v>
      </c>
      <c r="F454" s="644">
        <v>1982</v>
      </c>
      <c r="G454" s="948" t="s">
        <v>133</v>
      </c>
      <c r="H454" s="645" t="s">
        <v>149</v>
      </c>
      <c r="I454" s="951">
        <v>3</v>
      </c>
      <c r="J454" s="951">
        <v>0.1</v>
      </c>
      <c r="K454" s="952">
        <f t="shared" si="74"/>
        <v>1.7045454545454547E-4</v>
      </c>
      <c r="L454" s="644">
        <f t="shared" si="77"/>
        <v>21</v>
      </c>
      <c r="M454" s="935">
        <v>0.87847222222222221</v>
      </c>
      <c r="N454" s="936">
        <f t="shared" si="67"/>
        <v>0.87847222222222221</v>
      </c>
      <c r="O454" s="725"/>
      <c r="P454" s="725">
        <f t="shared" si="70"/>
        <v>-0.87847222222222221</v>
      </c>
      <c r="Q454" s="622"/>
      <c r="R454" s="36"/>
      <c r="S454" s="37" t="str">
        <f t="shared" si="68"/>
        <v>LipscombF0</v>
      </c>
      <c r="T454" s="37" t="str">
        <f t="shared" si="71"/>
        <v>1982F0</v>
      </c>
      <c r="U454" s="429">
        <v>2</v>
      </c>
      <c r="V454" s="1029">
        <v>0.1</v>
      </c>
      <c r="W454" s="598">
        <v>2.0000000000000001E-4</v>
      </c>
      <c r="X454" s="429"/>
      <c r="Y454" s="37" t="str">
        <f t="shared" si="72"/>
        <v>F02</v>
      </c>
      <c r="Z454" s="37" t="str">
        <f t="shared" si="73"/>
        <v>F00.1</v>
      </c>
      <c r="AA454" s="37" t="str">
        <f t="shared" si="75"/>
        <v>F00.0002</v>
      </c>
      <c r="AB454" s="498" t="str">
        <f t="shared" si="69"/>
        <v>F021</v>
      </c>
      <c r="AC454" s="572"/>
      <c r="AD454" s="572"/>
      <c r="AE454" s="572"/>
      <c r="AF454" s="572"/>
    </row>
    <row r="455" spans="1:32">
      <c r="A455" s="947">
        <f t="shared" si="76"/>
        <v>448</v>
      </c>
      <c r="B455" s="948">
        <v>36</v>
      </c>
      <c r="C455" s="949">
        <v>30125</v>
      </c>
      <c r="D455" s="949" t="s">
        <v>178</v>
      </c>
      <c r="E455" s="904">
        <v>23</v>
      </c>
      <c r="F455" s="644">
        <v>1982</v>
      </c>
      <c r="G455" s="948" t="s">
        <v>126</v>
      </c>
      <c r="H455" s="645" t="s">
        <v>149</v>
      </c>
      <c r="I455" s="951">
        <v>3</v>
      </c>
      <c r="J455" s="951">
        <v>0.1</v>
      </c>
      <c r="K455" s="952">
        <f t="shared" si="74"/>
        <v>1.7045454545454547E-4</v>
      </c>
      <c r="L455" s="644">
        <f t="shared" si="77"/>
        <v>17</v>
      </c>
      <c r="M455" s="935">
        <v>0.73611111111111116</v>
      </c>
      <c r="N455" s="936">
        <f t="shared" ref="N455:N518" si="78">+M455</f>
        <v>0.73611111111111116</v>
      </c>
      <c r="O455" s="725"/>
      <c r="P455" s="725">
        <f t="shared" si="70"/>
        <v>-0.73611111111111116</v>
      </c>
      <c r="Q455" s="622"/>
      <c r="R455" s="36"/>
      <c r="S455" s="37" t="str">
        <f t="shared" ref="S455:S518" si="79">CONCATENATE(G455,H455)</f>
        <v>CimarronF0</v>
      </c>
      <c r="T455" s="37" t="str">
        <f t="shared" si="71"/>
        <v>1982F0</v>
      </c>
      <c r="U455" s="429">
        <v>2</v>
      </c>
      <c r="V455" s="1029">
        <v>0.1</v>
      </c>
      <c r="W455" s="598">
        <v>2.0000000000000001E-4</v>
      </c>
      <c r="X455" s="429"/>
      <c r="Y455" s="37" t="str">
        <f t="shared" si="72"/>
        <v>F02</v>
      </c>
      <c r="Z455" s="37" t="str">
        <f t="shared" si="73"/>
        <v>F00.1</v>
      </c>
      <c r="AA455" s="37" t="str">
        <f t="shared" si="75"/>
        <v>F00.0002</v>
      </c>
      <c r="AB455" s="498" t="str">
        <f t="shared" ref="AB455:AB518" si="80">CONCATENATE(H455,L455)</f>
        <v>F017</v>
      </c>
      <c r="AC455" s="572"/>
      <c r="AD455" s="572"/>
      <c r="AE455" s="572"/>
      <c r="AF455" s="572"/>
    </row>
    <row r="456" spans="1:32">
      <c r="A456" s="947">
        <f t="shared" si="76"/>
        <v>449</v>
      </c>
      <c r="B456" s="948">
        <v>37</v>
      </c>
      <c r="C456" s="949">
        <v>30125</v>
      </c>
      <c r="D456" s="949" t="s">
        <v>178</v>
      </c>
      <c r="E456" s="904">
        <v>23</v>
      </c>
      <c r="F456" s="644">
        <v>1982</v>
      </c>
      <c r="G456" s="948" t="s">
        <v>141</v>
      </c>
      <c r="H456" s="645" t="s">
        <v>149</v>
      </c>
      <c r="I456" s="951">
        <v>3</v>
      </c>
      <c r="J456" s="951">
        <v>0.1</v>
      </c>
      <c r="K456" s="952">
        <f t="shared" si="74"/>
        <v>1.7045454545454547E-4</v>
      </c>
      <c r="L456" s="644">
        <f t="shared" si="77"/>
        <v>19</v>
      </c>
      <c r="M456" s="935">
        <v>0.8125</v>
      </c>
      <c r="N456" s="936">
        <f t="shared" si="78"/>
        <v>0.8125</v>
      </c>
      <c r="O456" s="725"/>
      <c r="P456" s="725">
        <f t="shared" ref="P456:P519" si="81">+O456-N456</f>
        <v>-0.8125</v>
      </c>
      <c r="Q456" s="622"/>
      <c r="R456" s="37"/>
      <c r="S456" s="37" t="str">
        <f t="shared" si="79"/>
        <v>CarsonF0</v>
      </c>
      <c r="T456" s="37" t="str">
        <f t="shared" ref="T456:T519" si="82">CONCATENATE(F456,H456)</f>
        <v>1982F0</v>
      </c>
      <c r="U456" s="429">
        <v>2</v>
      </c>
      <c r="V456" s="1029">
        <v>0.1</v>
      </c>
      <c r="W456" s="598">
        <v>2.0000000000000001E-4</v>
      </c>
      <c r="X456" s="429"/>
      <c r="Y456" s="37" t="str">
        <f t="shared" ref="Y456:Y519" si="83">CONCATENATE(H456,U456)</f>
        <v>F02</v>
      </c>
      <c r="Z456" s="37" t="str">
        <f t="shared" ref="Z456:Z519" si="84">CONCATENATE(H456,V456)</f>
        <v>F00.1</v>
      </c>
      <c r="AA456" s="37" t="str">
        <f t="shared" si="75"/>
        <v>F00.0002</v>
      </c>
      <c r="AB456" s="498" t="str">
        <f t="shared" si="80"/>
        <v>F019</v>
      </c>
      <c r="AC456" s="572"/>
      <c r="AD456" s="572"/>
      <c r="AE456" s="572"/>
      <c r="AF456" s="572"/>
    </row>
    <row r="457" spans="1:32">
      <c r="A457" s="947">
        <f t="shared" si="76"/>
        <v>450</v>
      </c>
      <c r="B457" s="948">
        <v>38</v>
      </c>
      <c r="C457" s="949">
        <v>30126</v>
      </c>
      <c r="D457" s="949" t="s">
        <v>178</v>
      </c>
      <c r="E457" s="904">
        <v>24</v>
      </c>
      <c r="F457" s="644">
        <v>1982</v>
      </c>
      <c r="G457" s="948" t="s">
        <v>142</v>
      </c>
      <c r="H457" s="645" t="s">
        <v>150</v>
      </c>
      <c r="I457" s="951">
        <v>3</v>
      </c>
      <c r="J457" s="951">
        <v>0.1</v>
      </c>
      <c r="K457" s="952">
        <f t="shared" ref="K457:K520" si="85">+(I457/1760)*J457</f>
        <v>1.7045454545454547E-4</v>
      </c>
      <c r="L457" s="644">
        <f t="shared" si="77"/>
        <v>19</v>
      </c>
      <c r="M457" s="935">
        <v>0.79513888888888884</v>
      </c>
      <c r="N457" s="936">
        <f t="shared" si="78"/>
        <v>0.79513888888888884</v>
      </c>
      <c r="O457" s="725"/>
      <c r="P457" s="725">
        <f t="shared" si="81"/>
        <v>-0.79513888888888884</v>
      </c>
      <c r="Q457" s="622"/>
      <c r="R457" s="37"/>
      <c r="S457" s="37" t="str">
        <f t="shared" si="79"/>
        <v>GrayF1</v>
      </c>
      <c r="T457" s="37" t="str">
        <f t="shared" si="82"/>
        <v>1982F1</v>
      </c>
      <c r="U457" s="429">
        <v>2</v>
      </c>
      <c r="V457" s="1029">
        <v>0.1</v>
      </c>
      <c r="W457" s="598">
        <v>2.0000000000000001E-4</v>
      </c>
      <c r="X457" s="429"/>
      <c r="Y457" s="37" t="str">
        <f t="shared" si="83"/>
        <v>F12</v>
      </c>
      <c r="Z457" s="37" t="str">
        <f t="shared" si="84"/>
        <v>F10.1</v>
      </c>
      <c r="AA457" s="37" t="str">
        <f t="shared" ref="AA457:AA520" si="86">CONCATENATE(H457,W457)</f>
        <v>F10.0002</v>
      </c>
      <c r="AB457" s="498" t="str">
        <f t="shared" si="80"/>
        <v>F119</v>
      </c>
      <c r="AC457" s="572"/>
      <c r="AD457" s="572"/>
      <c r="AE457" s="572"/>
      <c r="AF457" s="572"/>
    </row>
    <row r="458" spans="1:32">
      <c r="A458" s="947">
        <f t="shared" ref="A458:A521" si="87">+A457+1</f>
        <v>451</v>
      </c>
      <c r="B458" s="948">
        <v>39</v>
      </c>
      <c r="C458" s="949">
        <v>30141</v>
      </c>
      <c r="D458" s="949" t="s">
        <v>179</v>
      </c>
      <c r="E458" s="904">
        <v>9</v>
      </c>
      <c r="F458" s="644">
        <v>1982</v>
      </c>
      <c r="G458" s="948" t="s">
        <v>126</v>
      </c>
      <c r="H458" s="645" t="s">
        <v>149</v>
      </c>
      <c r="I458" s="951">
        <v>3</v>
      </c>
      <c r="J458" s="951">
        <v>0.1</v>
      </c>
      <c r="K458" s="952">
        <f t="shared" si="85"/>
        <v>1.7045454545454547E-4</v>
      </c>
      <c r="L458" s="644">
        <f t="shared" si="77"/>
        <v>13</v>
      </c>
      <c r="M458" s="935">
        <v>0.57291666666666663</v>
      </c>
      <c r="N458" s="936">
        <f t="shared" si="78"/>
        <v>0.57291666666666663</v>
      </c>
      <c r="O458" s="725"/>
      <c r="P458" s="725">
        <f t="shared" si="81"/>
        <v>-0.57291666666666663</v>
      </c>
      <c r="Q458" s="622"/>
      <c r="R458" s="37"/>
      <c r="S458" s="37" t="str">
        <f t="shared" si="79"/>
        <v>CimarronF0</v>
      </c>
      <c r="T458" s="37" t="str">
        <f t="shared" si="82"/>
        <v>1982F0</v>
      </c>
      <c r="U458" s="429">
        <v>2</v>
      </c>
      <c r="V458" s="1029">
        <v>0.1</v>
      </c>
      <c r="W458" s="598">
        <v>2.0000000000000001E-4</v>
      </c>
      <c r="X458" s="429"/>
      <c r="Y458" s="37" t="str">
        <f t="shared" si="83"/>
        <v>F02</v>
      </c>
      <c r="Z458" s="37" t="str">
        <f t="shared" si="84"/>
        <v>F00.1</v>
      </c>
      <c r="AA458" s="37" t="str">
        <f t="shared" si="86"/>
        <v>F00.0002</v>
      </c>
      <c r="AB458" s="498" t="str">
        <f t="shared" si="80"/>
        <v>F013</v>
      </c>
      <c r="AC458" s="572"/>
      <c r="AD458" s="572"/>
      <c r="AE458" s="572"/>
      <c r="AF458" s="572"/>
    </row>
    <row r="459" spans="1:32">
      <c r="A459" s="947">
        <f t="shared" si="87"/>
        <v>452</v>
      </c>
      <c r="B459" s="948">
        <v>40</v>
      </c>
      <c r="C459" s="949">
        <v>30178</v>
      </c>
      <c r="D459" s="949" t="s">
        <v>180</v>
      </c>
      <c r="E459" s="904">
        <v>15</v>
      </c>
      <c r="F459" s="644">
        <v>1982</v>
      </c>
      <c r="G459" s="948" t="s">
        <v>127</v>
      </c>
      <c r="H459" s="645" t="s">
        <v>150</v>
      </c>
      <c r="I459" s="951">
        <v>10</v>
      </c>
      <c r="J459" s="951">
        <v>0.1</v>
      </c>
      <c r="K459" s="952">
        <f t="shared" si="85"/>
        <v>5.6818181818181826E-4</v>
      </c>
      <c r="L459" s="644">
        <f t="shared" si="77"/>
        <v>17</v>
      </c>
      <c r="M459" s="935">
        <v>0.70833333333333337</v>
      </c>
      <c r="N459" s="936">
        <f t="shared" si="78"/>
        <v>0.70833333333333337</v>
      </c>
      <c r="O459" s="725"/>
      <c r="P459" s="725">
        <f t="shared" si="81"/>
        <v>-0.70833333333333337</v>
      </c>
      <c r="Q459" s="622"/>
      <c r="R459" s="37"/>
      <c r="S459" s="37" t="str">
        <f t="shared" si="79"/>
        <v>TexasF1</v>
      </c>
      <c r="T459" s="37" t="str">
        <f t="shared" si="82"/>
        <v>1982F1</v>
      </c>
      <c r="U459" s="429">
        <v>10</v>
      </c>
      <c r="V459" s="1029">
        <v>0.1</v>
      </c>
      <c r="W459" s="598">
        <v>1E-3</v>
      </c>
      <c r="X459" s="429"/>
      <c r="Y459" s="37" t="str">
        <f t="shared" si="83"/>
        <v>F110</v>
      </c>
      <c r="Z459" s="37" t="str">
        <f t="shared" si="84"/>
        <v>F10.1</v>
      </c>
      <c r="AA459" s="37" t="str">
        <f t="shared" si="86"/>
        <v>F10.001</v>
      </c>
      <c r="AB459" s="498" t="str">
        <f t="shared" si="80"/>
        <v>F117</v>
      </c>
      <c r="AC459" s="572"/>
      <c r="AD459" s="572"/>
      <c r="AE459" s="572"/>
      <c r="AF459" s="572"/>
    </row>
    <row r="460" spans="1:32">
      <c r="A460" s="947">
        <f t="shared" si="87"/>
        <v>453</v>
      </c>
      <c r="B460" s="948">
        <v>1</v>
      </c>
      <c r="C460" s="949">
        <v>30378</v>
      </c>
      <c r="D460" s="963" t="s">
        <v>175</v>
      </c>
      <c r="E460" s="904">
        <v>3</v>
      </c>
      <c r="F460" s="644">
        <v>1983</v>
      </c>
      <c r="G460" s="948" t="s">
        <v>147</v>
      </c>
      <c r="H460" s="645" t="s">
        <v>151</v>
      </c>
      <c r="I460" s="951">
        <v>880</v>
      </c>
      <c r="J460" s="951">
        <v>5</v>
      </c>
      <c r="K460" s="952">
        <f t="shared" si="85"/>
        <v>2.5</v>
      </c>
      <c r="L460" s="644">
        <f t="shared" si="77"/>
        <v>16</v>
      </c>
      <c r="M460" s="935">
        <v>0.70138888888888884</v>
      </c>
      <c r="N460" s="936">
        <f t="shared" si="78"/>
        <v>0.70138888888888884</v>
      </c>
      <c r="O460" s="725"/>
      <c r="P460" s="725">
        <f t="shared" si="81"/>
        <v>-0.70138888888888884</v>
      </c>
      <c r="Q460" s="622"/>
      <c r="R460" s="37"/>
      <c r="S460" s="37" t="str">
        <f t="shared" si="79"/>
        <v>DonleyF2</v>
      </c>
      <c r="T460" s="37" t="str">
        <f t="shared" si="82"/>
        <v>1983F2</v>
      </c>
      <c r="U460" s="429">
        <v>500</v>
      </c>
      <c r="V460" s="1029">
        <v>5</v>
      </c>
      <c r="W460" s="598">
        <v>2</v>
      </c>
      <c r="X460" s="429"/>
      <c r="Y460" s="37" t="str">
        <f t="shared" si="83"/>
        <v>F2500</v>
      </c>
      <c r="Z460" s="37" t="str">
        <f t="shared" si="84"/>
        <v>F25</v>
      </c>
      <c r="AA460" s="37" t="str">
        <f t="shared" si="86"/>
        <v>F22</v>
      </c>
      <c r="AB460" s="498" t="str">
        <f t="shared" si="80"/>
        <v>F216</v>
      </c>
      <c r="AC460" s="572"/>
      <c r="AD460" s="572"/>
      <c r="AE460" s="572"/>
      <c r="AF460" s="572"/>
    </row>
    <row r="461" spans="1:32">
      <c r="A461" s="947">
        <f t="shared" si="87"/>
        <v>454</v>
      </c>
      <c r="B461" s="948">
        <v>2</v>
      </c>
      <c r="C461" s="949">
        <v>30378</v>
      </c>
      <c r="D461" s="963" t="s">
        <v>175</v>
      </c>
      <c r="E461" s="904">
        <v>3</v>
      </c>
      <c r="F461" s="644">
        <v>1983</v>
      </c>
      <c r="G461" s="948" t="s">
        <v>147</v>
      </c>
      <c r="H461" s="645" t="s">
        <v>151</v>
      </c>
      <c r="I461" s="951">
        <v>880</v>
      </c>
      <c r="J461" s="951">
        <v>5</v>
      </c>
      <c r="K461" s="952">
        <f t="shared" si="85"/>
        <v>2.5</v>
      </c>
      <c r="L461" s="644">
        <f t="shared" si="77"/>
        <v>17</v>
      </c>
      <c r="M461" s="935">
        <v>0.74930555555555556</v>
      </c>
      <c r="N461" s="936">
        <f t="shared" si="78"/>
        <v>0.74930555555555556</v>
      </c>
      <c r="O461" s="725"/>
      <c r="P461" s="725">
        <f t="shared" si="81"/>
        <v>-0.74930555555555556</v>
      </c>
      <c r="Q461" s="622"/>
      <c r="R461" s="37"/>
      <c r="S461" s="37" t="str">
        <f t="shared" si="79"/>
        <v>DonleyF2</v>
      </c>
      <c r="T461" s="37" t="str">
        <f t="shared" si="82"/>
        <v>1983F2</v>
      </c>
      <c r="U461" s="429">
        <v>500</v>
      </c>
      <c r="V461" s="1029">
        <v>5</v>
      </c>
      <c r="W461" s="598">
        <v>2</v>
      </c>
      <c r="X461" s="429"/>
      <c r="Y461" s="37" t="str">
        <f t="shared" si="83"/>
        <v>F2500</v>
      </c>
      <c r="Z461" s="37" t="str">
        <f t="shared" si="84"/>
        <v>F25</v>
      </c>
      <c r="AA461" s="37" t="str">
        <f t="shared" si="86"/>
        <v>F22</v>
      </c>
      <c r="AB461" s="498" t="str">
        <f t="shared" si="80"/>
        <v>F217</v>
      </c>
      <c r="AC461" s="572"/>
      <c r="AD461" s="572"/>
      <c r="AE461" s="572"/>
      <c r="AF461" s="572"/>
    </row>
    <row r="462" spans="1:32">
      <c r="A462" s="947">
        <f t="shared" si="87"/>
        <v>455</v>
      </c>
      <c r="B462" s="948">
        <v>3</v>
      </c>
      <c r="C462" s="949">
        <v>30378</v>
      </c>
      <c r="D462" s="963" t="s">
        <v>175</v>
      </c>
      <c r="E462" s="904">
        <v>3</v>
      </c>
      <c r="F462" s="644">
        <v>1983</v>
      </c>
      <c r="G462" s="948" t="s">
        <v>142</v>
      </c>
      <c r="H462" s="645" t="s">
        <v>149</v>
      </c>
      <c r="I462" s="951">
        <v>33</v>
      </c>
      <c r="J462" s="951">
        <v>0.5</v>
      </c>
      <c r="K462" s="952">
        <f t="shared" si="85"/>
        <v>9.3749999999999997E-3</v>
      </c>
      <c r="L462" s="644">
        <f t="shared" si="77"/>
        <v>19</v>
      </c>
      <c r="M462" s="935">
        <v>0.79513888888888884</v>
      </c>
      <c r="N462" s="936">
        <f t="shared" si="78"/>
        <v>0.79513888888888884</v>
      </c>
      <c r="O462" s="725"/>
      <c r="P462" s="725">
        <f t="shared" si="81"/>
        <v>-0.79513888888888884</v>
      </c>
      <c r="Q462" s="622"/>
      <c r="R462" s="37"/>
      <c r="S462" s="37" t="str">
        <f t="shared" si="79"/>
        <v>GrayF0</v>
      </c>
      <c r="T462" s="37" t="str">
        <f t="shared" si="82"/>
        <v>1983F0</v>
      </c>
      <c r="U462" s="429">
        <v>20</v>
      </c>
      <c r="V462" s="1029">
        <v>0.5</v>
      </c>
      <c r="W462" s="598">
        <v>5.0000000000000001E-3</v>
      </c>
      <c r="X462" s="429"/>
      <c r="Y462" s="37" t="str">
        <f t="shared" si="83"/>
        <v>F020</v>
      </c>
      <c r="Z462" s="37" t="str">
        <f t="shared" si="84"/>
        <v>F00.5</v>
      </c>
      <c r="AA462" s="37" t="str">
        <f t="shared" si="86"/>
        <v>F00.005</v>
      </c>
      <c r="AB462" s="498" t="str">
        <f t="shared" si="80"/>
        <v>F019</v>
      </c>
      <c r="AC462" s="572"/>
      <c r="AD462" s="572"/>
      <c r="AE462" s="572"/>
      <c r="AF462" s="572"/>
    </row>
    <row r="463" spans="1:32">
      <c r="A463" s="947">
        <f t="shared" si="87"/>
        <v>456</v>
      </c>
      <c r="B463" s="948">
        <v>4</v>
      </c>
      <c r="C463" s="949">
        <v>30449</v>
      </c>
      <c r="D463" s="949" t="s">
        <v>177</v>
      </c>
      <c r="E463" s="904">
        <v>13</v>
      </c>
      <c r="F463" s="644">
        <v>1983</v>
      </c>
      <c r="G463" s="948" t="s">
        <v>135</v>
      </c>
      <c r="H463" s="645" t="s">
        <v>149</v>
      </c>
      <c r="I463" s="951">
        <v>50</v>
      </c>
      <c r="J463" s="951">
        <v>0.5</v>
      </c>
      <c r="K463" s="952">
        <f t="shared" si="85"/>
        <v>1.4204545454545454E-2</v>
      </c>
      <c r="L463" s="644">
        <f t="shared" si="77"/>
        <v>13</v>
      </c>
      <c r="M463" s="935">
        <v>0.5625</v>
      </c>
      <c r="N463" s="936">
        <f t="shared" si="78"/>
        <v>0.5625</v>
      </c>
      <c r="O463" s="725"/>
      <c r="P463" s="725">
        <f t="shared" si="81"/>
        <v>-0.5625</v>
      </c>
      <c r="Q463" s="622"/>
      <c r="R463" s="37"/>
      <c r="S463" s="37" t="str">
        <f t="shared" si="79"/>
        <v>MooreF0</v>
      </c>
      <c r="T463" s="37" t="str">
        <f t="shared" si="82"/>
        <v>1983F0</v>
      </c>
      <c r="U463" s="429">
        <v>50</v>
      </c>
      <c r="V463" s="1029">
        <v>0.5</v>
      </c>
      <c r="W463" s="598">
        <v>0.01</v>
      </c>
      <c r="X463" s="429"/>
      <c r="Y463" s="37" t="str">
        <f t="shared" si="83"/>
        <v>F050</v>
      </c>
      <c r="Z463" s="37" t="str">
        <f t="shared" si="84"/>
        <v>F00.5</v>
      </c>
      <c r="AA463" s="37" t="str">
        <f t="shared" si="86"/>
        <v>F00.01</v>
      </c>
      <c r="AB463" s="498" t="str">
        <f t="shared" si="80"/>
        <v>F013</v>
      </c>
      <c r="AC463" s="572"/>
      <c r="AD463" s="572"/>
      <c r="AE463" s="572"/>
      <c r="AF463" s="572"/>
    </row>
    <row r="464" spans="1:32">
      <c r="A464" s="947">
        <f t="shared" si="87"/>
        <v>457</v>
      </c>
      <c r="B464" s="948">
        <v>5</v>
      </c>
      <c r="C464" s="949">
        <v>30460</v>
      </c>
      <c r="D464" s="949" t="s">
        <v>177</v>
      </c>
      <c r="E464" s="904">
        <v>24</v>
      </c>
      <c r="F464" s="644">
        <v>1983</v>
      </c>
      <c r="G464" s="948" t="s">
        <v>138</v>
      </c>
      <c r="H464" s="645" t="s">
        <v>150</v>
      </c>
      <c r="I464" s="951">
        <v>60</v>
      </c>
      <c r="J464" s="951">
        <v>0.3</v>
      </c>
      <c r="K464" s="952">
        <f t="shared" si="85"/>
        <v>1.0227272727272725E-2</v>
      </c>
      <c r="L464" s="644">
        <f t="shared" si="77"/>
        <v>20</v>
      </c>
      <c r="M464" s="935">
        <v>0.83333333333333337</v>
      </c>
      <c r="N464" s="936">
        <f t="shared" si="78"/>
        <v>0.83333333333333337</v>
      </c>
      <c r="O464" s="725"/>
      <c r="P464" s="725">
        <f t="shared" si="81"/>
        <v>-0.83333333333333337</v>
      </c>
      <c r="Q464" s="622"/>
      <c r="R464" s="37"/>
      <c r="S464" s="37" t="str">
        <f t="shared" si="79"/>
        <v>HemphillF1</v>
      </c>
      <c r="T464" s="37" t="str">
        <f t="shared" si="82"/>
        <v>1983F1</v>
      </c>
      <c r="U464" s="429">
        <v>50</v>
      </c>
      <c r="V464" s="1029">
        <v>0.2</v>
      </c>
      <c r="W464" s="598">
        <v>0.01</v>
      </c>
      <c r="X464" s="429"/>
      <c r="Y464" s="37" t="str">
        <f t="shared" si="83"/>
        <v>F150</v>
      </c>
      <c r="Z464" s="37" t="str">
        <f t="shared" si="84"/>
        <v>F10.2</v>
      </c>
      <c r="AA464" s="37" t="str">
        <f t="shared" si="86"/>
        <v>F10.01</v>
      </c>
      <c r="AB464" s="498" t="str">
        <f t="shared" si="80"/>
        <v>F120</v>
      </c>
      <c r="AC464" s="572"/>
      <c r="AD464" s="572"/>
      <c r="AE464" s="572"/>
      <c r="AF464" s="572"/>
    </row>
    <row r="465" spans="1:32">
      <c r="A465" s="947">
        <f t="shared" si="87"/>
        <v>458</v>
      </c>
      <c r="B465" s="948">
        <v>6</v>
      </c>
      <c r="C465" s="949">
        <v>30476</v>
      </c>
      <c r="D465" s="949" t="s">
        <v>178</v>
      </c>
      <c r="E465" s="904">
        <v>9</v>
      </c>
      <c r="F465" s="644">
        <v>1983</v>
      </c>
      <c r="G465" s="948" t="s">
        <v>136</v>
      </c>
      <c r="H465" s="645" t="s">
        <v>150</v>
      </c>
      <c r="I465" s="951">
        <v>17</v>
      </c>
      <c r="J465" s="951">
        <v>0.1</v>
      </c>
      <c r="K465" s="952">
        <f t="shared" si="85"/>
        <v>9.6590909090909095E-4</v>
      </c>
      <c r="L465" s="644">
        <f t="shared" si="77"/>
        <v>22</v>
      </c>
      <c r="M465" s="935">
        <v>0.94791666666666663</v>
      </c>
      <c r="N465" s="936">
        <f t="shared" si="78"/>
        <v>0.94791666666666663</v>
      </c>
      <c r="O465" s="725"/>
      <c r="P465" s="725">
        <f t="shared" si="81"/>
        <v>-0.94791666666666663</v>
      </c>
      <c r="Q465" s="622"/>
      <c r="R465" s="37"/>
      <c r="S465" s="37" t="str">
        <f t="shared" si="79"/>
        <v>HutchinsonF1</v>
      </c>
      <c r="T465" s="37" t="str">
        <f t="shared" si="82"/>
        <v>1983F1</v>
      </c>
      <c r="U465" s="429">
        <v>10</v>
      </c>
      <c r="V465" s="1029">
        <v>0.1</v>
      </c>
      <c r="W465" s="598">
        <v>1E-3</v>
      </c>
      <c r="X465" s="429"/>
      <c r="Y465" s="37" t="str">
        <f t="shared" si="83"/>
        <v>F110</v>
      </c>
      <c r="Z465" s="37" t="str">
        <f t="shared" si="84"/>
        <v>F10.1</v>
      </c>
      <c r="AA465" s="37" t="str">
        <f t="shared" si="86"/>
        <v>F10.001</v>
      </c>
      <c r="AB465" s="498" t="str">
        <f t="shared" si="80"/>
        <v>F122</v>
      </c>
      <c r="AC465" s="572"/>
      <c r="AD465" s="572"/>
      <c r="AE465" s="572"/>
      <c r="AF465" s="572"/>
    </row>
    <row r="466" spans="1:32">
      <c r="A466" s="947">
        <f t="shared" si="87"/>
        <v>459</v>
      </c>
      <c r="B466" s="948">
        <v>7</v>
      </c>
      <c r="C466" s="949">
        <v>30476</v>
      </c>
      <c r="D466" s="949" t="s">
        <v>178</v>
      </c>
      <c r="E466" s="904">
        <v>9</v>
      </c>
      <c r="F466" s="644">
        <v>1983</v>
      </c>
      <c r="G466" s="948" t="s">
        <v>136</v>
      </c>
      <c r="H466" s="645" t="s">
        <v>150</v>
      </c>
      <c r="I466" s="951">
        <v>17</v>
      </c>
      <c r="J466" s="951">
        <v>0.1</v>
      </c>
      <c r="K466" s="952">
        <f t="shared" si="85"/>
        <v>9.6590909090909095E-4</v>
      </c>
      <c r="L466" s="644">
        <f t="shared" si="77"/>
        <v>23</v>
      </c>
      <c r="M466" s="935">
        <v>0.95833333333333337</v>
      </c>
      <c r="N466" s="936">
        <f t="shared" si="78"/>
        <v>0.95833333333333337</v>
      </c>
      <c r="O466" s="725"/>
      <c r="P466" s="725">
        <f t="shared" si="81"/>
        <v>-0.95833333333333337</v>
      </c>
      <c r="Q466" s="622"/>
      <c r="R466" s="37"/>
      <c r="S466" s="37" t="str">
        <f t="shared" si="79"/>
        <v>HutchinsonF1</v>
      </c>
      <c r="T466" s="37" t="str">
        <f t="shared" si="82"/>
        <v>1983F1</v>
      </c>
      <c r="U466" s="429">
        <v>10</v>
      </c>
      <c r="V466" s="1029">
        <v>0.1</v>
      </c>
      <c r="W466" s="598">
        <v>1E-3</v>
      </c>
      <c r="X466" s="429"/>
      <c r="Y466" s="37" t="str">
        <f t="shared" si="83"/>
        <v>F110</v>
      </c>
      <c r="Z466" s="37" t="str">
        <f t="shared" si="84"/>
        <v>F10.1</v>
      </c>
      <c r="AA466" s="37" t="str">
        <f t="shared" si="86"/>
        <v>F10.001</v>
      </c>
      <c r="AB466" s="498" t="str">
        <f t="shared" si="80"/>
        <v>F123</v>
      </c>
      <c r="AC466" s="572"/>
      <c r="AD466" s="572"/>
      <c r="AE466" s="572"/>
      <c r="AF466" s="572"/>
    </row>
    <row r="467" spans="1:32">
      <c r="A467" s="947">
        <f t="shared" si="87"/>
        <v>460</v>
      </c>
      <c r="B467" s="948">
        <v>8</v>
      </c>
      <c r="C467" s="949">
        <v>30477</v>
      </c>
      <c r="D467" s="949" t="s">
        <v>178</v>
      </c>
      <c r="E467" s="904">
        <v>10</v>
      </c>
      <c r="F467" s="644">
        <v>1983</v>
      </c>
      <c r="G467" s="948" t="s">
        <v>130</v>
      </c>
      <c r="H467" s="645" t="s">
        <v>149</v>
      </c>
      <c r="I467" s="951">
        <v>70</v>
      </c>
      <c r="J467" s="951">
        <v>0.3</v>
      </c>
      <c r="K467" s="952">
        <f t="shared" si="85"/>
        <v>1.1931818181818181E-2</v>
      </c>
      <c r="L467" s="644">
        <f t="shared" si="77"/>
        <v>22</v>
      </c>
      <c r="M467" s="935">
        <v>0.94791666666666663</v>
      </c>
      <c r="N467" s="936">
        <f t="shared" si="78"/>
        <v>0.94791666666666663</v>
      </c>
      <c r="O467" s="725"/>
      <c r="P467" s="725">
        <f t="shared" si="81"/>
        <v>-0.94791666666666663</v>
      </c>
      <c r="Q467" s="622"/>
      <c r="R467" s="37"/>
      <c r="S467" s="37" t="str">
        <f t="shared" si="79"/>
        <v>ShermanF0</v>
      </c>
      <c r="T467" s="37" t="str">
        <f t="shared" si="82"/>
        <v>1983F0</v>
      </c>
      <c r="U467" s="429">
        <v>50</v>
      </c>
      <c r="V467" s="1029">
        <v>0.2</v>
      </c>
      <c r="W467" s="598">
        <v>0.01</v>
      </c>
      <c r="X467" s="429"/>
      <c r="Y467" s="37" t="str">
        <f t="shared" si="83"/>
        <v>F050</v>
      </c>
      <c r="Z467" s="37" t="str">
        <f t="shared" si="84"/>
        <v>F00.2</v>
      </c>
      <c r="AA467" s="37" t="str">
        <f t="shared" si="86"/>
        <v>F00.01</v>
      </c>
      <c r="AB467" s="498" t="str">
        <f t="shared" si="80"/>
        <v>F022</v>
      </c>
      <c r="AC467" s="572"/>
      <c r="AD467" s="572"/>
      <c r="AE467" s="572"/>
      <c r="AF467" s="572"/>
    </row>
    <row r="468" spans="1:32">
      <c r="A468" s="947">
        <f t="shared" si="87"/>
        <v>461</v>
      </c>
      <c r="B468" s="948">
        <v>9</v>
      </c>
      <c r="C468" s="949">
        <v>30478</v>
      </c>
      <c r="D468" s="949" t="s">
        <v>178</v>
      </c>
      <c r="E468" s="904">
        <v>11</v>
      </c>
      <c r="F468" s="644">
        <v>1983</v>
      </c>
      <c r="G468" s="948" t="s">
        <v>137</v>
      </c>
      <c r="H468" s="645" t="s">
        <v>150</v>
      </c>
      <c r="I468" s="951">
        <v>17</v>
      </c>
      <c r="J468" s="951">
        <v>0.1</v>
      </c>
      <c r="K468" s="952">
        <f t="shared" si="85"/>
        <v>9.6590909090909095E-4</v>
      </c>
      <c r="L468" s="644">
        <f t="shared" si="77"/>
        <v>0</v>
      </c>
      <c r="M468" s="935">
        <v>6.9444444444444441E-3</v>
      </c>
      <c r="N468" s="936">
        <f t="shared" si="78"/>
        <v>6.9444444444444441E-3</v>
      </c>
      <c r="O468" s="725"/>
      <c r="P468" s="725">
        <f t="shared" si="81"/>
        <v>-6.9444444444444441E-3</v>
      </c>
      <c r="Q468" s="622"/>
      <c r="R468" s="37"/>
      <c r="S468" s="37" t="str">
        <f t="shared" si="79"/>
        <v>RobertsF1</v>
      </c>
      <c r="T468" s="37" t="str">
        <f t="shared" si="82"/>
        <v>1983F1</v>
      </c>
      <c r="U468" s="429">
        <v>10</v>
      </c>
      <c r="V468" s="1029">
        <v>0.1</v>
      </c>
      <c r="W468" s="598">
        <v>1E-3</v>
      </c>
      <c r="X468" s="429"/>
      <c r="Y468" s="37" t="str">
        <f t="shared" si="83"/>
        <v>F110</v>
      </c>
      <c r="Z468" s="37" t="str">
        <f t="shared" si="84"/>
        <v>F10.1</v>
      </c>
      <c r="AA468" s="37" t="str">
        <f t="shared" si="86"/>
        <v>F10.001</v>
      </c>
      <c r="AB468" s="498" t="str">
        <f t="shared" si="80"/>
        <v>F10</v>
      </c>
      <c r="AC468" s="572"/>
      <c r="AD468" s="572"/>
      <c r="AE468" s="572"/>
      <c r="AF468" s="572"/>
    </row>
    <row r="469" spans="1:32">
      <c r="A469" s="947">
        <f t="shared" si="87"/>
        <v>462</v>
      </c>
      <c r="B469" s="948">
        <v>10</v>
      </c>
      <c r="C469" s="949">
        <v>30478</v>
      </c>
      <c r="D469" s="949" t="s">
        <v>178</v>
      </c>
      <c r="E469" s="904">
        <v>11</v>
      </c>
      <c r="F469" s="644">
        <v>1983</v>
      </c>
      <c r="G469" s="948" t="s">
        <v>142</v>
      </c>
      <c r="H469" s="645" t="s">
        <v>149</v>
      </c>
      <c r="I469" s="951">
        <v>70</v>
      </c>
      <c r="J469" s="951">
        <v>0.3</v>
      </c>
      <c r="K469" s="952">
        <f t="shared" si="85"/>
        <v>1.1931818181818181E-2</v>
      </c>
      <c r="L469" s="644">
        <f t="shared" si="77"/>
        <v>0</v>
      </c>
      <c r="M469" s="935">
        <v>1.0416666666666666E-2</v>
      </c>
      <c r="N469" s="936">
        <f t="shared" si="78"/>
        <v>1.0416666666666666E-2</v>
      </c>
      <c r="O469" s="725"/>
      <c r="P469" s="725">
        <f t="shared" si="81"/>
        <v>-1.0416666666666666E-2</v>
      </c>
      <c r="Q469" s="622"/>
      <c r="R469" s="37"/>
      <c r="S469" s="37" t="str">
        <f t="shared" si="79"/>
        <v>GrayF0</v>
      </c>
      <c r="T469" s="37" t="str">
        <f t="shared" si="82"/>
        <v>1983F0</v>
      </c>
      <c r="U469" s="429">
        <v>50</v>
      </c>
      <c r="V469" s="1029">
        <v>0.2</v>
      </c>
      <c r="W469" s="598">
        <v>0.01</v>
      </c>
      <c r="X469" s="429"/>
      <c r="Y469" s="37" t="str">
        <f t="shared" si="83"/>
        <v>F050</v>
      </c>
      <c r="Z469" s="37" t="str">
        <f t="shared" si="84"/>
        <v>F00.2</v>
      </c>
      <c r="AA469" s="37" t="str">
        <f t="shared" si="86"/>
        <v>F00.01</v>
      </c>
      <c r="AB469" s="498" t="str">
        <f t="shared" si="80"/>
        <v>F00</v>
      </c>
      <c r="AC469" s="572"/>
      <c r="AD469" s="572"/>
      <c r="AE469" s="572"/>
      <c r="AF469" s="572"/>
    </row>
    <row r="470" spans="1:32">
      <c r="A470" s="947">
        <f t="shared" si="87"/>
        <v>463</v>
      </c>
      <c r="B470" s="948">
        <v>11</v>
      </c>
      <c r="C470" s="949">
        <v>30480</v>
      </c>
      <c r="D470" s="949" t="s">
        <v>178</v>
      </c>
      <c r="E470" s="904">
        <v>13</v>
      </c>
      <c r="F470" s="644">
        <v>1983</v>
      </c>
      <c r="G470" s="948" t="s">
        <v>132</v>
      </c>
      <c r="H470" s="645" t="s">
        <v>149</v>
      </c>
      <c r="I470" s="951">
        <v>80</v>
      </c>
      <c r="J470" s="951">
        <v>0.3</v>
      </c>
      <c r="K470" s="952">
        <f t="shared" si="85"/>
        <v>1.3636363636363636E-2</v>
      </c>
      <c r="L470" s="644">
        <f t="shared" si="77"/>
        <v>14</v>
      </c>
      <c r="M470" s="935">
        <v>0.61805555555555558</v>
      </c>
      <c r="N470" s="936">
        <f t="shared" si="78"/>
        <v>0.61805555555555558</v>
      </c>
      <c r="O470" s="725"/>
      <c r="P470" s="725">
        <f t="shared" si="81"/>
        <v>-0.61805555555555558</v>
      </c>
      <c r="Q470" s="622"/>
      <c r="R470" s="37"/>
      <c r="S470" s="37" t="str">
        <f t="shared" si="79"/>
        <v>OchiltreeF0</v>
      </c>
      <c r="T470" s="37" t="str">
        <f t="shared" si="82"/>
        <v>1983F0</v>
      </c>
      <c r="U470" s="429">
        <v>50</v>
      </c>
      <c r="V470" s="1029">
        <v>0.2</v>
      </c>
      <c r="W470" s="598">
        <v>0.01</v>
      </c>
      <c r="X470" s="429"/>
      <c r="Y470" s="37" t="str">
        <f t="shared" si="83"/>
        <v>F050</v>
      </c>
      <c r="Z470" s="37" t="str">
        <f t="shared" si="84"/>
        <v>F00.2</v>
      </c>
      <c r="AA470" s="37" t="str">
        <f t="shared" si="86"/>
        <v>F00.01</v>
      </c>
      <c r="AB470" s="498" t="str">
        <f t="shared" si="80"/>
        <v>F014</v>
      </c>
      <c r="AC470" s="572"/>
      <c r="AD470" s="572"/>
      <c r="AE470" s="572"/>
      <c r="AF470" s="572"/>
    </row>
    <row r="471" spans="1:32">
      <c r="A471" s="947">
        <f t="shared" si="87"/>
        <v>464</v>
      </c>
      <c r="B471" s="948">
        <v>12</v>
      </c>
      <c r="C471" s="949">
        <v>30480</v>
      </c>
      <c r="D471" s="949" t="s">
        <v>178</v>
      </c>
      <c r="E471" s="904">
        <v>13</v>
      </c>
      <c r="F471" s="644">
        <v>1983</v>
      </c>
      <c r="G471" s="948" t="s">
        <v>127</v>
      </c>
      <c r="H471" s="645" t="s">
        <v>149</v>
      </c>
      <c r="I471" s="951">
        <v>10</v>
      </c>
      <c r="J471" s="951">
        <v>0.1</v>
      </c>
      <c r="K471" s="952">
        <f t="shared" si="85"/>
        <v>5.6818181818181826E-4</v>
      </c>
      <c r="L471" s="644">
        <f t="shared" si="77"/>
        <v>15</v>
      </c>
      <c r="M471" s="935">
        <v>0.64583333333333337</v>
      </c>
      <c r="N471" s="936">
        <f t="shared" si="78"/>
        <v>0.64583333333333337</v>
      </c>
      <c r="O471" s="725"/>
      <c r="P471" s="725">
        <f t="shared" si="81"/>
        <v>-0.64583333333333337</v>
      </c>
      <c r="Q471" s="622"/>
      <c r="R471" s="37"/>
      <c r="S471" s="37" t="str">
        <f t="shared" si="79"/>
        <v>TexasF0</v>
      </c>
      <c r="T471" s="37" t="str">
        <f t="shared" si="82"/>
        <v>1983F0</v>
      </c>
      <c r="U471" s="429">
        <v>10</v>
      </c>
      <c r="V471" s="1029">
        <v>0.1</v>
      </c>
      <c r="W471" s="598">
        <v>1E-3</v>
      </c>
      <c r="X471" s="429"/>
      <c r="Y471" s="37" t="str">
        <f t="shared" si="83"/>
        <v>F010</v>
      </c>
      <c r="Z471" s="37" t="str">
        <f t="shared" si="84"/>
        <v>F00.1</v>
      </c>
      <c r="AA471" s="37" t="str">
        <f t="shared" si="86"/>
        <v>F00.001</v>
      </c>
      <c r="AB471" s="498" t="str">
        <f t="shared" si="80"/>
        <v>F015</v>
      </c>
      <c r="AC471" s="572"/>
      <c r="AD471" s="572"/>
      <c r="AE471" s="572"/>
      <c r="AF471" s="572"/>
    </row>
    <row r="472" spans="1:32">
      <c r="A472" s="947">
        <f t="shared" si="87"/>
        <v>465</v>
      </c>
      <c r="B472" s="948">
        <v>13</v>
      </c>
      <c r="C472" s="949">
        <v>30480</v>
      </c>
      <c r="D472" s="949" t="s">
        <v>178</v>
      </c>
      <c r="E472" s="904">
        <v>13</v>
      </c>
      <c r="F472" s="644">
        <v>1983</v>
      </c>
      <c r="G472" s="948" t="s">
        <v>128</v>
      </c>
      <c r="H472" s="645" t="s">
        <v>149</v>
      </c>
      <c r="I472" s="951">
        <v>10</v>
      </c>
      <c r="J472" s="951">
        <v>0.1</v>
      </c>
      <c r="K472" s="952">
        <f t="shared" si="85"/>
        <v>5.6818181818181826E-4</v>
      </c>
      <c r="L472" s="644">
        <f t="shared" si="77"/>
        <v>17</v>
      </c>
      <c r="M472" s="935">
        <v>0.7104166666666667</v>
      </c>
      <c r="N472" s="936">
        <f t="shared" si="78"/>
        <v>0.7104166666666667</v>
      </c>
      <c r="O472" s="725"/>
      <c r="P472" s="725">
        <f t="shared" si="81"/>
        <v>-0.7104166666666667</v>
      </c>
      <c r="Q472" s="622"/>
      <c r="R472" s="37"/>
      <c r="S472" s="37" t="str">
        <f t="shared" si="79"/>
        <v>BeaverF0</v>
      </c>
      <c r="T472" s="37" t="str">
        <f t="shared" si="82"/>
        <v>1983F0</v>
      </c>
      <c r="U472" s="429">
        <v>10</v>
      </c>
      <c r="V472" s="1029">
        <v>0.1</v>
      </c>
      <c r="W472" s="598">
        <v>1E-3</v>
      </c>
      <c r="X472" s="429"/>
      <c r="Y472" s="37" t="str">
        <f t="shared" si="83"/>
        <v>F010</v>
      </c>
      <c r="Z472" s="37" t="str">
        <f t="shared" si="84"/>
        <v>F00.1</v>
      </c>
      <c r="AA472" s="37" t="str">
        <f t="shared" si="86"/>
        <v>F00.001</v>
      </c>
      <c r="AB472" s="498" t="str">
        <f t="shared" si="80"/>
        <v>F017</v>
      </c>
      <c r="AC472" s="572"/>
      <c r="AD472" s="572"/>
      <c r="AE472" s="572"/>
      <c r="AF472" s="572"/>
    </row>
    <row r="473" spans="1:32">
      <c r="A473" s="947">
        <f t="shared" si="87"/>
        <v>466</v>
      </c>
      <c r="B473" s="948">
        <v>14</v>
      </c>
      <c r="C473" s="949">
        <v>30549</v>
      </c>
      <c r="D473" s="949" t="s">
        <v>180</v>
      </c>
      <c r="E473" s="904">
        <v>21</v>
      </c>
      <c r="F473" s="644">
        <v>1983</v>
      </c>
      <c r="G473" s="948" t="s">
        <v>126</v>
      </c>
      <c r="H473" s="645" t="s">
        <v>149</v>
      </c>
      <c r="I473" s="951">
        <v>10</v>
      </c>
      <c r="J473" s="951">
        <v>0.2</v>
      </c>
      <c r="K473" s="952">
        <f t="shared" si="85"/>
        <v>1.1363636363636365E-3</v>
      </c>
      <c r="L473" s="644">
        <f t="shared" si="77"/>
        <v>14</v>
      </c>
      <c r="M473" s="935">
        <v>0.60416666666666663</v>
      </c>
      <c r="N473" s="936">
        <f t="shared" si="78"/>
        <v>0.60416666666666663</v>
      </c>
      <c r="O473" s="725"/>
      <c r="P473" s="725">
        <f t="shared" si="81"/>
        <v>-0.60416666666666663</v>
      </c>
      <c r="Q473" s="622"/>
      <c r="R473" s="37"/>
      <c r="S473" s="37" t="str">
        <f t="shared" si="79"/>
        <v>CimarronF0</v>
      </c>
      <c r="T473" s="37" t="str">
        <f t="shared" si="82"/>
        <v>1983F0</v>
      </c>
      <c r="U473" s="429">
        <v>10</v>
      </c>
      <c r="V473" s="1029">
        <v>0.2</v>
      </c>
      <c r="W473" s="598">
        <v>1E-3</v>
      </c>
      <c r="X473" s="429"/>
      <c r="Y473" s="37" t="str">
        <f t="shared" si="83"/>
        <v>F010</v>
      </c>
      <c r="Z473" s="37" t="str">
        <f t="shared" si="84"/>
        <v>F00.2</v>
      </c>
      <c r="AA473" s="37" t="str">
        <f t="shared" si="86"/>
        <v>F00.001</v>
      </c>
      <c r="AB473" s="498" t="str">
        <f t="shared" si="80"/>
        <v>F014</v>
      </c>
      <c r="AC473" s="572"/>
      <c r="AD473" s="572"/>
      <c r="AE473" s="572"/>
      <c r="AF473" s="572"/>
    </row>
    <row r="474" spans="1:32">
      <c r="A474" s="947">
        <f t="shared" si="87"/>
        <v>467</v>
      </c>
      <c r="B474" s="948">
        <v>1</v>
      </c>
      <c r="C474" s="949">
        <v>30843</v>
      </c>
      <c r="D474" s="949" t="s">
        <v>178</v>
      </c>
      <c r="E474" s="904">
        <v>10</v>
      </c>
      <c r="F474" s="644">
        <v>1984</v>
      </c>
      <c r="G474" s="948" t="s">
        <v>135</v>
      </c>
      <c r="H474" s="645" t="s">
        <v>149</v>
      </c>
      <c r="I474" s="951">
        <v>33</v>
      </c>
      <c r="J474" s="951">
        <v>9</v>
      </c>
      <c r="K474" s="952">
        <f t="shared" si="85"/>
        <v>0.16874999999999998</v>
      </c>
      <c r="L474" s="644">
        <f t="shared" si="77"/>
        <v>13</v>
      </c>
      <c r="M474" s="935">
        <v>0.55069444444444449</v>
      </c>
      <c r="N474" s="936">
        <f t="shared" si="78"/>
        <v>0.55069444444444449</v>
      </c>
      <c r="O474" s="725"/>
      <c r="P474" s="725">
        <f t="shared" si="81"/>
        <v>-0.55069444444444449</v>
      </c>
      <c r="Q474" s="622"/>
      <c r="R474" s="37"/>
      <c r="S474" s="37" t="str">
        <f t="shared" si="79"/>
        <v>MooreF0</v>
      </c>
      <c r="T474" s="37" t="str">
        <f t="shared" si="82"/>
        <v>1984F0</v>
      </c>
      <c r="U474" s="429">
        <v>20</v>
      </c>
      <c r="V474" s="1029">
        <v>5</v>
      </c>
      <c r="W474" s="598">
        <v>0.1</v>
      </c>
      <c r="X474" s="429"/>
      <c r="Y474" s="37" t="str">
        <f t="shared" si="83"/>
        <v>F020</v>
      </c>
      <c r="Z474" s="37" t="str">
        <f t="shared" si="84"/>
        <v>F05</v>
      </c>
      <c r="AA474" s="37" t="str">
        <f t="shared" si="86"/>
        <v>F00.1</v>
      </c>
      <c r="AB474" s="498" t="str">
        <f t="shared" si="80"/>
        <v>F013</v>
      </c>
      <c r="AC474" s="572"/>
      <c r="AD474" s="572"/>
      <c r="AE474" s="572"/>
      <c r="AF474" s="572"/>
    </row>
    <row r="475" spans="1:32">
      <c r="A475" s="947">
        <f t="shared" si="87"/>
        <v>468</v>
      </c>
      <c r="B475" s="948">
        <v>2</v>
      </c>
      <c r="C475" s="949">
        <v>30843</v>
      </c>
      <c r="D475" s="949" t="s">
        <v>178</v>
      </c>
      <c r="E475" s="904">
        <v>10</v>
      </c>
      <c r="F475" s="644">
        <v>1984</v>
      </c>
      <c r="G475" s="948" t="s">
        <v>143</v>
      </c>
      <c r="H475" s="645" t="s">
        <v>149</v>
      </c>
      <c r="I475" s="951">
        <v>10</v>
      </c>
      <c r="J475" s="951">
        <v>0.1</v>
      </c>
      <c r="K475" s="952">
        <f t="shared" si="85"/>
        <v>5.6818181818181826E-4</v>
      </c>
      <c r="L475" s="644">
        <f t="shared" si="77"/>
        <v>14</v>
      </c>
      <c r="M475" s="935">
        <v>0.61597222222222225</v>
      </c>
      <c r="N475" s="936">
        <f t="shared" si="78"/>
        <v>0.61597222222222225</v>
      </c>
      <c r="O475" s="725"/>
      <c r="P475" s="725">
        <f t="shared" si="81"/>
        <v>-0.61597222222222225</v>
      </c>
      <c r="Q475" s="622"/>
      <c r="R475" s="37"/>
      <c r="S475" s="37" t="str">
        <f t="shared" si="79"/>
        <v>WheelerF0</v>
      </c>
      <c r="T475" s="37" t="str">
        <f t="shared" si="82"/>
        <v>1984F0</v>
      </c>
      <c r="U475" s="429">
        <v>10</v>
      </c>
      <c r="V475" s="1029">
        <v>0.1</v>
      </c>
      <c r="W475" s="598">
        <v>1E-3</v>
      </c>
      <c r="X475" s="429"/>
      <c r="Y475" s="37" t="str">
        <f t="shared" si="83"/>
        <v>F010</v>
      </c>
      <c r="Z475" s="37" t="str">
        <f t="shared" si="84"/>
        <v>F00.1</v>
      </c>
      <c r="AA475" s="37" t="str">
        <f t="shared" si="86"/>
        <v>F00.001</v>
      </c>
      <c r="AB475" s="498" t="str">
        <f t="shared" si="80"/>
        <v>F014</v>
      </c>
      <c r="AC475" s="572"/>
      <c r="AD475" s="572"/>
      <c r="AE475" s="572"/>
      <c r="AF475" s="572"/>
    </row>
    <row r="476" spans="1:32">
      <c r="A476" s="947">
        <f t="shared" si="87"/>
        <v>469</v>
      </c>
      <c r="B476" s="948">
        <v>3</v>
      </c>
      <c r="C476" s="949">
        <v>30843</v>
      </c>
      <c r="D476" s="949" t="s">
        <v>178</v>
      </c>
      <c r="E476" s="904">
        <v>10</v>
      </c>
      <c r="F476" s="644">
        <v>1984</v>
      </c>
      <c r="G476" s="948" t="s">
        <v>146</v>
      </c>
      <c r="H476" s="645" t="s">
        <v>150</v>
      </c>
      <c r="I476" s="951">
        <v>20</v>
      </c>
      <c r="J476" s="951">
        <v>0.1</v>
      </c>
      <c r="K476" s="952">
        <f t="shared" si="85"/>
        <v>1.1363636363636365E-3</v>
      </c>
      <c r="L476" s="644">
        <f t="shared" si="77"/>
        <v>16</v>
      </c>
      <c r="M476" s="935">
        <v>0.68055555555555547</v>
      </c>
      <c r="N476" s="936">
        <f t="shared" si="78"/>
        <v>0.68055555555555547</v>
      </c>
      <c r="O476" s="725"/>
      <c r="P476" s="725">
        <f t="shared" si="81"/>
        <v>-0.68055555555555547</v>
      </c>
      <c r="Q476" s="622"/>
      <c r="R476" s="37"/>
      <c r="S476" s="37" t="str">
        <f t="shared" si="79"/>
        <v>ArmstrongF1</v>
      </c>
      <c r="T476" s="37" t="str">
        <f t="shared" si="82"/>
        <v>1984F1</v>
      </c>
      <c r="U476" s="429">
        <v>20</v>
      </c>
      <c r="V476" s="1029">
        <v>0.1</v>
      </c>
      <c r="W476" s="598">
        <v>1E-3</v>
      </c>
      <c r="X476" s="429"/>
      <c r="Y476" s="37" t="str">
        <f t="shared" si="83"/>
        <v>F120</v>
      </c>
      <c r="Z476" s="37" t="str">
        <f t="shared" si="84"/>
        <v>F10.1</v>
      </c>
      <c r="AA476" s="37" t="str">
        <f t="shared" si="86"/>
        <v>F10.001</v>
      </c>
      <c r="AB476" s="498" t="str">
        <f t="shared" si="80"/>
        <v>F116</v>
      </c>
      <c r="AC476" s="572"/>
      <c r="AD476" s="572"/>
      <c r="AE476" s="572"/>
      <c r="AF476" s="572"/>
    </row>
    <row r="477" spans="1:32">
      <c r="A477" s="947">
        <f t="shared" si="87"/>
        <v>470</v>
      </c>
      <c r="B477" s="948">
        <v>4</v>
      </c>
      <c r="C477" s="949">
        <v>30843</v>
      </c>
      <c r="D477" s="949" t="s">
        <v>178</v>
      </c>
      <c r="E477" s="904">
        <v>10</v>
      </c>
      <c r="F477" s="644">
        <v>1984</v>
      </c>
      <c r="G477" s="948" t="s">
        <v>146</v>
      </c>
      <c r="H477" s="645" t="s">
        <v>150</v>
      </c>
      <c r="I477" s="951">
        <v>20</v>
      </c>
      <c r="J477" s="951">
        <v>0.1</v>
      </c>
      <c r="K477" s="952">
        <f t="shared" si="85"/>
        <v>1.1363636363636365E-3</v>
      </c>
      <c r="L477" s="644">
        <f t="shared" si="77"/>
        <v>16</v>
      </c>
      <c r="M477" s="935">
        <v>0.70138888888888884</v>
      </c>
      <c r="N477" s="936">
        <f t="shared" si="78"/>
        <v>0.70138888888888884</v>
      </c>
      <c r="O477" s="725"/>
      <c r="P477" s="725">
        <f t="shared" si="81"/>
        <v>-0.70138888888888884</v>
      </c>
      <c r="Q477" s="622"/>
      <c r="R477" s="37"/>
      <c r="S477" s="37" t="str">
        <f t="shared" si="79"/>
        <v>ArmstrongF1</v>
      </c>
      <c r="T477" s="37" t="str">
        <f t="shared" si="82"/>
        <v>1984F1</v>
      </c>
      <c r="U477" s="429">
        <v>20</v>
      </c>
      <c r="V477" s="1029">
        <v>0.1</v>
      </c>
      <c r="W477" s="598">
        <v>1E-3</v>
      </c>
      <c r="X477" s="429"/>
      <c r="Y477" s="37" t="str">
        <f t="shared" si="83"/>
        <v>F120</v>
      </c>
      <c r="Z477" s="37" t="str">
        <f t="shared" si="84"/>
        <v>F10.1</v>
      </c>
      <c r="AA477" s="37" t="str">
        <f t="shared" si="86"/>
        <v>F10.001</v>
      </c>
      <c r="AB477" s="498" t="str">
        <f t="shared" si="80"/>
        <v>F116</v>
      </c>
      <c r="AC477" s="572"/>
      <c r="AD477" s="572"/>
      <c r="AE477" s="572"/>
      <c r="AF477" s="572"/>
    </row>
    <row r="478" spans="1:32">
      <c r="A478" s="947">
        <f t="shared" si="87"/>
        <v>471</v>
      </c>
      <c r="B478" s="948">
        <v>5</v>
      </c>
      <c r="C478" s="949">
        <v>30860</v>
      </c>
      <c r="D478" s="949" t="s">
        <v>178</v>
      </c>
      <c r="E478" s="904">
        <v>27</v>
      </c>
      <c r="F478" s="644">
        <v>1984</v>
      </c>
      <c r="G478" s="948" t="s">
        <v>143</v>
      </c>
      <c r="H478" s="645" t="s">
        <v>149</v>
      </c>
      <c r="I478" s="951">
        <v>10</v>
      </c>
      <c r="J478" s="951">
        <v>0.1</v>
      </c>
      <c r="K478" s="952">
        <f t="shared" si="85"/>
        <v>5.6818181818181826E-4</v>
      </c>
      <c r="L478" s="644">
        <f t="shared" ref="L478:L541" si="88">HOUR(N478)</f>
        <v>16</v>
      </c>
      <c r="M478" s="935">
        <v>0.66805555555555562</v>
      </c>
      <c r="N478" s="936">
        <f t="shared" si="78"/>
        <v>0.66805555555555562</v>
      </c>
      <c r="O478" s="725"/>
      <c r="P478" s="725">
        <f t="shared" si="81"/>
        <v>-0.66805555555555562</v>
      </c>
      <c r="Q478" s="622"/>
      <c r="R478" s="37"/>
      <c r="S478" s="37" t="str">
        <f t="shared" si="79"/>
        <v>WheelerF0</v>
      </c>
      <c r="T478" s="37" t="str">
        <f t="shared" si="82"/>
        <v>1984F0</v>
      </c>
      <c r="U478" s="429">
        <v>10</v>
      </c>
      <c r="V478" s="1029">
        <v>0.1</v>
      </c>
      <c r="W478" s="598">
        <v>1E-3</v>
      </c>
      <c r="X478" s="429"/>
      <c r="Y478" s="37" t="str">
        <f t="shared" si="83"/>
        <v>F010</v>
      </c>
      <c r="Z478" s="37" t="str">
        <f t="shared" si="84"/>
        <v>F00.1</v>
      </c>
      <c r="AA478" s="37" t="str">
        <f t="shared" si="86"/>
        <v>F00.001</v>
      </c>
      <c r="AB478" s="498" t="str">
        <f t="shared" si="80"/>
        <v>F016</v>
      </c>
      <c r="AC478" s="572"/>
      <c r="AD478" s="572"/>
      <c r="AE478" s="572"/>
      <c r="AF478" s="572"/>
    </row>
    <row r="479" spans="1:32">
      <c r="A479" s="947">
        <f t="shared" si="87"/>
        <v>472</v>
      </c>
      <c r="B479" s="948">
        <v>6</v>
      </c>
      <c r="C479" s="949">
        <v>30860</v>
      </c>
      <c r="D479" s="949" t="s">
        <v>178</v>
      </c>
      <c r="E479" s="904">
        <v>27</v>
      </c>
      <c r="F479" s="644">
        <v>1984</v>
      </c>
      <c r="G479" s="948" t="s">
        <v>148</v>
      </c>
      <c r="H479" s="645" t="s">
        <v>149</v>
      </c>
      <c r="I479" s="951">
        <v>10</v>
      </c>
      <c r="J479" s="951">
        <v>0.1</v>
      </c>
      <c r="K479" s="952">
        <f t="shared" si="85"/>
        <v>5.6818181818181826E-4</v>
      </c>
      <c r="L479" s="644">
        <f t="shared" si="88"/>
        <v>16</v>
      </c>
      <c r="M479" s="935">
        <v>0.6875</v>
      </c>
      <c r="N479" s="936">
        <f t="shared" si="78"/>
        <v>0.6875</v>
      </c>
      <c r="O479" s="725"/>
      <c r="P479" s="725">
        <f t="shared" si="81"/>
        <v>-0.6875</v>
      </c>
      <c r="Q479" s="622"/>
      <c r="R479" s="37"/>
      <c r="S479" s="37" t="str">
        <f t="shared" si="79"/>
        <v>CollingsworthF0</v>
      </c>
      <c r="T479" s="37" t="str">
        <f t="shared" si="82"/>
        <v>1984F0</v>
      </c>
      <c r="U479" s="429">
        <v>10</v>
      </c>
      <c r="V479" s="1029">
        <v>0.1</v>
      </c>
      <c r="W479" s="598">
        <v>1E-3</v>
      </c>
      <c r="X479" s="429"/>
      <c r="Y479" s="37" t="str">
        <f t="shared" si="83"/>
        <v>F010</v>
      </c>
      <c r="Z479" s="37" t="str">
        <f t="shared" si="84"/>
        <v>F00.1</v>
      </c>
      <c r="AA479" s="37" t="str">
        <f t="shared" si="86"/>
        <v>F00.001</v>
      </c>
      <c r="AB479" s="498" t="str">
        <f t="shared" si="80"/>
        <v>F016</v>
      </c>
      <c r="AC479" s="572"/>
      <c r="AD479" s="572"/>
      <c r="AE479" s="572"/>
      <c r="AF479" s="572"/>
    </row>
    <row r="480" spans="1:32">
      <c r="A480" s="947">
        <f t="shared" si="87"/>
        <v>473</v>
      </c>
      <c r="B480" s="948">
        <v>7</v>
      </c>
      <c r="C480" s="949">
        <v>30860</v>
      </c>
      <c r="D480" s="949" t="s">
        <v>178</v>
      </c>
      <c r="E480" s="904">
        <v>27</v>
      </c>
      <c r="F480" s="644">
        <v>1984</v>
      </c>
      <c r="G480" s="948" t="s">
        <v>148</v>
      </c>
      <c r="H480" s="645" t="s">
        <v>149</v>
      </c>
      <c r="I480" s="951">
        <v>10</v>
      </c>
      <c r="J480" s="951">
        <v>0.1</v>
      </c>
      <c r="K480" s="952">
        <f t="shared" si="85"/>
        <v>5.6818181818181826E-4</v>
      </c>
      <c r="L480" s="644">
        <f t="shared" si="88"/>
        <v>16</v>
      </c>
      <c r="M480" s="935">
        <v>0.6875</v>
      </c>
      <c r="N480" s="936">
        <f t="shared" si="78"/>
        <v>0.6875</v>
      </c>
      <c r="O480" s="725"/>
      <c r="P480" s="725">
        <f t="shared" si="81"/>
        <v>-0.6875</v>
      </c>
      <c r="Q480" s="622"/>
      <c r="R480" s="37"/>
      <c r="S480" s="37" t="str">
        <f t="shared" si="79"/>
        <v>CollingsworthF0</v>
      </c>
      <c r="T480" s="37" t="str">
        <f t="shared" si="82"/>
        <v>1984F0</v>
      </c>
      <c r="U480" s="429">
        <v>10</v>
      </c>
      <c r="V480" s="1029">
        <v>0.1</v>
      </c>
      <c r="W480" s="598">
        <v>1E-3</v>
      </c>
      <c r="X480" s="429"/>
      <c r="Y480" s="37" t="str">
        <f t="shared" si="83"/>
        <v>F010</v>
      </c>
      <c r="Z480" s="37" t="str">
        <f t="shared" si="84"/>
        <v>F00.1</v>
      </c>
      <c r="AA480" s="37" t="str">
        <f t="shared" si="86"/>
        <v>F00.001</v>
      </c>
      <c r="AB480" s="498" t="str">
        <f t="shared" si="80"/>
        <v>F016</v>
      </c>
      <c r="AC480" s="572"/>
      <c r="AD480" s="572"/>
      <c r="AE480" s="572"/>
      <c r="AF480" s="572"/>
    </row>
    <row r="481" spans="1:32">
      <c r="A481" s="947">
        <f t="shared" si="87"/>
        <v>474</v>
      </c>
      <c r="B481" s="948">
        <v>8</v>
      </c>
      <c r="C481" s="949">
        <v>30902</v>
      </c>
      <c r="D481" s="949" t="s">
        <v>180</v>
      </c>
      <c r="E481" s="904">
        <v>8</v>
      </c>
      <c r="F481" s="644">
        <v>1984</v>
      </c>
      <c r="G481" s="948" t="s">
        <v>145</v>
      </c>
      <c r="H481" s="645" t="s">
        <v>149</v>
      </c>
      <c r="I481" s="951">
        <v>10</v>
      </c>
      <c r="J481" s="951">
        <v>0.1</v>
      </c>
      <c r="K481" s="952">
        <f t="shared" si="85"/>
        <v>5.6818181818181826E-4</v>
      </c>
      <c r="L481" s="644">
        <f t="shared" si="88"/>
        <v>23</v>
      </c>
      <c r="M481" s="935">
        <v>0.97013888888888899</v>
      </c>
      <c r="N481" s="936">
        <f t="shared" si="78"/>
        <v>0.97013888888888899</v>
      </c>
      <c r="O481" s="725"/>
      <c r="P481" s="725">
        <f t="shared" si="81"/>
        <v>-0.97013888888888899</v>
      </c>
      <c r="Q481" s="622"/>
      <c r="R481" s="37"/>
      <c r="S481" s="37" t="str">
        <f t="shared" si="79"/>
        <v>RandallF0</v>
      </c>
      <c r="T481" s="37" t="str">
        <f t="shared" si="82"/>
        <v>1984F0</v>
      </c>
      <c r="U481" s="429">
        <v>10</v>
      </c>
      <c r="V481" s="1029">
        <v>0.1</v>
      </c>
      <c r="W481" s="598">
        <v>1E-3</v>
      </c>
      <c r="X481" s="429"/>
      <c r="Y481" s="37" t="str">
        <f t="shared" si="83"/>
        <v>F010</v>
      </c>
      <c r="Z481" s="37" t="str">
        <f t="shared" si="84"/>
        <v>F00.1</v>
      </c>
      <c r="AA481" s="37" t="str">
        <f t="shared" si="86"/>
        <v>F00.001</v>
      </c>
      <c r="AB481" s="498" t="str">
        <f t="shared" si="80"/>
        <v>F023</v>
      </c>
      <c r="AC481" s="572"/>
      <c r="AD481" s="572"/>
      <c r="AE481" s="572"/>
      <c r="AF481" s="572"/>
    </row>
    <row r="482" spans="1:32">
      <c r="A482" s="947">
        <f t="shared" si="87"/>
        <v>475</v>
      </c>
      <c r="B482" s="948">
        <v>1</v>
      </c>
      <c r="C482" s="949">
        <v>31163</v>
      </c>
      <c r="D482" s="949" t="s">
        <v>176</v>
      </c>
      <c r="E482" s="904">
        <v>26</v>
      </c>
      <c r="F482" s="644">
        <v>1985</v>
      </c>
      <c r="G482" s="948" t="s">
        <v>142</v>
      </c>
      <c r="H482" s="645" t="s">
        <v>149</v>
      </c>
      <c r="I482" s="951">
        <v>30</v>
      </c>
      <c r="J482" s="951">
        <v>0.1</v>
      </c>
      <c r="K482" s="952">
        <f t="shared" si="85"/>
        <v>1.7045454545454545E-3</v>
      </c>
      <c r="L482" s="644">
        <f t="shared" si="88"/>
        <v>15</v>
      </c>
      <c r="M482" s="935">
        <v>0.63194444444444442</v>
      </c>
      <c r="N482" s="936">
        <f t="shared" si="78"/>
        <v>0.63194444444444442</v>
      </c>
      <c r="O482" s="725"/>
      <c r="P482" s="725">
        <f t="shared" si="81"/>
        <v>-0.63194444444444442</v>
      </c>
      <c r="Q482" s="622"/>
      <c r="R482" s="37"/>
      <c r="S482" s="37" t="str">
        <f t="shared" si="79"/>
        <v>GrayF0</v>
      </c>
      <c r="T482" s="37" t="str">
        <f t="shared" si="82"/>
        <v>1985F0</v>
      </c>
      <c r="U482" s="429">
        <v>20</v>
      </c>
      <c r="V482" s="1029">
        <v>0.1</v>
      </c>
      <c r="W482" s="598">
        <v>2E-3</v>
      </c>
      <c r="X482" s="429"/>
      <c r="Y482" s="37" t="str">
        <f t="shared" si="83"/>
        <v>F020</v>
      </c>
      <c r="Z482" s="37" t="str">
        <f t="shared" si="84"/>
        <v>F00.1</v>
      </c>
      <c r="AA482" s="37" t="str">
        <f t="shared" si="86"/>
        <v>F00.002</v>
      </c>
      <c r="AB482" s="498" t="str">
        <f t="shared" si="80"/>
        <v>F015</v>
      </c>
      <c r="AC482" s="572"/>
      <c r="AD482" s="572"/>
      <c r="AE482" s="572"/>
      <c r="AF482" s="572"/>
    </row>
    <row r="483" spans="1:32">
      <c r="A483" s="947">
        <f t="shared" si="87"/>
        <v>476</v>
      </c>
      <c r="B483" s="948">
        <v>2</v>
      </c>
      <c r="C483" s="949">
        <v>31192</v>
      </c>
      <c r="D483" s="949" t="s">
        <v>177</v>
      </c>
      <c r="E483" s="904">
        <v>25</v>
      </c>
      <c r="F483" s="644">
        <v>1985</v>
      </c>
      <c r="G483" s="948" t="s">
        <v>136</v>
      </c>
      <c r="H483" s="645" t="s">
        <v>149</v>
      </c>
      <c r="I483" s="951">
        <v>50</v>
      </c>
      <c r="J483" s="951">
        <v>0.1</v>
      </c>
      <c r="K483" s="952">
        <f t="shared" si="85"/>
        <v>2.840909090909091E-3</v>
      </c>
      <c r="L483" s="644">
        <f t="shared" si="88"/>
        <v>23</v>
      </c>
      <c r="M483" s="935">
        <v>0.99652777777777779</v>
      </c>
      <c r="N483" s="936">
        <f t="shared" si="78"/>
        <v>0.99652777777777779</v>
      </c>
      <c r="O483" s="725"/>
      <c r="P483" s="725">
        <f t="shared" si="81"/>
        <v>-0.99652777777777779</v>
      </c>
      <c r="Q483" s="622"/>
      <c r="R483" s="37"/>
      <c r="S483" s="37" t="str">
        <f t="shared" si="79"/>
        <v>HutchinsonF0</v>
      </c>
      <c r="T483" s="37" t="str">
        <f t="shared" si="82"/>
        <v>1985F0</v>
      </c>
      <c r="U483" s="429">
        <v>50</v>
      </c>
      <c r="V483" s="1029">
        <v>0.1</v>
      </c>
      <c r="W483" s="598">
        <v>2E-3</v>
      </c>
      <c r="X483" s="429"/>
      <c r="Y483" s="37" t="str">
        <f t="shared" si="83"/>
        <v>F050</v>
      </c>
      <c r="Z483" s="37" t="str">
        <f t="shared" si="84"/>
        <v>F00.1</v>
      </c>
      <c r="AA483" s="37" t="str">
        <f t="shared" si="86"/>
        <v>F00.002</v>
      </c>
      <c r="AB483" s="498" t="str">
        <f t="shared" si="80"/>
        <v>F023</v>
      </c>
      <c r="AC483" s="572"/>
      <c r="AD483" s="572"/>
      <c r="AE483" s="572"/>
      <c r="AF483" s="572"/>
    </row>
    <row r="484" spans="1:32">
      <c r="A484" s="947">
        <f t="shared" si="87"/>
        <v>477</v>
      </c>
      <c r="B484" s="948">
        <v>3</v>
      </c>
      <c r="C484" s="949">
        <v>31308</v>
      </c>
      <c r="D484" s="949" t="s">
        <v>181</v>
      </c>
      <c r="E484" s="904">
        <v>18</v>
      </c>
      <c r="F484" s="644">
        <v>1985</v>
      </c>
      <c r="G484" s="948" t="s">
        <v>132</v>
      </c>
      <c r="H484" s="645" t="s">
        <v>149</v>
      </c>
      <c r="I484" s="951">
        <v>10</v>
      </c>
      <c r="J484" s="951">
        <v>0.1</v>
      </c>
      <c r="K484" s="952">
        <f t="shared" si="85"/>
        <v>5.6818181818181826E-4</v>
      </c>
      <c r="L484" s="644">
        <f t="shared" si="88"/>
        <v>19</v>
      </c>
      <c r="M484" s="935">
        <v>0.8125</v>
      </c>
      <c r="N484" s="936">
        <f t="shared" si="78"/>
        <v>0.8125</v>
      </c>
      <c r="O484" s="725"/>
      <c r="P484" s="725">
        <f t="shared" si="81"/>
        <v>-0.8125</v>
      </c>
      <c r="Q484" s="622"/>
      <c r="R484" s="37"/>
      <c r="S484" s="37" t="str">
        <f t="shared" si="79"/>
        <v>OchiltreeF0</v>
      </c>
      <c r="T484" s="37" t="str">
        <f t="shared" si="82"/>
        <v>1985F0</v>
      </c>
      <c r="U484" s="429">
        <v>10</v>
      </c>
      <c r="V484" s="1029">
        <v>0.1</v>
      </c>
      <c r="W484" s="598">
        <v>1E-3</v>
      </c>
      <c r="X484" s="429"/>
      <c r="Y484" s="37" t="str">
        <f t="shared" si="83"/>
        <v>F010</v>
      </c>
      <c r="Z484" s="37" t="str">
        <f t="shared" si="84"/>
        <v>F00.1</v>
      </c>
      <c r="AA484" s="37" t="str">
        <f t="shared" si="86"/>
        <v>F00.001</v>
      </c>
      <c r="AB484" s="498" t="str">
        <f t="shared" si="80"/>
        <v>F019</v>
      </c>
      <c r="AC484" s="572"/>
      <c r="AD484" s="572"/>
      <c r="AE484" s="572"/>
      <c r="AF484" s="572"/>
    </row>
    <row r="485" spans="1:32">
      <c r="A485" s="947">
        <f t="shared" si="87"/>
        <v>478</v>
      </c>
      <c r="B485" s="948">
        <v>1</v>
      </c>
      <c r="C485" s="949">
        <v>31539</v>
      </c>
      <c r="D485" s="949" t="s">
        <v>177</v>
      </c>
      <c r="E485" s="904">
        <v>7</v>
      </c>
      <c r="F485" s="644">
        <v>1986</v>
      </c>
      <c r="G485" s="948" t="s">
        <v>138</v>
      </c>
      <c r="H485" s="645" t="s">
        <v>149</v>
      </c>
      <c r="I485" s="951">
        <v>100</v>
      </c>
      <c r="J485" s="951">
        <v>1</v>
      </c>
      <c r="K485" s="952">
        <f t="shared" si="85"/>
        <v>5.6818181818181816E-2</v>
      </c>
      <c r="L485" s="644">
        <f t="shared" si="88"/>
        <v>16</v>
      </c>
      <c r="M485" s="935">
        <v>0.67500000000000004</v>
      </c>
      <c r="N485" s="936">
        <f t="shared" si="78"/>
        <v>0.67500000000000004</v>
      </c>
      <c r="O485" s="725"/>
      <c r="P485" s="725">
        <f t="shared" si="81"/>
        <v>-0.67500000000000004</v>
      </c>
      <c r="Q485" s="622"/>
      <c r="R485" s="37"/>
      <c r="S485" s="37" t="str">
        <f t="shared" si="79"/>
        <v>HemphillF0</v>
      </c>
      <c r="T485" s="37" t="str">
        <f t="shared" si="82"/>
        <v>1986F0</v>
      </c>
      <c r="U485" s="429">
        <v>100</v>
      </c>
      <c r="V485" s="1029">
        <v>1</v>
      </c>
      <c r="W485" s="598">
        <v>0.05</v>
      </c>
      <c r="X485" s="429"/>
      <c r="Y485" s="37" t="str">
        <f t="shared" si="83"/>
        <v>F0100</v>
      </c>
      <c r="Z485" s="37" t="str">
        <f t="shared" si="84"/>
        <v>F01</v>
      </c>
      <c r="AA485" s="37" t="str">
        <f t="shared" si="86"/>
        <v>F00.05</v>
      </c>
      <c r="AB485" s="498" t="str">
        <f t="shared" si="80"/>
        <v>F016</v>
      </c>
      <c r="AC485" s="572"/>
      <c r="AD485" s="572"/>
      <c r="AE485" s="572"/>
      <c r="AF485" s="572"/>
    </row>
    <row r="486" spans="1:32">
      <c r="A486" s="947">
        <f t="shared" si="87"/>
        <v>479</v>
      </c>
      <c r="B486" s="948">
        <v>2</v>
      </c>
      <c r="C486" s="949">
        <v>31539</v>
      </c>
      <c r="D486" s="949" t="s">
        <v>177</v>
      </c>
      <c r="E486" s="904">
        <v>7</v>
      </c>
      <c r="F486" s="644">
        <v>1986</v>
      </c>
      <c r="G486" s="948" t="s">
        <v>138</v>
      </c>
      <c r="H486" s="645" t="s">
        <v>151</v>
      </c>
      <c r="I486" s="951">
        <v>100</v>
      </c>
      <c r="J486" s="951">
        <v>8</v>
      </c>
      <c r="K486" s="952">
        <f t="shared" si="85"/>
        <v>0.45454545454545453</v>
      </c>
      <c r="L486" s="644">
        <f t="shared" si="88"/>
        <v>16</v>
      </c>
      <c r="M486" s="935">
        <v>0.6791666666666667</v>
      </c>
      <c r="N486" s="936">
        <f t="shared" si="78"/>
        <v>0.6791666666666667</v>
      </c>
      <c r="O486" s="725"/>
      <c r="P486" s="725">
        <f t="shared" si="81"/>
        <v>-0.6791666666666667</v>
      </c>
      <c r="Q486" s="622"/>
      <c r="R486" s="36"/>
      <c r="S486" s="37" t="str">
        <f t="shared" si="79"/>
        <v>HemphillF2</v>
      </c>
      <c r="T486" s="37" t="str">
        <f t="shared" si="82"/>
        <v>1986F2</v>
      </c>
      <c r="U486" s="429">
        <v>100</v>
      </c>
      <c r="V486" s="1029">
        <v>5</v>
      </c>
      <c r="W486" s="598">
        <v>0.2</v>
      </c>
      <c r="X486" s="429"/>
      <c r="Y486" s="37" t="str">
        <f t="shared" si="83"/>
        <v>F2100</v>
      </c>
      <c r="Z486" s="37" t="str">
        <f t="shared" si="84"/>
        <v>F25</v>
      </c>
      <c r="AA486" s="37" t="str">
        <f t="shared" si="86"/>
        <v>F20.2</v>
      </c>
      <c r="AB486" s="498" t="str">
        <f t="shared" si="80"/>
        <v>F216</v>
      </c>
      <c r="AC486" s="572"/>
      <c r="AD486" s="572"/>
      <c r="AE486" s="572"/>
      <c r="AF486" s="572"/>
    </row>
    <row r="487" spans="1:32">
      <c r="A487" s="947">
        <f t="shared" si="87"/>
        <v>480</v>
      </c>
      <c r="B487" s="948">
        <v>3</v>
      </c>
      <c r="C487" s="949">
        <v>31539</v>
      </c>
      <c r="D487" s="949" t="s">
        <v>177</v>
      </c>
      <c r="E487" s="904">
        <v>7</v>
      </c>
      <c r="F487" s="644">
        <v>1986</v>
      </c>
      <c r="G487" s="948" t="s">
        <v>138</v>
      </c>
      <c r="H487" s="645" t="s">
        <v>152</v>
      </c>
      <c r="I487" s="951">
        <v>300</v>
      </c>
      <c r="J487" s="951">
        <v>7</v>
      </c>
      <c r="K487" s="952">
        <f t="shared" si="85"/>
        <v>1.1931818181818181</v>
      </c>
      <c r="L487" s="644">
        <f t="shared" si="88"/>
        <v>16</v>
      </c>
      <c r="M487" s="935">
        <v>0.69097222222222221</v>
      </c>
      <c r="N487" s="936">
        <f t="shared" si="78"/>
        <v>0.69097222222222221</v>
      </c>
      <c r="O487" s="725"/>
      <c r="P487" s="725">
        <f t="shared" si="81"/>
        <v>-0.69097222222222221</v>
      </c>
      <c r="Q487" s="622"/>
      <c r="R487" s="36"/>
      <c r="S487" s="37" t="str">
        <f t="shared" si="79"/>
        <v>HemphillF3</v>
      </c>
      <c r="T487" s="37" t="str">
        <f t="shared" si="82"/>
        <v>1986F3</v>
      </c>
      <c r="U487" s="429">
        <v>200</v>
      </c>
      <c r="V487" s="1029">
        <v>5</v>
      </c>
      <c r="W487" s="598">
        <v>1</v>
      </c>
      <c r="X487" s="429"/>
      <c r="Y487" s="37" t="str">
        <f t="shared" si="83"/>
        <v>F3200</v>
      </c>
      <c r="Z487" s="37" t="str">
        <f t="shared" si="84"/>
        <v>F35</v>
      </c>
      <c r="AA487" s="37" t="str">
        <f t="shared" si="86"/>
        <v>F31</v>
      </c>
      <c r="AB487" s="498" t="str">
        <f t="shared" si="80"/>
        <v>F316</v>
      </c>
      <c r="AC487" s="572"/>
      <c r="AD487" s="572"/>
      <c r="AE487" s="572"/>
      <c r="AF487" s="572"/>
    </row>
    <row r="488" spans="1:32">
      <c r="A488" s="947">
        <f t="shared" si="87"/>
        <v>481</v>
      </c>
      <c r="B488" s="948">
        <v>4</v>
      </c>
      <c r="C488" s="949">
        <v>31539</v>
      </c>
      <c r="D488" s="949" t="s">
        <v>177</v>
      </c>
      <c r="E488" s="904">
        <v>7</v>
      </c>
      <c r="F488" s="644">
        <v>1986</v>
      </c>
      <c r="G488" s="948" t="s">
        <v>138</v>
      </c>
      <c r="H488" s="645" t="s">
        <v>149</v>
      </c>
      <c r="I488" s="951">
        <v>50</v>
      </c>
      <c r="J488" s="951">
        <v>0.2</v>
      </c>
      <c r="K488" s="952">
        <f t="shared" si="85"/>
        <v>5.681818181818182E-3</v>
      </c>
      <c r="L488" s="644">
        <f t="shared" si="88"/>
        <v>16</v>
      </c>
      <c r="M488" s="935">
        <v>0.70625000000000004</v>
      </c>
      <c r="N488" s="936">
        <f t="shared" si="78"/>
        <v>0.70625000000000004</v>
      </c>
      <c r="O488" s="725"/>
      <c r="P488" s="725">
        <f t="shared" si="81"/>
        <v>-0.70625000000000004</v>
      </c>
      <c r="Q488" s="622"/>
      <c r="R488" s="36"/>
      <c r="S488" s="37" t="str">
        <f t="shared" si="79"/>
        <v>HemphillF0</v>
      </c>
      <c r="T488" s="37" t="str">
        <f t="shared" si="82"/>
        <v>1986F0</v>
      </c>
      <c r="U488" s="429">
        <v>50</v>
      </c>
      <c r="V488" s="1029">
        <v>0.2</v>
      </c>
      <c r="W488" s="598">
        <v>5.0000000000000001E-3</v>
      </c>
      <c r="X488" s="429"/>
      <c r="Y488" s="37" t="str">
        <f t="shared" si="83"/>
        <v>F050</v>
      </c>
      <c r="Z488" s="37" t="str">
        <f t="shared" si="84"/>
        <v>F00.2</v>
      </c>
      <c r="AA488" s="37" t="str">
        <f t="shared" si="86"/>
        <v>F00.005</v>
      </c>
      <c r="AB488" s="498" t="str">
        <f t="shared" si="80"/>
        <v>F016</v>
      </c>
      <c r="AC488" s="572"/>
      <c r="AD488" s="572"/>
      <c r="AE488" s="572"/>
      <c r="AF488" s="572"/>
    </row>
    <row r="489" spans="1:32">
      <c r="A489" s="947">
        <f t="shared" si="87"/>
        <v>482</v>
      </c>
      <c r="B489" s="948">
        <v>5</v>
      </c>
      <c r="C489" s="949">
        <v>31539</v>
      </c>
      <c r="D489" s="949" t="s">
        <v>177</v>
      </c>
      <c r="E489" s="904">
        <v>7</v>
      </c>
      <c r="F489" s="644">
        <v>1986</v>
      </c>
      <c r="G489" s="948" t="s">
        <v>138</v>
      </c>
      <c r="H489" s="645" t="s">
        <v>149</v>
      </c>
      <c r="I489" s="951">
        <v>50</v>
      </c>
      <c r="J489" s="951">
        <v>0.2</v>
      </c>
      <c r="K489" s="952">
        <f t="shared" si="85"/>
        <v>5.681818181818182E-3</v>
      </c>
      <c r="L489" s="644">
        <f t="shared" si="88"/>
        <v>18</v>
      </c>
      <c r="M489" s="935">
        <v>0.75555555555555554</v>
      </c>
      <c r="N489" s="936">
        <f t="shared" si="78"/>
        <v>0.75555555555555554</v>
      </c>
      <c r="O489" s="725"/>
      <c r="P489" s="725">
        <f t="shared" si="81"/>
        <v>-0.75555555555555554</v>
      </c>
      <c r="Q489" s="622"/>
      <c r="R489" s="37"/>
      <c r="S489" s="37" t="str">
        <f t="shared" si="79"/>
        <v>HemphillF0</v>
      </c>
      <c r="T489" s="37" t="str">
        <f t="shared" si="82"/>
        <v>1986F0</v>
      </c>
      <c r="U489" s="429">
        <v>50</v>
      </c>
      <c r="V489" s="1029">
        <v>0.2</v>
      </c>
      <c r="W489" s="598">
        <v>5.0000000000000001E-3</v>
      </c>
      <c r="X489" s="429"/>
      <c r="Y489" s="37" t="str">
        <f t="shared" si="83"/>
        <v>F050</v>
      </c>
      <c r="Z489" s="37" t="str">
        <f t="shared" si="84"/>
        <v>F00.2</v>
      </c>
      <c r="AA489" s="37" t="str">
        <f t="shared" si="86"/>
        <v>F00.005</v>
      </c>
      <c r="AB489" s="498" t="str">
        <f t="shared" si="80"/>
        <v>F018</v>
      </c>
      <c r="AC489" s="572"/>
      <c r="AD489" s="572"/>
      <c r="AE489" s="572"/>
      <c r="AF489" s="572"/>
    </row>
    <row r="490" spans="1:32">
      <c r="A490" s="947">
        <f t="shared" si="87"/>
        <v>483</v>
      </c>
      <c r="B490" s="948">
        <v>6</v>
      </c>
      <c r="C490" s="949">
        <v>31539</v>
      </c>
      <c r="D490" s="949" t="s">
        <v>177</v>
      </c>
      <c r="E490" s="904">
        <v>7</v>
      </c>
      <c r="F490" s="644">
        <v>1986</v>
      </c>
      <c r="G490" s="948" t="s">
        <v>133</v>
      </c>
      <c r="H490" s="645" t="s">
        <v>149</v>
      </c>
      <c r="I490" s="951">
        <v>10</v>
      </c>
      <c r="J490" s="951">
        <v>0.2</v>
      </c>
      <c r="K490" s="952">
        <f t="shared" si="85"/>
        <v>1.1363636363636365E-3</v>
      </c>
      <c r="L490" s="644">
        <f t="shared" si="88"/>
        <v>18</v>
      </c>
      <c r="M490" s="935">
        <v>0.78472222222222221</v>
      </c>
      <c r="N490" s="936">
        <f t="shared" si="78"/>
        <v>0.78472222222222221</v>
      </c>
      <c r="O490" s="725"/>
      <c r="P490" s="725">
        <f t="shared" si="81"/>
        <v>-0.78472222222222221</v>
      </c>
      <c r="Q490" s="622"/>
      <c r="R490" s="37"/>
      <c r="S490" s="37" t="str">
        <f t="shared" si="79"/>
        <v>LipscombF0</v>
      </c>
      <c r="T490" s="37" t="str">
        <f t="shared" si="82"/>
        <v>1986F0</v>
      </c>
      <c r="U490" s="429">
        <v>10</v>
      </c>
      <c r="V490" s="1029">
        <v>0.2</v>
      </c>
      <c r="W490" s="598">
        <v>1E-3</v>
      </c>
      <c r="X490" s="429"/>
      <c r="Y490" s="37" t="str">
        <f t="shared" si="83"/>
        <v>F010</v>
      </c>
      <c r="Z490" s="37" t="str">
        <f t="shared" si="84"/>
        <v>F00.2</v>
      </c>
      <c r="AA490" s="37" t="str">
        <f t="shared" si="86"/>
        <v>F00.001</v>
      </c>
      <c r="AB490" s="498" t="str">
        <f t="shared" si="80"/>
        <v>F018</v>
      </c>
      <c r="AC490" s="572"/>
      <c r="AD490" s="572"/>
      <c r="AE490" s="572"/>
      <c r="AF490" s="572"/>
    </row>
    <row r="491" spans="1:32">
      <c r="A491" s="947">
        <f t="shared" si="87"/>
        <v>484</v>
      </c>
      <c r="B491" s="948">
        <v>7</v>
      </c>
      <c r="C491" s="949">
        <v>31546</v>
      </c>
      <c r="D491" s="949" t="s">
        <v>177</v>
      </c>
      <c r="E491" s="904">
        <v>14</v>
      </c>
      <c r="F491" s="644">
        <v>1986</v>
      </c>
      <c r="G491" s="948" t="s">
        <v>129</v>
      </c>
      <c r="H491" s="645" t="s">
        <v>149</v>
      </c>
      <c r="I491" s="951">
        <v>10</v>
      </c>
      <c r="J491" s="951">
        <v>0.2</v>
      </c>
      <c r="K491" s="952">
        <f t="shared" si="85"/>
        <v>1.1363636363636365E-3</v>
      </c>
      <c r="L491" s="644">
        <f t="shared" si="88"/>
        <v>13</v>
      </c>
      <c r="M491" s="935">
        <v>0.5625</v>
      </c>
      <c r="N491" s="936">
        <f t="shared" si="78"/>
        <v>0.5625</v>
      </c>
      <c r="O491" s="725"/>
      <c r="P491" s="725">
        <f t="shared" si="81"/>
        <v>-0.5625</v>
      </c>
      <c r="Q491" s="622"/>
      <c r="R491" s="37"/>
      <c r="S491" s="37" t="str">
        <f t="shared" si="79"/>
        <v>DallamF0</v>
      </c>
      <c r="T491" s="37" t="str">
        <f t="shared" si="82"/>
        <v>1986F0</v>
      </c>
      <c r="U491" s="429">
        <v>10</v>
      </c>
      <c r="V491" s="1029">
        <v>0.2</v>
      </c>
      <c r="W491" s="598">
        <v>1E-3</v>
      </c>
      <c r="X491" s="429"/>
      <c r="Y491" s="37" t="str">
        <f t="shared" si="83"/>
        <v>F010</v>
      </c>
      <c r="Z491" s="37" t="str">
        <f t="shared" si="84"/>
        <v>F00.2</v>
      </c>
      <c r="AA491" s="37" t="str">
        <f t="shared" si="86"/>
        <v>F00.001</v>
      </c>
      <c r="AB491" s="498" t="str">
        <f t="shared" si="80"/>
        <v>F013</v>
      </c>
      <c r="AC491" s="572"/>
      <c r="AD491" s="572"/>
      <c r="AE491" s="572"/>
      <c r="AF491" s="572"/>
    </row>
    <row r="492" spans="1:32">
      <c r="A492" s="947">
        <f t="shared" si="87"/>
        <v>485</v>
      </c>
      <c r="B492" s="948">
        <v>8</v>
      </c>
      <c r="C492" s="949">
        <v>31546</v>
      </c>
      <c r="D492" s="949" t="s">
        <v>177</v>
      </c>
      <c r="E492" s="904">
        <v>14</v>
      </c>
      <c r="F492" s="644">
        <v>1986</v>
      </c>
      <c r="G492" s="948" t="s">
        <v>145</v>
      </c>
      <c r="H492" s="645" t="s">
        <v>149</v>
      </c>
      <c r="I492" s="951">
        <v>50</v>
      </c>
      <c r="J492" s="951">
        <v>3</v>
      </c>
      <c r="K492" s="952">
        <f t="shared" si="85"/>
        <v>8.5227272727272721E-2</v>
      </c>
      <c r="L492" s="644">
        <f t="shared" si="88"/>
        <v>13</v>
      </c>
      <c r="M492" s="935">
        <v>0.5625</v>
      </c>
      <c r="N492" s="936">
        <f t="shared" si="78"/>
        <v>0.5625</v>
      </c>
      <c r="O492" s="725"/>
      <c r="P492" s="725">
        <f t="shared" si="81"/>
        <v>-0.5625</v>
      </c>
      <c r="Q492" s="622"/>
      <c r="R492" s="37"/>
      <c r="S492" s="37" t="str">
        <f t="shared" si="79"/>
        <v>RandallF0</v>
      </c>
      <c r="T492" s="37" t="str">
        <f t="shared" si="82"/>
        <v>1986F0</v>
      </c>
      <c r="U492" s="429">
        <v>50</v>
      </c>
      <c r="V492" s="1029">
        <v>2</v>
      </c>
      <c r="W492" s="598">
        <v>0.05</v>
      </c>
      <c r="X492" s="429"/>
      <c r="Y492" s="37" t="str">
        <f t="shared" si="83"/>
        <v>F050</v>
      </c>
      <c r="Z492" s="37" t="str">
        <f t="shared" si="84"/>
        <v>F02</v>
      </c>
      <c r="AA492" s="37" t="str">
        <f t="shared" si="86"/>
        <v>F00.05</v>
      </c>
      <c r="AB492" s="498" t="str">
        <f t="shared" si="80"/>
        <v>F013</v>
      </c>
      <c r="AC492" s="572"/>
      <c r="AD492" s="572"/>
      <c r="AE492" s="572"/>
      <c r="AF492" s="572"/>
    </row>
    <row r="493" spans="1:32">
      <c r="A493" s="947">
        <f t="shared" si="87"/>
        <v>486</v>
      </c>
      <c r="B493" s="948">
        <v>9</v>
      </c>
      <c r="C493" s="949">
        <v>31546</v>
      </c>
      <c r="D493" s="949" t="s">
        <v>177</v>
      </c>
      <c r="E493" s="904">
        <v>14</v>
      </c>
      <c r="F493" s="644">
        <v>1986</v>
      </c>
      <c r="G493" s="948" t="s">
        <v>146</v>
      </c>
      <c r="H493" s="645" t="s">
        <v>149</v>
      </c>
      <c r="I493" s="951">
        <v>30</v>
      </c>
      <c r="J493" s="951">
        <v>0.2</v>
      </c>
      <c r="K493" s="952">
        <f t="shared" si="85"/>
        <v>3.4090909090909089E-3</v>
      </c>
      <c r="L493" s="644">
        <f t="shared" si="88"/>
        <v>14</v>
      </c>
      <c r="M493" s="935">
        <v>0.58888888888888891</v>
      </c>
      <c r="N493" s="936">
        <f t="shared" si="78"/>
        <v>0.58888888888888891</v>
      </c>
      <c r="O493" s="725"/>
      <c r="P493" s="725">
        <f t="shared" si="81"/>
        <v>-0.58888888888888891</v>
      </c>
      <c r="Q493" s="622"/>
      <c r="R493" s="37"/>
      <c r="S493" s="37" t="str">
        <f t="shared" si="79"/>
        <v>ArmstrongF0</v>
      </c>
      <c r="T493" s="37" t="str">
        <f t="shared" si="82"/>
        <v>1986F0</v>
      </c>
      <c r="U493" s="429">
        <v>20</v>
      </c>
      <c r="V493" s="1029">
        <v>0.2</v>
      </c>
      <c r="W493" s="598">
        <v>2E-3</v>
      </c>
      <c r="X493" s="429"/>
      <c r="Y493" s="37" t="str">
        <f t="shared" si="83"/>
        <v>F020</v>
      </c>
      <c r="Z493" s="37" t="str">
        <f t="shared" si="84"/>
        <v>F00.2</v>
      </c>
      <c r="AA493" s="37" t="str">
        <f t="shared" si="86"/>
        <v>F00.002</v>
      </c>
      <c r="AB493" s="498" t="str">
        <f t="shared" si="80"/>
        <v>F014</v>
      </c>
      <c r="AC493" s="572"/>
      <c r="AD493" s="572"/>
      <c r="AE493" s="572"/>
      <c r="AF493" s="572"/>
    </row>
    <row r="494" spans="1:32">
      <c r="A494" s="947">
        <f t="shared" si="87"/>
        <v>487</v>
      </c>
      <c r="B494" s="948">
        <v>10</v>
      </c>
      <c r="C494" s="949">
        <v>31548</v>
      </c>
      <c r="D494" s="949" t="s">
        <v>177</v>
      </c>
      <c r="E494" s="904">
        <v>16</v>
      </c>
      <c r="F494" s="644">
        <v>1986</v>
      </c>
      <c r="G494" s="948" t="s">
        <v>147</v>
      </c>
      <c r="H494" s="645" t="s">
        <v>149</v>
      </c>
      <c r="I494" s="951">
        <v>30</v>
      </c>
      <c r="J494" s="951">
        <v>0.2</v>
      </c>
      <c r="K494" s="952">
        <f t="shared" si="85"/>
        <v>3.4090909090909089E-3</v>
      </c>
      <c r="L494" s="644">
        <f t="shared" si="88"/>
        <v>17</v>
      </c>
      <c r="M494" s="935">
        <v>0.73124999999999996</v>
      </c>
      <c r="N494" s="936">
        <f t="shared" si="78"/>
        <v>0.73124999999999996</v>
      </c>
      <c r="O494" s="725"/>
      <c r="P494" s="725">
        <f t="shared" si="81"/>
        <v>-0.73124999999999996</v>
      </c>
      <c r="Q494" s="622"/>
      <c r="R494" s="37"/>
      <c r="S494" s="37" t="str">
        <f t="shared" si="79"/>
        <v>DonleyF0</v>
      </c>
      <c r="T494" s="37" t="str">
        <f t="shared" si="82"/>
        <v>1986F0</v>
      </c>
      <c r="U494" s="429">
        <v>20</v>
      </c>
      <c r="V494" s="1029">
        <v>0.2</v>
      </c>
      <c r="W494" s="598">
        <v>2E-3</v>
      </c>
      <c r="X494" s="429"/>
      <c r="Y494" s="37" t="str">
        <f t="shared" si="83"/>
        <v>F020</v>
      </c>
      <c r="Z494" s="37" t="str">
        <f t="shared" si="84"/>
        <v>F00.2</v>
      </c>
      <c r="AA494" s="37" t="str">
        <f t="shared" si="86"/>
        <v>F00.002</v>
      </c>
      <c r="AB494" s="498" t="str">
        <f t="shared" si="80"/>
        <v>F017</v>
      </c>
      <c r="AC494" s="572"/>
      <c r="AD494" s="572"/>
      <c r="AE494" s="572"/>
      <c r="AF494" s="572"/>
    </row>
    <row r="495" spans="1:32">
      <c r="A495" s="947">
        <f t="shared" si="87"/>
        <v>488</v>
      </c>
      <c r="B495" s="948">
        <v>11</v>
      </c>
      <c r="C495" s="949">
        <v>31571</v>
      </c>
      <c r="D495" s="949" t="s">
        <v>178</v>
      </c>
      <c r="E495" s="904">
        <v>8</v>
      </c>
      <c r="F495" s="644">
        <v>1986</v>
      </c>
      <c r="G495" s="948" t="s">
        <v>147</v>
      </c>
      <c r="H495" s="645" t="s">
        <v>149</v>
      </c>
      <c r="I495" s="951">
        <v>40</v>
      </c>
      <c r="J495" s="951">
        <v>0.2</v>
      </c>
      <c r="K495" s="952">
        <f t="shared" si="85"/>
        <v>4.5454545454545461E-3</v>
      </c>
      <c r="L495" s="644">
        <f t="shared" si="88"/>
        <v>13</v>
      </c>
      <c r="M495" s="935">
        <v>0.55138888888888882</v>
      </c>
      <c r="N495" s="936">
        <f t="shared" si="78"/>
        <v>0.55138888888888882</v>
      </c>
      <c r="O495" s="725"/>
      <c r="P495" s="725">
        <f t="shared" si="81"/>
        <v>-0.55138888888888882</v>
      </c>
      <c r="Q495" s="622"/>
      <c r="R495" s="37"/>
      <c r="S495" s="37" t="str">
        <f t="shared" si="79"/>
        <v>DonleyF0</v>
      </c>
      <c r="T495" s="37" t="str">
        <f t="shared" si="82"/>
        <v>1986F0</v>
      </c>
      <c r="U495" s="429">
        <v>20</v>
      </c>
      <c r="V495" s="1029">
        <v>0.2</v>
      </c>
      <c r="W495" s="598">
        <v>5.0000000000000001E-3</v>
      </c>
      <c r="X495" s="429"/>
      <c r="Y495" s="37" t="str">
        <f t="shared" si="83"/>
        <v>F020</v>
      </c>
      <c r="Z495" s="37" t="str">
        <f t="shared" si="84"/>
        <v>F00.2</v>
      </c>
      <c r="AA495" s="37" t="str">
        <f t="shared" si="86"/>
        <v>F00.005</v>
      </c>
      <c r="AB495" s="498" t="str">
        <f t="shared" si="80"/>
        <v>F013</v>
      </c>
      <c r="AC495" s="572"/>
      <c r="AD495" s="572"/>
      <c r="AE495" s="572"/>
      <c r="AF495" s="572"/>
    </row>
    <row r="496" spans="1:32">
      <c r="A496" s="947">
        <f t="shared" si="87"/>
        <v>489</v>
      </c>
      <c r="B496" s="948">
        <v>12</v>
      </c>
      <c r="C496" s="949">
        <v>31571</v>
      </c>
      <c r="D496" s="949" t="s">
        <v>178</v>
      </c>
      <c r="E496" s="904">
        <v>8</v>
      </c>
      <c r="F496" s="644">
        <v>1986</v>
      </c>
      <c r="G496" s="948" t="s">
        <v>147</v>
      </c>
      <c r="H496" s="645" t="s">
        <v>149</v>
      </c>
      <c r="I496" s="951">
        <v>30</v>
      </c>
      <c r="J496" s="951">
        <v>0.2</v>
      </c>
      <c r="K496" s="952">
        <f t="shared" si="85"/>
        <v>3.4090909090909089E-3</v>
      </c>
      <c r="L496" s="644">
        <f t="shared" si="88"/>
        <v>15</v>
      </c>
      <c r="M496" s="935">
        <v>0.63194444444444442</v>
      </c>
      <c r="N496" s="936">
        <f t="shared" si="78"/>
        <v>0.63194444444444442</v>
      </c>
      <c r="O496" s="725"/>
      <c r="P496" s="725">
        <f t="shared" si="81"/>
        <v>-0.63194444444444442</v>
      </c>
      <c r="Q496" s="622"/>
      <c r="R496" s="37"/>
      <c r="S496" s="37" t="str">
        <f t="shared" si="79"/>
        <v>DonleyF0</v>
      </c>
      <c r="T496" s="37" t="str">
        <f t="shared" si="82"/>
        <v>1986F0</v>
      </c>
      <c r="U496" s="429">
        <v>20</v>
      </c>
      <c r="V496" s="1029">
        <v>0.2</v>
      </c>
      <c r="W496" s="598">
        <v>2E-3</v>
      </c>
      <c r="X496" s="429"/>
      <c r="Y496" s="37" t="str">
        <f t="shared" si="83"/>
        <v>F020</v>
      </c>
      <c r="Z496" s="37" t="str">
        <f t="shared" si="84"/>
        <v>F00.2</v>
      </c>
      <c r="AA496" s="37" t="str">
        <f t="shared" si="86"/>
        <v>F00.002</v>
      </c>
      <c r="AB496" s="498" t="str">
        <f t="shared" si="80"/>
        <v>F015</v>
      </c>
      <c r="AC496" s="572"/>
      <c r="AD496" s="572"/>
      <c r="AE496" s="572"/>
      <c r="AF496" s="572"/>
    </row>
    <row r="497" spans="1:32">
      <c r="A497" s="947">
        <f t="shared" si="87"/>
        <v>490</v>
      </c>
      <c r="B497" s="948">
        <v>13</v>
      </c>
      <c r="C497" s="949">
        <v>31593</v>
      </c>
      <c r="D497" s="949" t="s">
        <v>178</v>
      </c>
      <c r="E497" s="904">
        <v>30</v>
      </c>
      <c r="F497" s="644">
        <v>1986</v>
      </c>
      <c r="G497" s="948" t="s">
        <v>135</v>
      </c>
      <c r="H497" s="645" t="s">
        <v>149</v>
      </c>
      <c r="I497" s="951">
        <v>30</v>
      </c>
      <c r="J497" s="951">
        <v>0.2</v>
      </c>
      <c r="K497" s="952">
        <f t="shared" si="85"/>
        <v>3.4090909090909089E-3</v>
      </c>
      <c r="L497" s="644">
        <f t="shared" si="88"/>
        <v>20</v>
      </c>
      <c r="M497" s="935">
        <v>0.83680555555555547</v>
      </c>
      <c r="N497" s="936">
        <f t="shared" si="78"/>
        <v>0.83680555555555547</v>
      </c>
      <c r="O497" s="725"/>
      <c r="P497" s="725">
        <f t="shared" si="81"/>
        <v>-0.83680555555555547</v>
      </c>
      <c r="Q497" s="622"/>
      <c r="R497" s="37"/>
      <c r="S497" s="37" t="str">
        <f t="shared" si="79"/>
        <v>MooreF0</v>
      </c>
      <c r="T497" s="37" t="str">
        <f t="shared" si="82"/>
        <v>1986F0</v>
      </c>
      <c r="U497" s="429">
        <v>20</v>
      </c>
      <c r="V497" s="1029">
        <v>0.2</v>
      </c>
      <c r="W497" s="598">
        <v>2E-3</v>
      </c>
      <c r="X497" s="429"/>
      <c r="Y497" s="37" t="str">
        <f t="shared" si="83"/>
        <v>F020</v>
      </c>
      <c r="Z497" s="37" t="str">
        <f t="shared" si="84"/>
        <v>F00.2</v>
      </c>
      <c r="AA497" s="37" t="str">
        <f t="shared" si="86"/>
        <v>F00.002</v>
      </c>
      <c r="AB497" s="498" t="str">
        <f t="shared" si="80"/>
        <v>F020</v>
      </c>
      <c r="AC497" s="572"/>
      <c r="AD497" s="572"/>
      <c r="AE497" s="572"/>
      <c r="AF497" s="572"/>
    </row>
    <row r="498" spans="1:32">
      <c r="A498" s="947">
        <f t="shared" si="87"/>
        <v>491</v>
      </c>
      <c r="B498" s="948">
        <v>14</v>
      </c>
      <c r="C498" s="949">
        <v>31605</v>
      </c>
      <c r="D498" s="949" t="s">
        <v>179</v>
      </c>
      <c r="E498" s="904">
        <v>12</v>
      </c>
      <c r="F498" s="644">
        <v>1986</v>
      </c>
      <c r="G498" s="948" t="s">
        <v>146</v>
      </c>
      <c r="H498" s="645" t="s">
        <v>149</v>
      </c>
      <c r="I498" s="951">
        <v>30</v>
      </c>
      <c r="J498" s="951">
        <v>0.2</v>
      </c>
      <c r="K498" s="952">
        <f t="shared" si="85"/>
        <v>3.4090909090909089E-3</v>
      </c>
      <c r="L498" s="644">
        <f t="shared" si="88"/>
        <v>18</v>
      </c>
      <c r="M498" s="935">
        <v>0.78819444444444453</v>
      </c>
      <c r="N498" s="936">
        <f t="shared" si="78"/>
        <v>0.78819444444444453</v>
      </c>
      <c r="O498" s="725"/>
      <c r="P498" s="725">
        <f t="shared" si="81"/>
        <v>-0.78819444444444453</v>
      </c>
      <c r="Q498" s="622"/>
      <c r="R498" s="37"/>
      <c r="S498" s="37" t="str">
        <f t="shared" si="79"/>
        <v>ArmstrongF0</v>
      </c>
      <c r="T498" s="37" t="str">
        <f t="shared" si="82"/>
        <v>1986F0</v>
      </c>
      <c r="U498" s="429">
        <v>20</v>
      </c>
      <c r="V498" s="1029">
        <v>0.2</v>
      </c>
      <c r="W498" s="598">
        <v>2E-3</v>
      </c>
      <c r="X498" s="429"/>
      <c r="Y498" s="37" t="str">
        <f t="shared" si="83"/>
        <v>F020</v>
      </c>
      <c r="Z498" s="37" t="str">
        <f t="shared" si="84"/>
        <v>F00.2</v>
      </c>
      <c r="AA498" s="37" t="str">
        <f t="shared" si="86"/>
        <v>F00.002</v>
      </c>
      <c r="AB498" s="498" t="str">
        <f t="shared" si="80"/>
        <v>F018</v>
      </c>
      <c r="AC498" s="572"/>
      <c r="AD498" s="572"/>
      <c r="AE498" s="572"/>
      <c r="AF498" s="572"/>
    </row>
    <row r="499" spans="1:32">
      <c r="A499" s="947">
        <f t="shared" si="87"/>
        <v>492</v>
      </c>
      <c r="B499" s="948">
        <v>15</v>
      </c>
      <c r="C499" s="949">
        <v>31626</v>
      </c>
      <c r="D499" s="949" t="s">
        <v>180</v>
      </c>
      <c r="E499" s="904">
        <v>2</v>
      </c>
      <c r="F499" s="644">
        <v>1986</v>
      </c>
      <c r="G499" s="948" t="s">
        <v>126</v>
      </c>
      <c r="H499" s="645" t="s">
        <v>149</v>
      </c>
      <c r="I499" s="951">
        <v>50</v>
      </c>
      <c r="J499" s="951">
        <v>0.5</v>
      </c>
      <c r="K499" s="952">
        <f t="shared" si="85"/>
        <v>1.4204545454545454E-2</v>
      </c>
      <c r="L499" s="644">
        <f t="shared" si="88"/>
        <v>15</v>
      </c>
      <c r="M499" s="935">
        <v>0.64583333333333337</v>
      </c>
      <c r="N499" s="936">
        <f t="shared" si="78"/>
        <v>0.64583333333333337</v>
      </c>
      <c r="O499" s="725"/>
      <c r="P499" s="725">
        <f t="shared" si="81"/>
        <v>-0.64583333333333337</v>
      </c>
      <c r="Q499" s="622"/>
      <c r="R499" s="37"/>
      <c r="S499" s="37" t="str">
        <f t="shared" si="79"/>
        <v>CimarronF0</v>
      </c>
      <c r="T499" s="37" t="str">
        <f t="shared" si="82"/>
        <v>1986F0</v>
      </c>
      <c r="U499" s="429">
        <v>50</v>
      </c>
      <c r="V499" s="1029">
        <v>0.5</v>
      </c>
      <c r="W499" s="598">
        <v>0.01</v>
      </c>
      <c r="X499" s="429"/>
      <c r="Y499" s="37" t="str">
        <f t="shared" si="83"/>
        <v>F050</v>
      </c>
      <c r="Z499" s="37" t="str">
        <f t="shared" si="84"/>
        <v>F00.5</v>
      </c>
      <c r="AA499" s="37" t="str">
        <f t="shared" si="86"/>
        <v>F00.01</v>
      </c>
      <c r="AB499" s="498" t="str">
        <f t="shared" si="80"/>
        <v>F015</v>
      </c>
      <c r="AC499" s="572"/>
      <c r="AD499" s="572"/>
      <c r="AE499" s="572"/>
      <c r="AF499" s="572"/>
    </row>
    <row r="500" spans="1:32">
      <c r="A500" s="947">
        <f t="shared" si="87"/>
        <v>493</v>
      </c>
      <c r="B500" s="948">
        <v>16</v>
      </c>
      <c r="C500" s="949">
        <v>31686</v>
      </c>
      <c r="D500" s="949" t="s">
        <v>182</v>
      </c>
      <c r="E500" s="904">
        <v>1</v>
      </c>
      <c r="F500" s="644">
        <v>1986</v>
      </c>
      <c r="G500" s="948" t="s">
        <v>148</v>
      </c>
      <c r="H500" s="645" t="s">
        <v>149</v>
      </c>
      <c r="I500" s="951">
        <v>30</v>
      </c>
      <c r="J500" s="951">
        <v>0.2</v>
      </c>
      <c r="K500" s="952">
        <f t="shared" si="85"/>
        <v>3.4090909090909089E-3</v>
      </c>
      <c r="L500" s="644">
        <f t="shared" si="88"/>
        <v>18</v>
      </c>
      <c r="M500" s="935">
        <v>0.77777777777777779</v>
      </c>
      <c r="N500" s="936">
        <f t="shared" si="78"/>
        <v>0.77777777777777779</v>
      </c>
      <c r="O500" s="725"/>
      <c r="P500" s="725">
        <f t="shared" si="81"/>
        <v>-0.77777777777777779</v>
      </c>
      <c r="Q500" s="622"/>
      <c r="R500" s="37"/>
      <c r="S500" s="37" t="str">
        <f t="shared" si="79"/>
        <v>CollingsworthF0</v>
      </c>
      <c r="T500" s="37" t="str">
        <f t="shared" si="82"/>
        <v>1986F0</v>
      </c>
      <c r="U500" s="429">
        <v>20</v>
      </c>
      <c r="V500" s="1029">
        <v>0.2</v>
      </c>
      <c r="W500" s="598">
        <v>2E-3</v>
      </c>
      <c r="X500" s="429"/>
      <c r="Y500" s="37" t="str">
        <f t="shared" si="83"/>
        <v>F020</v>
      </c>
      <c r="Z500" s="37" t="str">
        <f t="shared" si="84"/>
        <v>F00.2</v>
      </c>
      <c r="AA500" s="37" t="str">
        <f t="shared" si="86"/>
        <v>F00.002</v>
      </c>
      <c r="AB500" s="498" t="str">
        <f t="shared" si="80"/>
        <v>F018</v>
      </c>
      <c r="AC500" s="572"/>
      <c r="AD500" s="572"/>
      <c r="AE500" s="572"/>
      <c r="AF500" s="572"/>
    </row>
    <row r="501" spans="1:32">
      <c r="A501" s="947">
        <f t="shared" si="87"/>
        <v>494</v>
      </c>
      <c r="B501" s="948">
        <v>1</v>
      </c>
      <c r="C501" s="949">
        <v>31858</v>
      </c>
      <c r="D501" s="963" t="s">
        <v>175</v>
      </c>
      <c r="E501" s="904">
        <v>22</v>
      </c>
      <c r="F501" s="644">
        <v>1987</v>
      </c>
      <c r="G501" s="948" t="s">
        <v>133</v>
      </c>
      <c r="H501" s="645" t="s">
        <v>152</v>
      </c>
      <c r="I501" s="951">
        <v>440</v>
      </c>
      <c r="J501" s="951">
        <v>30</v>
      </c>
      <c r="K501" s="952">
        <f t="shared" si="85"/>
        <v>7.5</v>
      </c>
      <c r="L501" s="644">
        <f t="shared" si="88"/>
        <v>17</v>
      </c>
      <c r="M501" s="935">
        <v>0.73958333333333337</v>
      </c>
      <c r="N501" s="936">
        <f t="shared" si="78"/>
        <v>0.73958333333333337</v>
      </c>
      <c r="O501" s="725">
        <v>0.76736111111111116</v>
      </c>
      <c r="P501" s="725">
        <f t="shared" si="81"/>
        <v>2.777777777777779E-2</v>
      </c>
      <c r="Q501" s="622" t="s">
        <v>391</v>
      </c>
      <c r="R501" s="37"/>
      <c r="S501" s="37" t="str">
        <f t="shared" si="79"/>
        <v>LipscombF3</v>
      </c>
      <c r="T501" s="37" t="str">
        <f t="shared" si="82"/>
        <v>1987F3</v>
      </c>
      <c r="U501" s="429">
        <v>200</v>
      </c>
      <c r="V501" s="1029">
        <v>20</v>
      </c>
      <c r="W501" s="598">
        <v>5</v>
      </c>
      <c r="X501" s="429"/>
      <c r="Y501" s="37" t="str">
        <f t="shared" si="83"/>
        <v>F3200</v>
      </c>
      <c r="Z501" s="37" t="str">
        <f t="shared" si="84"/>
        <v>F320</v>
      </c>
      <c r="AA501" s="37" t="str">
        <f t="shared" si="86"/>
        <v>F35</v>
      </c>
      <c r="AB501" s="498" t="str">
        <f t="shared" si="80"/>
        <v>F317</v>
      </c>
      <c r="AC501" s="572"/>
      <c r="AD501" s="572"/>
      <c r="AE501" s="572"/>
      <c r="AF501" s="572"/>
    </row>
    <row r="502" spans="1:32">
      <c r="A502" s="947">
        <f t="shared" si="87"/>
        <v>495</v>
      </c>
      <c r="B502" s="948">
        <v>2</v>
      </c>
      <c r="C502" s="949">
        <v>31858</v>
      </c>
      <c r="D502" s="963" t="s">
        <v>175</v>
      </c>
      <c r="E502" s="904">
        <v>22</v>
      </c>
      <c r="F502" s="644">
        <v>1987</v>
      </c>
      <c r="G502" s="948" t="s">
        <v>128</v>
      </c>
      <c r="H502" s="645" t="s">
        <v>151</v>
      </c>
      <c r="I502" s="951">
        <v>85</v>
      </c>
      <c r="J502" s="951">
        <v>10</v>
      </c>
      <c r="K502" s="952">
        <f t="shared" si="85"/>
        <v>0.48295454545454541</v>
      </c>
      <c r="L502" s="644">
        <f t="shared" si="88"/>
        <v>19</v>
      </c>
      <c r="M502" s="935">
        <v>0.81388888888888899</v>
      </c>
      <c r="N502" s="936">
        <f t="shared" si="78"/>
        <v>0.81388888888888899</v>
      </c>
      <c r="O502" s="725">
        <v>0.82777777777777783</v>
      </c>
      <c r="P502" s="725">
        <f t="shared" si="81"/>
        <v>1.388888888888884E-2</v>
      </c>
      <c r="Q502" s="622" t="s">
        <v>1213</v>
      </c>
      <c r="R502" s="37"/>
      <c r="S502" s="37" t="str">
        <f t="shared" si="79"/>
        <v>BeaverF2</v>
      </c>
      <c r="T502" s="37" t="str">
        <f t="shared" si="82"/>
        <v>1987F2</v>
      </c>
      <c r="U502" s="429">
        <v>50</v>
      </c>
      <c r="V502" s="1029">
        <v>10</v>
      </c>
      <c r="W502" s="598">
        <v>0.2</v>
      </c>
      <c r="X502" s="429"/>
      <c r="Y502" s="37" t="str">
        <f t="shared" si="83"/>
        <v>F250</v>
      </c>
      <c r="Z502" s="37" t="str">
        <f t="shared" si="84"/>
        <v>F210</v>
      </c>
      <c r="AA502" s="37" t="str">
        <f t="shared" si="86"/>
        <v>F20.2</v>
      </c>
      <c r="AB502" s="498" t="str">
        <f t="shared" si="80"/>
        <v>F219</v>
      </c>
      <c r="AC502" s="572"/>
      <c r="AD502" s="572"/>
      <c r="AE502" s="572"/>
      <c r="AF502" s="572"/>
    </row>
    <row r="503" spans="1:32">
      <c r="A503" s="947">
        <f t="shared" si="87"/>
        <v>496</v>
      </c>
      <c r="B503" s="948">
        <v>3</v>
      </c>
      <c r="C503" s="949">
        <v>31900</v>
      </c>
      <c r="D503" s="949" t="s">
        <v>177</v>
      </c>
      <c r="E503" s="904">
        <v>3</v>
      </c>
      <c r="F503" s="644">
        <v>1987</v>
      </c>
      <c r="G503" s="948" t="s">
        <v>126</v>
      </c>
      <c r="H503" s="645" t="s">
        <v>149</v>
      </c>
      <c r="I503" s="951">
        <v>30</v>
      </c>
      <c r="J503" s="951">
        <v>0.1</v>
      </c>
      <c r="K503" s="952">
        <f t="shared" si="85"/>
        <v>1.7045454545454545E-3</v>
      </c>
      <c r="L503" s="644">
        <f t="shared" si="88"/>
        <v>13</v>
      </c>
      <c r="M503" s="935">
        <v>0.56944444444444442</v>
      </c>
      <c r="N503" s="936">
        <f t="shared" si="78"/>
        <v>0.56944444444444442</v>
      </c>
      <c r="O503" s="725"/>
      <c r="P503" s="725">
        <f t="shared" si="81"/>
        <v>-0.56944444444444442</v>
      </c>
      <c r="Q503" s="622"/>
      <c r="R503" s="37"/>
      <c r="S503" s="37" t="str">
        <f t="shared" si="79"/>
        <v>CimarronF0</v>
      </c>
      <c r="T503" s="37" t="str">
        <f t="shared" si="82"/>
        <v>1987F0</v>
      </c>
      <c r="U503" s="429">
        <v>20</v>
      </c>
      <c r="V503" s="1029">
        <v>0.1</v>
      </c>
      <c r="W503" s="598">
        <v>2E-3</v>
      </c>
      <c r="X503" s="429"/>
      <c r="Y503" s="37" t="str">
        <f t="shared" si="83"/>
        <v>F020</v>
      </c>
      <c r="Z503" s="37" t="str">
        <f t="shared" si="84"/>
        <v>F00.1</v>
      </c>
      <c r="AA503" s="37" t="str">
        <f t="shared" si="86"/>
        <v>F00.002</v>
      </c>
      <c r="AB503" s="498" t="str">
        <f t="shared" si="80"/>
        <v>F013</v>
      </c>
      <c r="AC503" s="572"/>
      <c r="AD503" s="572"/>
      <c r="AE503" s="572"/>
      <c r="AF503" s="572"/>
    </row>
    <row r="504" spans="1:32">
      <c r="A504" s="947">
        <f t="shared" si="87"/>
        <v>497</v>
      </c>
      <c r="B504" s="948">
        <v>4</v>
      </c>
      <c r="C504" s="949">
        <v>31918</v>
      </c>
      <c r="D504" s="949" t="s">
        <v>177</v>
      </c>
      <c r="E504" s="904">
        <v>21</v>
      </c>
      <c r="F504" s="644">
        <v>1987</v>
      </c>
      <c r="G504" s="948" t="s">
        <v>142</v>
      </c>
      <c r="H504" s="645" t="s">
        <v>149</v>
      </c>
      <c r="I504" s="951">
        <v>40</v>
      </c>
      <c r="J504" s="951">
        <v>1.5</v>
      </c>
      <c r="K504" s="952">
        <f t="shared" si="85"/>
        <v>3.4090909090909088E-2</v>
      </c>
      <c r="L504" s="644">
        <f t="shared" si="88"/>
        <v>16</v>
      </c>
      <c r="M504" s="935">
        <v>0.70138888888888884</v>
      </c>
      <c r="N504" s="936">
        <f t="shared" si="78"/>
        <v>0.70138888888888884</v>
      </c>
      <c r="O504" s="725"/>
      <c r="P504" s="725">
        <f t="shared" si="81"/>
        <v>-0.70138888888888884</v>
      </c>
      <c r="Q504" s="622" t="s">
        <v>1214</v>
      </c>
      <c r="R504" s="37"/>
      <c r="S504" s="37" t="str">
        <f t="shared" si="79"/>
        <v>GrayF0</v>
      </c>
      <c r="T504" s="37" t="str">
        <f t="shared" si="82"/>
        <v>1987F0</v>
      </c>
      <c r="U504" s="429">
        <v>20</v>
      </c>
      <c r="V504" s="1029">
        <v>1</v>
      </c>
      <c r="W504" s="598">
        <v>0.02</v>
      </c>
      <c r="X504" s="429"/>
      <c r="Y504" s="37" t="str">
        <f t="shared" si="83"/>
        <v>F020</v>
      </c>
      <c r="Z504" s="37" t="str">
        <f t="shared" si="84"/>
        <v>F01</v>
      </c>
      <c r="AA504" s="37" t="str">
        <f t="shared" si="86"/>
        <v>F00.02</v>
      </c>
      <c r="AB504" s="498" t="str">
        <f t="shared" si="80"/>
        <v>F016</v>
      </c>
      <c r="AC504" s="572"/>
      <c r="AD504" s="572"/>
      <c r="AE504" s="572"/>
      <c r="AF504" s="572"/>
    </row>
    <row r="505" spans="1:32">
      <c r="A505" s="947">
        <f t="shared" si="87"/>
        <v>498</v>
      </c>
      <c r="B505" s="948">
        <v>5</v>
      </c>
      <c r="C505" s="949">
        <v>31921</v>
      </c>
      <c r="D505" s="949" t="s">
        <v>177</v>
      </c>
      <c r="E505" s="904">
        <v>24</v>
      </c>
      <c r="F505" s="644">
        <v>1987</v>
      </c>
      <c r="G505" s="948" t="s">
        <v>147</v>
      </c>
      <c r="H505" s="645" t="s">
        <v>149</v>
      </c>
      <c r="I505" s="951">
        <v>50</v>
      </c>
      <c r="J505" s="951">
        <v>0.5</v>
      </c>
      <c r="K505" s="952">
        <f t="shared" si="85"/>
        <v>1.4204545454545454E-2</v>
      </c>
      <c r="L505" s="644">
        <f t="shared" si="88"/>
        <v>21</v>
      </c>
      <c r="M505" s="935">
        <v>0.89583333333333337</v>
      </c>
      <c r="N505" s="936">
        <f t="shared" si="78"/>
        <v>0.89583333333333337</v>
      </c>
      <c r="O505" s="725"/>
      <c r="P505" s="725">
        <f t="shared" si="81"/>
        <v>-0.89583333333333337</v>
      </c>
      <c r="Q505" s="622" t="s">
        <v>1215</v>
      </c>
      <c r="R505" s="37"/>
      <c r="S505" s="37" t="str">
        <f t="shared" si="79"/>
        <v>DonleyF0</v>
      </c>
      <c r="T505" s="37" t="str">
        <f t="shared" si="82"/>
        <v>1987F0</v>
      </c>
      <c r="U505" s="429">
        <v>50</v>
      </c>
      <c r="V505" s="1029">
        <v>0.5</v>
      </c>
      <c r="W505" s="598">
        <v>0.01</v>
      </c>
      <c r="X505" s="429"/>
      <c r="Y505" s="37" t="str">
        <f t="shared" si="83"/>
        <v>F050</v>
      </c>
      <c r="Z505" s="37" t="str">
        <f t="shared" si="84"/>
        <v>F00.5</v>
      </c>
      <c r="AA505" s="37" t="str">
        <f t="shared" si="86"/>
        <v>F00.01</v>
      </c>
      <c r="AB505" s="498" t="str">
        <f t="shared" si="80"/>
        <v>F021</v>
      </c>
      <c r="AC505" s="572"/>
      <c r="AD505" s="572"/>
      <c r="AE505" s="572"/>
      <c r="AF505" s="572"/>
    </row>
    <row r="506" spans="1:32">
      <c r="A506" s="947">
        <f t="shared" si="87"/>
        <v>499</v>
      </c>
      <c r="B506" s="948">
        <v>6</v>
      </c>
      <c r="C506" s="949">
        <v>31922</v>
      </c>
      <c r="D506" s="949" t="s">
        <v>177</v>
      </c>
      <c r="E506" s="904">
        <v>25</v>
      </c>
      <c r="F506" s="644">
        <v>1987</v>
      </c>
      <c r="G506" s="948" t="s">
        <v>131</v>
      </c>
      <c r="H506" s="645" t="s">
        <v>150</v>
      </c>
      <c r="I506" s="951">
        <v>100</v>
      </c>
      <c r="J506" s="951">
        <v>2</v>
      </c>
      <c r="K506" s="952">
        <f t="shared" si="85"/>
        <v>0.11363636363636363</v>
      </c>
      <c r="L506" s="644">
        <f t="shared" si="88"/>
        <v>16</v>
      </c>
      <c r="M506" s="935">
        <v>0.68055555555555547</v>
      </c>
      <c r="N506" s="936">
        <f t="shared" si="78"/>
        <v>0.68055555555555547</v>
      </c>
      <c r="O506" s="725"/>
      <c r="P506" s="725">
        <f t="shared" si="81"/>
        <v>-0.68055555555555547</v>
      </c>
      <c r="Q506" s="622" t="s">
        <v>1216</v>
      </c>
      <c r="R506" s="37"/>
      <c r="S506" s="37" t="str">
        <f t="shared" si="79"/>
        <v>HansfordF1</v>
      </c>
      <c r="T506" s="37" t="str">
        <f t="shared" si="82"/>
        <v>1987F1</v>
      </c>
      <c r="U506" s="429">
        <v>100</v>
      </c>
      <c r="V506" s="1029">
        <v>2</v>
      </c>
      <c r="W506" s="598">
        <v>0.1</v>
      </c>
      <c r="X506" s="429"/>
      <c r="Y506" s="37" t="str">
        <f t="shared" si="83"/>
        <v>F1100</v>
      </c>
      <c r="Z506" s="37" t="str">
        <f t="shared" si="84"/>
        <v>F12</v>
      </c>
      <c r="AA506" s="37" t="str">
        <f t="shared" si="86"/>
        <v>F10.1</v>
      </c>
      <c r="AB506" s="498" t="str">
        <f t="shared" si="80"/>
        <v>F116</v>
      </c>
      <c r="AC506" s="572"/>
      <c r="AD506" s="572"/>
      <c r="AE506" s="572"/>
      <c r="AF506" s="572"/>
    </row>
    <row r="507" spans="1:32">
      <c r="A507" s="947">
        <f t="shared" si="87"/>
        <v>500</v>
      </c>
      <c r="B507" s="948">
        <v>7</v>
      </c>
      <c r="C507" s="949">
        <v>31922</v>
      </c>
      <c r="D507" s="949" t="s">
        <v>177</v>
      </c>
      <c r="E507" s="904">
        <v>25</v>
      </c>
      <c r="F507" s="644">
        <v>1987</v>
      </c>
      <c r="G507" s="948" t="s">
        <v>131</v>
      </c>
      <c r="H507" s="645" t="s">
        <v>152</v>
      </c>
      <c r="I507" s="951">
        <v>530</v>
      </c>
      <c r="J507" s="951">
        <v>3</v>
      </c>
      <c r="K507" s="952">
        <f t="shared" si="85"/>
        <v>0.90340909090909094</v>
      </c>
      <c r="L507" s="644">
        <f t="shared" si="88"/>
        <v>17</v>
      </c>
      <c r="M507" s="935">
        <v>0.72222222222222221</v>
      </c>
      <c r="N507" s="936">
        <f t="shared" si="78"/>
        <v>0.72222222222222221</v>
      </c>
      <c r="O507" s="725"/>
      <c r="P507" s="725">
        <f t="shared" si="81"/>
        <v>-0.72222222222222221</v>
      </c>
      <c r="Q507" s="622" t="s">
        <v>1217</v>
      </c>
      <c r="R507" s="37"/>
      <c r="S507" s="37" t="str">
        <f t="shared" si="79"/>
        <v>HansfordF3</v>
      </c>
      <c r="T507" s="37" t="str">
        <f t="shared" si="82"/>
        <v>1987F3</v>
      </c>
      <c r="U507" s="429">
        <v>500</v>
      </c>
      <c r="V507" s="1029">
        <v>2</v>
      </c>
      <c r="W507" s="598">
        <v>0.5</v>
      </c>
      <c r="X507" s="429"/>
      <c r="Y507" s="37" t="str">
        <f t="shared" si="83"/>
        <v>F3500</v>
      </c>
      <c r="Z507" s="37" t="str">
        <f t="shared" si="84"/>
        <v>F32</v>
      </c>
      <c r="AA507" s="37" t="str">
        <f t="shared" si="86"/>
        <v>F30.5</v>
      </c>
      <c r="AB507" s="498" t="str">
        <f t="shared" si="80"/>
        <v>F317</v>
      </c>
      <c r="AC507" s="572"/>
      <c r="AD507" s="572"/>
      <c r="AE507" s="572"/>
      <c r="AF507" s="572"/>
    </row>
    <row r="508" spans="1:32">
      <c r="A508" s="947">
        <f t="shared" si="87"/>
        <v>501</v>
      </c>
      <c r="B508" s="948">
        <v>8</v>
      </c>
      <c r="C508" s="949">
        <v>31922</v>
      </c>
      <c r="D508" s="949" t="s">
        <v>177</v>
      </c>
      <c r="E508" s="904">
        <v>25</v>
      </c>
      <c r="F508" s="644">
        <v>1987</v>
      </c>
      <c r="G508" s="948" t="s">
        <v>131</v>
      </c>
      <c r="H508" s="645" t="s">
        <v>149</v>
      </c>
      <c r="I508" s="951">
        <v>40</v>
      </c>
      <c r="J508" s="951">
        <v>0.1</v>
      </c>
      <c r="K508" s="952">
        <f t="shared" si="85"/>
        <v>2.2727272727272731E-3</v>
      </c>
      <c r="L508" s="644">
        <f t="shared" si="88"/>
        <v>18</v>
      </c>
      <c r="M508" s="935">
        <v>0.76041666666666663</v>
      </c>
      <c r="N508" s="936">
        <f t="shared" si="78"/>
        <v>0.76041666666666663</v>
      </c>
      <c r="O508" s="725"/>
      <c r="P508" s="725">
        <f t="shared" si="81"/>
        <v>-0.76041666666666663</v>
      </c>
      <c r="Q508" s="622" t="s">
        <v>1218</v>
      </c>
      <c r="R508" s="37"/>
      <c r="S508" s="37" t="str">
        <f t="shared" si="79"/>
        <v>HansfordF0</v>
      </c>
      <c r="T508" s="37" t="str">
        <f t="shared" si="82"/>
        <v>1987F0</v>
      </c>
      <c r="U508" s="429">
        <v>20</v>
      </c>
      <c r="V508" s="1029">
        <v>0.1</v>
      </c>
      <c r="W508" s="598">
        <v>2E-3</v>
      </c>
      <c r="X508" s="429"/>
      <c r="Y508" s="37" t="str">
        <f t="shared" si="83"/>
        <v>F020</v>
      </c>
      <c r="Z508" s="37" t="str">
        <f t="shared" si="84"/>
        <v>F00.1</v>
      </c>
      <c r="AA508" s="37" t="str">
        <f t="shared" si="86"/>
        <v>F00.002</v>
      </c>
      <c r="AB508" s="498" t="str">
        <f t="shared" si="80"/>
        <v>F018</v>
      </c>
      <c r="AC508" s="572"/>
      <c r="AD508" s="572"/>
      <c r="AE508" s="572"/>
      <c r="AF508" s="572"/>
    </row>
    <row r="509" spans="1:32" ht="25.5">
      <c r="A509" s="947">
        <f t="shared" si="87"/>
        <v>502</v>
      </c>
      <c r="B509" s="948">
        <v>9</v>
      </c>
      <c r="C509" s="949">
        <v>31922</v>
      </c>
      <c r="D509" s="949" t="s">
        <v>177</v>
      </c>
      <c r="E509" s="904">
        <v>25</v>
      </c>
      <c r="F509" s="644">
        <v>1987</v>
      </c>
      <c r="G509" s="948" t="s">
        <v>145</v>
      </c>
      <c r="H509" s="645" t="s">
        <v>151</v>
      </c>
      <c r="I509" s="951">
        <v>150</v>
      </c>
      <c r="J509" s="951">
        <v>6</v>
      </c>
      <c r="K509" s="952">
        <f t="shared" si="85"/>
        <v>0.51136363636363635</v>
      </c>
      <c r="L509" s="644">
        <f t="shared" si="88"/>
        <v>18</v>
      </c>
      <c r="M509" s="935">
        <v>0.77083333333333337</v>
      </c>
      <c r="N509" s="936">
        <f t="shared" si="78"/>
        <v>0.77083333333333337</v>
      </c>
      <c r="O509" s="725">
        <v>0.77430555555555547</v>
      </c>
      <c r="P509" s="725">
        <f t="shared" si="81"/>
        <v>3.4722222222220989E-3</v>
      </c>
      <c r="Q509" s="622" t="s">
        <v>1219</v>
      </c>
      <c r="R509" s="37"/>
      <c r="S509" s="37" t="str">
        <f t="shared" si="79"/>
        <v>RandallF2</v>
      </c>
      <c r="T509" s="37" t="str">
        <f t="shared" si="82"/>
        <v>1987F2</v>
      </c>
      <c r="U509" s="429">
        <v>100</v>
      </c>
      <c r="V509" s="1029">
        <v>5</v>
      </c>
      <c r="W509" s="598">
        <v>0.5</v>
      </c>
      <c r="X509" s="429"/>
      <c r="Y509" s="37" t="str">
        <f t="shared" si="83"/>
        <v>F2100</v>
      </c>
      <c r="Z509" s="37" t="str">
        <f t="shared" si="84"/>
        <v>F25</v>
      </c>
      <c r="AA509" s="37" t="str">
        <f t="shared" si="86"/>
        <v>F20.5</v>
      </c>
      <c r="AB509" s="498" t="str">
        <f t="shared" si="80"/>
        <v>F218</v>
      </c>
      <c r="AC509" s="572"/>
      <c r="AD509" s="572"/>
      <c r="AE509" s="572"/>
      <c r="AF509" s="572"/>
    </row>
    <row r="510" spans="1:32">
      <c r="A510" s="947">
        <f t="shared" si="87"/>
        <v>503</v>
      </c>
      <c r="B510" s="948">
        <v>10</v>
      </c>
      <c r="C510" s="949">
        <v>31922</v>
      </c>
      <c r="D510" s="949" t="s">
        <v>177</v>
      </c>
      <c r="E510" s="904">
        <v>25</v>
      </c>
      <c r="F510" s="644">
        <v>1987</v>
      </c>
      <c r="G510" s="948" t="s">
        <v>146</v>
      </c>
      <c r="H510" s="645" t="s">
        <v>151</v>
      </c>
      <c r="I510" s="951">
        <v>150</v>
      </c>
      <c r="J510" s="951">
        <v>4</v>
      </c>
      <c r="K510" s="952">
        <f t="shared" si="85"/>
        <v>0.34090909090909088</v>
      </c>
      <c r="L510" s="644">
        <f t="shared" si="88"/>
        <v>18</v>
      </c>
      <c r="M510" s="935">
        <v>0.77430555555555547</v>
      </c>
      <c r="N510" s="936">
        <f t="shared" si="78"/>
        <v>0.77430555555555547</v>
      </c>
      <c r="O510" s="725">
        <v>0.77777777777777779</v>
      </c>
      <c r="P510" s="725">
        <f t="shared" si="81"/>
        <v>3.4722222222223209E-3</v>
      </c>
      <c r="Q510" s="622" t="s">
        <v>80</v>
      </c>
      <c r="R510" s="37"/>
      <c r="S510" s="37" t="str">
        <f t="shared" si="79"/>
        <v>ArmstrongF2</v>
      </c>
      <c r="T510" s="37" t="str">
        <f t="shared" si="82"/>
        <v>1987F2</v>
      </c>
      <c r="U510" s="429">
        <v>100</v>
      </c>
      <c r="V510" s="1029">
        <v>2</v>
      </c>
      <c r="W510" s="598">
        <v>0.2</v>
      </c>
      <c r="X510" s="429"/>
      <c r="Y510" s="37" t="str">
        <f t="shared" si="83"/>
        <v>F2100</v>
      </c>
      <c r="Z510" s="37" t="str">
        <f t="shared" si="84"/>
        <v>F22</v>
      </c>
      <c r="AA510" s="37" t="str">
        <f t="shared" si="86"/>
        <v>F20.2</v>
      </c>
      <c r="AB510" s="498" t="str">
        <f t="shared" si="80"/>
        <v>F218</v>
      </c>
      <c r="AC510" s="572"/>
      <c r="AD510" s="572"/>
      <c r="AE510" s="572"/>
      <c r="AF510" s="572"/>
    </row>
    <row r="511" spans="1:32">
      <c r="A511" s="947">
        <f t="shared" si="87"/>
        <v>504</v>
      </c>
      <c r="B511" s="948">
        <v>11</v>
      </c>
      <c r="C511" s="949">
        <v>31922</v>
      </c>
      <c r="D511" s="949" t="s">
        <v>177</v>
      </c>
      <c r="E511" s="904">
        <v>25</v>
      </c>
      <c r="F511" s="644">
        <v>1987</v>
      </c>
      <c r="G511" s="948" t="s">
        <v>145</v>
      </c>
      <c r="H511" s="645" t="s">
        <v>149</v>
      </c>
      <c r="I511" s="951">
        <v>50</v>
      </c>
      <c r="J511" s="951">
        <v>1</v>
      </c>
      <c r="K511" s="952">
        <f t="shared" si="85"/>
        <v>2.8409090909090908E-2</v>
      </c>
      <c r="L511" s="644">
        <f t="shared" si="88"/>
        <v>18</v>
      </c>
      <c r="M511" s="935">
        <v>0.78680555555555554</v>
      </c>
      <c r="N511" s="936">
        <f t="shared" si="78"/>
        <v>0.78680555555555554</v>
      </c>
      <c r="O511" s="725"/>
      <c r="P511" s="725">
        <f t="shared" si="81"/>
        <v>-0.78680555555555554</v>
      </c>
      <c r="Q511" s="622"/>
      <c r="R511" s="37"/>
      <c r="S511" s="37" t="str">
        <f t="shared" si="79"/>
        <v>RandallF0</v>
      </c>
      <c r="T511" s="37" t="str">
        <f t="shared" si="82"/>
        <v>1987F0</v>
      </c>
      <c r="U511" s="429">
        <v>50</v>
      </c>
      <c r="V511" s="1029">
        <v>1</v>
      </c>
      <c r="W511" s="598">
        <v>0.02</v>
      </c>
      <c r="X511" s="429"/>
      <c r="Y511" s="37" t="str">
        <f t="shared" si="83"/>
        <v>F050</v>
      </c>
      <c r="Z511" s="37" t="str">
        <f t="shared" si="84"/>
        <v>F01</v>
      </c>
      <c r="AA511" s="37" t="str">
        <f t="shared" si="86"/>
        <v>F00.02</v>
      </c>
      <c r="AB511" s="498" t="str">
        <f t="shared" si="80"/>
        <v>F018</v>
      </c>
      <c r="AC511" s="572"/>
      <c r="AD511" s="572"/>
      <c r="AE511" s="572"/>
      <c r="AF511" s="572"/>
    </row>
    <row r="512" spans="1:32">
      <c r="A512" s="947">
        <f t="shared" si="87"/>
        <v>505</v>
      </c>
      <c r="B512" s="948">
        <v>12</v>
      </c>
      <c r="C512" s="949">
        <v>31922</v>
      </c>
      <c r="D512" s="949" t="s">
        <v>177</v>
      </c>
      <c r="E512" s="904">
        <v>25</v>
      </c>
      <c r="F512" s="644">
        <v>1987</v>
      </c>
      <c r="G512" s="948" t="s">
        <v>132</v>
      </c>
      <c r="H512" s="645" t="s">
        <v>152</v>
      </c>
      <c r="I512" s="951">
        <v>700</v>
      </c>
      <c r="J512" s="951">
        <v>3</v>
      </c>
      <c r="K512" s="952">
        <f t="shared" si="85"/>
        <v>1.1931818181818181</v>
      </c>
      <c r="L512" s="644">
        <f t="shared" si="88"/>
        <v>19</v>
      </c>
      <c r="M512" s="935">
        <v>0.8</v>
      </c>
      <c r="N512" s="936">
        <f t="shared" si="78"/>
        <v>0.8</v>
      </c>
      <c r="O512" s="725"/>
      <c r="P512" s="725">
        <f t="shared" si="81"/>
        <v>-0.8</v>
      </c>
      <c r="Q512" s="622" t="s">
        <v>1220</v>
      </c>
      <c r="R512" s="37"/>
      <c r="S512" s="37" t="str">
        <f t="shared" si="79"/>
        <v>OchiltreeF3</v>
      </c>
      <c r="T512" s="37" t="str">
        <f t="shared" si="82"/>
        <v>1987F3</v>
      </c>
      <c r="U512" s="429">
        <v>500</v>
      </c>
      <c r="V512" s="1029">
        <v>2</v>
      </c>
      <c r="W512" s="598">
        <v>1</v>
      </c>
      <c r="X512" s="429"/>
      <c r="Y512" s="37" t="str">
        <f t="shared" si="83"/>
        <v>F3500</v>
      </c>
      <c r="Z512" s="37" t="str">
        <f t="shared" si="84"/>
        <v>F32</v>
      </c>
      <c r="AA512" s="37" t="str">
        <f t="shared" si="86"/>
        <v>F31</v>
      </c>
      <c r="AB512" s="498" t="str">
        <f t="shared" si="80"/>
        <v>F319</v>
      </c>
      <c r="AC512" s="572"/>
      <c r="AD512" s="572"/>
      <c r="AE512" s="572"/>
      <c r="AF512" s="572"/>
    </row>
    <row r="513" spans="1:32">
      <c r="A513" s="947">
        <f t="shared" si="87"/>
        <v>506</v>
      </c>
      <c r="B513" s="948">
        <v>13</v>
      </c>
      <c r="C513" s="949">
        <v>31922</v>
      </c>
      <c r="D513" s="949" t="s">
        <v>177</v>
      </c>
      <c r="E513" s="904">
        <v>25</v>
      </c>
      <c r="F513" s="644">
        <v>1987</v>
      </c>
      <c r="G513" s="948" t="s">
        <v>132</v>
      </c>
      <c r="H513" s="645" t="s">
        <v>150</v>
      </c>
      <c r="I513" s="951">
        <v>80</v>
      </c>
      <c r="J513" s="951">
        <v>10</v>
      </c>
      <c r="K513" s="952">
        <f t="shared" si="85"/>
        <v>0.45454545454545459</v>
      </c>
      <c r="L513" s="644">
        <f t="shared" si="88"/>
        <v>19</v>
      </c>
      <c r="M513" s="935">
        <v>0.81597222222222221</v>
      </c>
      <c r="N513" s="936">
        <f t="shared" si="78"/>
        <v>0.81597222222222221</v>
      </c>
      <c r="O513" s="725"/>
      <c r="P513" s="725">
        <f t="shared" si="81"/>
        <v>-0.81597222222222221</v>
      </c>
      <c r="Q513" s="622" t="s">
        <v>1221</v>
      </c>
      <c r="R513" s="37"/>
      <c r="S513" s="37" t="str">
        <f t="shared" si="79"/>
        <v>OchiltreeF1</v>
      </c>
      <c r="T513" s="37" t="str">
        <f t="shared" si="82"/>
        <v>1987F1</v>
      </c>
      <c r="U513" s="429">
        <v>50</v>
      </c>
      <c r="V513" s="1029">
        <v>10</v>
      </c>
      <c r="W513" s="598">
        <v>0.2</v>
      </c>
      <c r="X513" s="429"/>
      <c r="Y513" s="37" t="str">
        <f t="shared" si="83"/>
        <v>F150</v>
      </c>
      <c r="Z513" s="37" t="str">
        <f t="shared" si="84"/>
        <v>F110</v>
      </c>
      <c r="AA513" s="37" t="str">
        <f t="shared" si="86"/>
        <v>F10.2</v>
      </c>
      <c r="AB513" s="498" t="str">
        <f t="shared" si="80"/>
        <v>F119</v>
      </c>
      <c r="AC513" s="572"/>
      <c r="AD513" s="572"/>
      <c r="AE513" s="572"/>
      <c r="AF513" s="572"/>
    </row>
    <row r="514" spans="1:32">
      <c r="A514" s="947">
        <f t="shared" si="87"/>
        <v>507</v>
      </c>
      <c r="B514" s="948">
        <v>14</v>
      </c>
      <c r="C514" s="949">
        <v>31922</v>
      </c>
      <c r="D514" s="949" t="s">
        <v>177</v>
      </c>
      <c r="E514" s="904">
        <v>25</v>
      </c>
      <c r="F514" s="644">
        <v>1987</v>
      </c>
      <c r="G514" s="948" t="s">
        <v>145</v>
      </c>
      <c r="H514" s="645" t="s">
        <v>149</v>
      </c>
      <c r="I514" s="951">
        <v>50</v>
      </c>
      <c r="J514" s="951">
        <v>0.1</v>
      </c>
      <c r="K514" s="952">
        <f t="shared" si="85"/>
        <v>2.840909090909091E-3</v>
      </c>
      <c r="L514" s="644">
        <f t="shared" si="88"/>
        <v>20</v>
      </c>
      <c r="M514" s="935">
        <v>0.83888888888888891</v>
      </c>
      <c r="N514" s="936">
        <f t="shared" si="78"/>
        <v>0.83888888888888891</v>
      </c>
      <c r="O514" s="725"/>
      <c r="P514" s="725">
        <f t="shared" si="81"/>
        <v>-0.83888888888888891</v>
      </c>
      <c r="Q514" s="380" t="s">
        <v>1223</v>
      </c>
      <c r="R514" s="37"/>
      <c r="S514" s="37" t="str">
        <f t="shared" si="79"/>
        <v>RandallF0</v>
      </c>
      <c r="T514" s="37" t="str">
        <f t="shared" si="82"/>
        <v>1987F0</v>
      </c>
      <c r="U514" s="429">
        <v>50</v>
      </c>
      <c r="V514" s="1029">
        <v>0.1</v>
      </c>
      <c r="W514" s="598">
        <v>2E-3</v>
      </c>
      <c r="X514" s="429"/>
      <c r="Y514" s="37" t="str">
        <f t="shared" si="83"/>
        <v>F050</v>
      </c>
      <c r="Z514" s="37" t="str">
        <f t="shared" si="84"/>
        <v>F00.1</v>
      </c>
      <c r="AA514" s="37" t="str">
        <f t="shared" si="86"/>
        <v>F00.002</v>
      </c>
      <c r="AB514" s="498" t="str">
        <f t="shared" si="80"/>
        <v>F020</v>
      </c>
      <c r="AC514" s="572"/>
      <c r="AD514" s="572"/>
      <c r="AE514" s="572"/>
      <c r="AF514" s="572"/>
    </row>
    <row r="515" spans="1:32">
      <c r="A515" s="947">
        <f t="shared" si="87"/>
        <v>508</v>
      </c>
      <c r="B515" s="948">
        <v>15</v>
      </c>
      <c r="C515" s="949">
        <v>31922</v>
      </c>
      <c r="D515" s="949" t="s">
        <v>177</v>
      </c>
      <c r="E515" s="904">
        <v>25</v>
      </c>
      <c r="F515" s="644">
        <v>1987</v>
      </c>
      <c r="G515" s="948" t="s">
        <v>145</v>
      </c>
      <c r="H515" s="645" t="s">
        <v>149</v>
      </c>
      <c r="I515" s="951">
        <v>60</v>
      </c>
      <c r="J515" s="951">
        <v>3</v>
      </c>
      <c r="K515" s="952">
        <f t="shared" si="85"/>
        <v>0.10227272727272727</v>
      </c>
      <c r="L515" s="644">
        <f t="shared" si="88"/>
        <v>20</v>
      </c>
      <c r="M515" s="935">
        <v>0.84722222222222221</v>
      </c>
      <c r="N515" s="936">
        <f t="shared" si="78"/>
        <v>0.84722222222222221</v>
      </c>
      <c r="O515" s="725"/>
      <c r="P515" s="725">
        <f t="shared" si="81"/>
        <v>-0.84722222222222221</v>
      </c>
      <c r="Q515" s="622" t="s">
        <v>1222</v>
      </c>
      <c r="R515" s="37"/>
      <c r="S515" s="37" t="str">
        <f t="shared" si="79"/>
        <v>RandallF0</v>
      </c>
      <c r="T515" s="37" t="str">
        <f t="shared" si="82"/>
        <v>1987F0</v>
      </c>
      <c r="U515" s="429">
        <v>50</v>
      </c>
      <c r="V515" s="1029">
        <v>2</v>
      </c>
      <c r="W515" s="598">
        <v>0.1</v>
      </c>
      <c r="X515" s="429"/>
      <c r="Y515" s="37" t="str">
        <f t="shared" si="83"/>
        <v>F050</v>
      </c>
      <c r="Z515" s="37" t="str">
        <f t="shared" si="84"/>
        <v>F02</v>
      </c>
      <c r="AA515" s="37" t="str">
        <f t="shared" si="86"/>
        <v>F00.1</v>
      </c>
      <c r="AB515" s="498" t="str">
        <f t="shared" si="80"/>
        <v>F020</v>
      </c>
      <c r="AC515" s="572"/>
      <c r="AD515" s="572"/>
      <c r="AE515" s="572"/>
      <c r="AF515" s="572"/>
    </row>
    <row r="516" spans="1:32">
      <c r="A516" s="947">
        <f t="shared" si="87"/>
        <v>509</v>
      </c>
      <c r="B516" s="948">
        <v>16</v>
      </c>
      <c r="C516" s="949">
        <v>31922</v>
      </c>
      <c r="D516" s="949" t="s">
        <v>177</v>
      </c>
      <c r="E516" s="904">
        <v>25</v>
      </c>
      <c r="F516" s="644">
        <v>1987</v>
      </c>
      <c r="G516" s="948" t="s">
        <v>145</v>
      </c>
      <c r="H516" s="645" t="s">
        <v>151</v>
      </c>
      <c r="I516" s="951">
        <v>150</v>
      </c>
      <c r="J516" s="951">
        <v>2</v>
      </c>
      <c r="K516" s="952">
        <f t="shared" si="85"/>
        <v>0.17045454545454544</v>
      </c>
      <c r="L516" s="644">
        <f t="shared" si="88"/>
        <v>21</v>
      </c>
      <c r="M516" s="935">
        <v>0.875</v>
      </c>
      <c r="N516" s="936">
        <f t="shared" si="78"/>
        <v>0.875</v>
      </c>
      <c r="O516" s="725"/>
      <c r="P516" s="725">
        <f t="shared" si="81"/>
        <v>-0.875</v>
      </c>
      <c r="Q516" s="622" t="s">
        <v>1224</v>
      </c>
      <c r="R516" s="37"/>
      <c r="S516" s="37" t="str">
        <f t="shared" si="79"/>
        <v>RandallF2</v>
      </c>
      <c r="T516" s="37" t="str">
        <f t="shared" si="82"/>
        <v>1987F2</v>
      </c>
      <c r="U516" s="429">
        <v>100</v>
      </c>
      <c r="V516" s="1029">
        <v>2</v>
      </c>
      <c r="W516" s="598">
        <v>0.1</v>
      </c>
      <c r="X516" s="429"/>
      <c r="Y516" s="37" t="str">
        <f t="shared" si="83"/>
        <v>F2100</v>
      </c>
      <c r="Z516" s="37" t="str">
        <f t="shared" si="84"/>
        <v>F22</v>
      </c>
      <c r="AA516" s="37" t="str">
        <f t="shared" si="86"/>
        <v>F20.1</v>
      </c>
      <c r="AB516" s="498" t="str">
        <f t="shared" si="80"/>
        <v>F221</v>
      </c>
      <c r="AC516" s="572"/>
      <c r="AD516" s="572"/>
      <c r="AE516" s="572"/>
      <c r="AF516" s="572"/>
    </row>
    <row r="517" spans="1:32">
      <c r="A517" s="947">
        <f t="shared" si="87"/>
        <v>510</v>
      </c>
      <c r="B517" s="948">
        <v>17</v>
      </c>
      <c r="C517" s="949">
        <v>31922</v>
      </c>
      <c r="D517" s="949" t="s">
        <v>177</v>
      </c>
      <c r="E517" s="904">
        <v>25</v>
      </c>
      <c r="F517" s="644">
        <v>1987</v>
      </c>
      <c r="G517" s="948" t="s">
        <v>140</v>
      </c>
      <c r="H517" s="645" t="s">
        <v>149</v>
      </c>
      <c r="I517" s="951">
        <v>40</v>
      </c>
      <c r="J517" s="951">
        <v>0.1</v>
      </c>
      <c r="K517" s="952">
        <f t="shared" si="85"/>
        <v>2.2727272727272731E-3</v>
      </c>
      <c r="L517" s="644">
        <f t="shared" si="88"/>
        <v>21</v>
      </c>
      <c r="M517" s="935">
        <v>0.89583333333333337</v>
      </c>
      <c r="N517" s="936">
        <f t="shared" si="78"/>
        <v>0.89583333333333337</v>
      </c>
      <c r="O517" s="725">
        <v>0.92013888888888884</v>
      </c>
      <c r="P517" s="725">
        <f t="shared" si="81"/>
        <v>2.4305555555555469E-2</v>
      </c>
      <c r="Q517" s="622" t="s">
        <v>1225</v>
      </c>
      <c r="R517" s="37"/>
      <c r="S517" s="37" t="str">
        <f t="shared" si="79"/>
        <v>PotterF0</v>
      </c>
      <c r="T517" s="37" t="str">
        <f t="shared" si="82"/>
        <v>1987F0</v>
      </c>
      <c r="U517" s="429">
        <v>20</v>
      </c>
      <c r="V517" s="1029">
        <v>0.1</v>
      </c>
      <c r="W517" s="598">
        <v>2E-3</v>
      </c>
      <c r="X517" s="429"/>
      <c r="Y517" s="37" t="str">
        <f t="shared" si="83"/>
        <v>F020</v>
      </c>
      <c r="Z517" s="37" t="str">
        <f t="shared" si="84"/>
        <v>F00.1</v>
      </c>
      <c r="AA517" s="37" t="str">
        <f t="shared" si="86"/>
        <v>F00.002</v>
      </c>
      <c r="AB517" s="498" t="str">
        <f t="shared" si="80"/>
        <v>F021</v>
      </c>
      <c r="AC517" s="572"/>
      <c r="AD517" s="572"/>
      <c r="AE517" s="572"/>
      <c r="AF517" s="572"/>
    </row>
    <row r="518" spans="1:32">
      <c r="A518" s="947">
        <f t="shared" si="87"/>
        <v>511</v>
      </c>
      <c r="B518" s="948">
        <v>18</v>
      </c>
      <c r="C518" s="949">
        <v>31923</v>
      </c>
      <c r="D518" s="949" t="s">
        <v>177</v>
      </c>
      <c r="E518" s="904">
        <v>26</v>
      </c>
      <c r="F518" s="644">
        <v>1987</v>
      </c>
      <c r="G518" s="948" t="s">
        <v>127</v>
      </c>
      <c r="H518" s="645" t="s">
        <v>149</v>
      </c>
      <c r="I518" s="951">
        <v>30</v>
      </c>
      <c r="J518" s="951">
        <v>0.1</v>
      </c>
      <c r="K518" s="952">
        <f t="shared" si="85"/>
        <v>1.7045454545454545E-3</v>
      </c>
      <c r="L518" s="644">
        <f t="shared" si="88"/>
        <v>22</v>
      </c>
      <c r="M518" s="935">
        <v>0.92013888888888884</v>
      </c>
      <c r="N518" s="936">
        <f t="shared" si="78"/>
        <v>0.92013888888888884</v>
      </c>
      <c r="O518" s="725"/>
      <c r="P518" s="725">
        <f t="shared" si="81"/>
        <v>-0.92013888888888884</v>
      </c>
      <c r="Q518" s="622"/>
      <c r="R518" s="37"/>
      <c r="S518" s="37" t="str">
        <f t="shared" si="79"/>
        <v>TexasF0</v>
      </c>
      <c r="T518" s="37" t="str">
        <f t="shared" si="82"/>
        <v>1987F0</v>
      </c>
      <c r="U518" s="429">
        <v>20</v>
      </c>
      <c r="V518" s="1029">
        <v>0.1</v>
      </c>
      <c r="W518" s="598">
        <v>2E-3</v>
      </c>
      <c r="X518" s="429"/>
      <c r="Y518" s="37" t="str">
        <f t="shared" si="83"/>
        <v>F020</v>
      </c>
      <c r="Z518" s="37" t="str">
        <f t="shared" si="84"/>
        <v>F00.1</v>
      </c>
      <c r="AA518" s="37" t="str">
        <f t="shared" si="86"/>
        <v>F00.002</v>
      </c>
      <c r="AB518" s="498" t="str">
        <f t="shared" si="80"/>
        <v>F022</v>
      </c>
      <c r="AC518" s="572"/>
      <c r="AD518" s="572"/>
      <c r="AE518" s="572"/>
      <c r="AF518" s="572"/>
    </row>
    <row r="519" spans="1:32">
      <c r="A519" s="947">
        <f t="shared" si="87"/>
        <v>512</v>
      </c>
      <c r="B519" s="948">
        <v>19</v>
      </c>
      <c r="C519" s="949">
        <v>31927</v>
      </c>
      <c r="D519" s="949" t="s">
        <v>177</v>
      </c>
      <c r="E519" s="904">
        <v>30</v>
      </c>
      <c r="F519" s="644">
        <v>1987</v>
      </c>
      <c r="G519" s="948" t="s">
        <v>131</v>
      </c>
      <c r="H519" s="645" t="s">
        <v>150</v>
      </c>
      <c r="I519" s="951">
        <v>70</v>
      </c>
      <c r="J519" s="951">
        <v>4</v>
      </c>
      <c r="K519" s="952">
        <f t="shared" si="85"/>
        <v>0.15909090909090909</v>
      </c>
      <c r="L519" s="644">
        <f t="shared" si="88"/>
        <v>20</v>
      </c>
      <c r="M519" s="935">
        <v>0.84513888888888899</v>
      </c>
      <c r="N519" s="936">
        <f t="shared" ref="N519:N582" si="89">+M519</f>
        <v>0.84513888888888899</v>
      </c>
      <c r="O519" s="725"/>
      <c r="P519" s="725">
        <f t="shared" si="81"/>
        <v>-0.84513888888888899</v>
      </c>
      <c r="Q519" s="622"/>
      <c r="R519" s="37"/>
      <c r="S519" s="37" t="str">
        <f t="shared" ref="S519:S582" si="90">CONCATENATE(G519,H519)</f>
        <v>HansfordF1</v>
      </c>
      <c r="T519" s="37" t="str">
        <f t="shared" si="82"/>
        <v>1987F1</v>
      </c>
      <c r="U519" s="429">
        <v>50</v>
      </c>
      <c r="V519" s="1029">
        <v>2</v>
      </c>
      <c r="W519" s="598">
        <v>0.1</v>
      </c>
      <c r="X519" s="429"/>
      <c r="Y519" s="37" t="str">
        <f t="shared" si="83"/>
        <v>F150</v>
      </c>
      <c r="Z519" s="37" t="str">
        <f t="shared" si="84"/>
        <v>F12</v>
      </c>
      <c r="AA519" s="37" t="str">
        <f t="shared" si="86"/>
        <v>F10.1</v>
      </c>
      <c r="AB519" s="498" t="str">
        <f t="shared" ref="AB519:AB582" si="91">CONCATENATE(H519,L519)</f>
        <v>F120</v>
      </c>
      <c r="AC519" s="572"/>
      <c r="AD519" s="572"/>
      <c r="AE519" s="572"/>
      <c r="AF519" s="572"/>
    </row>
    <row r="520" spans="1:32">
      <c r="A520" s="947">
        <f t="shared" si="87"/>
        <v>513</v>
      </c>
      <c r="B520" s="948">
        <v>20</v>
      </c>
      <c r="C520" s="949">
        <v>31930</v>
      </c>
      <c r="D520" s="949" t="s">
        <v>178</v>
      </c>
      <c r="E520" s="904">
        <v>2</v>
      </c>
      <c r="F520" s="644">
        <v>1987</v>
      </c>
      <c r="G520" s="948" t="s">
        <v>133</v>
      </c>
      <c r="H520" s="645" t="s">
        <v>151</v>
      </c>
      <c r="I520" s="951">
        <v>1600</v>
      </c>
      <c r="J520" s="951">
        <v>6</v>
      </c>
      <c r="K520" s="952">
        <f t="shared" si="85"/>
        <v>5.4545454545454541</v>
      </c>
      <c r="L520" s="644">
        <f t="shared" si="88"/>
        <v>14</v>
      </c>
      <c r="M520" s="935">
        <v>0.59722222222222221</v>
      </c>
      <c r="N520" s="936">
        <f t="shared" si="89"/>
        <v>0.59722222222222221</v>
      </c>
      <c r="O520" s="725"/>
      <c r="P520" s="725">
        <f t="shared" ref="P520:P583" si="92">+O520-N520</f>
        <v>-0.59722222222222221</v>
      </c>
      <c r="Q520" s="622"/>
      <c r="R520" s="37"/>
      <c r="S520" s="37" t="str">
        <f t="shared" si="90"/>
        <v>LipscombF2</v>
      </c>
      <c r="T520" s="37" t="str">
        <f t="shared" ref="T520:T583" si="93">CONCATENATE(F520,H520)</f>
        <v>1987F2</v>
      </c>
      <c r="U520" s="429">
        <v>1000</v>
      </c>
      <c r="V520" s="1029">
        <v>5</v>
      </c>
      <c r="W520" s="598">
        <v>5</v>
      </c>
      <c r="X520" s="429"/>
      <c r="Y520" s="37" t="str">
        <f t="shared" ref="Y520:Y583" si="94">CONCATENATE(H520,U520)</f>
        <v>F21000</v>
      </c>
      <c r="Z520" s="37" t="str">
        <f t="shared" ref="Z520:Z583" si="95">CONCATENATE(H520,V520)</f>
        <v>F25</v>
      </c>
      <c r="AA520" s="37" t="str">
        <f t="shared" si="86"/>
        <v>F25</v>
      </c>
      <c r="AB520" s="498" t="str">
        <f t="shared" si="91"/>
        <v>F214</v>
      </c>
      <c r="AC520" s="572"/>
      <c r="AD520" s="572"/>
      <c r="AE520" s="572"/>
      <c r="AF520" s="572"/>
    </row>
    <row r="521" spans="1:32">
      <c r="A521" s="947">
        <f t="shared" si="87"/>
        <v>514</v>
      </c>
      <c r="B521" s="948">
        <v>21</v>
      </c>
      <c r="C521" s="949">
        <v>31930</v>
      </c>
      <c r="D521" s="949" t="s">
        <v>178</v>
      </c>
      <c r="E521" s="904">
        <v>2</v>
      </c>
      <c r="F521" s="644">
        <v>1987</v>
      </c>
      <c r="G521" s="948" t="s">
        <v>133</v>
      </c>
      <c r="H521" s="645" t="s">
        <v>151</v>
      </c>
      <c r="I521" s="951">
        <v>1600</v>
      </c>
      <c r="J521" s="951">
        <v>7.5</v>
      </c>
      <c r="K521" s="952">
        <f t="shared" ref="K521:K584" si="96">+(I521/1760)*J521</f>
        <v>6.8181818181818183</v>
      </c>
      <c r="L521" s="644">
        <f t="shared" si="88"/>
        <v>15</v>
      </c>
      <c r="M521" s="935">
        <v>0.63541666666666663</v>
      </c>
      <c r="N521" s="936">
        <f t="shared" si="89"/>
        <v>0.63541666666666663</v>
      </c>
      <c r="O521" s="725"/>
      <c r="P521" s="725">
        <f t="shared" si="92"/>
        <v>-0.63541666666666663</v>
      </c>
      <c r="Q521" s="622"/>
      <c r="R521" s="37"/>
      <c r="S521" s="37" t="str">
        <f t="shared" si="90"/>
        <v>LipscombF2</v>
      </c>
      <c r="T521" s="37" t="str">
        <f t="shared" si="93"/>
        <v>1987F2</v>
      </c>
      <c r="U521" s="429">
        <v>1000</v>
      </c>
      <c r="V521" s="1029">
        <v>5</v>
      </c>
      <c r="W521" s="598">
        <v>5</v>
      </c>
      <c r="X521" s="429"/>
      <c r="Y521" s="37" t="str">
        <f t="shared" si="94"/>
        <v>F21000</v>
      </c>
      <c r="Z521" s="37" t="str">
        <f t="shared" si="95"/>
        <v>F25</v>
      </c>
      <c r="AA521" s="37" t="str">
        <f t="shared" ref="AA521:AA584" si="97">CONCATENATE(H521,W521)</f>
        <v>F25</v>
      </c>
      <c r="AB521" s="498" t="str">
        <f t="shared" si="91"/>
        <v>F215</v>
      </c>
      <c r="AC521" s="572"/>
      <c r="AD521" s="572"/>
      <c r="AE521" s="572"/>
      <c r="AF521" s="572"/>
    </row>
    <row r="522" spans="1:32">
      <c r="A522" s="947">
        <f t="shared" ref="A522:A585" si="98">+A521+1</f>
        <v>515</v>
      </c>
      <c r="B522" s="948">
        <v>22</v>
      </c>
      <c r="C522" s="949">
        <v>31930</v>
      </c>
      <c r="D522" s="949" t="s">
        <v>178</v>
      </c>
      <c r="E522" s="904">
        <v>2</v>
      </c>
      <c r="F522" s="644">
        <v>1987</v>
      </c>
      <c r="G522" s="948" t="s">
        <v>140</v>
      </c>
      <c r="H522" s="645" t="s">
        <v>150</v>
      </c>
      <c r="I522" s="951">
        <v>100</v>
      </c>
      <c r="J522" s="951">
        <v>3</v>
      </c>
      <c r="K522" s="952">
        <f t="shared" si="96"/>
        <v>0.17045454545454544</v>
      </c>
      <c r="L522" s="644">
        <f t="shared" si="88"/>
        <v>18</v>
      </c>
      <c r="M522" s="935">
        <v>0.77777777777777779</v>
      </c>
      <c r="N522" s="936">
        <f t="shared" si="89"/>
        <v>0.77777777777777779</v>
      </c>
      <c r="O522" s="725"/>
      <c r="P522" s="725">
        <f t="shared" si="92"/>
        <v>-0.77777777777777779</v>
      </c>
      <c r="Q522" s="622"/>
      <c r="R522" s="37"/>
      <c r="S522" s="37" t="str">
        <f t="shared" si="90"/>
        <v>PotterF1</v>
      </c>
      <c r="T522" s="37" t="str">
        <f t="shared" si="93"/>
        <v>1987F1</v>
      </c>
      <c r="U522" s="429">
        <v>100</v>
      </c>
      <c r="V522" s="1029">
        <v>2</v>
      </c>
      <c r="W522" s="598">
        <v>0.1</v>
      </c>
      <c r="X522" s="429"/>
      <c r="Y522" s="37" t="str">
        <f t="shared" si="94"/>
        <v>F1100</v>
      </c>
      <c r="Z522" s="37" t="str">
        <f t="shared" si="95"/>
        <v>F12</v>
      </c>
      <c r="AA522" s="37" t="str">
        <f t="shared" si="97"/>
        <v>F10.1</v>
      </c>
      <c r="AB522" s="498" t="str">
        <f t="shared" si="91"/>
        <v>F118</v>
      </c>
      <c r="AC522" s="572"/>
      <c r="AD522" s="572"/>
      <c r="AE522" s="572"/>
      <c r="AF522" s="572"/>
    </row>
    <row r="523" spans="1:32">
      <c r="A523" s="947">
        <f t="shared" si="98"/>
        <v>516</v>
      </c>
      <c r="B523" s="948">
        <v>23</v>
      </c>
      <c r="C523" s="949">
        <v>31930</v>
      </c>
      <c r="D523" s="949" t="s">
        <v>178</v>
      </c>
      <c r="E523" s="904">
        <v>2</v>
      </c>
      <c r="F523" s="644">
        <v>1987</v>
      </c>
      <c r="G523" s="948" t="s">
        <v>140</v>
      </c>
      <c r="H523" s="645" t="s">
        <v>149</v>
      </c>
      <c r="I523" s="951">
        <v>40</v>
      </c>
      <c r="J523" s="951">
        <v>0.1</v>
      </c>
      <c r="K523" s="952">
        <f t="shared" si="96"/>
        <v>2.2727272727272731E-3</v>
      </c>
      <c r="L523" s="644">
        <f t="shared" si="88"/>
        <v>19</v>
      </c>
      <c r="M523" s="935">
        <v>0.80555555555555547</v>
      </c>
      <c r="N523" s="936">
        <f t="shared" si="89"/>
        <v>0.80555555555555547</v>
      </c>
      <c r="O523" s="725"/>
      <c r="P523" s="725">
        <f t="shared" si="92"/>
        <v>-0.80555555555555547</v>
      </c>
      <c r="Q523" s="622"/>
      <c r="R523" s="37"/>
      <c r="S523" s="37" t="str">
        <f t="shared" si="90"/>
        <v>PotterF0</v>
      </c>
      <c r="T523" s="37" t="str">
        <f t="shared" si="93"/>
        <v>1987F0</v>
      </c>
      <c r="U523" s="429">
        <v>20</v>
      </c>
      <c r="V523" s="1029">
        <v>0.1</v>
      </c>
      <c r="W523" s="598">
        <v>2E-3</v>
      </c>
      <c r="X523" s="429"/>
      <c r="Y523" s="37" t="str">
        <f t="shared" si="94"/>
        <v>F020</v>
      </c>
      <c r="Z523" s="37" t="str">
        <f t="shared" si="95"/>
        <v>F00.1</v>
      </c>
      <c r="AA523" s="37" t="str">
        <f t="shared" si="97"/>
        <v>F00.002</v>
      </c>
      <c r="AB523" s="498" t="str">
        <f t="shared" si="91"/>
        <v>F019</v>
      </c>
      <c r="AC523" s="572"/>
      <c r="AD523" s="572"/>
      <c r="AE523" s="572"/>
      <c r="AF523" s="572"/>
    </row>
    <row r="524" spans="1:32">
      <c r="A524" s="947">
        <f t="shared" si="98"/>
        <v>517</v>
      </c>
      <c r="B524" s="948">
        <v>24</v>
      </c>
      <c r="C524" s="949">
        <v>31939</v>
      </c>
      <c r="D524" s="949" t="s">
        <v>178</v>
      </c>
      <c r="E524" s="904">
        <v>11</v>
      </c>
      <c r="F524" s="644">
        <v>1987</v>
      </c>
      <c r="G524" s="948" t="s">
        <v>132</v>
      </c>
      <c r="H524" s="645" t="s">
        <v>150</v>
      </c>
      <c r="I524" s="951">
        <v>60</v>
      </c>
      <c r="J524" s="951">
        <v>1.5</v>
      </c>
      <c r="K524" s="952">
        <f t="shared" si="96"/>
        <v>5.1136363636363633E-2</v>
      </c>
      <c r="L524" s="644">
        <f t="shared" si="88"/>
        <v>17</v>
      </c>
      <c r="M524" s="935">
        <v>0.72222222222222221</v>
      </c>
      <c r="N524" s="936">
        <f t="shared" si="89"/>
        <v>0.72222222222222221</v>
      </c>
      <c r="O524" s="725"/>
      <c r="P524" s="725">
        <f t="shared" si="92"/>
        <v>-0.72222222222222221</v>
      </c>
      <c r="Q524" s="622"/>
      <c r="R524" s="37"/>
      <c r="S524" s="37" t="str">
        <f t="shared" si="90"/>
        <v>OchiltreeF1</v>
      </c>
      <c r="T524" s="37" t="str">
        <f t="shared" si="93"/>
        <v>1987F1</v>
      </c>
      <c r="U524" s="429">
        <v>50</v>
      </c>
      <c r="V524" s="1029">
        <v>1</v>
      </c>
      <c r="W524" s="598">
        <v>0.05</v>
      </c>
      <c r="X524" s="429"/>
      <c r="Y524" s="37" t="str">
        <f t="shared" si="94"/>
        <v>F150</v>
      </c>
      <c r="Z524" s="37" t="str">
        <f t="shared" si="95"/>
        <v>F11</v>
      </c>
      <c r="AA524" s="37" t="str">
        <f t="shared" si="97"/>
        <v>F10.05</v>
      </c>
      <c r="AB524" s="498" t="str">
        <f t="shared" si="91"/>
        <v>F117</v>
      </c>
      <c r="AC524" s="572"/>
      <c r="AD524" s="572"/>
      <c r="AE524" s="572"/>
      <c r="AF524" s="572"/>
    </row>
    <row r="525" spans="1:32">
      <c r="A525" s="947">
        <f t="shared" si="98"/>
        <v>518</v>
      </c>
      <c r="B525" s="948">
        <v>25</v>
      </c>
      <c r="C525" s="949">
        <v>31957</v>
      </c>
      <c r="D525" s="949" t="s">
        <v>178</v>
      </c>
      <c r="E525" s="904">
        <v>29</v>
      </c>
      <c r="F525" s="644">
        <v>1987</v>
      </c>
      <c r="G525" s="948" t="s">
        <v>132</v>
      </c>
      <c r="H525" s="645" t="s">
        <v>149</v>
      </c>
      <c r="I525" s="951">
        <v>40</v>
      </c>
      <c r="J525" s="951">
        <v>0.1</v>
      </c>
      <c r="K525" s="952">
        <f t="shared" si="96"/>
        <v>2.2727272727272731E-3</v>
      </c>
      <c r="L525" s="644">
        <f t="shared" si="88"/>
        <v>14</v>
      </c>
      <c r="M525" s="935">
        <v>0.60763888888888895</v>
      </c>
      <c r="N525" s="936">
        <f t="shared" si="89"/>
        <v>0.60763888888888895</v>
      </c>
      <c r="O525" s="725"/>
      <c r="P525" s="725">
        <f t="shared" si="92"/>
        <v>-0.60763888888888895</v>
      </c>
      <c r="Q525" s="622"/>
      <c r="R525" s="37"/>
      <c r="S525" s="37" t="str">
        <f t="shared" si="90"/>
        <v>OchiltreeF0</v>
      </c>
      <c r="T525" s="37" t="str">
        <f t="shared" si="93"/>
        <v>1987F0</v>
      </c>
      <c r="U525" s="429">
        <v>20</v>
      </c>
      <c r="V525" s="1029">
        <v>0.1</v>
      </c>
      <c r="W525" s="598">
        <v>2E-3</v>
      </c>
      <c r="X525" s="429"/>
      <c r="Y525" s="37" t="str">
        <f t="shared" si="94"/>
        <v>F020</v>
      </c>
      <c r="Z525" s="37" t="str">
        <f t="shared" si="95"/>
        <v>F00.1</v>
      </c>
      <c r="AA525" s="37" t="str">
        <f t="shared" si="97"/>
        <v>F00.002</v>
      </c>
      <c r="AB525" s="498" t="str">
        <f t="shared" si="91"/>
        <v>F014</v>
      </c>
      <c r="AC525" s="572"/>
      <c r="AD525" s="572"/>
      <c r="AE525" s="572"/>
      <c r="AF525" s="572"/>
    </row>
    <row r="526" spans="1:32">
      <c r="A526" s="947">
        <f t="shared" si="98"/>
        <v>519</v>
      </c>
      <c r="B526" s="948">
        <v>26</v>
      </c>
      <c r="C526" s="949">
        <v>31959</v>
      </c>
      <c r="D526" s="949" t="s">
        <v>179</v>
      </c>
      <c r="E526" s="904">
        <v>1</v>
      </c>
      <c r="F526" s="644">
        <v>1987</v>
      </c>
      <c r="G526" s="948" t="s">
        <v>136</v>
      </c>
      <c r="H526" s="645" t="s">
        <v>150</v>
      </c>
      <c r="I526" s="951">
        <v>80</v>
      </c>
      <c r="J526" s="951">
        <v>3</v>
      </c>
      <c r="K526" s="952">
        <f t="shared" si="96"/>
        <v>0.13636363636363635</v>
      </c>
      <c r="L526" s="644">
        <f t="shared" si="88"/>
        <v>19</v>
      </c>
      <c r="M526" s="935">
        <v>0.79513888888888884</v>
      </c>
      <c r="N526" s="936">
        <f t="shared" si="89"/>
        <v>0.79513888888888884</v>
      </c>
      <c r="O526" s="725"/>
      <c r="P526" s="725">
        <f t="shared" si="92"/>
        <v>-0.79513888888888884</v>
      </c>
      <c r="Q526" s="622" t="s">
        <v>1226</v>
      </c>
      <c r="R526" s="37"/>
      <c r="S526" s="37" t="str">
        <f t="shared" si="90"/>
        <v>HutchinsonF1</v>
      </c>
      <c r="T526" s="37" t="str">
        <f t="shared" si="93"/>
        <v>1987F1</v>
      </c>
      <c r="U526" s="429">
        <v>50</v>
      </c>
      <c r="V526" s="1029">
        <v>2</v>
      </c>
      <c r="W526" s="598">
        <v>0.1</v>
      </c>
      <c r="X526" s="429"/>
      <c r="Y526" s="37" t="str">
        <f t="shared" si="94"/>
        <v>F150</v>
      </c>
      <c r="Z526" s="37" t="str">
        <f t="shared" si="95"/>
        <v>F12</v>
      </c>
      <c r="AA526" s="37" t="str">
        <f t="shared" si="97"/>
        <v>F10.1</v>
      </c>
      <c r="AB526" s="498" t="str">
        <f t="shared" si="91"/>
        <v>F119</v>
      </c>
      <c r="AC526" s="572"/>
      <c r="AD526" s="572"/>
      <c r="AE526" s="572"/>
      <c r="AF526" s="572"/>
    </row>
    <row r="527" spans="1:32">
      <c r="A527" s="947">
        <f t="shared" si="98"/>
        <v>520</v>
      </c>
      <c r="B527" s="948">
        <v>27</v>
      </c>
      <c r="C527" s="949">
        <v>31959</v>
      </c>
      <c r="D527" s="949" t="s">
        <v>179</v>
      </c>
      <c r="E527" s="904">
        <v>1</v>
      </c>
      <c r="F527" s="644">
        <v>1987</v>
      </c>
      <c r="G527" s="948" t="s">
        <v>141</v>
      </c>
      <c r="H527" s="645" t="s">
        <v>151</v>
      </c>
      <c r="I527" s="951">
        <v>200</v>
      </c>
      <c r="J527" s="951">
        <v>4.5</v>
      </c>
      <c r="K527" s="952">
        <f t="shared" si="96"/>
        <v>0.51136363636363635</v>
      </c>
      <c r="L527" s="644">
        <f t="shared" si="88"/>
        <v>19</v>
      </c>
      <c r="M527" s="935">
        <v>0.8125</v>
      </c>
      <c r="N527" s="936">
        <f t="shared" si="89"/>
        <v>0.8125</v>
      </c>
      <c r="O527" s="725"/>
      <c r="P527" s="725">
        <f t="shared" si="92"/>
        <v>-0.8125</v>
      </c>
      <c r="Q527" s="622" t="s">
        <v>1227</v>
      </c>
      <c r="R527" s="37"/>
      <c r="S527" s="37" t="str">
        <f t="shared" si="90"/>
        <v>CarsonF2</v>
      </c>
      <c r="T527" s="37" t="str">
        <f t="shared" si="93"/>
        <v>1987F2</v>
      </c>
      <c r="U527" s="429">
        <v>200</v>
      </c>
      <c r="V527" s="1029">
        <v>2</v>
      </c>
      <c r="W527" s="598">
        <v>0.5</v>
      </c>
      <c r="X527" s="429"/>
      <c r="Y527" s="37" t="str">
        <f t="shared" si="94"/>
        <v>F2200</v>
      </c>
      <c r="Z527" s="37" t="str">
        <f t="shared" si="95"/>
        <v>F22</v>
      </c>
      <c r="AA527" s="37" t="str">
        <f t="shared" si="97"/>
        <v>F20.5</v>
      </c>
      <c r="AB527" s="498" t="str">
        <f t="shared" si="91"/>
        <v>F219</v>
      </c>
      <c r="AC527" s="572"/>
      <c r="AD527" s="572"/>
      <c r="AE527" s="572"/>
      <c r="AF527" s="572"/>
    </row>
    <row r="528" spans="1:32" ht="25.5">
      <c r="A528" s="947">
        <f t="shared" si="98"/>
        <v>521</v>
      </c>
      <c r="B528" s="948">
        <v>28</v>
      </c>
      <c r="C528" s="949">
        <v>31959</v>
      </c>
      <c r="D528" s="949" t="s">
        <v>179</v>
      </c>
      <c r="E528" s="904">
        <v>1</v>
      </c>
      <c r="F528" s="644">
        <v>1987</v>
      </c>
      <c r="G528" s="948" t="s">
        <v>141</v>
      </c>
      <c r="H528" s="645" t="s">
        <v>151</v>
      </c>
      <c r="I528" s="951">
        <v>150</v>
      </c>
      <c r="J528" s="951">
        <v>3</v>
      </c>
      <c r="K528" s="952">
        <f t="shared" si="96"/>
        <v>0.25568181818181818</v>
      </c>
      <c r="L528" s="644">
        <f t="shared" si="88"/>
        <v>20</v>
      </c>
      <c r="M528" s="935">
        <v>0.87291666666666667</v>
      </c>
      <c r="N528" s="936">
        <f t="shared" si="89"/>
        <v>0.87291666666666667</v>
      </c>
      <c r="O528" s="935">
        <v>0.88194444444444453</v>
      </c>
      <c r="P528" s="725">
        <f t="shared" si="92"/>
        <v>9.0277777777778567E-3</v>
      </c>
      <c r="Q528" s="622" t="s">
        <v>1228</v>
      </c>
      <c r="R528" s="37"/>
      <c r="S528" s="37" t="str">
        <f t="shared" si="90"/>
        <v>CarsonF2</v>
      </c>
      <c r="T528" s="37" t="str">
        <f t="shared" si="93"/>
        <v>1987F2</v>
      </c>
      <c r="U528" s="429">
        <v>100</v>
      </c>
      <c r="V528" s="1029">
        <v>2</v>
      </c>
      <c r="W528" s="598">
        <v>0.2</v>
      </c>
      <c r="X528" s="429"/>
      <c r="Y528" s="37" t="str">
        <f t="shared" si="94"/>
        <v>F2100</v>
      </c>
      <c r="Z528" s="37" t="str">
        <f t="shared" si="95"/>
        <v>F22</v>
      </c>
      <c r="AA528" s="37" t="str">
        <f t="shared" si="97"/>
        <v>F20.2</v>
      </c>
      <c r="AB528" s="498" t="str">
        <f t="shared" si="91"/>
        <v>F220</v>
      </c>
      <c r="AC528" s="572"/>
      <c r="AD528" s="572"/>
      <c r="AE528" s="572"/>
      <c r="AF528" s="572"/>
    </row>
    <row r="529" spans="1:32" ht="28.5" customHeight="1">
      <c r="A529" s="947">
        <f t="shared" si="98"/>
        <v>522</v>
      </c>
      <c r="B529" s="948">
        <v>29</v>
      </c>
      <c r="C529" s="949">
        <v>31959</v>
      </c>
      <c r="D529" s="949" t="s">
        <v>179</v>
      </c>
      <c r="E529" s="904">
        <v>1</v>
      </c>
      <c r="F529" s="644">
        <v>1987</v>
      </c>
      <c r="G529" s="948" t="s">
        <v>146</v>
      </c>
      <c r="H529" s="645" t="s">
        <v>151</v>
      </c>
      <c r="I529" s="951">
        <v>150</v>
      </c>
      <c r="J529" s="951">
        <v>6</v>
      </c>
      <c r="K529" s="952">
        <f t="shared" si="96"/>
        <v>0.51136363636363635</v>
      </c>
      <c r="L529" s="644">
        <f t="shared" si="88"/>
        <v>21</v>
      </c>
      <c r="M529" s="935">
        <v>0.88194444444444453</v>
      </c>
      <c r="N529" s="936">
        <f t="shared" si="89"/>
        <v>0.88194444444444453</v>
      </c>
      <c r="O529" s="935">
        <v>0.89930555555555547</v>
      </c>
      <c r="P529" s="725">
        <f t="shared" si="92"/>
        <v>1.7361111111110938E-2</v>
      </c>
      <c r="Q529" s="622" t="s">
        <v>875</v>
      </c>
      <c r="R529" s="37"/>
      <c r="S529" s="37" t="str">
        <f t="shared" si="90"/>
        <v>ArmstrongF2</v>
      </c>
      <c r="T529" s="37" t="str">
        <f t="shared" si="93"/>
        <v>1987F2</v>
      </c>
      <c r="U529" s="429">
        <v>100</v>
      </c>
      <c r="V529" s="1029">
        <v>5</v>
      </c>
      <c r="W529" s="598">
        <v>0.5</v>
      </c>
      <c r="X529" s="429"/>
      <c r="Y529" s="37" t="str">
        <f t="shared" si="94"/>
        <v>F2100</v>
      </c>
      <c r="Z529" s="37" t="str">
        <f t="shared" si="95"/>
        <v>F25</v>
      </c>
      <c r="AA529" s="37" t="str">
        <f t="shared" si="97"/>
        <v>F20.5</v>
      </c>
      <c r="AB529" s="498" t="str">
        <f t="shared" si="91"/>
        <v>F221</v>
      </c>
      <c r="AC529" s="572"/>
      <c r="AD529" s="572"/>
      <c r="AE529" s="572"/>
      <c r="AF529" s="572"/>
    </row>
    <row r="530" spans="1:32">
      <c r="A530" s="947">
        <f t="shared" si="98"/>
        <v>523</v>
      </c>
      <c r="B530" s="948">
        <v>30</v>
      </c>
      <c r="C530" s="949">
        <v>31965</v>
      </c>
      <c r="D530" s="949" t="s">
        <v>179</v>
      </c>
      <c r="E530" s="904">
        <v>7</v>
      </c>
      <c r="F530" s="644">
        <v>1987</v>
      </c>
      <c r="G530" s="948" t="s">
        <v>130</v>
      </c>
      <c r="H530" s="645" t="s">
        <v>150</v>
      </c>
      <c r="I530" s="951">
        <v>40</v>
      </c>
      <c r="J530" s="951">
        <v>0.5</v>
      </c>
      <c r="K530" s="952">
        <f t="shared" si="96"/>
        <v>1.1363636363636364E-2</v>
      </c>
      <c r="L530" s="644">
        <f t="shared" si="88"/>
        <v>18</v>
      </c>
      <c r="M530" s="935">
        <v>0.77777777777777779</v>
      </c>
      <c r="N530" s="936">
        <f t="shared" si="89"/>
        <v>0.77777777777777779</v>
      </c>
      <c r="O530" s="725"/>
      <c r="P530" s="725">
        <f t="shared" si="92"/>
        <v>-0.77777777777777779</v>
      </c>
      <c r="Q530" s="622"/>
      <c r="R530" s="37"/>
      <c r="S530" s="37" t="str">
        <f t="shared" si="90"/>
        <v>ShermanF1</v>
      </c>
      <c r="T530" s="37" t="str">
        <f t="shared" si="93"/>
        <v>1987F1</v>
      </c>
      <c r="U530" s="429">
        <v>20</v>
      </c>
      <c r="V530" s="1029">
        <v>0.5</v>
      </c>
      <c r="W530" s="598">
        <v>0.01</v>
      </c>
      <c r="X530" s="429"/>
      <c r="Y530" s="37" t="str">
        <f t="shared" si="94"/>
        <v>F120</v>
      </c>
      <c r="Z530" s="37" t="str">
        <f t="shared" si="95"/>
        <v>F10.5</v>
      </c>
      <c r="AA530" s="37" t="str">
        <f t="shared" si="97"/>
        <v>F10.01</v>
      </c>
      <c r="AB530" s="498" t="str">
        <f t="shared" si="91"/>
        <v>F118</v>
      </c>
      <c r="AC530" s="572"/>
      <c r="AD530" s="572"/>
      <c r="AE530" s="572"/>
      <c r="AF530" s="572"/>
    </row>
    <row r="531" spans="1:32">
      <c r="A531" s="947">
        <f t="shared" si="98"/>
        <v>524</v>
      </c>
      <c r="B531" s="948">
        <v>31</v>
      </c>
      <c r="C531" s="949">
        <v>31972</v>
      </c>
      <c r="D531" s="949" t="s">
        <v>179</v>
      </c>
      <c r="E531" s="904">
        <v>14</v>
      </c>
      <c r="F531" s="644">
        <v>1987</v>
      </c>
      <c r="G531" s="948" t="s">
        <v>131</v>
      </c>
      <c r="H531" s="645" t="s">
        <v>149</v>
      </c>
      <c r="I531" s="951">
        <v>60</v>
      </c>
      <c r="J531" s="951">
        <v>1</v>
      </c>
      <c r="K531" s="952">
        <f t="shared" si="96"/>
        <v>3.4090909090909088E-2</v>
      </c>
      <c r="L531" s="644">
        <f t="shared" si="88"/>
        <v>15</v>
      </c>
      <c r="M531" s="935">
        <v>0.66111111111111109</v>
      </c>
      <c r="N531" s="936">
        <f t="shared" si="89"/>
        <v>0.66111111111111109</v>
      </c>
      <c r="O531" s="725"/>
      <c r="P531" s="725">
        <f t="shared" si="92"/>
        <v>-0.66111111111111109</v>
      </c>
      <c r="Q531" s="622"/>
      <c r="R531" s="37"/>
      <c r="S531" s="37" t="str">
        <f t="shared" si="90"/>
        <v>HansfordF0</v>
      </c>
      <c r="T531" s="37" t="str">
        <f t="shared" si="93"/>
        <v>1987F0</v>
      </c>
      <c r="U531" s="429">
        <v>50</v>
      </c>
      <c r="V531" s="1029">
        <v>1</v>
      </c>
      <c r="W531" s="598">
        <v>0.02</v>
      </c>
      <c r="X531" s="429"/>
      <c r="Y531" s="37" t="str">
        <f t="shared" si="94"/>
        <v>F050</v>
      </c>
      <c r="Z531" s="37" t="str">
        <f t="shared" si="95"/>
        <v>F01</v>
      </c>
      <c r="AA531" s="37" t="str">
        <f t="shared" si="97"/>
        <v>F00.02</v>
      </c>
      <c r="AB531" s="498" t="str">
        <f t="shared" si="91"/>
        <v>F015</v>
      </c>
      <c r="AC531" s="572"/>
      <c r="AD531" s="572"/>
      <c r="AE531" s="572"/>
      <c r="AF531" s="572"/>
    </row>
    <row r="532" spans="1:32">
      <c r="A532" s="947">
        <f t="shared" si="98"/>
        <v>525</v>
      </c>
      <c r="B532" s="948">
        <v>32</v>
      </c>
      <c r="C532" s="949">
        <v>31972</v>
      </c>
      <c r="D532" s="949" t="s">
        <v>179</v>
      </c>
      <c r="E532" s="904">
        <v>14</v>
      </c>
      <c r="F532" s="644">
        <v>1987</v>
      </c>
      <c r="G532" s="948" t="s">
        <v>132</v>
      </c>
      <c r="H532" s="645" t="s">
        <v>150</v>
      </c>
      <c r="I532" s="951">
        <v>90</v>
      </c>
      <c r="J532" s="951">
        <v>2</v>
      </c>
      <c r="K532" s="952">
        <f t="shared" si="96"/>
        <v>0.10227272727272728</v>
      </c>
      <c r="L532" s="644">
        <f t="shared" si="88"/>
        <v>15</v>
      </c>
      <c r="M532" s="935">
        <v>0.66319444444444442</v>
      </c>
      <c r="N532" s="936">
        <f t="shared" si="89"/>
        <v>0.66319444444444442</v>
      </c>
      <c r="O532" s="725"/>
      <c r="P532" s="725">
        <f t="shared" si="92"/>
        <v>-0.66319444444444442</v>
      </c>
      <c r="Q532" s="622"/>
      <c r="R532" s="37"/>
      <c r="S532" s="37" t="str">
        <f t="shared" si="90"/>
        <v>OchiltreeF1</v>
      </c>
      <c r="T532" s="37" t="str">
        <f t="shared" si="93"/>
        <v>1987F1</v>
      </c>
      <c r="U532" s="429">
        <v>50</v>
      </c>
      <c r="V532" s="1029">
        <v>2</v>
      </c>
      <c r="W532" s="598">
        <v>0.1</v>
      </c>
      <c r="X532" s="429"/>
      <c r="Y532" s="37" t="str">
        <f t="shared" si="94"/>
        <v>F150</v>
      </c>
      <c r="Z532" s="37" t="str">
        <f t="shared" si="95"/>
        <v>F12</v>
      </c>
      <c r="AA532" s="37" t="str">
        <f t="shared" si="97"/>
        <v>F10.1</v>
      </c>
      <c r="AB532" s="498" t="str">
        <f t="shared" si="91"/>
        <v>F115</v>
      </c>
      <c r="AC532" s="572"/>
      <c r="AD532" s="572"/>
      <c r="AE532" s="572"/>
      <c r="AF532" s="572"/>
    </row>
    <row r="533" spans="1:32">
      <c r="A533" s="947">
        <f t="shared" si="98"/>
        <v>526</v>
      </c>
      <c r="B533" s="948">
        <v>33</v>
      </c>
      <c r="C533" s="949">
        <v>31972</v>
      </c>
      <c r="D533" s="949" t="s">
        <v>179</v>
      </c>
      <c r="E533" s="904">
        <v>14</v>
      </c>
      <c r="F533" s="644">
        <v>1987</v>
      </c>
      <c r="G533" s="948" t="s">
        <v>142</v>
      </c>
      <c r="H533" s="645" t="s">
        <v>151</v>
      </c>
      <c r="I533" s="951">
        <v>150</v>
      </c>
      <c r="J533" s="951">
        <v>4.5</v>
      </c>
      <c r="K533" s="952">
        <f t="shared" si="96"/>
        <v>0.38352272727272724</v>
      </c>
      <c r="L533" s="644">
        <f t="shared" si="88"/>
        <v>18</v>
      </c>
      <c r="M533" s="935">
        <v>0.75</v>
      </c>
      <c r="N533" s="936">
        <f t="shared" si="89"/>
        <v>0.75</v>
      </c>
      <c r="O533" s="725"/>
      <c r="P533" s="725">
        <f t="shared" si="92"/>
        <v>-0.75</v>
      </c>
      <c r="Q533" s="622" t="s">
        <v>1229</v>
      </c>
      <c r="R533" s="37"/>
      <c r="S533" s="37" t="str">
        <f t="shared" si="90"/>
        <v>GrayF2</v>
      </c>
      <c r="T533" s="37" t="str">
        <f t="shared" si="93"/>
        <v>1987F2</v>
      </c>
      <c r="U533" s="429">
        <v>100</v>
      </c>
      <c r="V533" s="1029">
        <v>2</v>
      </c>
      <c r="W533" s="598">
        <v>0.2</v>
      </c>
      <c r="X533" s="429"/>
      <c r="Y533" s="37" t="str">
        <f t="shared" si="94"/>
        <v>F2100</v>
      </c>
      <c r="Z533" s="37" t="str">
        <f t="shared" si="95"/>
        <v>F22</v>
      </c>
      <c r="AA533" s="37" t="str">
        <f t="shared" si="97"/>
        <v>F20.2</v>
      </c>
      <c r="AB533" s="498" t="str">
        <f t="shared" si="91"/>
        <v>F218</v>
      </c>
      <c r="AC533" s="572"/>
      <c r="AD533" s="572"/>
      <c r="AE533" s="572"/>
      <c r="AF533" s="572"/>
    </row>
    <row r="534" spans="1:32">
      <c r="A534" s="947">
        <f t="shared" si="98"/>
        <v>527</v>
      </c>
      <c r="B534" s="948">
        <v>34</v>
      </c>
      <c r="C534" s="949">
        <v>32031</v>
      </c>
      <c r="D534" s="949" t="s">
        <v>181</v>
      </c>
      <c r="E534" s="904">
        <v>11</v>
      </c>
      <c r="F534" s="644">
        <v>1987</v>
      </c>
      <c r="G534" s="948" t="s">
        <v>131</v>
      </c>
      <c r="H534" s="645" t="s">
        <v>149</v>
      </c>
      <c r="I534" s="951">
        <v>40</v>
      </c>
      <c r="J534" s="951">
        <v>0.1</v>
      </c>
      <c r="K534" s="952">
        <f t="shared" si="96"/>
        <v>2.2727272727272731E-3</v>
      </c>
      <c r="L534" s="644">
        <f t="shared" si="88"/>
        <v>21</v>
      </c>
      <c r="M534" s="935">
        <v>0.90277777777777779</v>
      </c>
      <c r="N534" s="936">
        <f t="shared" si="89"/>
        <v>0.90277777777777779</v>
      </c>
      <c r="O534" s="725"/>
      <c r="P534" s="725">
        <f t="shared" si="92"/>
        <v>-0.90277777777777779</v>
      </c>
      <c r="Q534" s="622"/>
      <c r="R534" s="37"/>
      <c r="S534" s="37" t="str">
        <f t="shared" si="90"/>
        <v>HansfordF0</v>
      </c>
      <c r="T534" s="37" t="str">
        <f t="shared" si="93"/>
        <v>1987F0</v>
      </c>
      <c r="U534" s="429">
        <v>20</v>
      </c>
      <c r="V534" s="1029">
        <v>0.1</v>
      </c>
      <c r="W534" s="598">
        <v>2E-3</v>
      </c>
      <c r="X534" s="429"/>
      <c r="Y534" s="37" t="str">
        <f t="shared" si="94"/>
        <v>F020</v>
      </c>
      <c r="Z534" s="37" t="str">
        <f t="shared" si="95"/>
        <v>F00.1</v>
      </c>
      <c r="AA534" s="37" t="str">
        <f t="shared" si="97"/>
        <v>F00.002</v>
      </c>
      <c r="AB534" s="498" t="str">
        <f t="shared" si="91"/>
        <v>F021</v>
      </c>
      <c r="AC534" s="572"/>
      <c r="AD534" s="572"/>
      <c r="AE534" s="572"/>
      <c r="AF534" s="572"/>
    </row>
    <row r="535" spans="1:32">
      <c r="A535" s="947">
        <f t="shared" si="98"/>
        <v>528</v>
      </c>
      <c r="B535" s="948">
        <v>1</v>
      </c>
      <c r="C535" s="949">
        <v>32293</v>
      </c>
      <c r="D535" s="949" t="s">
        <v>177</v>
      </c>
      <c r="E535" s="904">
        <v>30</v>
      </c>
      <c r="F535" s="644">
        <v>1988</v>
      </c>
      <c r="G535" s="948" t="s">
        <v>126</v>
      </c>
      <c r="H535" s="645" t="s">
        <v>150</v>
      </c>
      <c r="I535" s="951">
        <v>73</v>
      </c>
      <c r="J535" s="951">
        <v>10</v>
      </c>
      <c r="K535" s="952">
        <f t="shared" si="96"/>
        <v>0.41477272727272729</v>
      </c>
      <c r="L535" s="644">
        <f t="shared" si="88"/>
        <v>18</v>
      </c>
      <c r="M535" s="935">
        <v>0.76041666666666663</v>
      </c>
      <c r="N535" s="936">
        <f t="shared" si="89"/>
        <v>0.76041666666666663</v>
      </c>
      <c r="O535" s="725"/>
      <c r="P535" s="725">
        <f t="shared" si="92"/>
        <v>-0.76041666666666663</v>
      </c>
      <c r="Q535" s="622"/>
      <c r="R535" s="37"/>
      <c r="S535" s="37" t="str">
        <f t="shared" si="90"/>
        <v>CimarronF1</v>
      </c>
      <c r="T535" s="37" t="str">
        <f t="shared" si="93"/>
        <v>1988F1</v>
      </c>
      <c r="U535" s="429">
        <v>50</v>
      </c>
      <c r="V535" s="1029">
        <v>10</v>
      </c>
      <c r="W535" s="598">
        <v>0.2</v>
      </c>
      <c r="X535" s="429"/>
      <c r="Y535" s="37" t="str">
        <f t="shared" si="94"/>
        <v>F150</v>
      </c>
      <c r="Z535" s="37" t="str">
        <f t="shared" si="95"/>
        <v>F110</v>
      </c>
      <c r="AA535" s="37" t="str">
        <f t="shared" si="97"/>
        <v>F10.2</v>
      </c>
      <c r="AB535" s="498" t="str">
        <f t="shared" si="91"/>
        <v>F118</v>
      </c>
      <c r="AC535" s="572"/>
      <c r="AD535" s="572"/>
      <c r="AE535" s="572"/>
      <c r="AF535" s="572"/>
    </row>
    <row r="536" spans="1:32">
      <c r="A536" s="947">
        <f t="shared" si="98"/>
        <v>529</v>
      </c>
      <c r="B536" s="948">
        <v>2</v>
      </c>
      <c r="C536" s="949">
        <v>32293</v>
      </c>
      <c r="D536" s="949" t="s">
        <v>177</v>
      </c>
      <c r="E536" s="904">
        <v>30</v>
      </c>
      <c r="F536" s="644">
        <v>1988</v>
      </c>
      <c r="G536" s="948" t="s">
        <v>129</v>
      </c>
      <c r="H536" s="645" t="s">
        <v>149</v>
      </c>
      <c r="I536" s="951">
        <v>100</v>
      </c>
      <c r="J536" s="951">
        <v>3</v>
      </c>
      <c r="K536" s="952">
        <f t="shared" si="96"/>
        <v>0.17045454545454544</v>
      </c>
      <c r="L536" s="644">
        <f t="shared" si="88"/>
        <v>18</v>
      </c>
      <c r="M536" s="935">
        <v>0.77430555555555547</v>
      </c>
      <c r="N536" s="936">
        <f t="shared" si="89"/>
        <v>0.77430555555555547</v>
      </c>
      <c r="O536" s="725"/>
      <c r="P536" s="725">
        <f t="shared" si="92"/>
        <v>-0.77430555555555547</v>
      </c>
      <c r="Q536" s="622"/>
      <c r="R536" s="37"/>
      <c r="S536" s="37" t="str">
        <f t="shared" si="90"/>
        <v>DallamF0</v>
      </c>
      <c r="T536" s="37" t="str">
        <f t="shared" si="93"/>
        <v>1988F0</v>
      </c>
      <c r="U536" s="429">
        <v>100</v>
      </c>
      <c r="V536" s="1029">
        <v>2</v>
      </c>
      <c r="W536" s="598">
        <v>0.1</v>
      </c>
      <c r="X536" s="429"/>
      <c r="Y536" s="37" t="str">
        <f t="shared" si="94"/>
        <v>F0100</v>
      </c>
      <c r="Z536" s="37" t="str">
        <f t="shared" si="95"/>
        <v>F02</v>
      </c>
      <c r="AA536" s="37" t="str">
        <f t="shared" si="97"/>
        <v>F00.1</v>
      </c>
      <c r="AB536" s="498" t="str">
        <f t="shared" si="91"/>
        <v>F018</v>
      </c>
      <c r="AC536" s="572"/>
      <c r="AD536" s="572"/>
      <c r="AE536" s="572"/>
      <c r="AF536" s="572"/>
    </row>
    <row r="537" spans="1:32">
      <c r="A537" s="947">
        <f t="shared" si="98"/>
        <v>530</v>
      </c>
      <c r="B537" s="948">
        <v>3</v>
      </c>
      <c r="C537" s="949">
        <v>32372</v>
      </c>
      <c r="D537" s="949" t="s">
        <v>180</v>
      </c>
      <c r="E537" s="904">
        <v>17</v>
      </c>
      <c r="F537" s="644">
        <v>1988</v>
      </c>
      <c r="G537" s="948" t="s">
        <v>141</v>
      </c>
      <c r="H537" s="645" t="s">
        <v>149</v>
      </c>
      <c r="I537" s="951">
        <v>30</v>
      </c>
      <c r="J537" s="951">
        <v>0.1</v>
      </c>
      <c r="K537" s="952">
        <f t="shared" si="96"/>
        <v>1.7045454545454545E-3</v>
      </c>
      <c r="L537" s="644">
        <f t="shared" si="88"/>
        <v>15</v>
      </c>
      <c r="M537" s="935">
        <v>0.66180555555555554</v>
      </c>
      <c r="N537" s="936">
        <f t="shared" si="89"/>
        <v>0.66180555555555554</v>
      </c>
      <c r="O537" s="725"/>
      <c r="P537" s="725">
        <f t="shared" si="92"/>
        <v>-0.66180555555555554</v>
      </c>
      <c r="Q537" s="622"/>
      <c r="R537" s="37"/>
      <c r="S537" s="37" t="str">
        <f t="shared" si="90"/>
        <v>CarsonF0</v>
      </c>
      <c r="T537" s="37" t="str">
        <f t="shared" si="93"/>
        <v>1988F0</v>
      </c>
      <c r="U537" s="429">
        <v>20</v>
      </c>
      <c r="V537" s="1029">
        <v>0.1</v>
      </c>
      <c r="W537" s="598">
        <v>2E-3</v>
      </c>
      <c r="X537" s="429"/>
      <c r="Y537" s="37" t="str">
        <f t="shared" si="94"/>
        <v>F020</v>
      </c>
      <c r="Z537" s="37" t="str">
        <f t="shared" si="95"/>
        <v>F00.1</v>
      </c>
      <c r="AA537" s="37" t="str">
        <f t="shared" si="97"/>
        <v>F00.002</v>
      </c>
      <c r="AB537" s="498" t="str">
        <f t="shared" si="91"/>
        <v>F015</v>
      </c>
      <c r="AC537" s="572"/>
      <c r="AD537" s="572"/>
      <c r="AE537" s="572"/>
      <c r="AF537" s="572"/>
    </row>
    <row r="538" spans="1:32">
      <c r="A538" s="947">
        <f t="shared" si="98"/>
        <v>531</v>
      </c>
      <c r="B538" s="948">
        <v>4</v>
      </c>
      <c r="C538" s="949">
        <v>32400</v>
      </c>
      <c r="D538" s="949" t="s">
        <v>181</v>
      </c>
      <c r="E538" s="904">
        <v>14</v>
      </c>
      <c r="F538" s="644">
        <v>1988</v>
      </c>
      <c r="G538" s="948" t="s">
        <v>145</v>
      </c>
      <c r="H538" s="645" t="s">
        <v>151</v>
      </c>
      <c r="I538" s="951">
        <v>173</v>
      </c>
      <c r="J538" s="951">
        <v>0.7</v>
      </c>
      <c r="K538" s="952">
        <f t="shared" si="96"/>
        <v>6.8806818181818177E-2</v>
      </c>
      <c r="L538" s="644">
        <f t="shared" si="88"/>
        <v>21</v>
      </c>
      <c r="M538" s="935">
        <v>0.875</v>
      </c>
      <c r="N538" s="936">
        <f t="shared" si="89"/>
        <v>0.875</v>
      </c>
      <c r="O538" s="725"/>
      <c r="P538" s="725">
        <f t="shared" si="92"/>
        <v>-0.875</v>
      </c>
      <c r="Q538" s="622" t="s">
        <v>480</v>
      </c>
      <c r="R538" s="37"/>
      <c r="S538" s="37" t="str">
        <f t="shared" si="90"/>
        <v>RandallF2</v>
      </c>
      <c r="T538" s="37" t="str">
        <f t="shared" si="93"/>
        <v>1988F2</v>
      </c>
      <c r="U538" s="429">
        <v>100</v>
      </c>
      <c r="V538" s="1029">
        <v>0.5</v>
      </c>
      <c r="W538" s="598">
        <v>0.05</v>
      </c>
      <c r="X538" s="429"/>
      <c r="Y538" s="37" t="str">
        <f t="shared" si="94"/>
        <v>F2100</v>
      </c>
      <c r="Z538" s="37" t="str">
        <f t="shared" si="95"/>
        <v>F20.5</v>
      </c>
      <c r="AA538" s="37" t="str">
        <f t="shared" si="97"/>
        <v>F20.05</v>
      </c>
      <c r="AB538" s="498" t="str">
        <f t="shared" si="91"/>
        <v>F221</v>
      </c>
      <c r="AC538" s="572"/>
      <c r="AD538" s="572"/>
      <c r="AE538" s="572"/>
      <c r="AF538" s="572"/>
    </row>
    <row r="539" spans="1:32">
      <c r="A539" s="947">
        <f t="shared" si="98"/>
        <v>532</v>
      </c>
      <c r="B539" s="948">
        <v>1</v>
      </c>
      <c r="C539" s="949">
        <v>32628</v>
      </c>
      <c r="D539" s="949" t="s">
        <v>176</v>
      </c>
      <c r="E539" s="904">
        <v>30</v>
      </c>
      <c r="F539" s="644">
        <v>1989</v>
      </c>
      <c r="G539" s="948" t="s">
        <v>135</v>
      </c>
      <c r="H539" s="645" t="s">
        <v>149</v>
      </c>
      <c r="I539" s="951">
        <v>40</v>
      </c>
      <c r="J539" s="951">
        <v>0.3</v>
      </c>
      <c r="K539" s="952">
        <f t="shared" si="96"/>
        <v>6.8181818181818179E-3</v>
      </c>
      <c r="L539" s="644">
        <f t="shared" si="88"/>
        <v>17</v>
      </c>
      <c r="M539" s="935">
        <v>0.71875</v>
      </c>
      <c r="N539" s="936">
        <f t="shared" si="89"/>
        <v>0.71875</v>
      </c>
      <c r="O539" s="725"/>
      <c r="P539" s="725">
        <f t="shared" si="92"/>
        <v>-0.71875</v>
      </c>
      <c r="Q539" s="622"/>
      <c r="R539" s="37"/>
      <c r="S539" s="37" t="str">
        <f t="shared" si="90"/>
        <v>MooreF0</v>
      </c>
      <c r="T539" s="37" t="str">
        <f t="shared" si="93"/>
        <v>1989F0</v>
      </c>
      <c r="U539" s="429">
        <v>20</v>
      </c>
      <c r="V539" s="1029">
        <v>0.2</v>
      </c>
      <c r="W539" s="598">
        <v>5.0000000000000001E-3</v>
      </c>
      <c r="X539" s="429"/>
      <c r="Y539" s="37" t="str">
        <f t="shared" si="94"/>
        <v>F020</v>
      </c>
      <c r="Z539" s="37" t="str">
        <f t="shared" si="95"/>
        <v>F00.2</v>
      </c>
      <c r="AA539" s="37" t="str">
        <f t="shared" si="97"/>
        <v>F00.005</v>
      </c>
      <c r="AB539" s="498" t="str">
        <f t="shared" si="91"/>
        <v>F017</v>
      </c>
      <c r="AC539" s="572"/>
      <c r="AD539" s="572"/>
      <c r="AE539" s="572"/>
      <c r="AF539" s="572"/>
    </row>
    <row r="540" spans="1:32">
      <c r="A540" s="947">
        <f t="shared" si="98"/>
        <v>533</v>
      </c>
      <c r="B540" s="948">
        <v>2</v>
      </c>
      <c r="C540" s="949">
        <v>32628</v>
      </c>
      <c r="D540" s="949" t="s">
        <v>176</v>
      </c>
      <c r="E540" s="904">
        <v>30</v>
      </c>
      <c r="F540" s="644">
        <v>1989</v>
      </c>
      <c r="G540" s="948" t="s">
        <v>140</v>
      </c>
      <c r="H540" s="645" t="s">
        <v>149</v>
      </c>
      <c r="I540" s="951">
        <v>20</v>
      </c>
      <c r="J540" s="951">
        <v>0.1</v>
      </c>
      <c r="K540" s="952">
        <f t="shared" si="96"/>
        <v>1.1363636363636365E-3</v>
      </c>
      <c r="L540" s="644">
        <f t="shared" si="88"/>
        <v>18</v>
      </c>
      <c r="M540" s="935">
        <v>0.76944444444444438</v>
      </c>
      <c r="N540" s="936">
        <f t="shared" si="89"/>
        <v>0.76944444444444438</v>
      </c>
      <c r="O540" s="725"/>
      <c r="P540" s="725">
        <f t="shared" si="92"/>
        <v>-0.76944444444444438</v>
      </c>
      <c r="Q540" s="622"/>
      <c r="R540" s="37"/>
      <c r="S540" s="37" t="str">
        <f t="shared" si="90"/>
        <v>PotterF0</v>
      </c>
      <c r="T540" s="37" t="str">
        <f t="shared" si="93"/>
        <v>1989F0</v>
      </c>
      <c r="U540" s="429">
        <v>20</v>
      </c>
      <c r="V540" s="1029">
        <v>0.1</v>
      </c>
      <c r="W540" s="598">
        <v>1E-3</v>
      </c>
      <c r="X540" s="429"/>
      <c r="Y540" s="37" t="str">
        <f t="shared" si="94"/>
        <v>F020</v>
      </c>
      <c r="Z540" s="37" t="str">
        <f t="shared" si="95"/>
        <v>F00.1</v>
      </c>
      <c r="AA540" s="37" t="str">
        <f t="shared" si="97"/>
        <v>F00.001</v>
      </c>
      <c r="AB540" s="498" t="str">
        <f t="shared" si="91"/>
        <v>F018</v>
      </c>
      <c r="AC540" s="572"/>
      <c r="AD540" s="572"/>
      <c r="AE540" s="572"/>
      <c r="AF540" s="572"/>
    </row>
    <row r="541" spans="1:32">
      <c r="A541" s="947">
        <f t="shared" si="98"/>
        <v>534</v>
      </c>
      <c r="B541" s="948">
        <v>3</v>
      </c>
      <c r="C541" s="949">
        <v>32628</v>
      </c>
      <c r="D541" s="949" t="s">
        <v>176</v>
      </c>
      <c r="E541" s="904">
        <v>30</v>
      </c>
      <c r="F541" s="644">
        <v>1989</v>
      </c>
      <c r="G541" s="948" t="s">
        <v>145</v>
      </c>
      <c r="H541" s="645" t="s">
        <v>149</v>
      </c>
      <c r="I541" s="951">
        <v>20</v>
      </c>
      <c r="J541" s="951">
        <v>0.2</v>
      </c>
      <c r="K541" s="952">
        <f t="shared" si="96"/>
        <v>2.2727272727272731E-3</v>
      </c>
      <c r="L541" s="644">
        <f t="shared" si="88"/>
        <v>18</v>
      </c>
      <c r="M541" s="935">
        <v>0.76944444444444438</v>
      </c>
      <c r="N541" s="936">
        <f t="shared" si="89"/>
        <v>0.76944444444444438</v>
      </c>
      <c r="O541" s="725"/>
      <c r="P541" s="725">
        <f t="shared" si="92"/>
        <v>-0.76944444444444438</v>
      </c>
      <c r="Q541" s="622"/>
      <c r="R541" s="37"/>
      <c r="S541" s="37" t="str">
        <f t="shared" si="90"/>
        <v>RandallF0</v>
      </c>
      <c r="T541" s="37" t="str">
        <f t="shared" si="93"/>
        <v>1989F0</v>
      </c>
      <c r="U541" s="429">
        <v>20</v>
      </c>
      <c r="V541" s="1029">
        <v>0.2</v>
      </c>
      <c r="W541" s="598">
        <v>2E-3</v>
      </c>
      <c r="X541" s="429"/>
      <c r="Y541" s="37" t="str">
        <f t="shared" si="94"/>
        <v>F020</v>
      </c>
      <c r="Z541" s="37" t="str">
        <f t="shared" si="95"/>
        <v>F00.2</v>
      </c>
      <c r="AA541" s="37" t="str">
        <f t="shared" si="97"/>
        <v>F00.002</v>
      </c>
      <c r="AB541" s="498" t="str">
        <f t="shared" si="91"/>
        <v>F018</v>
      </c>
      <c r="AC541" s="572"/>
      <c r="AD541" s="572"/>
      <c r="AE541" s="572"/>
      <c r="AF541" s="572"/>
    </row>
    <row r="542" spans="1:32">
      <c r="A542" s="947">
        <f t="shared" si="98"/>
        <v>535</v>
      </c>
      <c r="B542" s="948">
        <v>4</v>
      </c>
      <c r="C542" s="949">
        <v>32632</v>
      </c>
      <c r="D542" s="949" t="s">
        <v>177</v>
      </c>
      <c r="E542" s="904">
        <v>4</v>
      </c>
      <c r="F542" s="644">
        <v>1989</v>
      </c>
      <c r="G542" s="948" t="s">
        <v>135</v>
      </c>
      <c r="H542" s="645" t="s">
        <v>149</v>
      </c>
      <c r="I542" s="951">
        <v>40</v>
      </c>
      <c r="J542" s="951">
        <v>1</v>
      </c>
      <c r="K542" s="952">
        <f t="shared" si="96"/>
        <v>2.2727272727272728E-2</v>
      </c>
      <c r="L542" s="644">
        <f t="shared" ref="L542:L605" si="99">HOUR(N542)</f>
        <v>15</v>
      </c>
      <c r="M542" s="935">
        <v>0.64583333333333337</v>
      </c>
      <c r="N542" s="936">
        <f t="shared" si="89"/>
        <v>0.64583333333333337</v>
      </c>
      <c r="O542" s="725"/>
      <c r="P542" s="725">
        <f t="shared" si="92"/>
        <v>-0.64583333333333337</v>
      </c>
      <c r="Q542" s="622"/>
      <c r="R542" s="36"/>
      <c r="S542" s="37" t="str">
        <f t="shared" si="90"/>
        <v>MooreF0</v>
      </c>
      <c r="T542" s="37" t="str">
        <f t="shared" si="93"/>
        <v>1989F0</v>
      </c>
      <c r="U542" s="429">
        <v>20</v>
      </c>
      <c r="V542" s="1029">
        <v>1</v>
      </c>
      <c r="W542" s="598">
        <v>0.02</v>
      </c>
      <c r="X542" s="429"/>
      <c r="Y542" s="37" t="str">
        <f t="shared" si="94"/>
        <v>F020</v>
      </c>
      <c r="Z542" s="37" t="str">
        <f t="shared" si="95"/>
        <v>F01</v>
      </c>
      <c r="AA542" s="37" t="str">
        <f t="shared" si="97"/>
        <v>F00.02</v>
      </c>
      <c r="AB542" s="498" t="str">
        <f t="shared" si="91"/>
        <v>F015</v>
      </c>
      <c r="AC542" s="572"/>
      <c r="AD542" s="572"/>
      <c r="AE542" s="572"/>
      <c r="AF542" s="572"/>
    </row>
    <row r="543" spans="1:32">
      <c r="A543" s="947">
        <f t="shared" si="98"/>
        <v>536</v>
      </c>
      <c r="B543" s="948">
        <v>5</v>
      </c>
      <c r="C543" s="949">
        <v>32632</v>
      </c>
      <c r="D543" s="949" t="s">
        <v>177</v>
      </c>
      <c r="E543" s="904">
        <v>4</v>
      </c>
      <c r="F543" s="644">
        <v>1989</v>
      </c>
      <c r="G543" s="948" t="s">
        <v>135</v>
      </c>
      <c r="H543" s="645" t="s">
        <v>149</v>
      </c>
      <c r="I543" s="951">
        <v>40</v>
      </c>
      <c r="J543" s="951">
        <v>1</v>
      </c>
      <c r="K543" s="952">
        <f t="shared" si="96"/>
        <v>2.2727272727272728E-2</v>
      </c>
      <c r="L543" s="644">
        <f t="shared" si="99"/>
        <v>15</v>
      </c>
      <c r="M543" s="935">
        <v>0.65625</v>
      </c>
      <c r="N543" s="936">
        <f t="shared" si="89"/>
        <v>0.65625</v>
      </c>
      <c r="O543" s="725"/>
      <c r="P543" s="725">
        <f t="shared" si="92"/>
        <v>-0.65625</v>
      </c>
      <c r="Q543" s="622"/>
      <c r="R543" s="36"/>
      <c r="S543" s="37" t="str">
        <f t="shared" si="90"/>
        <v>MooreF0</v>
      </c>
      <c r="T543" s="37" t="str">
        <f t="shared" si="93"/>
        <v>1989F0</v>
      </c>
      <c r="U543" s="429">
        <v>20</v>
      </c>
      <c r="V543" s="1029">
        <v>1</v>
      </c>
      <c r="W543" s="598">
        <v>0.02</v>
      </c>
      <c r="X543" s="429"/>
      <c r="Y543" s="37" t="str">
        <f t="shared" si="94"/>
        <v>F020</v>
      </c>
      <c r="Z543" s="37" t="str">
        <f t="shared" si="95"/>
        <v>F01</v>
      </c>
      <c r="AA543" s="37" t="str">
        <f t="shared" si="97"/>
        <v>F00.02</v>
      </c>
      <c r="AB543" s="498" t="str">
        <f t="shared" si="91"/>
        <v>F015</v>
      </c>
      <c r="AC543" s="572"/>
      <c r="AD543" s="572"/>
      <c r="AE543" s="572"/>
      <c r="AF543" s="572"/>
    </row>
    <row r="544" spans="1:32">
      <c r="A544" s="947">
        <f t="shared" si="98"/>
        <v>537</v>
      </c>
      <c r="B544" s="948">
        <v>6</v>
      </c>
      <c r="C544" s="949">
        <v>32632</v>
      </c>
      <c r="D544" s="949" t="s">
        <v>177</v>
      </c>
      <c r="E544" s="904">
        <v>4</v>
      </c>
      <c r="F544" s="644">
        <v>1989</v>
      </c>
      <c r="G544" s="948" t="s">
        <v>145</v>
      </c>
      <c r="H544" s="645" t="s">
        <v>149</v>
      </c>
      <c r="I544" s="951">
        <v>50</v>
      </c>
      <c r="J544" s="951">
        <v>2</v>
      </c>
      <c r="K544" s="952">
        <f t="shared" si="96"/>
        <v>5.6818181818181816E-2</v>
      </c>
      <c r="L544" s="644">
        <f t="shared" si="99"/>
        <v>17</v>
      </c>
      <c r="M544" s="935">
        <v>0.71180555555555547</v>
      </c>
      <c r="N544" s="936">
        <f t="shared" si="89"/>
        <v>0.71180555555555547</v>
      </c>
      <c r="O544" s="725"/>
      <c r="P544" s="725">
        <f t="shared" si="92"/>
        <v>-0.71180555555555547</v>
      </c>
      <c r="Q544" s="622"/>
      <c r="R544" s="36"/>
      <c r="S544" s="37" t="str">
        <f t="shared" si="90"/>
        <v>RandallF0</v>
      </c>
      <c r="T544" s="37" t="str">
        <f t="shared" si="93"/>
        <v>1989F0</v>
      </c>
      <c r="U544" s="429">
        <v>50</v>
      </c>
      <c r="V544" s="1029">
        <v>2</v>
      </c>
      <c r="W544" s="598">
        <v>0.05</v>
      </c>
      <c r="X544" s="429"/>
      <c r="Y544" s="37" t="str">
        <f t="shared" si="94"/>
        <v>F050</v>
      </c>
      <c r="Z544" s="37" t="str">
        <f t="shared" si="95"/>
        <v>F02</v>
      </c>
      <c r="AA544" s="37" t="str">
        <f t="shared" si="97"/>
        <v>F00.05</v>
      </c>
      <c r="AB544" s="498" t="str">
        <f t="shared" si="91"/>
        <v>F017</v>
      </c>
      <c r="AC544" s="572"/>
      <c r="AD544" s="572"/>
      <c r="AE544" s="572"/>
      <c r="AF544" s="572"/>
    </row>
    <row r="545" spans="1:32">
      <c r="A545" s="947">
        <f t="shared" si="98"/>
        <v>538</v>
      </c>
      <c r="B545" s="948">
        <v>7</v>
      </c>
      <c r="C545" s="949">
        <v>32640</v>
      </c>
      <c r="D545" s="949" t="s">
        <v>177</v>
      </c>
      <c r="E545" s="904">
        <v>12</v>
      </c>
      <c r="F545" s="644">
        <v>1989</v>
      </c>
      <c r="G545" s="948" t="s">
        <v>134</v>
      </c>
      <c r="H545" s="645" t="s">
        <v>151</v>
      </c>
      <c r="I545" s="951">
        <v>200</v>
      </c>
      <c r="J545" s="951">
        <v>7</v>
      </c>
      <c r="K545" s="952">
        <f t="shared" si="96"/>
        <v>0.79545454545454541</v>
      </c>
      <c r="L545" s="644">
        <f t="shared" si="99"/>
        <v>17</v>
      </c>
      <c r="M545" s="935">
        <v>0.72638888888888886</v>
      </c>
      <c r="N545" s="936">
        <f t="shared" si="89"/>
        <v>0.72638888888888886</v>
      </c>
      <c r="O545" s="725"/>
      <c r="P545" s="725">
        <f t="shared" si="92"/>
        <v>-0.72638888888888886</v>
      </c>
      <c r="Q545" s="622"/>
      <c r="R545" s="36"/>
      <c r="S545" s="37" t="str">
        <f t="shared" si="90"/>
        <v>HartleyF2</v>
      </c>
      <c r="T545" s="37" t="str">
        <f t="shared" si="93"/>
        <v>1989F2</v>
      </c>
      <c r="U545" s="429">
        <v>200</v>
      </c>
      <c r="V545" s="1029">
        <v>5</v>
      </c>
      <c r="W545" s="598">
        <v>0.5</v>
      </c>
      <c r="X545" s="429"/>
      <c r="Y545" s="37" t="str">
        <f t="shared" si="94"/>
        <v>F2200</v>
      </c>
      <c r="Z545" s="37" t="str">
        <f t="shared" si="95"/>
        <v>F25</v>
      </c>
      <c r="AA545" s="37" t="str">
        <f t="shared" si="97"/>
        <v>F20.5</v>
      </c>
      <c r="AB545" s="498" t="str">
        <f t="shared" si="91"/>
        <v>F217</v>
      </c>
      <c r="AC545" s="572"/>
      <c r="AD545" s="572"/>
      <c r="AE545" s="572"/>
      <c r="AF545" s="572"/>
    </row>
    <row r="546" spans="1:32">
      <c r="A546" s="947">
        <f t="shared" si="98"/>
        <v>539</v>
      </c>
      <c r="B546" s="948">
        <v>8</v>
      </c>
      <c r="C546" s="949">
        <v>32640</v>
      </c>
      <c r="D546" s="949" t="s">
        <v>177</v>
      </c>
      <c r="E546" s="904">
        <v>12</v>
      </c>
      <c r="F546" s="644">
        <v>1989</v>
      </c>
      <c r="G546" s="948" t="s">
        <v>139</v>
      </c>
      <c r="H546" s="645" t="s">
        <v>149</v>
      </c>
      <c r="I546" s="951">
        <v>60</v>
      </c>
      <c r="J546" s="951">
        <v>2</v>
      </c>
      <c r="K546" s="952">
        <f t="shared" si="96"/>
        <v>6.8181818181818177E-2</v>
      </c>
      <c r="L546" s="644">
        <f t="shared" si="99"/>
        <v>18</v>
      </c>
      <c r="M546" s="935">
        <v>0.76875000000000004</v>
      </c>
      <c r="N546" s="936">
        <f t="shared" si="89"/>
        <v>0.76875000000000004</v>
      </c>
      <c r="O546" s="725"/>
      <c r="P546" s="725">
        <f t="shared" si="92"/>
        <v>-0.76875000000000004</v>
      </c>
      <c r="Q546" s="622"/>
      <c r="R546" s="36"/>
      <c r="S546" s="37" t="str">
        <f t="shared" si="90"/>
        <v>OldhamF0</v>
      </c>
      <c r="T546" s="37" t="str">
        <f t="shared" si="93"/>
        <v>1989F0</v>
      </c>
      <c r="U546" s="429">
        <v>50</v>
      </c>
      <c r="V546" s="1029">
        <v>2</v>
      </c>
      <c r="W546" s="598">
        <v>0.05</v>
      </c>
      <c r="X546" s="429"/>
      <c r="Y546" s="37" t="str">
        <f t="shared" si="94"/>
        <v>F050</v>
      </c>
      <c r="Z546" s="37" t="str">
        <f t="shared" si="95"/>
        <v>F02</v>
      </c>
      <c r="AA546" s="37" t="str">
        <f t="shared" si="97"/>
        <v>F00.05</v>
      </c>
      <c r="AB546" s="498" t="str">
        <f t="shared" si="91"/>
        <v>F018</v>
      </c>
      <c r="AC546" s="572"/>
      <c r="AD546" s="572"/>
      <c r="AE546" s="572"/>
      <c r="AF546" s="572"/>
    </row>
    <row r="547" spans="1:32">
      <c r="A547" s="947">
        <f t="shared" si="98"/>
        <v>540</v>
      </c>
      <c r="B547" s="948">
        <v>9</v>
      </c>
      <c r="C547" s="949">
        <v>32643</v>
      </c>
      <c r="D547" s="949" t="s">
        <v>177</v>
      </c>
      <c r="E547" s="904">
        <v>15</v>
      </c>
      <c r="F547" s="644">
        <v>1989</v>
      </c>
      <c r="G547" s="948" t="s">
        <v>144</v>
      </c>
      <c r="H547" s="645" t="s">
        <v>149</v>
      </c>
      <c r="I547" s="951">
        <v>50</v>
      </c>
      <c r="J547" s="951">
        <v>1</v>
      </c>
      <c r="K547" s="952">
        <f t="shared" si="96"/>
        <v>2.8409090909090908E-2</v>
      </c>
      <c r="L547" s="644">
        <f t="shared" si="99"/>
        <v>18</v>
      </c>
      <c r="M547" s="935">
        <v>0.76944444444444438</v>
      </c>
      <c r="N547" s="936">
        <f t="shared" si="89"/>
        <v>0.76944444444444438</v>
      </c>
      <c r="O547" s="725">
        <v>0.78125</v>
      </c>
      <c r="P547" s="725">
        <f t="shared" si="92"/>
        <v>1.1805555555555625E-2</v>
      </c>
      <c r="Q547" s="622" t="s">
        <v>81</v>
      </c>
      <c r="R547" s="36"/>
      <c r="S547" s="37" t="str">
        <f t="shared" si="90"/>
        <v>Deaf SmithF0</v>
      </c>
      <c r="T547" s="37" t="str">
        <f t="shared" si="93"/>
        <v>1989F0</v>
      </c>
      <c r="U547" s="429">
        <v>50</v>
      </c>
      <c r="V547" s="1029">
        <v>1</v>
      </c>
      <c r="W547" s="598">
        <v>0.02</v>
      </c>
      <c r="X547" s="429"/>
      <c r="Y547" s="37" t="str">
        <f t="shared" si="94"/>
        <v>F050</v>
      </c>
      <c r="Z547" s="37" t="str">
        <f t="shared" si="95"/>
        <v>F01</v>
      </c>
      <c r="AA547" s="37" t="str">
        <f t="shared" si="97"/>
        <v>F00.02</v>
      </c>
      <c r="AB547" s="498" t="str">
        <f t="shared" si="91"/>
        <v>F018</v>
      </c>
      <c r="AC547" s="572"/>
      <c r="AD547" s="572"/>
      <c r="AE547" s="572"/>
      <c r="AF547" s="572"/>
    </row>
    <row r="548" spans="1:32">
      <c r="A548" s="947">
        <f t="shared" si="98"/>
        <v>541</v>
      </c>
      <c r="B548" s="948">
        <v>10</v>
      </c>
      <c r="C548" s="949">
        <v>32643</v>
      </c>
      <c r="D548" s="949" t="s">
        <v>177</v>
      </c>
      <c r="E548" s="904">
        <v>15</v>
      </c>
      <c r="F548" s="644">
        <v>1989</v>
      </c>
      <c r="G548" s="948" t="s">
        <v>139</v>
      </c>
      <c r="H548" s="645" t="s">
        <v>150</v>
      </c>
      <c r="I548" s="951">
        <v>210</v>
      </c>
      <c r="J548" s="951">
        <v>4</v>
      </c>
      <c r="K548" s="952">
        <f t="shared" si="96"/>
        <v>0.47727272727272729</v>
      </c>
      <c r="L548" s="644">
        <f t="shared" si="99"/>
        <v>18</v>
      </c>
      <c r="M548" s="935">
        <v>0.78125</v>
      </c>
      <c r="N548" s="936">
        <f t="shared" si="89"/>
        <v>0.78125</v>
      </c>
      <c r="O548" s="725"/>
      <c r="P548" s="725">
        <f t="shared" si="92"/>
        <v>-0.78125</v>
      </c>
      <c r="Q548" s="622" t="s">
        <v>84</v>
      </c>
      <c r="R548" s="36"/>
      <c r="S548" s="37" t="str">
        <f t="shared" si="90"/>
        <v>OldhamF1</v>
      </c>
      <c r="T548" s="37" t="str">
        <f t="shared" si="93"/>
        <v>1989F1</v>
      </c>
      <c r="U548" s="429">
        <v>200</v>
      </c>
      <c r="V548" s="1029">
        <v>2</v>
      </c>
      <c r="W548" s="598">
        <v>0.2</v>
      </c>
      <c r="X548" s="429"/>
      <c r="Y548" s="37" t="str">
        <f t="shared" si="94"/>
        <v>F1200</v>
      </c>
      <c r="Z548" s="37" t="str">
        <f t="shared" si="95"/>
        <v>F12</v>
      </c>
      <c r="AA548" s="37" t="str">
        <f t="shared" si="97"/>
        <v>F10.2</v>
      </c>
      <c r="AB548" s="498" t="str">
        <f t="shared" si="91"/>
        <v>F118</v>
      </c>
      <c r="AC548" s="572"/>
      <c r="AD548" s="572"/>
      <c r="AE548" s="572"/>
      <c r="AF548" s="572"/>
    </row>
    <row r="549" spans="1:32">
      <c r="A549" s="947">
        <f t="shared" si="98"/>
        <v>542</v>
      </c>
      <c r="B549" s="948">
        <v>11</v>
      </c>
      <c r="C549" s="949">
        <v>32643</v>
      </c>
      <c r="D549" s="949" t="s">
        <v>177</v>
      </c>
      <c r="E549" s="904">
        <v>15</v>
      </c>
      <c r="F549" s="644">
        <v>1989</v>
      </c>
      <c r="G549" s="948" t="s">
        <v>139</v>
      </c>
      <c r="H549" s="645" t="s">
        <v>149</v>
      </c>
      <c r="I549" s="951">
        <v>90</v>
      </c>
      <c r="J549" s="951">
        <v>1.5</v>
      </c>
      <c r="K549" s="952">
        <f t="shared" si="96"/>
        <v>7.6704545454545456E-2</v>
      </c>
      <c r="L549" s="644">
        <f t="shared" si="99"/>
        <v>20</v>
      </c>
      <c r="M549" s="935">
        <v>0.83680555555555547</v>
      </c>
      <c r="N549" s="936">
        <f t="shared" si="89"/>
        <v>0.83680555555555547</v>
      </c>
      <c r="O549" s="725"/>
      <c r="P549" s="725">
        <f t="shared" si="92"/>
        <v>-0.83680555555555547</v>
      </c>
      <c r="Q549" s="622"/>
      <c r="R549" s="36"/>
      <c r="S549" s="37" t="str">
        <f t="shared" si="90"/>
        <v>OldhamF0</v>
      </c>
      <c r="T549" s="37" t="str">
        <f t="shared" si="93"/>
        <v>1989F0</v>
      </c>
      <c r="U549" s="429">
        <v>50</v>
      </c>
      <c r="V549" s="1029">
        <v>1</v>
      </c>
      <c r="W549" s="598">
        <v>0.05</v>
      </c>
      <c r="X549" s="429"/>
      <c r="Y549" s="37" t="str">
        <f t="shared" si="94"/>
        <v>F050</v>
      </c>
      <c r="Z549" s="37" t="str">
        <f t="shared" si="95"/>
        <v>F01</v>
      </c>
      <c r="AA549" s="37" t="str">
        <f t="shared" si="97"/>
        <v>F00.05</v>
      </c>
      <c r="AB549" s="498" t="str">
        <f t="shared" si="91"/>
        <v>F020</v>
      </c>
      <c r="AC549" s="572"/>
      <c r="AD549" s="572"/>
      <c r="AE549" s="572"/>
      <c r="AF549" s="572"/>
    </row>
    <row r="550" spans="1:32">
      <c r="A550" s="947">
        <f t="shared" si="98"/>
        <v>543</v>
      </c>
      <c r="B550" s="948">
        <v>12</v>
      </c>
      <c r="C550" s="949">
        <v>32644</v>
      </c>
      <c r="D550" s="949" t="s">
        <v>177</v>
      </c>
      <c r="E550" s="904">
        <v>16</v>
      </c>
      <c r="F550" s="644">
        <v>1989</v>
      </c>
      <c r="G550" s="948" t="s">
        <v>139</v>
      </c>
      <c r="H550" s="645" t="s">
        <v>150</v>
      </c>
      <c r="I550" s="951">
        <v>80</v>
      </c>
      <c r="J550" s="951">
        <v>3</v>
      </c>
      <c r="K550" s="952">
        <f t="shared" si="96"/>
        <v>0.13636363636363635</v>
      </c>
      <c r="L550" s="644">
        <f t="shared" si="99"/>
        <v>13</v>
      </c>
      <c r="M550" s="935">
        <v>0.57986111111111105</v>
      </c>
      <c r="N550" s="936">
        <f t="shared" si="89"/>
        <v>0.57986111111111105</v>
      </c>
      <c r="O550" s="725"/>
      <c r="P550" s="725">
        <f t="shared" si="92"/>
        <v>-0.57986111111111105</v>
      </c>
      <c r="Q550" s="622"/>
      <c r="R550" s="36"/>
      <c r="S550" s="37" t="str">
        <f t="shared" si="90"/>
        <v>OldhamF1</v>
      </c>
      <c r="T550" s="37" t="str">
        <f t="shared" si="93"/>
        <v>1989F1</v>
      </c>
      <c r="U550" s="429">
        <v>50</v>
      </c>
      <c r="V550" s="1029">
        <v>2</v>
      </c>
      <c r="W550" s="598">
        <v>0.1</v>
      </c>
      <c r="X550" s="429"/>
      <c r="Y550" s="37" t="str">
        <f t="shared" si="94"/>
        <v>F150</v>
      </c>
      <c r="Z550" s="37" t="str">
        <f t="shared" si="95"/>
        <v>F12</v>
      </c>
      <c r="AA550" s="37" t="str">
        <f t="shared" si="97"/>
        <v>F10.1</v>
      </c>
      <c r="AB550" s="498" t="str">
        <f t="shared" si="91"/>
        <v>F113</v>
      </c>
      <c r="AC550" s="572"/>
      <c r="AD550" s="572"/>
      <c r="AE550" s="572"/>
      <c r="AF550" s="572"/>
    </row>
    <row r="551" spans="1:32">
      <c r="A551" s="947">
        <f t="shared" si="98"/>
        <v>544</v>
      </c>
      <c r="B551" s="948">
        <v>13</v>
      </c>
      <c r="C551" s="949">
        <v>32644</v>
      </c>
      <c r="D551" s="949" t="s">
        <v>177</v>
      </c>
      <c r="E551" s="904">
        <v>16</v>
      </c>
      <c r="F551" s="644">
        <v>1989</v>
      </c>
      <c r="G551" s="948" t="s">
        <v>145</v>
      </c>
      <c r="H551" s="645" t="s">
        <v>149</v>
      </c>
      <c r="I551" s="951">
        <v>60</v>
      </c>
      <c r="J551" s="951">
        <v>1.5</v>
      </c>
      <c r="K551" s="952">
        <f t="shared" si="96"/>
        <v>5.1136363636363633E-2</v>
      </c>
      <c r="L551" s="644">
        <f t="shared" si="99"/>
        <v>16</v>
      </c>
      <c r="M551" s="935">
        <v>0.68055555555555547</v>
      </c>
      <c r="N551" s="936">
        <f t="shared" si="89"/>
        <v>0.68055555555555547</v>
      </c>
      <c r="O551" s="725"/>
      <c r="P551" s="725">
        <f t="shared" si="92"/>
        <v>-0.68055555555555547</v>
      </c>
      <c r="Q551" s="622"/>
      <c r="R551" s="37"/>
      <c r="S551" s="37" t="str">
        <f t="shared" si="90"/>
        <v>RandallF0</v>
      </c>
      <c r="T551" s="37" t="str">
        <f t="shared" si="93"/>
        <v>1989F0</v>
      </c>
      <c r="U551" s="429">
        <v>50</v>
      </c>
      <c r="V551" s="1029">
        <v>1</v>
      </c>
      <c r="W551" s="598">
        <v>0.05</v>
      </c>
      <c r="X551" s="429"/>
      <c r="Y551" s="37" t="str">
        <f t="shared" si="94"/>
        <v>F050</v>
      </c>
      <c r="Z551" s="37" t="str">
        <f t="shared" si="95"/>
        <v>F01</v>
      </c>
      <c r="AA551" s="37" t="str">
        <f t="shared" si="97"/>
        <v>F00.05</v>
      </c>
      <c r="AB551" s="498" t="str">
        <f t="shared" si="91"/>
        <v>F016</v>
      </c>
      <c r="AC551" s="572"/>
      <c r="AD551" s="572"/>
      <c r="AE551" s="572"/>
      <c r="AF551" s="572"/>
    </row>
    <row r="552" spans="1:32">
      <c r="A552" s="947">
        <f t="shared" si="98"/>
        <v>545</v>
      </c>
      <c r="B552" s="948">
        <v>14</v>
      </c>
      <c r="C552" s="949">
        <v>32644</v>
      </c>
      <c r="D552" s="949" t="s">
        <v>177</v>
      </c>
      <c r="E552" s="904">
        <v>16</v>
      </c>
      <c r="F552" s="644">
        <v>1989</v>
      </c>
      <c r="G552" s="948" t="s">
        <v>145</v>
      </c>
      <c r="H552" s="645" t="s">
        <v>151</v>
      </c>
      <c r="I552" s="951">
        <v>300</v>
      </c>
      <c r="J552" s="951">
        <v>10</v>
      </c>
      <c r="K552" s="952">
        <f t="shared" si="96"/>
        <v>1.7045454545454544</v>
      </c>
      <c r="L552" s="644">
        <f t="shared" si="99"/>
        <v>16</v>
      </c>
      <c r="M552" s="935">
        <v>0.69097222222222221</v>
      </c>
      <c r="N552" s="936">
        <f t="shared" si="89"/>
        <v>0.69097222222222221</v>
      </c>
      <c r="O552" s="725"/>
      <c r="P552" s="725">
        <f t="shared" si="92"/>
        <v>-0.69097222222222221</v>
      </c>
      <c r="Q552" s="622"/>
      <c r="R552" s="37"/>
      <c r="S552" s="37" t="str">
        <f t="shared" si="90"/>
        <v>RandallF2</v>
      </c>
      <c r="T552" s="37" t="str">
        <f t="shared" si="93"/>
        <v>1989F2</v>
      </c>
      <c r="U552" s="429">
        <v>200</v>
      </c>
      <c r="V552" s="1029">
        <v>10</v>
      </c>
      <c r="W552" s="598">
        <v>1</v>
      </c>
      <c r="X552" s="429"/>
      <c r="Y552" s="37" t="str">
        <f t="shared" si="94"/>
        <v>F2200</v>
      </c>
      <c r="Z552" s="37" t="str">
        <f t="shared" si="95"/>
        <v>F210</v>
      </c>
      <c r="AA552" s="37" t="str">
        <f t="shared" si="97"/>
        <v>F21</v>
      </c>
      <c r="AB552" s="498" t="str">
        <f t="shared" si="91"/>
        <v>F216</v>
      </c>
      <c r="AC552" s="572"/>
      <c r="AD552" s="572"/>
      <c r="AE552" s="572"/>
      <c r="AF552" s="572"/>
    </row>
    <row r="553" spans="1:32">
      <c r="A553" s="947">
        <f t="shared" si="98"/>
        <v>546</v>
      </c>
      <c r="B553" s="948">
        <v>15</v>
      </c>
      <c r="C553" s="949">
        <v>32644</v>
      </c>
      <c r="D553" s="949" t="s">
        <v>177</v>
      </c>
      <c r="E553" s="904">
        <v>16</v>
      </c>
      <c r="F553" s="644">
        <v>1989</v>
      </c>
      <c r="G553" s="948" t="s">
        <v>140</v>
      </c>
      <c r="H553" s="645" t="s">
        <v>149</v>
      </c>
      <c r="I553" s="951">
        <v>50</v>
      </c>
      <c r="J553" s="951">
        <v>3</v>
      </c>
      <c r="K553" s="952">
        <f t="shared" si="96"/>
        <v>8.5227272727272721E-2</v>
      </c>
      <c r="L553" s="644">
        <f t="shared" si="99"/>
        <v>16</v>
      </c>
      <c r="M553" s="935">
        <v>0.70486111111111116</v>
      </c>
      <c r="N553" s="936">
        <f t="shared" si="89"/>
        <v>0.70486111111111116</v>
      </c>
      <c r="O553" s="725"/>
      <c r="P553" s="725">
        <f t="shared" si="92"/>
        <v>-0.70486111111111116</v>
      </c>
      <c r="Q553" s="622"/>
      <c r="R553" s="37"/>
      <c r="S553" s="37" t="str">
        <f t="shared" si="90"/>
        <v>PotterF0</v>
      </c>
      <c r="T553" s="37" t="str">
        <f t="shared" si="93"/>
        <v>1989F0</v>
      </c>
      <c r="U553" s="429">
        <v>50</v>
      </c>
      <c r="V553" s="1029">
        <v>2</v>
      </c>
      <c r="W553" s="598">
        <v>0.05</v>
      </c>
      <c r="X553" s="429"/>
      <c r="Y553" s="37" t="str">
        <f t="shared" si="94"/>
        <v>F050</v>
      </c>
      <c r="Z553" s="37" t="str">
        <f t="shared" si="95"/>
        <v>F02</v>
      </c>
      <c r="AA553" s="37" t="str">
        <f t="shared" si="97"/>
        <v>F00.05</v>
      </c>
      <c r="AB553" s="498" t="str">
        <f t="shared" si="91"/>
        <v>F016</v>
      </c>
      <c r="AC553" s="572"/>
      <c r="AD553" s="572"/>
      <c r="AE553" s="572"/>
      <c r="AF553" s="572"/>
    </row>
    <row r="554" spans="1:32">
      <c r="A554" s="947">
        <f t="shared" si="98"/>
        <v>547</v>
      </c>
      <c r="B554" s="948">
        <v>16</v>
      </c>
      <c r="C554" s="949">
        <v>32644</v>
      </c>
      <c r="D554" s="949" t="s">
        <v>177</v>
      </c>
      <c r="E554" s="904">
        <v>16</v>
      </c>
      <c r="F554" s="644">
        <v>1989</v>
      </c>
      <c r="G554" s="948" t="s">
        <v>145</v>
      </c>
      <c r="H554" s="645" t="s">
        <v>149</v>
      </c>
      <c r="I554" s="951">
        <v>40</v>
      </c>
      <c r="J554" s="951">
        <v>1</v>
      </c>
      <c r="K554" s="952">
        <f t="shared" si="96"/>
        <v>2.2727272727272728E-2</v>
      </c>
      <c r="L554" s="644">
        <f t="shared" si="99"/>
        <v>16</v>
      </c>
      <c r="M554" s="935">
        <v>0.70486111111111116</v>
      </c>
      <c r="N554" s="936">
        <f t="shared" si="89"/>
        <v>0.70486111111111116</v>
      </c>
      <c r="O554" s="725"/>
      <c r="P554" s="725">
        <f t="shared" si="92"/>
        <v>-0.70486111111111116</v>
      </c>
      <c r="Q554" s="622"/>
      <c r="R554" s="37"/>
      <c r="S554" s="37" t="str">
        <f t="shared" si="90"/>
        <v>RandallF0</v>
      </c>
      <c r="T554" s="37" t="str">
        <f t="shared" si="93"/>
        <v>1989F0</v>
      </c>
      <c r="U554" s="429">
        <v>20</v>
      </c>
      <c r="V554" s="1029">
        <v>1</v>
      </c>
      <c r="W554" s="598">
        <v>0.02</v>
      </c>
      <c r="X554" s="429"/>
      <c r="Y554" s="37" t="str">
        <f t="shared" si="94"/>
        <v>F020</v>
      </c>
      <c r="Z554" s="37" t="str">
        <f t="shared" si="95"/>
        <v>F01</v>
      </c>
      <c r="AA554" s="37" t="str">
        <f t="shared" si="97"/>
        <v>F00.02</v>
      </c>
      <c r="AB554" s="498" t="str">
        <f t="shared" si="91"/>
        <v>F016</v>
      </c>
      <c r="AC554" s="572"/>
      <c r="AD554" s="572"/>
      <c r="AE554" s="572"/>
      <c r="AF554" s="572"/>
    </row>
    <row r="555" spans="1:32">
      <c r="A555" s="947">
        <f t="shared" si="98"/>
        <v>548</v>
      </c>
      <c r="B555" s="948">
        <v>17</v>
      </c>
      <c r="C555" s="949">
        <v>32644</v>
      </c>
      <c r="D555" s="949" t="s">
        <v>177</v>
      </c>
      <c r="E555" s="904">
        <v>16</v>
      </c>
      <c r="F555" s="644">
        <v>1989</v>
      </c>
      <c r="G555" s="948" t="s">
        <v>140</v>
      </c>
      <c r="H555" s="645" t="s">
        <v>149</v>
      </c>
      <c r="I555" s="951">
        <v>40</v>
      </c>
      <c r="J555" s="951">
        <v>0.1</v>
      </c>
      <c r="K555" s="952">
        <f t="shared" si="96"/>
        <v>2.2727272727272731E-3</v>
      </c>
      <c r="L555" s="644">
        <f t="shared" si="99"/>
        <v>17</v>
      </c>
      <c r="M555" s="935">
        <v>0.70972222222222225</v>
      </c>
      <c r="N555" s="936">
        <f t="shared" si="89"/>
        <v>0.70972222222222225</v>
      </c>
      <c r="O555" s="725"/>
      <c r="P555" s="725">
        <f t="shared" si="92"/>
        <v>-0.70972222222222225</v>
      </c>
      <c r="Q555" s="622"/>
      <c r="R555" s="37"/>
      <c r="S555" s="37" t="str">
        <f t="shared" si="90"/>
        <v>PotterF0</v>
      </c>
      <c r="T555" s="37" t="str">
        <f t="shared" si="93"/>
        <v>1989F0</v>
      </c>
      <c r="U555" s="429">
        <v>20</v>
      </c>
      <c r="V555" s="1029">
        <v>0.1</v>
      </c>
      <c r="W555" s="598">
        <v>2E-3</v>
      </c>
      <c r="X555" s="429"/>
      <c r="Y555" s="37" t="str">
        <f t="shared" si="94"/>
        <v>F020</v>
      </c>
      <c r="Z555" s="37" t="str">
        <f t="shared" si="95"/>
        <v>F00.1</v>
      </c>
      <c r="AA555" s="37" t="str">
        <f t="shared" si="97"/>
        <v>F00.002</v>
      </c>
      <c r="AB555" s="498" t="str">
        <f t="shared" si="91"/>
        <v>F017</v>
      </c>
      <c r="AC555" s="572"/>
      <c r="AD555" s="572"/>
      <c r="AE555" s="572"/>
      <c r="AF555" s="572"/>
    </row>
    <row r="556" spans="1:32">
      <c r="A556" s="947">
        <f t="shared" si="98"/>
        <v>549</v>
      </c>
      <c r="B556" s="948">
        <v>18</v>
      </c>
      <c r="C556" s="949">
        <v>32644</v>
      </c>
      <c r="D556" s="949" t="s">
        <v>177</v>
      </c>
      <c r="E556" s="904">
        <v>16</v>
      </c>
      <c r="F556" s="644">
        <v>1989</v>
      </c>
      <c r="G556" s="948" t="s">
        <v>140</v>
      </c>
      <c r="H556" s="645" t="s">
        <v>150</v>
      </c>
      <c r="I556" s="951">
        <v>110</v>
      </c>
      <c r="J556" s="951">
        <v>0.2</v>
      </c>
      <c r="K556" s="952">
        <f t="shared" si="96"/>
        <v>1.2500000000000001E-2</v>
      </c>
      <c r="L556" s="644">
        <f t="shared" si="99"/>
        <v>17</v>
      </c>
      <c r="M556" s="935">
        <v>0.72430555555555554</v>
      </c>
      <c r="N556" s="936">
        <f t="shared" si="89"/>
        <v>0.72430555555555554</v>
      </c>
      <c r="O556" s="725"/>
      <c r="P556" s="725">
        <f t="shared" si="92"/>
        <v>-0.72430555555555554</v>
      </c>
      <c r="Q556" s="622"/>
      <c r="R556" s="37"/>
      <c r="S556" s="37" t="str">
        <f t="shared" si="90"/>
        <v>PotterF1</v>
      </c>
      <c r="T556" s="37" t="str">
        <f t="shared" si="93"/>
        <v>1989F1</v>
      </c>
      <c r="U556" s="429">
        <v>100</v>
      </c>
      <c r="V556" s="1029">
        <v>0.2</v>
      </c>
      <c r="W556" s="598">
        <v>0.01</v>
      </c>
      <c r="X556" s="429"/>
      <c r="Y556" s="37" t="str">
        <f t="shared" si="94"/>
        <v>F1100</v>
      </c>
      <c r="Z556" s="37" t="str">
        <f t="shared" si="95"/>
        <v>F10.2</v>
      </c>
      <c r="AA556" s="37" t="str">
        <f t="shared" si="97"/>
        <v>F10.01</v>
      </c>
      <c r="AB556" s="498" t="str">
        <f t="shared" si="91"/>
        <v>F117</v>
      </c>
      <c r="AC556" s="572"/>
      <c r="AD556" s="572"/>
      <c r="AE556" s="572"/>
      <c r="AF556" s="572"/>
    </row>
    <row r="557" spans="1:32">
      <c r="A557" s="947">
        <f t="shared" si="98"/>
        <v>550</v>
      </c>
      <c r="B557" s="948">
        <v>19</v>
      </c>
      <c r="C557" s="949">
        <v>32665</v>
      </c>
      <c r="D557" s="949" t="s">
        <v>178</v>
      </c>
      <c r="E557" s="904">
        <v>6</v>
      </c>
      <c r="F557" s="644">
        <v>1989</v>
      </c>
      <c r="G557" s="948" t="s">
        <v>133</v>
      </c>
      <c r="H557" s="645" t="s">
        <v>150</v>
      </c>
      <c r="I557" s="951">
        <v>60</v>
      </c>
      <c r="J557" s="951">
        <v>1</v>
      </c>
      <c r="K557" s="952">
        <f t="shared" si="96"/>
        <v>3.4090909090909088E-2</v>
      </c>
      <c r="L557" s="644">
        <f t="shared" si="99"/>
        <v>20</v>
      </c>
      <c r="M557" s="935">
        <v>0.84236111111111101</v>
      </c>
      <c r="N557" s="936">
        <f t="shared" si="89"/>
        <v>0.84236111111111101</v>
      </c>
      <c r="O557" s="725"/>
      <c r="P557" s="725">
        <f t="shared" si="92"/>
        <v>-0.84236111111111101</v>
      </c>
      <c r="Q557" s="622"/>
      <c r="R557" s="37"/>
      <c r="S557" s="37" t="str">
        <f t="shared" si="90"/>
        <v>LipscombF1</v>
      </c>
      <c r="T557" s="37" t="str">
        <f t="shared" si="93"/>
        <v>1989F1</v>
      </c>
      <c r="U557" s="429">
        <v>50</v>
      </c>
      <c r="V557" s="1029">
        <v>1</v>
      </c>
      <c r="W557" s="598">
        <v>0.02</v>
      </c>
      <c r="X557" s="429"/>
      <c r="Y557" s="37" t="str">
        <f t="shared" si="94"/>
        <v>F150</v>
      </c>
      <c r="Z557" s="37" t="str">
        <f t="shared" si="95"/>
        <v>F11</v>
      </c>
      <c r="AA557" s="37" t="str">
        <f t="shared" si="97"/>
        <v>F10.02</v>
      </c>
      <c r="AB557" s="498" t="str">
        <f t="shared" si="91"/>
        <v>F120</v>
      </c>
      <c r="AC557" s="572"/>
      <c r="AD557" s="572"/>
      <c r="AE557" s="572"/>
      <c r="AF557" s="572"/>
    </row>
    <row r="558" spans="1:32">
      <c r="A558" s="947">
        <f t="shared" si="98"/>
        <v>551</v>
      </c>
      <c r="B558" s="948">
        <v>20</v>
      </c>
      <c r="C558" s="949">
        <v>32665</v>
      </c>
      <c r="D558" s="949" t="s">
        <v>178</v>
      </c>
      <c r="E558" s="904">
        <v>6</v>
      </c>
      <c r="F558" s="644">
        <v>1989</v>
      </c>
      <c r="G558" s="948" t="s">
        <v>133</v>
      </c>
      <c r="H558" s="645" t="s">
        <v>150</v>
      </c>
      <c r="I558" s="951">
        <v>40</v>
      </c>
      <c r="J558" s="951">
        <v>1</v>
      </c>
      <c r="K558" s="952">
        <f t="shared" si="96"/>
        <v>2.2727272727272728E-2</v>
      </c>
      <c r="L558" s="644">
        <f t="shared" si="99"/>
        <v>20</v>
      </c>
      <c r="M558" s="935">
        <v>0.85624999999999996</v>
      </c>
      <c r="N558" s="936">
        <f t="shared" si="89"/>
        <v>0.85624999999999996</v>
      </c>
      <c r="O558" s="725"/>
      <c r="P558" s="725">
        <f t="shared" si="92"/>
        <v>-0.85624999999999996</v>
      </c>
      <c r="Q558" s="622"/>
      <c r="R558" s="37"/>
      <c r="S558" s="37" t="str">
        <f t="shared" si="90"/>
        <v>LipscombF1</v>
      </c>
      <c r="T558" s="37" t="str">
        <f t="shared" si="93"/>
        <v>1989F1</v>
      </c>
      <c r="U558" s="429">
        <v>20</v>
      </c>
      <c r="V558" s="1029">
        <v>1</v>
      </c>
      <c r="W558" s="598">
        <v>0.02</v>
      </c>
      <c r="X558" s="429"/>
      <c r="Y558" s="37" t="str">
        <f t="shared" si="94"/>
        <v>F120</v>
      </c>
      <c r="Z558" s="37" t="str">
        <f t="shared" si="95"/>
        <v>F11</v>
      </c>
      <c r="AA558" s="37" t="str">
        <f t="shared" si="97"/>
        <v>F10.02</v>
      </c>
      <c r="AB558" s="498" t="str">
        <f t="shared" si="91"/>
        <v>F120</v>
      </c>
      <c r="AC558" s="572"/>
      <c r="AD558" s="572"/>
      <c r="AE558" s="572"/>
      <c r="AF558" s="572"/>
    </row>
    <row r="559" spans="1:32">
      <c r="A559" s="947">
        <f t="shared" si="98"/>
        <v>552</v>
      </c>
      <c r="B559" s="948">
        <v>21</v>
      </c>
      <c r="C559" s="949">
        <v>32669</v>
      </c>
      <c r="D559" s="949" t="s">
        <v>178</v>
      </c>
      <c r="E559" s="904">
        <v>10</v>
      </c>
      <c r="F559" s="644">
        <v>1989</v>
      </c>
      <c r="G559" s="948" t="s">
        <v>135</v>
      </c>
      <c r="H559" s="645" t="s">
        <v>149</v>
      </c>
      <c r="I559" s="951">
        <v>110</v>
      </c>
      <c r="J559" s="951">
        <v>2.5</v>
      </c>
      <c r="K559" s="952">
        <f t="shared" si="96"/>
        <v>0.15625</v>
      </c>
      <c r="L559" s="644">
        <f t="shared" si="99"/>
        <v>20</v>
      </c>
      <c r="M559" s="935">
        <v>0.83819444444444446</v>
      </c>
      <c r="N559" s="936">
        <f t="shared" si="89"/>
        <v>0.83819444444444446</v>
      </c>
      <c r="O559" s="725"/>
      <c r="P559" s="725">
        <f t="shared" si="92"/>
        <v>-0.83819444444444446</v>
      </c>
      <c r="Q559" s="622"/>
      <c r="R559" s="37"/>
      <c r="S559" s="37" t="str">
        <f t="shared" si="90"/>
        <v>MooreF0</v>
      </c>
      <c r="T559" s="37" t="str">
        <f t="shared" si="93"/>
        <v>1989F0</v>
      </c>
      <c r="U559" s="429">
        <v>100</v>
      </c>
      <c r="V559" s="1029">
        <v>2</v>
      </c>
      <c r="W559" s="598">
        <v>0.1</v>
      </c>
      <c r="X559" s="429"/>
      <c r="Y559" s="37" t="str">
        <f t="shared" si="94"/>
        <v>F0100</v>
      </c>
      <c r="Z559" s="37" t="str">
        <f t="shared" si="95"/>
        <v>F02</v>
      </c>
      <c r="AA559" s="37" t="str">
        <f t="shared" si="97"/>
        <v>F00.1</v>
      </c>
      <c r="AB559" s="498" t="str">
        <f t="shared" si="91"/>
        <v>F020</v>
      </c>
      <c r="AC559" s="572"/>
      <c r="AD559" s="572"/>
      <c r="AE559" s="572"/>
      <c r="AF559" s="572"/>
    </row>
    <row r="560" spans="1:32">
      <c r="A560" s="947">
        <f t="shared" si="98"/>
        <v>553</v>
      </c>
      <c r="B560" s="948">
        <v>22</v>
      </c>
      <c r="C560" s="949">
        <v>32669</v>
      </c>
      <c r="D560" s="949" t="s">
        <v>178</v>
      </c>
      <c r="E560" s="904">
        <v>10</v>
      </c>
      <c r="F560" s="644">
        <v>1989</v>
      </c>
      <c r="G560" s="948" t="s">
        <v>135</v>
      </c>
      <c r="H560" s="645" t="s">
        <v>149</v>
      </c>
      <c r="I560" s="951">
        <v>100</v>
      </c>
      <c r="J560" s="951">
        <v>3</v>
      </c>
      <c r="K560" s="952">
        <f t="shared" si="96"/>
        <v>0.17045454545454544</v>
      </c>
      <c r="L560" s="644">
        <f t="shared" si="99"/>
        <v>20</v>
      </c>
      <c r="M560" s="935">
        <v>0.84375</v>
      </c>
      <c r="N560" s="936">
        <f t="shared" si="89"/>
        <v>0.84375</v>
      </c>
      <c r="O560" s="725"/>
      <c r="P560" s="725">
        <f t="shared" si="92"/>
        <v>-0.84375</v>
      </c>
      <c r="Q560" s="622"/>
      <c r="R560" s="37"/>
      <c r="S560" s="37" t="str">
        <f t="shared" si="90"/>
        <v>MooreF0</v>
      </c>
      <c r="T560" s="37" t="str">
        <f t="shared" si="93"/>
        <v>1989F0</v>
      </c>
      <c r="U560" s="429">
        <v>100</v>
      </c>
      <c r="V560" s="1029">
        <v>2</v>
      </c>
      <c r="W560" s="598">
        <v>0.1</v>
      </c>
      <c r="X560" s="429"/>
      <c r="Y560" s="37" t="str">
        <f t="shared" si="94"/>
        <v>F0100</v>
      </c>
      <c r="Z560" s="37" t="str">
        <f t="shared" si="95"/>
        <v>F02</v>
      </c>
      <c r="AA560" s="37" t="str">
        <f t="shared" si="97"/>
        <v>F00.1</v>
      </c>
      <c r="AB560" s="498" t="str">
        <f t="shared" si="91"/>
        <v>F020</v>
      </c>
      <c r="AC560" s="572"/>
      <c r="AD560" s="572"/>
      <c r="AE560" s="572"/>
      <c r="AF560" s="572"/>
    </row>
    <row r="561" spans="1:32">
      <c r="A561" s="947">
        <f t="shared" si="98"/>
        <v>554</v>
      </c>
      <c r="B561" s="948">
        <v>23</v>
      </c>
      <c r="C561" s="949">
        <v>32669</v>
      </c>
      <c r="D561" s="949" t="s">
        <v>178</v>
      </c>
      <c r="E561" s="904">
        <v>10</v>
      </c>
      <c r="F561" s="644">
        <v>1989</v>
      </c>
      <c r="G561" s="948" t="s">
        <v>136</v>
      </c>
      <c r="H561" s="645" t="s">
        <v>149</v>
      </c>
      <c r="I561" s="951">
        <v>100</v>
      </c>
      <c r="J561" s="951">
        <v>1</v>
      </c>
      <c r="K561" s="952">
        <f t="shared" si="96"/>
        <v>5.6818181818181816E-2</v>
      </c>
      <c r="L561" s="644">
        <f t="shared" si="99"/>
        <v>20</v>
      </c>
      <c r="M561" s="935">
        <v>0.84513888888888899</v>
      </c>
      <c r="N561" s="936">
        <f t="shared" si="89"/>
        <v>0.84513888888888899</v>
      </c>
      <c r="O561" s="725"/>
      <c r="P561" s="725">
        <f t="shared" si="92"/>
        <v>-0.84513888888888899</v>
      </c>
      <c r="Q561" s="622"/>
      <c r="R561" s="37"/>
      <c r="S561" s="37" t="str">
        <f t="shared" si="90"/>
        <v>HutchinsonF0</v>
      </c>
      <c r="T561" s="37" t="str">
        <f t="shared" si="93"/>
        <v>1989F0</v>
      </c>
      <c r="U561" s="429">
        <v>100</v>
      </c>
      <c r="V561" s="1029">
        <v>1</v>
      </c>
      <c r="W561" s="598">
        <v>0.05</v>
      </c>
      <c r="X561" s="429"/>
      <c r="Y561" s="37" t="str">
        <f t="shared" si="94"/>
        <v>F0100</v>
      </c>
      <c r="Z561" s="37" t="str">
        <f t="shared" si="95"/>
        <v>F01</v>
      </c>
      <c r="AA561" s="37" t="str">
        <f t="shared" si="97"/>
        <v>F00.05</v>
      </c>
      <c r="AB561" s="498" t="str">
        <f t="shared" si="91"/>
        <v>F020</v>
      </c>
      <c r="AC561" s="572"/>
      <c r="AD561" s="572"/>
      <c r="AE561" s="572"/>
      <c r="AF561" s="572"/>
    </row>
    <row r="562" spans="1:32">
      <c r="A562" s="947">
        <f t="shared" si="98"/>
        <v>555</v>
      </c>
      <c r="B562" s="948">
        <v>24</v>
      </c>
      <c r="C562" s="949">
        <v>32669</v>
      </c>
      <c r="D562" s="949" t="s">
        <v>178</v>
      </c>
      <c r="E562" s="904">
        <v>10</v>
      </c>
      <c r="F562" s="644">
        <v>1989</v>
      </c>
      <c r="G562" s="948" t="s">
        <v>136</v>
      </c>
      <c r="H562" s="645" t="s">
        <v>149</v>
      </c>
      <c r="I562" s="951">
        <v>120</v>
      </c>
      <c r="J562" s="951">
        <v>4.5</v>
      </c>
      <c r="K562" s="952">
        <f t="shared" si="96"/>
        <v>0.30681818181818177</v>
      </c>
      <c r="L562" s="644">
        <f t="shared" si="99"/>
        <v>20</v>
      </c>
      <c r="M562" s="935">
        <v>0.86111111111111116</v>
      </c>
      <c r="N562" s="936">
        <f t="shared" si="89"/>
        <v>0.86111111111111116</v>
      </c>
      <c r="O562" s="725"/>
      <c r="P562" s="725">
        <f t="shared" si="92"/>
        <v>-0.86111111111111116</v>
      </c>
      <c r="Q562" s="622"/>
      <c r="R562" s="37"/>
      <c r="S562" s="37" t="str">
        <f t="shared" si="90"/>
        <v>HutchinsonF0</v>
      </c>
      <c r="T562" s="37" t="str">
        <f t="shared" si="93"/>
        <v>1989F0</v>
      </c>
      <c r="U562" s="429">
        <v>100</v>
      </c>
      <c r="V562" s="1029">
        <v>2</v>
      </c>
      <c r="W562" s="598">
        <v>0.2</v>
      </c>
      <c r="X562" s="429"/>
      <c r="Y562" s="37" t="str">
        <f t="shared" si="94"/>
        <v>F0100</v>
      </c>
      <c r="Z562" s="37" t="str">
        <f t="shared" si="95"/>
        <v>F02</v>
      </c>
      <c r="AA562" s="37" t="str">
        <f t="shared" si="97"/>
        <v>F00.2</v>
      </c>
      <c r="AB562" s="498" t="str">
        <f t="shared" si="91"/>
        <v>F020</v>
      </c>
      <c r="AC562" s="572"/>
      <c r="AD562" s="572"/>
      <c r="AE562" s="572"/>
      <c r="AF562" s="572"/>
    </row>
    <row r="563" spans="1:32">
      <c r="A563" s="947">
        <f t="shared" si="98"/>
        <v>556</v>
      </c>
      <c r="B563" s="948">
        <v>25</v>
      </c>
      <c r="C563" s="949">
        <v>32670</v>
      </c>
      <c r="D563" s="949" t="s">
        <v>178</v>
      </c>
      <c r="E563" s="904">
        <v>11</v>
      </c>
      <c r="F563" s="644">
        <v>1989</v>
      </c>
      <c r="G563" s="948" t="s">
        <v>141</v>
      </c>
      <c r="H563" s="645" t="s">
        <v>150</v>
      </c>
      <c r="I563" s="951">
        <v>150</v>
      </c>
      <c r="J563" s="951">
        <v>4</v>
      </c>
      <c r="K563" s="952">
        <f t="shared" si="96"/>
        <v>0.34090909090909088</v>
      </c>
      <c r="L563" s="644">
        <f t="shared" si="99"/>
        <v>21</v>
      </c>
      <c r="M563" s="935">
        <v>0.91319444444444453</v>
      </c>
      <c r="N563" s="936">
        <f t="shared" si="89"/>
        <v>0.91319444444444453</v>
      </c>
      <c r="O563" s="725"/>
      <c r="P563" s="725">
        <f t="shared" si="92"/>
        <v>-0.91319444444444453</v>
      </c>
      <c r="Q563" s="622"/>
      <c r="R563" s="37"/>
      <c r="S563" s="37" t="str">
        <f t="shared" si="90"/>
        <v>CarsonF1</v>
      </c>
      <c r="T563" s="37" t="str">
        <f t="shared" si="93"/>
        <v>1989F1</v>
      </c>
      <c r="U563" s="429">
        <v>100</v>
      </c>
      <c r="V563" s="1029">
        <v>2</v>
      </c>
      <c r="W563" s="598">
        <v>0.2</v>
      </c>
      <c r="X563" s="429"/>
      <c r="Y563" s="37" t="str">
        <f t="shared" si="94"/>
        <v>F1100</v>
      </c>
      <c r="Z563" s="37" t="str">
        <f t="shared" si="95"/>
        <v>F12</v>
      </c>
      <c r="AA563" s="37" t="str">
        <f t="shared" si="97"/>
        <v>F10.2</v>
      </c>
      <c r="AB563" s="498" t="str">
        <f t="shared" si="91"/>
        <v>F121</v>
      </c>
      <c r="AC563" s="572"/>
      <c r="AD563" s="572"/>
      <c r="AE563" s="572"/>
      <c r="AF563" s="572"/>
    </row>
    <row r="564" spans="1:32">
      <c r="A564" s="947">
        <f t="shared" si="98"/>
        <v>557</v>
      </c>
      <c r="B564" s="948">
        <v>26</v>
      </c>
      <c r="C564" s="949">
        <v>32670</v>
      </c>
      <c r="D564" s="949" t="s">
        <v>178</v>
      </c>
      <c r="E564" s="904">
        <v>11</v>
      </c>
      <c r="F564" s="644">
        <v>1989</v>
      </c>
      <c r="G564" s="948" t="s">
        <v>147</v>
      </c>
      <c r="H564" s="645" t="s">
        <v>149</v>
      </c>
      <c r="I564" s="951">
        <v>90</v>
      </c>
      <c r="J564" s="951">
        <v>1.5</v>
      </c>
      <c r="K564" s="952">
        <f t="shared" si="96"/>
        <v>7.6704545454545456E-2</v>
      </c>
      <c r="L564" s="644">
        <f t="shared" si="99"/>
        <v>23</v>
      </c>
      <c r="M564" s="935">
        <v>0.95972222222222225</v>
      </c>
      <c r="N564" s="936">
        <f t="shared" si="89"/>
        <v>0.95972222222222225</v>
      </c>
      <c r="O564" s="725"/>
      <c r="P564" s="725">
        <f t="shared" si="92"/>
        <v>-0.95972222222222225</v>
      </c>
      <c r="Q564" s="622"/>
      <c r="R564" s="37"/>
      <c r="S564" s="37" t="str">
        <f t="shared" si="90"/>
        <v>DonleyF0</v>
      </c>
      <c r="T564" s="37" t="str">
        <f t="shared" si="93"/>
        <v>1989F0</v>
      </c>
      <c r="U564" s="429">
        <v>50</v>
      </c>
      <c r="V564" s="1029">
        <v>1</v>
      </c>
      <c r="W564" s="598">
        <v>0.05</v>
      </c>
      <c r="X564" s="429"/>
      <c r="Y564" s="37" t="str">
        <f t="shared" si="94"/>
        <v>F050</v>
      </c>
      <c r="Z564" s="37" t="str">
        <f t="shared" si="95"/>
        <v>F01</v>
      </c>
      <c r="AA564" s="37" t="str">
        <f t="shared" si="97"/>
        <v>F00.05</v>
      </c>
      <c r="AB564" s="498" t="str">
        <f t="shared" si="91"/>
        <v>F023</v>
      </c>
      <c r="AC564" s="572"/>
      <c r="AD564" s="572"/>
      <c r="AE564" s="572"/>
      <c r="AF564" s="572"/>
    </row>
    <row r="565" spans="1:32">
      <c r="A565" s="947">
        <f t="shared" si="98"/>
        <v>558</v>
      </c>
      <c r="B565" s="948">
        <v>27</v>
      </c>
      <c r="C565" s="949">
        <v>32670</v>
      </c>
      <c r="D565" s="949" t="s">
        <v>178</v>
      </c>
      <c r="E565" s="904">
        <v>11</v>
      </c>
      <c r="F565" s="644">
        <v>1989</v>
      </c>
      <c r="G565" s="948" t="s">
        <v>147</v>
      </c>
      <c r="H565" s="645" t="s">
        <v>149</v>
      </c>
      <c r="I565" s="951">
        <v>80</v>
      </c>
      <c r="J565" s="951">
        <v>0.3</v>
      </c>
      <c r="K565" s="952">
        <f t="shared" si="96"/>
        <v>1.3636363636363636E-2</v>
      </c>
      <c r="L565" s="644">
        <f t="shared" si="99"/>
        <v>23</v>
      </c>
      <c r="M565" s="935">
        <v>0.96319444444444446</v>
      </c>
      <c r="N565" s="936">
        <f t="shared" si="89"/>
        <v>0.96319444444444446</v>
      </c>
      <c r="O565" s="725"/>
      <c r="P565" s="725">
        <f t="shared" si="92"/>
        <v>-0.96319444444444446</v>
      </c>
      <c r="Q565" s="622"/>
      <c r="R565" s="37"/>
      <c r="S565" s="37" t="str">
        <f t="shared" si="90"/>
        <v>DonleyF0</v>
      </c>
      <c r="T565" s="37" t="str">
        <f t="shared" si="93"/>
        <v>1989F0</v>
      </c>
      <c r="U565" s="429">
        <v>50</v>
      </c>
      <c r="V565" s="1029">
        <v>0.2</v>
      </c>
      <c r="W565" s="598">
        <v>0.01</v>
      </c>
      <c r="X565" s="429"/>
      <c r="Y565" s="37" t="str">
        <f t="shared" si="94"/>
        <v>F050</v>
      </c>
      <c r="Z565" s="37" t="str">
        <f t="shared" si="95"/>
        <v>F00.2</v>
      </c>
      <c r="AA565" s="37" t="str">
        <f t="shared" si="97"/>
        <v>F00.01</v>
      </c>
      <c r="AB565" s="498" t="str">
        <f t="shared" si="91"/>
        <v>F023</v>
      </c>
      <c r="AC565" s="572"/>
      <c r="AD565" s="572"/>
      <c r="AE565" s="572"/>
      <c r="AF565" s="572"/>
    </row>
    <row r="566" spans="1:32">
      <c r="A566" s="947">
        <f t="shared" si="98"/>
        <v>559</v>
      </c>
      <c r="B566" s="948">
        <v>28</v>
      </c>
      <c r="C566" s="949">
        <v>32670</v>
      </c>
      <c r="D566" s="949" t="s">
        <v>178</v>
      </c>
      <c r="E566" s="904">
        <v>11</v>
      </c>
      <c r="F566" s="644">
        <v>1989</v>
      </c>
      <c r="G566" s="948" t="s">
        <v>147</v>
      </c>
      <c r="H566" s="645" t="s">
        <v>149</v>
      </c>
      <c r="I566" s="951">
        <v>80</v>
      </c>
      <c r="J566" s="951">
        <v>0.3</v>
      </c>
      <c r="K566" s="952">
        <f t="shared" si="96"/>
        <v>1.3636363636363636E-2</v>
      </c>
      <c r="L566" s="644">
        <f t="shared" si="99"/>
        <v>23</v>
      </c>
      <c r="M566" s="935">
        <v>0.96388888888888891</v>
      </c>
      <c r="N566" s="936">
        <f t="shared" si="89"/>
        <v>0.96388888888888891</v>
      </c>
      <c r="O566" s="725"/>
      <c r="P566" s="725">
        <f t="shared" si="92"/>
        <v>-0.96388888888888891</v>
      </c>
      <c r="Q566" s="622"/>
      <c r="R566" s="37"/>
      <c r="S566" s="37" t="str">
        <f t="shared" si="90"/>
        <v>DonleyF0</v>
      </c>
      <c r="T566" s="37" t="str">
        <f t="shared" si="93"/>
        <v>1989F0</v>
      </c>
      <c r="U566" s="429">
        <v>50</v>
      </c>
      <c r="V566" s="1029">
        <v>0.2</v>
      </c>
      <c r="W566" s="598">
        <v>0.01</v>
      </c>
      <c r="X566" s="429"/>
      <c r="Y566" s="37" t="str">
        <f t="shared" si="94"/>
        <v>F050</v>
      </c>
      <c r="Z566" s="37" t="str">
        <f t="shared" si="95"/>
        <v>F00.2</v>
      </c>
      <c r="AA566" s="37" t="str">
        <f t="shared" si="97"/>
        <v>F00.01</v>
      </c>
      <c r="AB566" s="498" t="str">
        <f t="shared" si="91"/>
        <v>F023</v>
      </c>
      <c r="AC566" s="572"/>
      <c r="AD566" s="572"/>
      <c r="AE566" s="572"/>
      <c r="AF566" s="572"/>
    </row>
    <row r="567" spans="1:32">
      <c r="A567" s="947">
        <f t="shared" si="98"/>
        <v>560</v>
      </c>
      <c r="B567" s="948">
        <v>29</v>
      </c>
      <c r="C567" s="949">
        <v>32671</v>
      </c>
      <c r="D567" s="949" t="s">
        <v>178</v>
      </c>
      <c r="E567" s="904">
        <v>12</v>
      </c>
      <c r="F567" s="644">
        <v>1989</v>
      </c>
      <c r="G567" s="948" t="s">
        <v>136</v>
      </c>
      <c r="H567" s="645" t="s">
        <v>150</v>
      </c>
      <c r="I567" s="951">
        <v>100</v>
      </c>
      <c r="J567" s="951">
        <v>1</v>
      </c>
      <c r="K567" s="952">
        <f t="shared" si="96"/>
        <v>5.6818181818181816E-2</v>
      </c>
      <c r="L567" s="644">
        <f t="shared" si="99"/>
        <v>18</v>
      </c>
      <c r="M567" s="935">
        <v>0.78472222222222221</v>
      </c>
      <c r="N567" s="936">
        <f t="shared" si="89"/>
        <v>0.78472222222222221</v>
      </c>
      <c r="O567" s="725"/>
      <c r="P567" s="725">
        <f t="shared" si="92"/>
        <v>-0.78472222222222221</v>
      </c>
      <c r="Q567" s="622"/>
      <c r="R567" s="37"/>
      <c r="S567" s="37" t="str">
        <f t="shared" si="90"/>
        <v>HutchinsonF1</v>
      </c>
      <c r="T567" s="37" t="str">
        <f t="shared" si="93"/>
        <v>1989F1</v>
      </c>
      <c r="U567" s="429">
        <v>100</v>
      </c>
      <c r="V567" s="1029">
        <v>1</v>
      </c>
      <c r="W567" s="598">
        <v>0.05</v>
      </c>
      <c r="X567" s="429"/>
      <c r="Y567" s="37" t="str">
        <f t="shared" si="94"/>
        <v>F1100</v>
      </c>
      <c r="Z567" s="37" t="str">
        <f t="shared" si="95"/>
        <v>F11</v>
      </c>
      <c r="AA567" s="37" t="str">
        <f t="shared" si="97"/>
        <v>F10.05</v>
      </c>
      <c r="AB567" s="498" t="str">
        <f t="shared" si="91"/>
        <v>F118</v>
      </c>
      <c r="AC567" s="572"/>
      <c r="AD567" s="572"/>
      <c r="AE567" s="572"/>
      <c r="AF567" s="572"/>
    </row>
    <row r="568" spans="1:32">
      <c r="A568" s="947">
        <f t="shared" si="98"/>
        <v>561</v>
      </c>
      <c r="B568" s="948">
        <v>30</v>
      </c>
      <c r="C568" s="949">
        <v>32671</v>
      </c>
      <c r="D568" s="949" t="s">
        <v>178</v>
      </c>
      <c r="E568" s="904">
        <v>12</v>
      </c>
      <c r="F568" s="644">
        <v>1989</v>
      </c>
      <c r="G568" s="948" t="s">
        <v>147</v>
      </c>
      <c r="H568" s="645" t="s">
        <v>149</v>
      </c>
      <c r="I568" s="951">
        <v>100</v>
      </c>
      <c r="J568" s="951">
        <v>2</v>
      </c>
      <c r="K568" s="952">
        <f t="shared" si="96"/>
        <v>0.11363636363636363</v>
      </c>
      <c r="L568" s="644">
        <f t="shared" si="99"/>
        <v>22</v>
      </c>
      <c r="M568" s="935">
        <v>0.93402777777777779</v>
      </c>
      <c r="N568" s="936">
        <f t="shared" si="89"/>
        <v>0.93402777777777779</v>
      </c>
      <c r="O568" s="725"/>
      <c r="P568" s="725">
        <f t="shared" si="92"/>
        <v>-0.93402777777777779</v>
      </c>
      <c r="Q568" s="622"/>
      <c r="R568" s="37"/>
      <c r="S568" s="37" t="str">
        <f t="shared" si="90"/>
        <v>DonleyF0</v>
      </c>
      <c r="T568" s="37" t="str">
        <f t="shared" si="93"/>
        <v>1989F0</v>
      </c>
      <c r="U568" s="429">
        <v>100</v>
      </c>
      <c r="V568" s="1029">
        <v>2</v>
      </c>
      <c r="W568" s="598">
        <v>0.1</v>
      </c>
      <c r="X568" s="429"/>
      <c r="Y568" s="37" t="str">
        <f t="shared" si="94"/>
        <v>F0100</v>
      </c>
      <c r="Z568" s="37" t="str">
        <f t="shared" si="95"/>
        <v>F02</v>
      </c>
      <c r="AA568" s="37" t="str">
        <f t="shared" si="97"/>
        <v>F00.1</v>
      </c>
      <c r="AB568" s="498" t="str">
        <f t="shared" si="91"/>
        <v>F022</v>
      </c>
      <c r="AC568" s="572"/>
      <c r="AD568" s="572"/>
      <c r="AE568" s="572"/>
      <c r="AF568" s="572"/>
    </row>
    <row r="569" spans="1:32">
      <c r="A569" s="947">
        <f t="shared" si="98"/>
        <v>562</v>
      </c>
      <c r="B569" s="948">
        <v>31</v>
      </c>
      <c r="C569" s="949">
        <v>32735</v>
      </c>
      <c r="D569" s="949" t="s">
        <v>180</v>
      </c>
      <c r="E569" s="904">
        <v>15</v>
      </c>
      <c r="F569" s="644">
        <v>1989</v>
      </c>
      <c r="G569" s="948" t="s">
        <v>139</v>
      </c>
      <c r="H569" s="645" t="s">
        <v>149</v>
      </c>
      <c r="I569" s="951">
        <v>60</v>
      </c>
      <c r="J569" s="951">
        <v>2.5</v>
      </c>
      <c r="K569" s="952">
        <f t="shared" si="96"/>
        <v>8.5227272727272721E-2</v>
      </c>
      <c r="L569" s="644">
        <f t="shared" si="99"/>
        <v>16</v>
      </c>
      <c r="M569" s="935">
        <v>0.69097222222222221</v>
      </c>
      <c r="N569" s="936">
        <f t="shared" si="89"/>
        <v>0.69097222222222221</v>
      </c>
      <c r="O569" s="725"/>
      <c r="P569" s="725">
        <f t="shared" si="92"/>
        <v>-0.69097222222222221</v>
      </c>
      <c r="Q569" s="622"/>
      <c r="R569" s="37"/>
      <c r="S569" s="37" t="str">
        <f t="shared" si="90"/>
        <v>OldhamF0</v>
      </c>
      <c r="T569" s="37" t="str">
        <f t="shared" si="93"/>
        <v>1989F0</v>
      </c>
      <c r="U569" s="429">
        <v>50</v>
      </c>
      <c r="V569" s="1029">
        <v>2</v>
      </c>
      <c r="W569" s="598">
        <v>0.05</v>
      </c>
      <c r="X569" s="429"/>
      <c r="Y569" s="37" t="str">
        <f t="shared" si="94"/>
        <v>F050</v>
      </c>
      <c r="Z569" s="37" t="str">
        <f t="shared" si="95"/>
        <v>F02</v>
      </c>
      <c r="AA569" s="37" t="str">
        <f t="shared" si="97"/>
        <v>F00.05</v>
      </c>
      <c r="AB569" s="498" t="str">
        <f t="shared" si="91"/>
        <v>F016</v>
      </c>
      <c r="AC569" s="572"/>
      <c r="AD569" s="572"/>
      <c r="AE569" s="572"/>
      <c r="AF569" s="572"/>
    </row>
    <row r="570" spans="1:32">
      <c r="A570" s="947">
        <f t="shared" si="98"/>
        <v>563</v>
      </c>
      <c r="B570" s="948">
        <v>32</v>
      </c>
      <c r="C570" s="949">
        <v>32735</v>
      </c>
      <c r="D570" s="949" t="s">
        <v>180</v>
      </c>
      <c r="E570" s="904">
        <v>15</v>
      </c>
      <c r="F570" s="644">
        <v>1989</v>
      </c>
      <c r="G570" s="948" t="s">
        <v>134</v>
      </c>
      <c r="H570" s="645" t="s">
        <v>149</v>
      </c>
      <c r="I570" s="951">
        <v>90</v>
      </c>
      <c r="J570" s="951">
        <v>3</v>
      </c>
      <c r="K570" s="952">
        <f t="shared" si="96"/>
        <v>0.15340909090909091</v>
      </c>
      <c r="L570" s="644">
        <f t="shared" si="99"/>
        <v>19</v>
      </c>
      <c r="M570" s="935">
        <v>0.82916666666666661</v>
      </c>
      <c r="N570" s="936">
        <f t="shared" si="89"/>
        <v>0.82916666666666661</v>
      </c>
      <c r="O570" s="725"/>
      <c r="P570" s="725">
        <f t="shared" si="92"/>
        <v>-0.82916666666666661</v>
      </c>
      <c r="Q570" s="622"/>
      <c r="R570" s="37"/>
      <c r="S570" s="37" t="str">
        <f t="shared" si="90"/>
        <v>HartleyF0</v>
      </c>
      <c r="T570" s="37" t="str">
        <f t="shared" si="93"/>
        <v>1989F0</v>
      </c>
      <c r="U570" s="429">
        <v>50</v>
      </c>
      <c r="V570" s="1029">
        <v>2</v>
      </c>
      <c r="W570" s="598">
        <v>0.1</v>
      </c>
      <c r="X570" s="429"/>
      <c r="Y570" s="37" t="str">
        <f t="shared" si="94"/>
        <v>F050</v>
      </c>
      <c r="Z570" s="37" t="str">
        <f t="shared" si="95"/>
        <v>F02</v>
      </c>
      <c r="AA570" s="37" t="str">
        <f t="shared" si="97"/>
        <v>F00.1</v>
      </c>
      <c r="AB570" s="498" t="str">
        <f t="shared" si="91"/>
        <v>F019</v>
      </c>
      <c r="AC570" s="572"/>
      <c r="AD570" s="572"/>
      <c r="AE570" s="572"/>
      <c r="AF570" s="572"/>
    </row>
    <row r="571" spans="1:32">
      <c r="A571" s="947">
        <f t="shared" si="98"/>
        <v>564</v>
      </c>
      <c r="B571" s="948">
        <v>1</v>
      </c>
      <c r="C571" s="949">
        <v>32987</v>
      </c>
      <c r="D571" s="949" t="s">
        <v>176</v>
      </c>
      <c r="E571" s="904">
        <v>24</v>
      </c>
      <c r="F571" s="644">
        <v>1990</v>
      </c>
      <c r="G571" s="948" t="s">
        <v>142</v>
      </c>
      <c r="H571" s="645" t="s">
        <v>149</v>
      </c>
      <c r="I571" s="951">
        <v>80</v>
      </c>
      <c r="J571" s="951">
        <v>1.4</v>
      </c>
      <c r="K571" s="952">
        <f t="shared" si="96"/>
        <v>6.363636363636363E-2</v>
      </c>
      <c r="L571" s="644">
        <f t="shared" si="99"/>
        <v>17</v>
      </c>
      <c r="M571" s="935">
        <v>0.71597222222222223</v>
      </c>
      <c r="N571" s="936">
        <f t="shared" si="89"/>
        <v>0.71597222222222223</v>
      </c>
      <c r="O571" s="725"/>
      <c r="P571" s="725">
        <f t="shared" si="92"/>
        <v>-0.71597222222222223</v>
      </c>
      <c r="Q571" s="622" t="s">
        <v>1230</v>
      </c>
      <c r="R571" s="36"/>
      <c r="S571" s="37" t="str">
        <f t="shared" si="90"/>
        <v>GrayF0</v>
      </c>
      <c r="T571" s="37" t="str">
        <f t="shared" si="93"/>
        <v>1990F0</v>
      </c>
      <c r="U571" s="429">
        <v>50</v>
      </c>
      <c r="V571" s="1029">
        <v>1</v>
      </c>
      <c r="W571" s="598">
        <v>0.05</v>
      </c>
      <c r="X571" s="429"/>
      <c r="Y571" s="37" t="str">
        <f t="shared" si="94"/>
        <v>F050</v>
      </c>
      <c r="Z571" s="37" t="str">
        <f t="shared" si="95"/>
        <v>F01</v>
      </c>
      <c r="AA571" s="37" t="str">
        <f t="shared" si="97"/>
        <v>F00.05</v>
      </c>
      <c r="AB571" s="498" t="str">
        <f t="shared" si="91"/>
        <v>F017</v>
      </c>
      <c r="AC571" s="572"/>
      <c r="AD571" s="572"/>
      <c r="AE571" s="572"/>
      <c r="AF571" s="572"/>
    </row>
    <row r="572" spans="1:32">
      <c r="A572" s="947">
        <f t="shared" si="98"/>
        <v>565</v>
      </c>
      <c r="B572" s="948">
        <v>2</v>
      </c>
      <c r="C572" s="949">
        <v>32987</v>
      </c>
      <c r="D572" s="949" t="s">
        <v>176</v>
      </c>
      <c r="E572" s="904">
        <v>24</v>
      </c>
      <c r="F572" s="644">
        <v>1990</v>
      </c>
      <c r="G572" s="948" t="s">
        <v>138</v>
      </c>
      <c r="H572" s="645" t="s">
        <v>149</v>
      </c>
      <c r="I572" s="951">
        <v>70</v>
      </c>
      <c r="J572" s="951">
        <v>1.3</v>
      </c>
      <c r="K572" s="952">
        <f t="shared" si="96"/>
        <v>5.1704545454545454E-2</v>
      </c>
      <c r="L572" s="644">
        <f t="shared" si="99"/>
        <v>19</v>
      </c>
      <c r="M572" s="935">
        <v>0.8125</v>
      </c>
      <c r="N572" s="936">
        <f t="shared" si="89"/>
        <v>0.8125</v>
      </c>
      <c r="O572" s="725"/>
      <c r="P572" s="725">
        <f t="shared" si="92"/>
        <v>-0.8125</v>
      </c>
      <c r="Q572" s="622" t="s">
        <v>1231</v>
      </c>
      <c r="R572" s="36"/>
      <c r="S572" s="37" t="str">
        <f t="shared" si="90"/>
        <v>HemphillF0</v>
      </c>
      <c r="T572" s="37" t="str">
        <f t="shared" si="93"/>
        <v>1990F0</v>
      </c>
      <c r="U572" s="429">
        <v>50</v>
      </c>
      <c r="V572" s="1029">
        <v>1</v>
      </c>
      <c r="W572" s="598">
        <v>0.05</v>
      </c>
      <c r="X572" s="429"/>
      <c r="Y572" s="37" t="str">
        <f t="shared" si="94"/>
        <v>F050</v>
      </c>
      <c r="Z572" s="37" t="str">
        <f t="shared" si="95"/>
        <v>F01</v>
      </c>
      <c r="AA572" s="37" t="str">
        <f t="shared" si="97"/>
        <v>F00.05</v>
      </c>
      <c r="AB572" s="498" t="str">
        <f t="shared" si="91"/>
        <v>F019</v>
      </c>
      <c r="AC572" s="572"/>
      <c r="AD572" s="572"/>
      <c r="AE572" s="572"/>
      <c r="AF572" s="572"/>
    </row>
    <row r="573" spans="1:32">
      <c r="A573" s="947">
        <f t="shared" si="98"/>
        <v>566</v>
      </c>
      <c r="B573" s="948">
        <v>3</v>
      </c>
      <c r="C573" s="949">
        <v>32987</v>
      </c>
      <c r="D573" s="949" t="s">
        <v>176</v>
      </c>
      <c r="E573" s="904">
        <v>24</v>
      </c>
      <c r="F573" s="644">
        <v>1990</v>
      </c>
      <c r="G573" s="948" t="s">
        <v>138</v>
      </c>
      <c r="H573" s="645" t="s">
        <v>150</v>
      </c>
      <c r="I573" s="951">
        <v>130</v>
      </c>
      <c r="J573" s="951">
        <v>3</v>
      </c>
      <c r="K573" s="952">
        <f t="shared" si="96"/>
        <v>0.22159090909090912</v>
      </c>
      <c r="L573" s="644">
        <f t="shared" si="99"/>
        <v>20</v>
      </c>
      <c r="M573" s="935">
        <v>0.84375</v>
      </c>
      <c r="N573" s="936">
        <f t="shared" si="89"/>
        <v>0.84375</v>
      </c>
      <c r="O573" s="725"/>
      <c r="P573" s="725">
        <f t="shared" si="92"/>
        <v>-0.84375</v>
      </c>
      <c r="Q573" s="622" t="s">
        <v>1232</v>
      </c>
      <c r="R573" s="37"/>
      <c r="S573" s="37" t="str">
        <f t="shared" si="90"/>
        <v>HemphillF1</v>
      </c>
      <c r="T573" s="37" t="str">
        <f t="shared" si="93"/>
        <v>1990F1</v>
      </c>
      <c r="U573" s="429">
        <v>100</v>
      </c>
      <c r="V573" s="1029">
        <v>2</v>
      </c>
      <c r="W573" s="598">
        <v>0.2</v>
      </c>
      <c r="X573" s="429"/>
      <c r="Y573" s="37" t="str">
        <f t="shared" si="94"/>
        <v>F1100</v>
      </c>
      <c r="Z573" s="37" t="str">
        <f t="shared" si="95"/>
        <v>F12</v>
      </c>
      <c r="AA573" s="37" t="str">
        <f t="shared" si="97"/>
        <v>F10.2</v>
      </c>
      <c r="AB573" s="498" t="str">
        <f t="shared" si="91"/>
        <v>F120</v>
      </c>
      <c r="AC573" s="572"/>
      <c r="AD573" s="572"/>
      <c r="AE573" s="572"/>
      <c r="AF573" s="572"/>
    </row>
    <row r="574" spans="1:32">
      <c r="A574" s="947">
        <f t="shared" si="98"/>
        <v>567</v>
      </c>
      <c r="B574" s="948">
        <v>4</v>
      </c>
      <c r="C574" s="949">
        <v>32987</v>
      </c>
      <c r="D574" s="949" t="s">
        <v>176</v>
      </c>
      <c r="E574" s="904">
        <v>24</v>
      </c>
      <c r="F574" s="644">
        <v>1990</v>
      </c>
      <c r="G574" s="948" t="s">
        <v>133</v>
      </c>
      <c r="H574" s="645" t="s">
        <v>150</v>
      </c>
      <c r="I574" s="951">
        <v>110</v>
      </c>
      <c r="J574" s="951">
        <v>2.5</v>
      </c>
      <c r="K574" s="952">
        <f t="shared" si="96"/>
        <v>0.15625</v>
      </c>
      <c r="L574" s="644">
        <f t="shared" si="99"/>
        <v>20</v>
      </c>
      <c r="M574" s="935">
        <v>0.87291666666666667</v>
      </c>
      <c r="N574" s="936">
        <f t="shared" si="89"/>
        <v>0.87291666666666667</v>
      </c>
      <c r="O574" s="725"/>
      <c r="P574" s="725">
        <f t="shared" si="92"/>
        <v>-0.87291666666666667</v>
      </c>
      <c r="Q574" s="622" t="s">
        <v>1233</v>
      </c>
      <c r="R574" s="37"/>
      <c r="S574" s="37" t="str">
        <f t="shared" si="90"/>
        <v>LipscombF1</v>
      </c>
      <c r="T574" s="37" t="str">
        <f t="shared" si="93"/>
        <v>1990F1</v>
      </c>
      <c r="U574" s="429">
        <v>100</v>
      </c>
      <c r="V574" s="1029">
        <v>2</v>
      </c>
      <c r="W574" s="598">
        <v>0.1</v>
      </c>
      <c r="X574" s="429"/>
      <c r="Y574" s="37" t="str">
        <f t="shared" si="94"/>
        <v>F1100</v>
      </c>
      <c r="Z574" s="37" t="str">
        <f t="shared" si="95"/>
        <v>F12</v>
      </c>
      <c r="AA574" s="37" t="str">
        <f t="shared" si="97"/>
        <v>F10.1</v>
      </c>
      <c r="AB574" s="498" t="str">
        <f t="shared" si="91"/>
        <v>F120</v>
      </c>
      <c r="AC574" s="572"/>
      <c r="AD574" s="572"/>
      <c r="AE574" s="572"/>
      <c r="AF574" s="572"/>
    </row>
    <row r="575" spans="1:32">
      <c r="A575" s="947">
        <f t="shared" si="98"/>
        <v>568</v>
      </c>
      <c r="B575" s="948">
        <v>5</v>
      </c>
      <c r="C575" s="949">
        <v>32987</v>
      </c>
      <c r="D575" s="949" t="s">
        <v>176</v>
      </c>
      <c r="E575" s="904">
        <v>24</v>
      </c>
      <c r="F575" s="644">
        <v>1990</v>
      </c>
      <c r="G575" s="948" t="s">
        <v>147</v>
      </c>
      <c r="H575" s="645" t="s">
        <v>149</v>
      </c>
      <c r="I575" s="951">
        <v>90</v>
      </c>
      <c r="J575" s="951">
        <v>1.5</v>
      </c>
      <c r="K575" s="952">
        <f t="shared" si="96"/>
        <v>7.6704545454545456E-2</v>
      </c>
      <c r="L575" s="644">
        <f t="shared" si="99"/>
        <v>21</v>
      </c>
      <c r="M575" s="935">
        <v>0.90277777777777779</v>
      </c>
      <c r="N575" s="936">
        <f t="shared" si="89"/>
        <v>0.90277777777777779</v>
      </c>
      <c r="O575" s="725"/>
      <c r="P575" s="725">
        <f t="shared" si="92"/>
        <v>-0.90277777777777779</v>
      </c>
      <c r="Q575" s="622" t="s">
        <v>1234</v>
      </c>
      <c r="R575" s="37"/>
      <c r="S575" s="37" t="str">
        <f t="shared" si="90"/>
        <v>DonleyF0</v>
      </c>
      <c r="T575" s="37" t="str">
        <f t="shared" si="93"/>
        <v>1990F0</v>
      </c>
      <c r="U575" s="429">
        <v>50</v>
      </c>
      <c r="V575" s="1029">
        <v>1</v>
      </c>
      <c r="W575" s="598">
        <v>0.05</v>
      </c>
      <c r="X575" s="429"/>
      <c r="Y575" s="37" t="str">
        <f t="shared" si="94"/>
        <v>F050</v>
      </c>
      <c r="Z575" s="37" t="str">
        <f t="shared" si="95"/>
        <v>F01</v>
      </c>
      <c r="AA575" s="37" t="str">
        <f t="shared" si="97"/>
        <v>F00.05</v>
      </c>
      <c r="AB575" s="498" t="str">
        <f t="shared" si="91"/>
        <v>F021</v>
      </c>
      <c r="AC575" s="572"/>
      <c r="AD575" s="572"/>
      <c r="AE575" s="572"/>
      <c r="AF575" s="572"/>
    </row>
    <row r="576" spans="1:32">
      <c r="A576" s="947">
        <f t="shared" si="98"/>
        <v>569</v>
      </c>
      <c r="B576" s="948">
        <v>6</v>
      </c>
      <c r="C576" s="949">
        <v>32987</v>
      </c>
      <c r="D576" s="949" t="s">
        <v>176</v>
      </c>
      <c r="E576" s="904">
        <v>24</v>
      </c>
      <c r="F576" s="644">
        <v>1990</v>
      </c>
      <c r="G576" s="948" t="s">
        <v>143</v>
      </c>
      <c r="H576" s="645" t="s">
        <v>150</v>
      </c>
      <c r="I576" s="951">
        <v>140</v>
      </c>
      <c r="J576" s="951">
        <v>3.5</v>
      </c>
      <c r="K576" s="952">
        <f t="shared" si="96"/>
        <v>0.27840909090909088</v>
      </c>
      <c r="L576" s="644">
        <f t="shared" si="99"/>
        <v>22</v>
      </c>
      <c r="M576" s="935">
        <v>0.9375</v>
      </c>
      <c r="N576" s="936">
        <f t="shared" si="89"/>
        <v>0.9375</v>
      </c>
      <c r="O576" s="725"/>
      <c r="P576" s="725">
        <f t="shared" si="92"/>
        <v>-0.9375</v>
      </c>
      <c r="Q576" s="622" t="s">
        <v>1235</v>
      </c>
      <c r="R576" s="37"/>
      <c r="S576" s="37" t="str">
        <f t="shared" si="90"/>
        <v>WheelerF1</v>
      </c>
      <c r="T576" s="37" t="str">
        <f t="shared" si="93"/>
        <v>1990F1</v>
      </c>
      <c r="U576" s="429">
        <v>100</v>
      </c>
      <c r="V576" s="1029">
        <v>2</v>
      </c>
      <c r="W576" s="598">
        <v>0.2</v>
      </c>
      <c r="X576" s="429"/>
      <c r="Y576" s="37" t="str">
        <f t="shared" si="94"/>
        <v>F1100</v>
      </c>
      <c r="Z576" s="37" t="str">
        <f t="shared" si="95"/>
        <v>F12</v>
      </c>
      <c r="AA576" s="37" t="str">
        <f t="shared" si="97"/>
        <v>F10.2</v>
      </c>
      <c r="AB576" s="498" t="str">
        <f t="shared" si="91"/>
        <v>F122</v>
      </c>
      <c r="AC576" s="572"/>
      <c r="AD576" s="572"/>
      <c r="AE576" s="572"/>
      <c r="AF576" s="572"/>
    </row>
    <row r="577" spans="1:32">
      <c r="A577" s="947">
        <f t="shared" si="98"/>
        <v>570</v>
      </c>
      <c r="B577" s="948">
        <v>7</v>
      </c>
      <c r="C577" s="949">
        <v>32987</v>
      </c>
      <c r="D577" s="949" t="s">
        <v>176</v>
      </c>
      <c r="E577" s="904">
        <v>24</v>
      </c>
      <c r="F577" s="644">
        <v>1990</v>
      </c>
      <c r="G577" s="948" t="s">
        <v>143</v>
      </c>
      <c r="H577" s="645" t="s">
        <v>150</v>
      </c>
      <c r="I577" s="951">
        <v>250</v>
      </c>
      <c r="J577" s="951">
        <v>4</v>
      </c>
      <c r="K577" s="952">
        <f t="shared" si="96"/>
        <v>0.56818181818181823</v>
      </c>
      <c r="L577" s="644">
        <f t="shared" si="99"/>
        <v>23</v>
      </c>
      <c r="M577" s="935">
        <v>0.97013888888888899</v>
      </c>
      <c r="N577" s="936">
        <f t="shared" si="89"/>
        <v>0.97013888888888899</v>
      </c>
      <c r="O577" s="725"/>
      <c r="P577" s="725">
        <f t="shared" si="92"/>
        <v>-0.97013888888888899</v>
      </c>
      <c r="Q577" s="622" t="s">
        <v>1236</v>
      </c>
      <c r="R577" s="37"/>
      <c r="S577" s="37" t="str">
        <f t="shared" si="90"/>
        <v>WheelerF1</v>
      </c>
      <c r="T577" s="37" t="str">
        <f t="shared" si="93"/>
        <v>1990F1</v>
      </c>
      <c r="U577" s="429">
        <v>200</v>
      </c>
      <c r="V577" s="1029">
        <v>2</v>
      </c>
      <c r="W577" s="598">
        <v>0.5</v>
      </c>
      <c r="X577" s="429"/>
      <c r="Y577" s="37" t="str">
        <f t="shared" si="94"/>
        <v>F1200</v>
      </c>
      <c r="Z577" s="37" t="str">
        <f t="shared" si="95"/>
        <v>F12</v>
      </c>
      <c r="AA577" s="37" t="str">
        <f t="shared" si="97"/>
        <v>F10.5</v>
      </c>
      <c r="AB577" s="498" t="str">
        <f t="shared" si="91"/>
        <v>F123</v>
      </c>
      <c r="AC577" s="572"/>
      <c r="AD577" s="572"/>
      <c r="AE577" s="572"/>
      <c r="AF577" s="572"/>
    </row>
    <row r="578" spans="1:32">
      <c r="A578" s="947">
        <f t="shared" si="98"/>
        <v>571</v>
      </c>
      <c r="B578" s="948">
        <v>8</v>
      </c>
      <c r="C578" s="949">
        <v>32988</v>
      </c>
      <c r="D578" s="949" t="s">
        <v>176</v>
      </c>
      <c r="E578" s="904">
        <v>25</v>
      </c>
      <c r="F578" s="644">
        <v>1990</v>
      </c>
      <c r="G578" s="948" t="s">
        <v>127</v>
      </c>
      <c r="H578" s="645" t="s">
        <v>150</v>
      </c>
      <c r="I578" s="951">
        <v>50</v>
      </c>
      <c r="J578" s="951">
        <v>2</v>
      </c>
      <c r="K578" s="952">
        <f t="shared" si="96"/>
        <v>5.6818181818181816E-2</v>
      </c>
      <c r="L578" s="644">
        <f t="shared" si="99"/>
        <v>0</v>
      </c>
      <c r="M578" s="935">
        <v>3.4722222222222224E-2</v>
      </c>
      <c r="N578" s="936">
        <f t="shared" si="89"/>
        <v>3.4722222222222224E-2</v>
      </c>
      <c r="O578" s="725"/>
      <c r="P578" s="725">
        <f t="shared" si="92"/>
        <v>-3.4722222222222224E-2</v>
      </c>
      <c r="Q578" s="622" t="s">
        <v>1237</v>
      </c>
      <c r="R578" s="37"/>
      <c r="S578" s="37" t="str">
        <f t="shared" si="90"/>
        <v>TexasF1</v>
      </c>
      <c r="T578" s="37" t="str">
        <f t="shared" si="93"/>
        <v>1990F1</v>
      </c>
      <c r="U578" s="429">
        <v>50</v>
      </c>
      <c r="V578" s="1029">
        <v>2</v>
      </c>
      <c r="W578" s="598">
        <v>0.05</v>
      </c>
      <c r="X578" s="429"/>
      <c r="Y578" s="37" t="str">
        <f t="shared" si="94"/>
        <v>F150</v>
      </c>
      <c r="Z578" s="37" t="str">
        <f t="shared" si="95"/>
        <v>F12</v>
      </c>
      <c r="AA578" s="37" t="str">
        <f t="shared" si="97"/>
        <v>F10.05</v>
      </c>
      <c r="AB578" s="498" t="str">
        <f t="shared" si="91"/>
        <v>F10</v>
      </c>
      <c r="AC578" s="572"/>
      <c r="AD578" s="572"/>
      <c r="AE578" s="572"/>
      <c r="AF578" s="572"/>
    </row>
    <row r="579" spans="1:32">
      <c r="A579" s="947">
        <f t="shared" si="98"/>
        <v>572</v>
      </c>
      <c r="B579" s="948">
        <v>9</v>
      </c>
      <c r="C579" s="949">
        <v>33024</v>
      </c>
      <c r="D579" s="949" t="s">
        <v>177</v>
      </c>
      <c r="E579" s="904">
        <v>31</v>
      </c>
      <c r="F579" s="644">
        <v>1990</v>
      </c>
      <c r="G579" s="948" t="s">
        <v>132</v>
      </c>
      <c r="H579" s="645" t="s">
        <v>150</v>
      </c>
      <c r="I579" s="951">
        <v>175</v>
      </c>
      <c r="J579" s="951">
        <v>7</v>
      </c>
      <c r="K579" s="952">
        <f t="shared" si="96"/>
        <v>0.69602272727272729</v>
      </c>
      <c r="L579" s="644">
        <f t="shared" si="99"/>
        <v>15</v>
      </c>
      <c r="M579" s="935">
        <v>0.64583333333333337</v>
      </c>
      <c r="N579" s="936">
        <f t="shared" si="89"/>
        <v>0.64583333333333337</v>
      </c>
      <c r="O579" s="725"/>
      <c r="P579" s="725">
        <f t="shared" si="92"/>
        <v>-0.64583333333333337</v>
      </c>
      <c r="Q579" s="622" t="s">
        <v>1238</v>
      </c>
      <c r="R579" s="37"/>
      <c r="S579" s="37" t="str">
        <f t="shared" si="90"/>
        <v>OchiltreeF1</v>
      </c>
      <c r="T579" s="37" t="str">
        <f t="shared" si="93"/>
        <v>1990F1</v>
      </c>
      <c r="U579" s="429">
        <v>100</v>
      </c>
      <c r="V579" s="1029">
        <v>5</v>
      </c>
      <c r="W579" s="598">
        <v>0.5</v>
      </c>
      <c r="X579" s="429"/>
      <c r="Y579" s="37" t="str">
        <f t="shared" si="94"/>
        <v>F1100</v>
      </c>
      <c r="Z579" s="37" t="str">
        <f t="shared" si="95"/>
        <v>F15</v>
      </c>
      <c r="AA579" s="37" t="str">
        <f t="shared" si="97"/>
        <v>F10.5</v>
      </c>
      <c r="AB579" s="498" t="str">
        <f t="shared" si="91"/>
        <v>F115</v>
      </c>
      <c r="AC579" s="572"/>
      <c r="AD579" s="572"/>
      <c r="AE579" s="572"/>
      <c r="AF579" s="572"/>
    </row>
    <row r="580" spans="1:32">
      <c r="A580" s="947">
        <f t="shared" si="98"/>
        <v>573</v>
      </c>
      <c r="B580" s="948">
        <v>10</v>
      </c>
      <c r="C580" s="949">
        <v>33024</v>
      </c>
      <c r="D580" s="949" t="s">
        <v>177</v>
      </c>
      <c r="E580" s="904">
        <v>31</v>
      </c>
      <c r="F580" s="644">
        <v>1990</v>
      </c>
      <c r="G580" s="948" t="s">
        <v>132</v>
      </c>
      <c r="H580" s="645" t="s">
        <v>149</v>
      </c>
      <c r="I580" s="951">
        <v>50</v>
      </c>
      <c r="J580" s="951">
        <v>1.2</v>
      </c>
      <c r="K580" s="952">
        <f t="shared" si="96"/>
        <v>3.4090909090909088E-2</v>
      </c>
      <c r="L580" s="644">
        <f t="shared" si="99"/>
        <v>16</v>
      </c>
      <c r="M580" s="935">
        <v>0.67291666666666661</v>
      </c>
      <c r="N580" s="936">
        <f t="shared" si="89"/>
        <v>0.67291666666666661</v>
      </c>
      <c r="O580" s="725"/>
      <c r="P580" s="725">
        <f t="shared" si="92"/>
        <v>-0.67291666666666661</v>
      </c>
      <c r="Q580" s="622" t="s">
        <v>405</v>
      </c>
      <c r="R580" s="37"/>
      <c r="S580" s="37" t="str">
        <f t="shared" si="90"/>
        <v>OchiltreeF0</v>
      </c>
      <c r="T580" s="37" t="str">
        <f t="shared" si="93"/>
        <v>1990F0</v>
      </c>
      <c r="U580" s="429">
        <v>50</v>
      </c>
      <c r="V580" s="1029">
        <v>1</v>
      </c>
      <c r="W580" s="598">
        <v>0.02</v>
      </c>
      <c r="X580" s="429"/>
      <c r="Y580" s="37" t="str">
        <f t="shared" si="94"/>
        <v>F050</v>
      </c>
      <c r="Z580" s="37" t="str">
        <f t="shared" si="95"/>
        <v>F01</v>
      </c>
      <c r="AA580" s="37" t="str">
        <f t="shared" si="97"/>
        <v>F00.02</v>
      </c>
      <c r="AB580" s="498" t="str">
        <f t="shared" si="91"/>
        <v>F016</v>
      </c>
      <c r="AC580" s="572"/>
      <c r="AD580" s="572"/>
      <c r="AE580" s="572"/>
      <c r="AF580" s="572"/>
    </row>
    <row r="581" spans="1:32">
      <c r="A581" s="947">
        <f t="shared" si="98"/>
        <v>574</v>
      </c>
      <c r="B581" s="948">
        <v>11</v>
      </c>
      <c r="C581" s="949">
        <v>33024</v>
      </c>
      <c r="D581" s="949" t="s">
        <v>177</v>
      </c>
      <c r="E581" s="904">
        <v>31</v>
      </c>
      <c r="F581" s="644">
        <v>1990</v>
      </c>
      <c r="G581" s="948" t="s">
        <v>132</v>
      </c>
      <c r="H581" s="645" t="s">
        <v>152</v>
      </c>
      <c r="I581" s="951">
        <v>1407</v>
      </c>
      <c r="J581" s="951">
        <v>14</v>
      </c>
      <c r="K581" s="952">
        <f t="shared" si="96"/>
        <v>11.192045454545454</v>
      </c>
      <c r="L581" s="644">
        <f t="shared" si="99"/>
        <v>17</v>
      </c>
      <c r="M581" s="935">
        <v>0.7368055555555556</v>
      </c>
      <c r="N581" s="936">
        <f t="shared" si="89"/>
        <v>0.7368055555555556</v>
      </c>
      <c r="O581" s="725"/>
      <c r="P581" s="725">
        <f t="shared" si="92"/>
        <v>-0.7368055555555556</v>
      </c>
      <c r="Q581" s="622" t="s">
        <v>1239</v>
      </c>
      <c r="R581" s="37"/>
      <c r="S581" s="37" t="str">
        <f t="shared" si="90"/>
        <v>OchiltreeF3</v>
      </c>
      <c r="T581" s="37" t="str">
        <f t="shared" si="93"/>
        <v>1990F3</v>
      </c>
      <c r="U581" s="429">
        <v>1000</v>
      </c>
      <c r="V581" s="1029">
        <v>10</v>
      </c>
      <c r="W581" s="598">
        <v>10</v>
      </c>
      <c r="X581" s="429"/>
      <c r="Y581" s="37" t="str">
        <f t="shared" si="94"/>
        <v>F31000</v>
      </c>
      <c r="Z581" s="37" t="str">
        <f t="shared" si="95"/>
        <v>F310</v>
      </c>
      <c r="AA581" s="37" t="str">
        <f t="shared" si="97"/>
        <v>F310</v>
      </c>
      <c r="AB581" s="498" t="str">
        <f t="shared" si="91"/>
        <v>F317</v>
      </c>
      <c r="AC581" s="572"/>
      <c r="AD581" s="572"/>
      <c r="AE581" s="572"/>
      <c r="AF581" s="572"/>
    </row>
    <row r="582" spans="1:32">
      <c r="A582" s="947">
        <f t="shared" si="98"/>
        <v>575</v>
      </c>
      <c r="B582" s="948">
        <v>12</v>
      </c>
      <c r="C582" s="949">
        <v>33024</v>
      </c>
      <c r="D582" s="949" t="s">
        <v>177</v>
      </c>
      <c r="E582" s="904">
        <v>31</v>
      </c>
      <c r="F582" s="644">
        <v>1990</v>
      </c>
      <c r="G582" s="948" t="s">
        <v>131</v>
      </c>
      <c r="H582" s="645" t="s">
        <v>149</v>
      </c>
      <c r="I582" s="951">
        <v>60</v>
      </c>
      <c r="J582" s="951">
        <v>1.3</v>
      </c>
      <c r="K582" s="952">
        <f t="shared" si="96"/>
        <v>4.4318181818181819E-2</v>
      </c>
      <c r="L582" s="644">
        <f t="shared" si="99"/>
        <v>17</v>
      </c>
      <c r="M582" s="935">
        <v>0.73958333333333337</v>
      </c>
      <c r="N582" s="936">
        <f t="shared" si="89"/>
        <v>0.73958333333333337</v>
      </c>
      <c r="O582" s="725">
        <v>0.74444444444444446</v>
      </c>
      <c r="P582" s="725">
        <f t="shared" si="92"/>
        <v>4.8611111111110938E-3</v>
      </c>
      <c r="Q582" s="622" t="s">
        <v>1240</v>
      </c>
      <c r="R582" s="37"/>
      <c r="S582" s="37" t="str">
        <f t="shared" si="90"/>
        <v>HansfordF0</v>
      </c>
      <c r="T582" s="37" t="str">
        <f t="shared" si="93"/>
        <v>1990F0</v>
      </c>
      <c r="U582" s="429">
        <v>50</v>
      </c>
      <c r="V582" s="1029">
        <v>1</v>
      </c>
      <c r="W582" s="598">
        <v>0.02</v>
      </c>
      <c r="X582" s="429"/>
      <c r="Y582" s="37" t="str">
        <f t="shared" si="94"/>
        <v>F050</v>
      </c>
      <c r="Z582" s="37" t="str">
        <f t="shared" si="95"/>
        <v>F01</v>
      </c>
      <c r="AA582" s="37" t="str">
        <f t="shared" si="97"/>
        <v>F00.02</v>
      </c>
      <c r="AB582" s="498" t="str">
        <f t="shared" si="91"/>
        <v>F017</v>
      </c>
      <c r="AC582" s="572"/>
      <c r="AD582" s="572"/>
      <c r="AE582" s="572"/>
      <c r="AF582" s="572"/>
    </row>
    <row r="583" spans="1:32">
      <c r="A583" s="947">
        <f t="shared" si="98"/>
        <v>576</v>
      </c>
      <c r="B583" s="948">
        <v>13</v>
      </c>
      <c r="C583" s="949">
        <v>33024</v>
      </c>
      <c r="D583" s="949" t="s">
        <v>177</v>
      </c>
      <c r="E583" s="904">
        <v>31</v>
      </c>
      <c r="F583" s="644">
        <v>1990</v>
      </c>
      <c r="G583" s="948" t="s">
        <v>131</v>
      </c>
      <c r="H583" s="645" t="s">
        <v>151</v>
      </c>
      <c r="I583" s="951">
        <v>600</v>
      </c>
      <c r="J583" s="951">
        <v>5.5</v>
      </c>
      <c r="K583" s="952">
        <f t="shared" si="96"/>
        <v>1.8749999999999998</v>
      </c>
      <c r="L583" s="644">
        <f t="shared" si="99"/>
        <v>19</v>
      </c>
      <c r="M583" s="935">
        <v>0.80208333333333337</v>
      </c>
      <c r="N583" s="936">
        <f t="shared" ref="N583:N646" si="100">+M583</f>
        <v>0.80208333333333337</v>
      </c>
      <c r="O583" s="725">
        <v>0.8125</v>
      </c>
      <c r="P583" s="725">
        <f t="shared" si="92"/>
        <v>1.041666666666663E-2</v>
      </c>
      <c r="Q583" s="622" t="s">
        <v>1241</v>
      </c>
      <c r="R583" s="37"/>
      <c r="S583" s="37" t="str">
        <f t="shared" ref="S583:S646" si="101">CONCATENATE(G583,H583)</f>
        <v>HansfordF2</v>
      </c>
      <c r="T583" s="37" t="str">
        <f t="shared" si="93"/>
        <v>1990F2</v>
      </c>
      <c r="U583" s="429">
        <v>500</v>
      </c>
      <c r="V583" s="1029">
        <v>5</v>
      </c>
      <c r="W583" s="598">
        <v>1</v>
      </c>
      <c r="X583" s="429"/>
      <c r="Y583" s="37" t="str">
        <f t="shared" si="94"/>
        <v>F2500</v>
      </c>
      <c r="Z583" s="37" t="str">
        <f t="shared" si="95"/>
        <v>F25</v>
      </c>
      <c r="AA583" s="37" t="str">
        <f t="shared" si="97"/>
        <v>F21</v>
      </c>
      <c r="AB583" s="498" t="str">
        <f t="shared" ref="AB583:AB646" si="102">CONCATENATE(H583,L583)</f>
        <v>F219</v>
      </c>
      <c r="AC583" s="572"/>
      <c r="AD583" s="572"/>
      <c r="AE583" s="572"/>
      <c r="AF583" s="572"/>
    </row>
    <row r="584" spans="1:32">
      <c r="A584" s="947">
        <f t="shared" si="98"/>
        <v>577</v>
      </c>
      <c r="B584" s="948">
        <v>14</v>
      </c>
      <c r="C584" s="949">
        <v>33024</v>
      </c>
      <c r="D584" s="949" t="s">
        <v>177</v>
      </c>
      <c r="E584" s="904">
        <v>31</v>
      </c>
      <c r="F584" s="644">
        <v>1990</v>
      </c>
      <c r="G584" s="948" t="s">
        <v>132</v>
      </c>
      <c r="H584" s="645" t="s">
        <v>149</v>
      </c>
      <c r="I584" s="951">
        <v>70</v>
      </c>
      <c r="J584" s="951">
        <v>0.7</v>
      </c>
      <c r="K584" s="952">
        <f t="shared" si="96"/>
        <v>2.784090909090909E-2</v>
      </c>
      <c r="L584" s="644">
        <f t="shared" si="99"/>
        <v>20</v>
      </c>
      <c r="M584" s="935">
        <v>0.83888888888888891</v>
      </c>
      <c r="N584" s="936">
        <f t="shared" si="100"/>
        <v>0.83888888888888891</v>
      </c>
      <c r="O584" s="725"/>
      <c r="P584" s="725">
        <f t="shared" ref="P584:P647" si="103">+O584-N584</f>
        <v>-0.83888888888888891</v>
      </c>
      <c r="Q584" s="622" t="s">
        <v>1242</v>
      </c>
      <c r="R584" s="37"/>
      <c r="S584" s="37" t="str">
        <f t="shared" si="101"/>
        <v>OchiltreeF0</v>
      </c>
      <c r="T584" s="37" t="str">
        <f t="shared" ref="T584:T647" si="104">CONCATENATE(F584,H584)</f>
        <v>1990F0</v>
      </c>
      <c r="U584" s="429">
        <v>50</v>
      </c>
      <c r="V584" s="1029">
        <v>0.5</v>
      </c>
      <c r="W584" s="598">
        <v>0.02</v>
      </c>
      <c r="X584" s="429"/>
      <c r="Y584" s="37" t="str">
        <f t="shared" ref="Y584:Y647" si="105">CONCATENATE(H584,U584)</f>
        <v>F050</v>
      </c>
      <c r="Z584" s="37" t="str">
        <f t="shared" ref="Z584:Z647" si="106">CONCATENATE(H584,V584)</f>
        <v>F00.5</v>
      </c>
      <c r="AA584" s="37" t="str">
        <f t="shared" si="97"/>
        <v>F00.02</v>
      </c>
      <c r="AB584" s="498" t="str">
        <f t="shared" si="102"/>
        <v>F020</v>
      </c>
      <c r="AC584" s="572"/>
      <c r="AD584" s="572"/>
      <c r="AE584" s="572"/>
      <c r="AF584" s="572"/>
    </row>
    <row r="585" spans="1:32">
      <c r="A585" s="947">
        <f t="shared" si="98"/>
        <v>578</v>
      </c>
      <c r="B585" s="948">
        <v>15</v>
      </c>
      <c r="C585" s="949">
        <v>33024</v>
      </c>
      <c r="D585" s="949" t="s">
        <v>177</v>
      </c>
      <c r="E585" s="904">
        <v>31</v>
      </c>
      <c r="F585" s="644">
        <v>1990</v>
      </c>
      <c r="G585" s="948" t="s">
        <v>131</v>
      </c>
      <c r="H585" s="645" t="s">
        <v>149</v>
      </c>
      <c r="I585" s="951">
        <v>50</v>
      </c>
      <c r="J585" s="951">
        <v>0.6</v>
      </c>
      <c r="K585" s="952">
        <f t="shared" ref="K585:K648" si="107">+(I585/1760)*J585</f>
        <v>1.7045454545454544E-2</v>
      </c>
      <c r="L585" s="644">
        <f t="shared" si="99"/>
        <v>20</v>
      </c>
      <c r="M585" s="935">
        <v>0.84305555555555556</v>
      </c>
      <c r="N585" s="936">
        <f t="shared" si="100"/>
        <v>0.84305555555555556</v>
      </c>
      <c r="O585" s="725"/>
      <c r="P585" s="725">
        <f t="shared" si="103"/>
        <v>-0.84305555555555556</v>
      </c>
      <c r="Q585" s="622" t="s">
        <v>1243</v>
      </c>
      <c r="R585" s="37"/>
      <c r="S585" s="37" t="str">
        <f t="shared" si="101"/>
        <v>HansfordF0</v>
      </c>
      <c r="T585" s="37" t="str">
        <f t="shared" si="104"/>
        <v>1990F0</v>
      </c>
      <c r="U585" s="429">
        <v>50</v>
      </c>
      <c r="V585" s="1029">
        <v>0.5</v>
      </c>
      <c r="W585" s="598">
        <v>0.01</v>
      </c>
      <c r="X585" s="429"/>
      <c r="Y585" s="37" t="str">
        <f t="shared" si="105"/>
        <v>F050</v>
      </c>
      <c r="Z585" s="37" t="str">
        <f t="shared" si="106"/>
        <v>F00.5</v>
      </c>
      <c r="AA585" s="37" t="str">
        <f t="shared" ref="AA585:AA648" si="108">CONCATENATE(H585,W585)</f>
        <v>F00.01</v>
      </c>
      <c r="AB585" s="498" t="str">
        <f t="shared" si="102"/>
        <v>F020</v>
      </c>
      <c r="AC585" s="572"/>
      <c r="AD585" s="572"/>
      <c r="AE585" s="572"/>
      <c r="AF585" s="572"/>
    </row>
    <row r="586" spans="1:32">
      <c r="A586" s="947">
        <f t="shared" ref="A586:A649" si="109">+A585+1</f>
        <v>579</v>
      </c>
      <c r="B586" s="948">
        <v>16</v>
      </c>
      <c r="C586" s="949">
        <v>33024</v>
      </c>
      <c r="D586" s="949" t="s">
        <v>177</v>
      </c>
      <c r="E586" s="904">
        <v>31</v>
      </c>
      <c r="F586" s="644">
        <v>1990</v>
      </c>
      <c r="G586" s="948" t="s">
        <v>132</v>
      </c>
      <c r="H586" s="645" t="s">
        <v>151</v>
      </c>
      <c r="I586" s="951">
        <v>450</v>
      </c>
      <c r="J586" s="951">
        <v>3</v>
      </c>
      <c r="K586" s="952">
        <f t="shared" si="107"/>
        <v>0.76704545454545459</v>
      </c>
      <c r="L586" s="644">
        <f t="shared" si="99"/>
        <v>21</v>
      </c>
      <c r="M586" s="935">
        <v>0.90625</v>
      </c>
      <c r="N586" s="936">
        <f t="shared" si="100"/>
        <v>0.90625</v>
      </c>
      <c r="O586" s="725">
        <v>0.91319444444444453</v>
      </c>
      <c r="P586" s="725">
        <f t="shared" si="103"/>
        <v>6.9444444444445308E-3</v>
      </c>
      <c r="Q586" s="622" t="s">
        <v>1244</v>
      </c>
      <c r="R586" s="37"/>
      <c r="S586" s="37" t="str">
        <f t="shared" si="101"/>
        <v>OchiltreeF2</v>
      </c>
      <c r="T586" s="37" t="str">
        <f t="shared" si="104"/>
        <v>1990F2</v>
      </c>
      <c r="U586" s="429">
        <v>200</v>
      </c>
      <c r="V586" s="1029">
        <v>2</v>
      </c>
      <c r="W586" s="598">
        <v>0.5</v>
      </c>
      <c r="X586" s="429"/>
      <c r="Y586" s="37" t="str">
        <f t="shared" si="105"/>
        <v>F2200</v>
      </c>
      <c r="Z586" s="37" t="str">
        <f t="shared" si="106"/>
        <v>F22</v>
      </c>
      <c r="AA586" s="37" t="str">
        <f t="shared" si="108"/>
        <v>F20.5</v>
      </c>
      <c r="AB586" s="498" t="str">
        <f t="shared" si="102"/>
        <v>F221</v>
      </c>
      <c r="AC586" s="572"/>
      <c r="AD586" s="572"/>
      <c r="AE586" s="572"/>
      <c r="AF586" s="572"/>
    </row>
    <row r="587" spans="1:32">
      <c r="A587" s="947">
        <f t="shared" si="109"/>
        <v>580</v>
      </c>
      <c r="B587" s="948">
        <v>17</v>
      </c>
      <c r="C587" s="949">
        <v>33024</v>
      </c>
      <c r="D587" s="949" t="s">
        <v>177</v>
      </c>
      <c r="E587" s="904">
        <v>31</v>
      </c>
      <c r="F587" s="644">
        <v>1990</v>
      </c>
      <c r="G587" s="948" t="s">
        <v>138</v>
      </c>
      <c r="H587" s="645" t="s">
        <v>149</v>
      </c>
      <c r="I587" s="951">
        <v>75</v>
      </c>
      <c r="J587" s="951">
        <v>0.6</v>
      </c>
      <c r="K587" s="952">
        <f t="shared" si="107"/>
        <v>2.5568181818181816E-2</v>
      </c>
      <c r="L587" s="644">
        <f t="shared" si="99"/>
        <v>22</v>
      </c>
      <c r="M587" s="935">
        <v>0.92708333333333337</v>
      </c>
      <c r="N587" s="936">
        <f t="shared" si="100"/>
        <v>0.92708333333333337</v>
      </c>
      <c r="O587" s="725"/>
      <c r="P587" s="725">
        <f t="shared" si="103"/>
        <v>-0.92708333333333337</v>
      </c>
      <c r="Q587" s="622" t="s">
        <v>1245</v>
      </c>
      <c r="R587" s="37"/>
      <c r="S587" s="37" t="str">
        <f t="shared" si="101"/>
        <v>HemphillF0</v>
      </c>
      <c r="T587" s="37" t="str">
        <f t="shared" si="104"/>
        <v>1990F0</v>
      </c>
      <c r="U587" s="429">
        <v>50</v>
      </c>
      <c r="V587" s="1029">
        <v>0.5</v>
      </c>
      <c r="W587" s="598">
        <v>0.02</v>
      </c>
      <c r="X587" s="429"/>
      <c r="Y587" s="37" t="str">
        <f t="shared" si="105"/>
        <v>F050</v>
      </c>
      <c r="Z587" s="37" t="str">
        <f t="shared" si="106"/>
        <v>F00.5</v>
      </c>
      <c r="AA587" s="37" t="str">
        <f t="shared" si="108"/>
        <v>F00.02</v>
      </c>
      <c r="AB587" s="498" t="str">
        <f t="shared" si="102"/>
        <v>F022</v>
      </c>
      <c r="AC587" s="572"/>
      <c r="AD587" s="572"/>
      <c r="AE587" s="572"/>
      <c r="AF587" s="572"/>
    </row>
    <row r="588" spans="1:32">
      <c r="A588" s="947">
        <f t="shared" si="109"/>
        <v>581</v>
      </c>
      <c r="B588" s="948">
        <v>18</v>
      </c>
      <c r="C588" s="949">
        <v>33024</v>
      </c>
      <c r="D588" s="949" t="s">
        <v>177</v>
      </c>
      <c r="E588" s="904">
        <v>31</v>
      </c>
      <c r="F588" s="644">
        <v>1990</v>
      </c>
      <c r="G588" s="948" t="s">
        <v>138</v>
      </c>
      <c r="H588" s="645" t="s">
        <v>149</v>
      </c>
      <c r="I588" s="951">
        <v>70</v>
      </c>
      <c r="J588" s="951">
        <v>0.5</v>
      </c>
      <c r="K588" s="952">
        <f t="shared" si="107"/>
        <v>1.9886363636363636E-2</v>
      </c>
      <c r="L588" s="644">
        <f t="shared" si="99"/>
        <v>22</v>
      </c>
      <c r="M588" s="935">
        <v>0.94513888888888886</v>
      </c>
      <c r="N588" s="936">
        <f t="shared" si="100"/>
        <v>0.94513888888888886</v>
      </c>
      <c r="O588" s="725"/>
      <c r="P588" s="725">
        <f t="shared" si="103"/>
        <v>-0.94513888888888886</v>
      </c>
      <c r="Q588" s="622" t="s">
        <v>1246</v>
      </c>
      <c r="R588" s="37"/>
      <c r="S588" s="37" t="str">
        <f t="shared" si="101"/>
        <v>HemphillF0</v>
      </c>
      <c r="T588" s="37" t="str">
        <f t="shared" si="104"/>
        <v>1990F0</v>
      </c>
      <c r="U588" s="429">
        <v>50</v>
      </c>
      <c r="V588" s="1029">
        <v>0.5</v>
      </c>
      <c r="W588" s="598">
        <v>0.02</v>
      </c>
      <c r="X588" s="429"/>
      <c r="Y588" s="37" t="str">
        <f t="shared" si="105"/>
        <v>F050</v>
      </c>
      <c r="Z588" s="37" t="str">
        <f t="shared" si="106"/>
        <v>F00.5</v>
      </c>
      <c r="AA588" s="37" t="str">
        <f t="shared" si="108"/>
        <v>F00.02</v>
      </c>
      <c r="AB588" s="498" t="str">
        <f t="shared" si="102"/>
        <v>F022</v>
      </c>
      <c r="AC588" s="572"/>
      <c r="AD588" s="572"/>
      <c r="AE588" s="572"/>
      <c r="AF588" s="572"/>
    </row>
    <row r="589" spans="1:32">
      <c r="A589" s="947">
        <f t="shared" si="109"/>
        <v>582</v>
      </c>
      <c r="B589" s="948">
        <v>19</v>
      </c>
      <c r="C589" s="949">
        <v>33024</v>
      </c>
      <c r="D589" s="949" t="s">
        <v>177</v>
      </c>
      <c r="E589" s="904">
        <v>31</v>
      </c>
      <c r="F589" s="644">
        <v>1990</v>
      </c>
      <c r="G589" s="948" t="s">
        <v>138</v>
      </c>
      <c r="H589" s="645" t="s">
        <v>150</v>
      </c>
      <c r="I589" s="951">
        <v>90</v>
      </c>
      <c r="J589" s="951">
        <v>1.1000000000000001</v>
      </c>
      <c r="K589" s="952">
        <f t="shared" si="107"/>
        <v>5.6250000000000008E-2</v>
      </c>
      <c r="L589" s="644">
        <f t="shared" si="99"/>
        <v>22</v>
      </c>
      <c r="M589" s="935">
        <v>0.95694444444444438</v>
      </c>
      <c r="N589" s="936">
        <f t="shared" si="100"/>
        <v>0.95694444444444438</v>
      </c>
      <c r="O589" s="725"/>
      <c r="P589" s="725">
        <f t="shared" si="103"/>
        <v>-0.95694444444444438</v>
      </c>
      <c r="Q589" s="622" t="s">
        <v>1247</v>
      </c>
      <c r="R589" s="37"/>
      <c r="S589" s="37" t="str">
        <f t="shared" si="101"/>
        <v>HemphillF1</v>
      </c>
      <c r="T589" s="37" t="str">
        <f t="shared" si="104"/>
        <v>1990F1</v>
      </c>
      <c r="U589" s="429">
        <v>50</v>
      </c>
      <c r="V589" s="1029">
        <v>1</v>
      </c>
      <c r="W589" s="598">
        <v>0.05</v>
      </c>
      <c r="X589" s="429"/>
      <c r="Y589" s="37" t="str">
        <f t="shared" si="105"/>
        <v>F150</v>
      </c>
      <c r="Z589" s="37" t="str">
        <f t="shared" si="106"/>
        <v>F11</v>
      </c>
      <c r="AA589" s="37" t="str">
        <f t="shared" si="108"/>
        <v>F10.05</v>
      </c>
      <c r="AB589" s="498" t="str">
        <f t="shared" si="102"/>
        <v>F122</v>
      </c>
      <c r="AC589" s="572"/>
      <c r="AD589" s="572"/>
      <c r="AE589" s="572"/>
      <c r="AF589" s="572"/>
    </row>
    <row r="590" spans="1:32">
      <c r="A590" s="947">
        <f t="shared" si="109"/>
        <v>583</v>
      </c>
      <c r="B590" s="948">
        <v>20</v>
      </c>
      <c r="C590" s="949">
        <v>33024</v>
      </c>
      <c r="D590" s="949" t="s">
        <v>177</v>
      </c>
      <c r="E590" s="904">
        <v>31</v>
      </c>
      <c r="F590" s="644">
        <v>1990</v>
      </c>
      <c r="G590" s="948" t="s">
        <v>143</v>
      </c>
      <c r="H590" s="645" t="s">
        <v>149</v>
      </c>
      <c r="I590" s="951">
        <v>80</v>
      </c>
      <c r="J590" s="951">
        <v>0.8</v>
      </c>
      <c r="K590" s="952">
        <f t="shared" si="107"/>
        <v>3.6363636363636369E-2</v>
      </c>
      <c r="L590" s="644">
        <f t="shared" si="99"/>
        <v>23</v>
      </c>
      <c r="M590" s="935">
        <v>0.97430555555555554</v>
      </c>
      <c r="N590" s="936">
        <f t="shared" si="100"/>
        <v>0.97430555555555554</v>
      </c>
      <c r="O590" s="725"/>
      <c r="P590" s="725">
        <f t="shared" si="103"/>
        <v>-0.97430555555555554</v>
      </c>
      <c r="Q590" s="622" t="s">
        <v>1248</v>
      </c>
      <c r="R590" s="37"/>
      <c r="S590" s="37" t="str">
        <f t="shared" si="101"/>
        <v>WheelerF0</v>
      </c>
      <c r="T590" s="37" t="str">
        <f t="shared" si="104"/>
        <v>1990F0</v>
      </c>
      <c r="U590" s="429">
        <v>50</v>
      </c>
      <c r="V590" s="1029">
        <v>0.5</v>
      </c>
      <c r="W590" s="598">
        <v>0.02</v>
      </c>
      <c r="X590" s="429"/>
      <c r="Y590" s="37" t="str">
        <f t="shared" si="105"/>
        <v>F050</v>
      </c>
      <c r="Z590" s="37" t="str">
        <f t="shared" si="106"/>
        <v>F00.5</v>
      </c>
      <c r="AA590" s="37" t="str">
        <f t="shared" si="108"/>
        <v>F00.02</v>
      </c>
      <c r="AB590" s="498" t="str">
        <f t="shared" si="102"/>
        <v>F023</v>
      </c>
      <c r="AC590" s="572"/>
      <c r="AD590" s="572"/>
      <c r="AE590" s="572"/>
      <c r="AF590" s="572"/>
    </row>
    <row r="591" spans="1:32">
      <c r="A591" s="947">
        <f t="shared" si="109"/>
        <v>584</v>
      </c>
      <c r="B591" s="948">
        <v>21</v>
      </c>
      <c r="C591" s="949">
        <v>33024</v>
      </c>
      <c r="D591" s="949" t="s">
        <v>177</v>
      </c>
      <c r="E591" s="904">
        <v>31</v>
      </c>
      <c r="F591" s="644">
        <v>1990</v>
      </c>
      <c r="G591" s="948" t="s">
        <v>143</v>
      </c>
      <c r="H591" s="645" t="s">
        <v>149</v>
      </c>
      <c r="I591" s="951">
        <v>65</v>
      </c>
      <c r="J591" s="951">
        <v>0.6</v>
      </c>
      <c r="K591" s="952">
        <f t="shared" si="107"/>
        <v>2.215909090909091E-2</v>
      </c>
      <c r="L591" s="644">
        <f t="shared" si="99"/>
        <v>23</v>
      </c>
      <c r="M591" s="935">
        <v>0.99236111111111114</v>
      </c>
      <c r="N591" s="936">
        <f t="shared" si="100"/>
        <v>0.99236111111111114</v>
      </c>
      <c r="O591" s="725"/>
      <c r="P591" s="725">
        <f t="shared" si="103"/>
        <v>-0.99236111111111114</v>
      </c>
      <c r="Q591" s="622" t="s">
        <v>1249</v>
      </c>
      <c r="R591" s="37"/>
      <c r="S591" s="37" t="str">
        <f t="shared" si="101"/>
        <v>WheelerF0</v>
      </c>
      <c r="T591" s="37" t="str">
        <f t="shared" si="104"/>
        <v>1990F0</v>
      </c>
      <c r="U591" s="429">
        <v>50</v>
      </c>
      <c r="V591" s="1029">
        <v>0.5</v>
      </c>
      <c r="W591" s="598">
        <v>0.02</v>
      </c>
      <c r="X591" s="429"/>
      <c r="Y591" s="37" t="str">
        <f t="shared" si="105"/>
        <v>F050</v>
      </c>
      <c r="Z591" s="37" t="str">
        <f t="shared" si="106"/>
        <v>F00.5</v>
      </c>
      <c r="AA591" s="37" t="str">
        <f t="shared" si="108"/>
        <v>F00.02</v>
      </c>
      <c r="AB591" s="498" t="str">
        <f t="shared" si="102"/>
        <v>F023</v>
      </c>
      <c r="AC591" s="572"/>
      <c r="AD591" s="572"/>
      <c r="AE591" s="572"/>
      <c r="AF591" s="572"/>
    </row>
    <row r="592" spans="1:32">
      <c r="A592" s="947">
        <f t="shared" si="109"/>
        <v>585</v>
      </c>
      <c r="B592" s="948">
        <v>22</v>
      </c>
      <c r="C592" s="949">
        <v>33032</v>
      </c>
      <c r="D592" s="949" t="s">
        <v>178</v>
      </c>
      <c r="E592" s="904">
        <v>8</v>
      </c>
      <c r="F592" s="644">
        <v>1990</v>
      </c>
      <c r="G592" s="948" t="s">
        <v>142</v>
      </c>
      <c r="H592" s="645" t="s">
        <v>150</v>
      </c>
      <c r="I592" s="951">
        <v>90</v>
      </c>
      <c r="J592" s="951">
        <v>1.4</v>
      </c>
      <c r="K592" s="952">
        <f t="shared" si="107"/>
        <v>7.1590909090909094E-2</v>
      </c>
      <c r="L592" s="644">
        <f t="shared" si="99"/>
        <v>17</v>
      </c>
      <c r="M592" s="935">
        <v>0.73263888888888884</v>
      </c>
      <c r="N592" s="936">
        <f t="shared" si="100"/>
        <v>0.73263888888888884</v>
      </c>
      <c r="O592" s="725"/>
      <c r="P592" s="725">
        <f t="shared" si="103"/>
        <v>-0.73263888888888884</v>
      </c>
      <c r="Q592" s="622" t="s">
        <v>1250</v>
      </c>
      <c r="R592" s="37"/>
      <c r="S592" s="37" t="str">
        <f t="shared" si="101"/>
        <v>GrayF1</v>
      </c>
      <c r="T592" s="37" t="str">
        <f t="shared" si="104"/>
        <v>1990F1</v>
      </c>
      <c r="U592" s="429">
        <v>50</v>
      </c>
      <c r="V592" s="1029">
        <v>1</v>
      </c>
      <c r="W592" s="598">
        <v>0.05</v>
      </c>
      <c r="X592" s="429"/>
      <c r="Y592" s="37" t="str">
        <f t="shared" si="105"/>
        <v>F150</v>
      </c>
      <c r="Z592" s="37" t="str">
        <f t="shared" si="106"/>
        <v>F11</v>
      </c>
      <c r="AA592" s="37" t="str">
        <f t="shared" si="108"/>
        <v>F10.05</v>
      </c>
      <c r="AB592" s="498" t="str">
        <f t="shared" si="102"/>
        <v>F117</v>
      </c>
      <c r="AC592" s="572"/>
      <c r="AD592" s="572"/>
      <c r="AE592" s="572"/>
      <c r="AF592" s="572"/>
    </row>
    <row r="593" spans="1:32">
      <c r="A593" s="947">
        <f t="shared" si="109"/>
        <v>586</v>
      </c>
      <c r="B593" s="948">
        <v>23</v>
      </c>
      <c r="C593" s="949">
        <v>33032</v>
      </c>
      <c r="D593" s="949" t="s">
        <v>178</v>
      </c>
      <c r="E593" s="904">
        <v>8</v>
      </c>
      <c r="F593" s="644">
        <v>1990</v>
      </c>
      <c r="G593" s="948" t="s">
        <v>142</v>
      </c>
      <c r="H593" s="645" t="s">
        <v>149</v>
      </c>
      <c r="I593" s="951">
        <v>80</v>
      </c>
      <c r="J593" s="951">
        <v>1.2</v>
      </c>
      <c r="K593" s="952">
        <f t="shared" si="107"/>
        <v>5.4545454545454543E-2</v>
      </c>
      <c r="L593" s="644">
        <f t="shared" si="99"/>
        <v>18</v>
      </c>
      <c r="M593" s="935">
        <v>0.76875000000000004</v>
      </c>
      <c r="N593" s="936">
        <f t="shared" si="100"/>
        <v>0.76875000000000004</v>
      </c>
      <c r="O593" s="725"/>
      <c r="P593" s="725">
        <f t="shared" si="103"/>
        <v>-0.76875000000000004</v>
      </c>
      <c r="Q593" s="622" t="s">
        <v>1251</v>
      </c>
      <c r="R593" s="37"/>
      <c r="S593" s="37" t="str">
        <f t="shared" si="101"/>
        <v>GrayF0</v>
      </c>
      <c r="T593" s="37" t="str">
        <f t="shared" si="104"/>
        <v>1990F0</v>
      </c>
      <c r="U593" s="429">
        <v>50</v>
      </c>
      <c r="V593" s="1029">
        <v>1</v>
      </c>
      <c r="W593" s="598">
        <v>0.05</v>
      </c>
      <c r="X593" s="429"/>
      <c r="Y593" s="37" t="str">
        <f t="shared" si="105"/>
        <v>F050</v>
      </c>
      <c r="Z593" s="37" t="str">
        <f t="shared" si="106"/>
        <v>F01</v>
      </c>
      <c r="AA593" s="37" t="str">
        <f t="shared" si="108"/>
        <v>F00.05</v>
      </c>
      <c r="AB593" s="498" t="str">
        <f t="shared" si="102"/>
        <v>F018</v>
      </c>
      <c r="AC593" s="572"/>
      <c r="AD593" s="572"/>
      <c r="AE593" s="572"/>
      <c r="AF593" s="572"/>
    </row>
    <row r="594" spans="1:32">
      <c r="A594" s="947">
        <f t="shared" si="109"/>
        <v>587</v>
      </c>
      <c r="B594" s="948">
        <v>24</v>
      </c>
      <c r="C594" s="949">
        <v>33032</v>
      </c>
      <c r="D594" s="949" t="s">
        <v>178</v>
      </c>
      <c r="E594" s="904">
        <v>8</v>
      </c>
      <c r="F594" s="644">
        <v>1990</v>
      </c>
      <c r="G594" s="948" t="s">
        <v>141</v>
      </c>
      <c r="H594" s="645" t="s">
        <v>149</v>
      </c>
      <c r="I594" s="951">
        <v>70</v>
      </c>
      <c r="J594" s="951">
        <v>0.8</v>
      </c>
      <c r="K594" s="952">
        <f t="shared" si="107"/>
        <v>3.1818181818181822E-2</v>
      </c>
      <c r="L594" s="644">
        <f t="shared" si="99"/>
        <v>18</v>
      </c>
      <c r="M594" s="935">
        <v>0.77083333333333337</v>
      </c>
      <c r="N594" s="936">
        <f t="shared" si="100"/>
        <v>0.77083333333333337</v>
      </c>
      <c r="O594" s="725"/>
      <c r="P594" s="725">
        <f t="shared" si="103"/>
        <v>-0.77083333333333337</v>
      </c>
      <c r="Q594" s="622" t="s">
        <v>1252</v>
      </c>
      <c r="R594" s="37"/>
      <c r="S594" s="37" t="str">
        <f t="shared" si="101"/>
        <v>CarsonF0</v>
      </c>
      <c r="T594" s="37" t="str">
        <f t="shared" si="104"/>
        <v>1990F0</v>
      </c>
      <c r="U594" s="429">
        <v>50</v>
      </c>
      <c r="V594" s="1029">
        <v>0.5</v>
      </c>
      <c r="W594" s="598">
        <v>0.02</v>
      </c>
      <c r="X594" s="429"/>
      <c r="Y594" s="37" t="str">
        <f t="shared" si="105"/>
        <v>F050</v>
      </c>
      <c r="Z594" s="37" t="str">
        <f t="shared" si="106"/>
        <v>F00.5</v>
      </c>
      <c r="AA594" s="37" t="str">
        <f t="shared" si="108"/>
        <v>F00.02</v>
      </c>
      <c r="AB594" s="498" t="str">
        <f t="shared" si="102"/>
        <v>F018</v>
      </c>
      <c r="AC594" s="572"/>
      <c r="AD594" s="572"/>
      <c r="AE594" s="572"/>
      <c r="AF594" s="572"/>
    </row>
    <row r="595" spans="1:32">
      <c r="A595" s="947">
        <f t="shared" si="109"/>
        <v>588</v>
      </c>
      <c r="B595" s="948">
        <v>25</v>
      </c>
      <c r="C595" s="949">
        <v>33032</v>
      </c>
      <c r="D595" s="949" t="s">
        <v>178</v>
      </c>
      <c r="E595" s="904">
        <v>8</v>
      </c>
      <c r="F595" s="644">
        <v>1990</v>
      </c>
      <c r="G595" s="948" t="s">
        <v>141</v>
      </c>
      <c r="H595" s="645" t="s">
        <v>149</v>
      </c>
      <c r="I595" s="951">
        <v>70</v>
      </c>
      <c r="J595" s="951">
        <v>1.1000000000000001</v>
      </c>
      <c r="K595" s="952">
        <f t="shared" si="107"/>
        <v>4.3750000000000004E-2</v>
      </c>
      <c r="L595" s="644">
        <f t="shared" si="99"/>
        <v>18</v>
      </c>
      <c r="M595" s="935">
        <v>0.78263888888888899</v>
      </c>
      <c r="N595" s="936">
        <f t="shared" si="100"/>
        <v>0.78263888888888899</v>
      </c>
      <c r="O595" s="725"/>
      <c r="P595" s="725">
        <f t="shared" si="103"/>
        <v>-0.78263888888888899</v>
      </c>
      <c r="Q595" s="622" t="s">
        <v>1253</v>
      </c>
      <c r="R595" s="37"/>
      <c r="S595" s="37" t="str">
        <f t="shared" si="101"/>
        <v>CarsonF0</v>
      </c>
      <c r="T595" s="37" t="str">
        <f t="shared" si="104"/>
        <v>1990F0</v>
      </c>
      <c r="U595" s="429">
        <v>50</v>
      </c>
      <c r="V595" s="1029">
        <v>1</v>
      </c>
      <c r="W595" s="598">
        <v>0.02</v>
      </c>
      <c r="X595" s="429"/>
      <c r="Y595" s="37" t="str">
        <f t="shared" si="105"/>
        <v>F050</v>
      </c>
      <c r="Z595" s="37" t="str">
        <f t="shared" si="106"/>
        <v>F01</v>
      </c>
      <c r="AA595" s="37" t="str">
        <f t="shared" si="108"/>
        <v>F00.02</v>
      </c>
      <c r="AB595" s="498" t="str">
        <f t="shared" si="102"/>
        <v>F018</v>
      </c>
      <c r="AC595" s="572"/>
      <c r="AD595" s="572"/>
      <c r="AE595" s="572"/>
      <c r="AF595" s="572"/>
    </row>
    <row r="596" spans="1:32">
      <c r="A596" s="947">
        <f t="shared" si="109"/>
        <v>589</v>
      </c>
      <c r="B596" s="948">
        <v>26</v>
      </c>
      <c r="C596" s="949">
        <v>33032</v>
      </c>
      <c r="D596" s="949" t="s">
        <v>178</v>
      </c>
      <c r="E596" s="904">
        <v>8</v>
      </c>
      <c r="F596" s="644">
        <v>1990</v>
      </c>
      <c r="G596" s="948" t="s">
        <v>141</v>
      </c>
      <c r="H596" s="645" t="s">
        <v>149</v>
      </c>
      <c r="I596" s="951">
        <v>60</v>
      </c>
      <c r="J596" s="951">
        <v>0.9</v>
      </c>
      <c r="K596" s="952">
        <f t="shared" si="107"/>
        <v>3.0681818181818182E-2</v>
      </c>
      <c r="L596" s="644">
        <f t="shared" si="99"/>
        <v>18</v>
      </c>
      <c r="M596" s="935">
        <v>0.78402777777777777</v>
      </c>
      <c r="N596" s="936">
        <f t="shared" si="100"/>
        <v>0.78402777777777777</v>
      </c>
      <c r="O596" s="725"/>
      <c r="P596" s="725">
        <f t="shared" si="103"/>
        <v>-0.78402777777777777</v>
      </c>
      <c r="Q596" s="622" t="s">
        <v>1253</v>
      </c>
      <c r="R596" s="37"/>
      <c r="S596" s="37" t="str">
        <f t="shared" si="101"/>
        <v>CarsonF0</v>
      </c>
      <c r="T596" s="37" t="str">
        <f t="shared" si="104"/>
        <v>1990F0</v>
      </c>
      <c r="U596" s="429">
        <v>50</v>
      </c>
      <c r="V596" s="1029">
        <v>0.5</v>
      </c>
      <c r="W596" s="599">
        <v>0.02</v>
      </c>
      <c r="X596" s="429"/>
      <c r="Y596" s="37" t="str">
        <f t="shared" si="105"/>
        <v>F050</v>
      </c>
      <c r="Z596" s="37" t="str">
        <f t="shared" si="106"/>
        <v>F00.5</v>
      </c>
      <c r="AA596" s="37" t="str">
        <f t="shared" si="108"/>
        <v>F00.02</v>
      </c>
      <c r="AB596" s="498" t="str">
        <f t="shared" si="102"/>
        <v>F018</v>
      </c>
      <c r="AC596" s="572"/>
      <c r="AD596" s="572"/>
      <c r="AE596" s="572"/>
      <c r="AF596" s="572"/>
    </row>
    <row r="597" spans="1:32">
      <c r="A597" s="947">
        <f t="shared" si="109"/>
        <v>590</v>
      </c>
      <c r="B597" s="948">
        <v>27</v>
      </c>
      <c r="C597" s="949">
        <v>33032</v>
      </c>
      <c r="D597" s="949" t="s">
        <v>178</v>
      </c>
      <c r="E597" s="904">
        <v>8</v>
      </c>
      <c r="F597" s="644">
        <v>1990</v>
      </c>
      <c r="G597" s="948" t="s">
        <v>141</v>
      </c>
      <c r="H597" s="645" t="s">
        <v>151</v>
      </c>
      <c r="I597" s="951">
        <v>300</v>
      </c>
      <c r="J597" s="951">
        <v>2.6</v>
      </c>
      <c r="K597" s="952">
        <f t="shared" si="107"/>
        <v>0.44318181818181818</v>
      </c>
      <c r="L597" s="644">
        <f t="shared" si="99"/>
        <v>19</v>
      </c>
      <c r="M597" s="935">
        <v>0.7944444444444444</v>
      </c>
      <c r="N597" s="936">
        <f t="shared" si="100"/>
        <v>0.7944444444444444</v>
      </c>
      <c r="O597" s="725"/>
      <c r="P597" s="725">
        <f t="shared" si="103"/>
        <v>-0.7944444444444444</v>
      </c>
      <c r="Q597" s="622" t="s">
        <v>1254</v>
      </c>
      <c r="R597" s="37"/>
      <c r="S597" s="37" t="str">
        <f t="shared" si="101"/>
        <v>CarsonF2</v>
      </c>
      <c r="T597" s="37" t="str">
        <f t="shared" si="104"/>
        <v>1990F2</v>
      </c>
      <c r="U597" s="429">
        <v>200</v>
      </c>
      <c r="V597" s="1029">
        <v>2</v>
      </c>
      <c r="W597" s="598">
        <v>0.2</v>
      </c>
      <c r="X597" s="429"/>
      <c r="Y597" s="37" t="str">
        <f t="shared" si="105"/>
        <v>F2200</v>
      </c>
      <c r="Z597" s="37" t="str">
        <f t="shared" si="106"/>
        <v>F22</v>
      </c>
      <c r="AA597" s="37" t="str">
        <f t="shared" si="108"/>
        <v>F20.2</v>
      </c>
      <c r="AB597" s="498" t="str">
        <f t="shared" si="102"/>
        <v>F219</v>
      </c>
      <c r="AC597" s="572"/>
      <c r="AD597" s="572"/>
      <c r="AE597" s="572"/>
      <c r="AF597" s="572"/>
    </row>
    <row r="598" spans="1:32">
      <c r="A598" s="947">
        <f t="shared" si="109"/>
        <v>591</v>
      </c>
      <c r="B598" s="948">
        <v>28</v>
      </c>
      <c r="C598" s="949">
        <v>33032</v>
      </c>
      <c r="D598" s="949" t="s">
        <v>178</v>
      </c>
      <c r="E598" s="904">
        <v>8</v>
      </c>
      <c r="F598" s="644">
        <v>1990</v>
      </c>
      <c r="G598" s="948" t="s">
        <v>141</v>
      </c>
      <c r="H598" s="645" t="s">
        <v>149</v>
      </c>
      <c r="I598" s="951">
        <v>60</v>
      </c>
      <c r="J598" s="951">
        <v>1</v>
      </c>
      <c r="K598" s="952">
        <f t="shared" si="107"/>
        <v>3.4090909090909088E-2</v>
      </c>
      <c r="L598" s="644">
        <f t="shared" si="99"/>
        <v>19</v>
      </c>
      <c r="M598" s="935">
        <v>0.80763888888888891</v>
      </c>
      <c r="N598" s="936">
        <f t="shared" si="100"/>
        <v>0.80763888888888891</v>
      </c>
      <c r="O598" s="725"/>
      <c r="P598" s="725">
        <f t="shared" si="103"/>
        <v>-0.80763888888888891</v>
      </c>
      <c r="Q598" s="622" t="s">
        <v>1255</v>
      </c>
      <c r="R598" s="37"/>
      <c r="S598" s="37" t="str">
        <f t="shared" si="101"/>
        <v>CarsonF0</v>
      </c>
      <c r="T598" s="37" t="str">
        <f t="shared" si="104"/>
        <v>1990F0</v>
      </c>
      <c r="U598" s="429">
        <v>50</v>
      </c>
      <c r="V598" s="1029">
        <v>1</v>
      </c>
      <c r="W598" s="598">
        <v>0.02</v>
      </c>
      <c r="X598" s="429"/>
      <c r="Y598" s="37" t="str">
        <f t="shared" si="105"/>
        <v>F050</v>
      </c>
      <c r="Z598" s="37" t="str">
        <f t="shared" si="106"/>
        <v>F01</v>
      </c>
      <c r="AA598" s="37" t="str">
        <f t="shared" si="108"/>
        <v>F00.02</v>
      </c>
      <c r="AB598" s="498" t="str">
        <f t="shared" si="102"/>
        <v>F019</v>
      </c>
      <c r="AC598" s="572"/>
      <c r="AD598" s="572"/>
      <c r="AE598" s="572"/>
      <c r="AF598" s="572"/>
    </row>
    <row r="599" spans="1:32">
      <c r="A599" s="947">
        <f t="shared" si="109"/>
        <v>592</v>
      </c>
      <c r="B599" s="948">
        <v>29</v>
      </c>
      <c r="C599" s="949">
        <v>33032</v>
      </c>
      <c r="D599" s="949" t="s">
        <v>178</v>
      </c>
      <c r="E599" s="904">
        <v>8</v>
      </c>
      <c r="F599" s="644">
        <v>1990</v>
      </c>
      <c r="G599" s="948" t="s">
        <v>141</v>
      </c>
      <c r="H599" s="645" t="s">
        <v>149</v>
      </c>
      <c r="I599" s="951">
        <v>80</v>
      </c>
      <c r="J599" s="951">
        <v>1.2</v>
      </c>
      <c r="K599" s="952">
        <f t="shared" si="107"/>
        <v>5.4545454545454543E-2</v>
      </c>
      <c r="L599" s="644">
        <f t="shared" si="99"/>
        <v>19</v>
      </c>
      <c r="M599" s="935">
        <v>0.82361111111111107</v>
      </c>
      <c r="N599" s="936">
        <f t="shared" si="100"/>
        <v>0.82361111111111107</v>
      </c>
      <c r="O599" s="725"/>
      <c r="P599" s="725">
        <f t="shared" si="103"/>
        <v>-0.82361111111111107</v>
      </c>
      <c r="Q599" s="622" t="s">
        <v>1256</v>
      </c>
      <c r="R599" s="37"/>
      <c r="S599" s="37" t="str">
        <f t="shared" si="101"/>
        <v>CarsonF0</v>
      </c>
      <c r="T599" s="37" t="str">
        <f t="shared" si="104"/>
        <v>1990F0</v>
      </c>
      <c r="U599" s="429">
        <v>50</v>
      </c>
      <c r="V599" s="1029">
        <v>1</v>
      </c>
      <c r="W599" s="598">
        <v>0.05</v>
      </c>
      <c r="X599" s="429"/>
      <c r="Y599" s="37" t="str">
        <f t="shared" si="105"/>
        <v>F050</v>
      </c>
      <c r="Z599" s="37" t="str">
        <f t="shared" si="106"/>
        <v>F01</v>
      </c>
      <c r="AA599" s="37" t="str">
        <f t="shared" si="108"/>
        <v>F00.05</v>
      </c>
      <c r="AB599" s="498" t="str">
        <f t="shared" si="102"/>
        <v>F019</v>
      </c>
      <c r="AC599" s="572"/>
      <c r="AD599" s="572"/>
      <c r="AE599" s="572"/>
      <c r="AF599" s="572"/>
    </row>
    <row r="600" spans="1:32">
      <c r="A600" s="947">
        <f t="shared" si="109"/>
        <v>593</v>
      </c>
      <c r="B600" s="948">
        <v>30</v>
      </c>
      <c r="C600" s="949">
        <v>33032</v>
      </c>
      <c r="D600" s="949" t="s">
        <v>178</v>
      </c>
      <c r="E600" s="904">
        <v>8</v>
      </c>
      <c r="F600" s="644">
        <v>1990</v>
      </c>
      <c r="G600" s="948" t="s">
        <v>143</v>
      </c>
      <c r="H600" s="645" t="s">
        <v>150</v>
      </c>
      <c r="I600" s="951">
        <v>110</v>
      </c>
      <c r="J600" s="951">
        <v>2.2000000000000002</v>
      </c>
      <c r="K600" s="952">
        <f t="shared" si="107"/>
        <v>0.13750000000000001</v>
      </c>
      <c r="L600" s="644">
        <f t="shared" si="99"/>
        <v>19</v>
      </c>
      <c r="M600" s="935">
        <v>0.82986111111111116</v>
      </c>
      <c r="N600" s="936">
        <f t="shared" si="100"/>
        <v>0.82986111111111116</v>
      </c>
      <c r="O600" s="725"/>
      <c r="P600" s="725">
        <f t="shared" si="103"/>
        <v>-0.82986111111111116</v>
      </c>
      <c r="Q600" s="622" t="s">
        <v>1257</v>
      </c>
      <c r="R600" s="37"/>
      <c r="S600" s="37" t="str">
        <f t="shared" si="101"/>
        <v>WheelerF1</v>
      </c>
      <c r="T600" s="37" t="str">
        <f t="shared" si="104"/>
        <v>1990F1</v>
      </c>
      <c r="U600" s="429">
        <v>100</v>
      </c>
      <c r="V600" s="1029">
        <v>2</v>
      </c>
      <c r="W600" s="598">
        <v>0.1</v>
      </c>
      <c r="X600" s="429"/>
      <c r="Y600" s="37" t="str">
        <f t="shared" si="105"/>
        <v>F1100</v>
      </c>
      <c r="Z600" s="37" t="str">
        <f t="shared" si="106"/>
        <v>F12</v>
      </c>
      <c r="AA600" s="37" t="str">
        <f t="shared" si="108"/>
        <v>F10.1</v>
      </c>
      <c r="AB600" s="498" t="str">
        <f t="shared" si="102"/>
        <v>F119</v>
      </c>
      <c r="AC600" s="572"/>
      <c r="AD600" s="572"/>
      <c r="AE600" s="572"/>
      <c r="AF600" s="572"/>
    </row>
    <row r="601" spans="1:32">
      <c r="A601" s="947">
        <f t="shared" si="109"/>
        <v>594</v>
      </c>
      <c r="B601" s="948">
        <v>31</v>
      </c>
      <c r="C601" s="949">
        <v>33032</v>
      </c>
      <c r="D601" s="949" t="s">
        <v>178</v>
      </c>
      <c r="E601" s="904">
        <v>8</v>
      </c>
      <c r="F601" s="644">
        <v>1990</v>
      </c>
      <c r="G601" s="948" t="s">
        <v>141</v>
      </c>
      <c r="H601" s="645" t="s">
        <v>149</v>
      </c>
      <c r="I601" s="951">
        <v>60</v>
      </c>
      <c r="J601" s="951">
        <v>1.2</v>
      </c>
      <c r="K601" s="952">
        <f t="shared" si="107"/>
        <v>4.0909090909090902E-2</v>
      </c>
      <c r="L601" s="644">
        <f t="shared" si="99"/>
        <v>20</v>
      </c>
      <c r="M601" s="935">
        <v>0.83680555555555547</v>
      </c>
      <c r="N601" s="936">
        <f t="shared" si="100"/>
        <v>0.83680555555555547</v>
      </c>
      <c r="O601" s="725"/>
      <c r="P601" s="725">
        <f t="shared" si="103"/>
        <v>-0.83680555555555547</v>
      </c>
      <c r="Q601" s="622" t="s">
        <v>1258</v>
      </c>
      <c r="R601" s="37"/>
      <c r="S601" s="37" t="str">
        <f t="shared" si="101"/>
        <v>CarsonF0</v>
      </c>
      <c r="T601" s="37" t="str">
        <f t="shared" si="104"/>
        <v>1990F0</v>
      </c>
      <c r="U601" s="429">
        <v>50</v>
      </c>
      <c r="V601" s="1029">
        <v>1</v>
      </c>
      <c r="W601" s="598">
        <v>0.02</v>
      </c>
      <c r="X601" s="429"/>
      <c r="Y601" s="37" t="str">
        <f t="shared" si="105"/>
        <v>F050</v>
      </c>
      <c r="Z601" s="37" t="str">
        <f t="shared" si="106"/>
        <v>F01</v>
      </c>
      <c r="AA601" s="37" t="str">
        <f t="shared" si="108"/>
        <v>F00.02</v>
      </c>
      <c r="AB601" s="498" t="str">
        <f t="shared" si="102"/>
        <v>F020</v>
      </c>
      <c r="AC601" s="572"/>
      <c r="AD601" s="572"/>
      <c r="AE601" s="572"/>
      <c r="AF601" s="572"/>
    </row>
    <row r="602" spans="1:32">
      <c r="A602" s="947">
        <f t="shared" si="109"/>
        <v>595</v>
      </c>
      <c r="B602" s="948">
        <v>32</v>
      </c>
      <c r="C602" s="949">
        <v>33032</v>
      </c>
      <c r="D602" s="949" t="s">
        <v>178</v>
      </c>
      <c r="E602" s="904">
        <v>8</v>
      </c>
      <c r="F602" s="644">
        <v>1990</v>
      </c>
      <c r="G602" s="948" t="s">
        <v>142</v>
      </c>
      <c r="H602" s="645" t="s">
        <v>149</v>
      </c>
      <c r="I602" s="951">
        <v>70</v>
      </c>
      <c r="J602" s="951">
        <v>1.8</v>
      </c>
      <c r="K602" s="952">
        <f t="shared" si="107"/>
        <v>7.1590909090909094E-2</v>
      </c>
      <c r="L602" s="644">
        <f t="shared" si="99"/>
        <v>20</v>
      </c>
      <c r="M602" s="935">
        <v>0.84722222222222221</v>
      </c>
      <c r="N602" s="936">
        <f t="shared" si="100"/>
        <v>0.84722222222222221</v>
      </c>
      <c r="O602" s="725"/>
      <c r="P602" s="725">
        <f t="shared" si="103"/>
        <v>-0.84722222222222221</v>
      </c>
      <c r="Q602" s="622" t="s">
        <v>353</v>
      </c>
      <c r="R602" s="37"/>
      <c r="S602" s="37" t="str">
        <f t="shared" si="101"/>
        <v>GrayF0</v>
      </c>
      <c r="T602" s="37" t="str">
        <f t="shared" si="104"/>
        <v>1990F0</v>
      </c>
      <c r="U602" s="429">
        <v>50</v>
      </c>
      <c r="V602" s="1029">
        <v>1</v>
      </c>
      <c r="W602" s="598">
        <v>0.05</v>
      </c>
      <c r="X602" s="429"/>
      <c r="Y602" s="37" t="str">
        <f t="shared" si="105"/>
        <v>F050</v>
      </c>
      <c r="Z602" s="37" t="str">
        <f t="shared" si="106"/>
        <v>F01</v>
      </c>
      <c r="AA602" s="37" t="str">
        <f t="shared" si="108"/>
        <v>F00.05</v>
      </c>
      <c r="AB602" s="498" t="str">
        <f t="shared" si="102"/>
        <v>F020</v>
      </c>
      <c r="AC602" s="572"/>
      <c r="AD602" s="572"/>
      <c r="AE602" s="572"/>
      <c r="AF602" s="572"/>
    </row>
    <row r="603" spans="1:32">
      <c r="A603" s="947">
        <f t="shared" si="109"/>
        <v>596</v>
      </c>
      <c r="B603" s="948">
        <v>33</v>
      </c>
      <c r="C603" s="949">
        <v>33032</v>
      </c>
      <c r="D603" s="949" t="s">
        <v>178</v>
      </c>
      <c r="E603" s="904">
        <v>8</v>
      </c>
      <c r="F603" s="644">
        <v>1990</v>
      </c>
      <c r="G603" s="948" t="s">
        <v>143</v>
      </c>
      <c r="H603" s="645" t="s">
        <v>151</v>
      </c>
      <c r="I603" s="951">
        <v>200</v>
      </c>
      <c r="J603" s="951">
        <v>1.6</v>
      </c>
      <c r="K603" s="952">
        <f t="shared" si="107"/>
        <v>0.18181818181818182</v>
      </c>
      <c r="L603" s="644">
        <f t="shared" si="99"/>
        <v>20</v>
      </c>
      <c r="M603" s="935">
        <v>0.86805555555555547</v>
      </c>
      <c r="N603" s="936">
        <f t="shared" si="100"/>
        <v>0.86805555555555547</v>
      </c>
      <c r="O603" s="725"/>
      <c r="P603" s="725">
        <f t="shared" si="103"/>
        <v>-0.86805555555555547</v>
      </c>
      <c r="Q603" s="622" t="s">
        <v>1259</v>
      </c>
      <c r="R603" s="37"/>
      <c r="S603" s="37" t="str">
        <f t="shared" si="101"/>
        <v>WheelerF2</v>
      </c>
      <c r="T603" s="37" t="str">
        <f t="shared" si="104"/>
        <v>1990F2</v>
      </c>
      <c r="U603" s="429">
        <v>200</v>
      </c>
      <c r="V603" s="1029">
        <v>1</v>
      </c>
      <c r="W603" s="598">
        <v>0.1</v>
      </c>
      <c r="X603" s="429"/>
      <c r="Y603" s="37" t="str">
        <f t="shared" si="105"/>
        <v>F2200</v>
      </c>
      <c r="Z603" s="37" t="str">
        <f t="shared" si="106"/>
        <v>F21</v>
      </c>
      <c r="AA603" s="37" t="str">
        <f t="shared" si="108"/>
        <v>F20.1</v>
      </c>
      <c r="AB603" s="498" t="str">
        <f t="shared" si="102"/>
        <v>F220</v>
      </c>
      <c r="AC603" s="572"/>
      <c r="AD603" s="572"/>
      <c r="AE603" s="572"/>
      <c r="AF603" s="572"/>
    </row>
    <row r="604" spans="1:32">
      <c r="A604" s="947">
        <f t="shared" si="109"/>
        <v>597</v>
      </c>
      <c r="B604" s="948">
        <v>34</v>
      </c>
      <c r="C604" s="949">
        <v>33038</v>
      </c>
      <c r="D604" s="949" t="s">
        <v>178</v>
      </c>
      <c r="E604" s="904">
        <v>14</v>
      </c>
      <c r="F604" s="644">
        <v>1990</v>
      </c>
      <c r="G604" s="948" t="s">
        <v>137</v>
      </c>
      <c r="H604" s="645" t="s">
        <v>149</v>
      </c>
      <c r="I604" s="951">
        <v>73</v>
      </c>
      <c r="J604" s="951">
        <v>0.7</v>
      </c>
      <c r="K604" s="952">
        <f t="shared" si="107"/>
        <v>2.9034090909090909E-2</v>
      </c>
      <c r="L604" s="644">
        <f t="shared" si="99"/>
        <v>15</v>
      </c>
      <c r="M604" s="935">
        <v>0.65555555555555556</v>
      </c>
      <c r="N604" s="936">
        <f t="shared" si="100"/>
        <v>0.65555555555555556</v>
      </c>
      <c r="O604" s="725"/>
      <c r="P604" s="725">
        <f t="shared" si="103"/>
        <v>-0.65555555555555556</v>
      </c>
      <c r="Q604" s="622"/>
      <c r="R604" s="37"/>
      <c r="S604" s="37" t="str">
        <f t="shared" si="101"/>
        <v>RobertsF0</v>
      </c>
      <c r="T604" s="37" t="str">
        <f t="shared" si="104"/>
        <v>1990F0</v>
      </c>
      <c r="U604" s="429">
        <v>50</v>
      </c>
      <c r="V604" s="1029">
        <v>0.5</v>
      </c>
      <c r="W604" s="598">
        <v>0.02</v>
      </c>
      <c r="X604" s="429"/>
      <c r="Y604" s="37" t="str">
        <f t="shared" si="105"/>
        <v>F050</v>
      </c>
      <c r="Z604" s="37" t="str">
        <f t="shared" si="106"/>
        <v>F00.5</v>
      </c>
      <c r="AA604" s="37" t="str">
        <f t="shared" si="108"/>
        <v>F00.02</v>
      </c>
      <c r="AB604" s="498" t="str">
        <f t="shared" si="102"/>
        <v>F015</v>
      </c>
      <c r="AC604" s="572"/>
      <c r="AD604" s="572"/>
      <c r="AE604" s="572"/>
      <c r="AF604" s="572"/>
    </row>
    <row r="605" spans="1:32">
      <c r="A605" s="947">
        <f t="shared" si="109"/>
        <v>598</v>
      </c>
      <c r="B605" s="948">
        <v>35</v>
      </c>
      <c r="C605" s="949">
        <v>33069</v>
      </c>
      <c r="D605" s="949" t="s">
        <v>179</v>
      </c>
      <c r="E605" s="904">
        <v>15</v>
      </c>
      <c r="F605" s="644">
        <v>1990</v>
      </c>
      <c r="G605" s="948" t="s">
        <v>141</v>
      </c>
      <c r="H605" s="645" t="s">
        <v>149</v>
      </c>
      <c r="I605" s="951">
        <v>60</v>
      </c>
      <c r="J605" s="951">
        <v>1.2</v>
      </c>
      <c r="K605" s="952">
        <f t="shared" si="107"/>
        <v>4.0909090909090902E-2</v>
      </c>
      <c r="L605" s="644">
        <f t="shared" si="99"/>
        <v>15</v>
      </c>
      <c r="M605" s="935">
        <v>0.6333333333333333</v>
      </c>
      <c r="N605" s="936">
        <f t="shared" si="100"/>
        <v>0.6333333333333333</v>
      </c>
      <c r="O605" s="725"/>
      <c r="P605" s="725">
        <f t="shared" si="103"/>
        <v>-0.6333333333333333</v>
      </c>
      <c r="Q605" s="622" t="s">
        <v>1260</v>
      </c>
      <c r="R605" s="37"/>
      <c r="S605" s="37" t="str">
        <f t="shared" si="101"/>
        <v>CarsonF0</v>
      </c>
      <c r="T605" s="37" t="str">
        <f t="shared" si="104"/>
        <v>1990F0</v>
      </c>
      <c r="U605" s="429">
        <v>50</v>
      </c>
      <c r="V605" s="1029">
        <v>1</v>
      </c>
      <c r="W605" s="598">
        <v>0.02</v>
      </c>
      <c r="X605" s="429"/>
      <c r="Y605" s="37" t="str">
        <f t="shared" si="105"/>
        <v>F050</v>
      </c>
      <c r="Z605" s="37" t="str">
        <f t="shared" si="106"/>
        <v>F01</v>
      </c>
      <c r="AA605" s="37" t="str">
        <f t="shared" si="108"/>
        <v>F00.02</v>
      </c>
      <c r="AB605" s="498" t="str">
        <f t="shared" si="102"/>
        <v>F015</v>
      </c>
      <c r="AC605" s="572"/>
      <c r="AD605" s="572"/>
      <c r="AE605" s="572"/>
      <c r="AF605" s="572"/>
    </row>
    <row r="606" spans="1:32">
      <c r="A606" s="947">
        <f t="shared" si="109"/>
        <v>599</v>
      </c>
      <c r="B606" s="948">
        <v>36</v>
      </c>
      <c r="C606" s="949">
        <v>33069</v>
      </c>
      <c r="D606" s="949" t="s">
        <v>179</v>
      </c>
      <c r="E606" s="904">
        <v>15</v>
      </c>
      <c r="F606" s="644">
        <v>1990</v>
      </c>
      <c r="G606" s="948" t="s">
        <v>141</v>
      </c>
      <c r="H606" s="645" t="s">
        <v>149</v>
      </c>
      <c r="I606" s="951">
        <v>73</v>
      </c>
      <c r="J606" s="951">
        <v>1.5</v>
      </c>
      <c r="K606" s="952">
        <f t="shared" si="107"/>
        <v>6.2215909090909099E-2</v>
      </c>
      <c r="L606" s="644">
        <f t="shared" ref="L606:L669" si="110">HOUR(N606)</f>
        <v>15</v>
      </c>
      <c r="M606" s="935">
        <v>0.64583333333333337</v>
      </c>
      <c r="N606" s="936">
        <f t="shared" si="100"/>
        <v>0.64583333333333337</v>
      </c>
      <c r="O606" s="725"/>
      <c r="P606" s="725">
        <f t="shared" si="103"/>
        <v>-0.64583333333333337</v>
      </c>
      <c r="Q606" s="622" t="s">
        <v>1261</v>
      </c>
      <c r="R606" s="37"/>
      <c r="S606" s="37" t="str">
        <f t="shared" si="101"/>
        <v>CarsonF0</v>
      </c>
      <c r="T606" s="37" t="str">
        <f t="shared" si="104"/>
        <v>1990F0</v>
      </c>
      <c r="U606" s="429">
        <v>50</v>
      </c>
      <c r="V606" s="1029">
        <v>1</v>
      </c>
      <c r="W606" s="598">
        <v>0.05</v>
      </c>
      <c r="X606" s="429"/>
      <c r="Y606" s="37" t="str">
        <f t="shared" si="105"/>
        <v>F050</v>
      </c>
      <c r="Z606" s="37" t="str">
        <f t="shared" si="106"/>
        <v>F01</v>
      </c>
      <c r="AA606" s="37" t="str">
        <f t="shared" si="108"/>
        <v>F00.05</v>
      </c>
      <c r="AB606" s="498" t="str">
        <f t="shared" si="102"/>
        <v>F015</v>
      </c>
      <c r="AC606" s="572"/>
      <c r="AD606" s="572"/>
      <c r="AE606" s="572"/>
      <c r="AF606" s="572"/>
    </row>
    <row r="607" spans="1:32">
      <c r="A607" s="947">
        <f t="shared" si="109"/>
        <v>600</v>
      </c>
      <c r="B607" s="948">
        <v>37</v>
      </c>
      <c r="C607" s="949">
        <v>33069</v>
      </c>
      <c r="D607" s="949" t="s">
        <v>179</v>
      </c>
      <c r="E607" s="904">
        <v>15</v>
      </c>
      <c r="F607" s="644">
        <v>1990</v>
      </c>
      <c r="G607" s="948" t="s">
        <v>141</v>
      </c>
      <c r="H607" s="645" t="s">
        <v>149</v>
      </c>
      <c r="I607" s="951">
        <v>100</v>
      </c>
      <c r="J607" s="951">
        <v>1.9</v>
      </c>
      <c r="K607" s="952">
        <f t="shared" si="107"/>
        <v>0.10795454545454544</v>
      </c>
      <c r="L607" s="644">
        <f t="shared" si="110"/>
        <v>16</v>
      </c>
      <c r="M607" s="935">
        <v>0.69027777777777777</v>
      </c>
      <c r="N607" s="936">
        <f t="shared" si="100"/>
        <v>0.69027777777777777</v>
      </c>
      <c r="O607" s="725"/>
      <c r="P607" s="725">
        <f t="shared" si="103"/>
        <v>-0.69027777777777777</v>
      </c>
      <c r="Q607" s="622" t="s">
        <v>300</v>
      </c>
      <c r="R607" s="37"/>
      <c r="S607" s="37" t="str">
        <f t="shared" si="101"/>
        <v>CarsonF0</v>
      </c>
      <c r="T607" s="37" t="str">
        <f t="shared" si="104"/>
        <v>1990F0</v>
      </c>
      <c r="U607" s="429">
        <v>100</v>
      </c>
      <c r="V607" s="1029">
        <v>1</v>
      </c>
      <c r="W607" s="598">
        <v>0.1</v>
      </c>
      <c r="X607" s="429"/>
      <c r="Y607" s="37" t="str">
        <f t="shared" si="105"/>
        <v>F0100</v>
      </c>
      <c r="Z607" s="37" t="str">
        <f t="shared" si="106"/>
        <v>F01</v>
      </c>
      <c r="AA607" s="37" t="str">
        <f t="shared" si="108"/>
        <v>F00.1</v>
      </c>
      <c r="AB607" s="498" t="str">
        <f t="shared" si="102"/>
        <v>F016</v>
      </c>
      <c r="AC607" s="572"/>
      <c r="AD607" s="572"/>
      <c r="AE607" s="572"/>
      <c r="AF607" s="572"/>
    </row>
    <row r="608" spans="1:32">
      <c r="A608" s="947">
        <f t="shared" si="109"/>
        <v>601</v>
      </c>
      <c r="B608" s="948">
        <v>38</v>
      </c>
      <c r="C608" s="949">
        <v>33069</v>
      </c>
      <c r="D608" s="949" t="s">
        <v>179</v>
      </c>
      <c r="E608" s="904">
        <v>15</v>
      </c>
      <c r="F608" s="644">
        <v>1990</v>
      </c>
      <c r="G608" s="948" t="s">
        <v>128</v>
      </c>
      <c r="H608" s="645" t="s">
        <v>149</v>
      </c>
      <c r="I608" s="951">
        <v>20</v>
      </c>
      <c r="J608" s="951">
        <v>0.1</v>
      </c>
      <c r="K608" s="952">
        <f t="shared" si="107"/>
        <v>1.1363636363636365E-3</v>
      </c>
      <c r="L608" s="644">
        <f t="shared" si="110"/>
        <v>16</v>
      </c>
      <c r="M608" s="935">
        <v>0.69791666666666663</v>
      </c>
      <c r="N608" s="936">
        <f t="shared" si="100"/>
        <v>0.69791666666666663</v>
      </c>
      <c r="O608" s="725"/>
      <c r="P608" s="725">
        <f t="shared" si="103"/>
        <v>-0.69791666666666663</v>
      </c>
      <c r="Q608" s="622" t="s">
        <v>1262</v>
      </c>
      <c r="R608" s="37"/>
      <c r="S608" s="37" t="str">
        <f t="shared" si="101"/>
        <v>BeaverF0</v>
      </c>
      <c r="T608" s="37" t="str">
        <f t="shared" si="104"/>
        <v>1990F0</v>
      </c>
      <c r="U608" s="429">
        <v>20</v>
      </c>
      <c r="V608" s="1029">
        <v>0.1</v>
      </c>
      <c r="W608" s="598">
        <v>1E-3</v>
      </c>
      <c r="X608" s="429"/>
      <c r="Y608" s="37" t="str">
        <f t="shared" si="105"/>
        <v>F020</v>
      </c>
      <c r="Z608" s="37" t="str">
        <f t="shared" si="106"/>
        <v>F00.1</v>
      </c>
      <c r="AA608" s="37" t="str">
        <f t="shared" si="108"/>
        <v>F00.001</v>
      </c>
      <c r="AB608" s="498" t="str">
        <f t="shared" si="102"/>
        <v>F016</v>
      </c>
      <c r="AC608" s="572"/>
      <c r="AD608" s="572"/>
      <c r="AE608" s="572"/>
      <c r="AF608" s="572"/>
    </row>
    <row r="609" spans="1:32">
      <c r="A609" s="947">
        <f t="shared" si="109"/>
        <v>602</v>
      </c>
      <c r="B609" s="948">
        <v>1</v>
      </c>
      <c r="C609" s="949">
        <v>33368</v>
      </c>
      <c r="D609" s="949" t="s">
        <v>177</v>
      </c>
      <c r="E609" s="904">
        <v>10</v>
      </c>
      <c r="F609" s="644">
        <v>1991</v>
      </c>
      <c r="G609" s="948" t="s">
        <v>129</v>
      </c>
      <c r="H609" s="645" t="s">
        <v>150</v>
      </c>
      <c r="I609" s="951">
        <v>160</v>
      </c>
      <c r="J609" s="951">
        <v>7</v>
      </c>
      <c r="K609" s="952">
        <f t="shared" si="107"/>
        <v>0.63636363636363635</v>
      </c>
      <c r="L609" s="644">
        <f t="shared" si="110"/>
        <v>19</v>
      </c>
      <c r="M609" s="935">
        <v>0.80555555555555547</v>
      </c>
      <c r="N609" s="936">
        <f t="shared" si="100"/>
        <v>0.80555555555555547</v>
      </c>
      <c r="O609" s="725"/>
      <c r="P609" s="725">
        <f t="shared" si="103"/>
        <v>-0.80555555555555547</v>
      </c>
      <c r="Q609" s="622"/>
      <c r="R609" s="37"/>
      <c r="S609" s="37" t="str">
        <f t="shared" si="101"/>
        <v>DallamF1</v>
      </c>
      <c r="T609" s="37" t="str">
        <f t="shared" si="104"/>
        <v>1991F1</v>
      </c>
      <c r="U609" s="429">
        <v>100</v>
      </c>
      <c r="V609" s="1029">
        <v>5</v>
      </c>
      <c r="W609" s="598">
        <v>0.5</v>
      </c>
      <c r="X609" s="429"/>
      <c r="Y609" s="37" t="str">
        <f t="shared" si="105"/>
        <v>F1100</v>
      </c>
      <c r="Z609" s="37" t="str">
        <f t="shared" si="106"/>
        <v>F15</v>
      </c>
      <c r="AA609" s="37" t="str">
        <f t="shared" si="108"/>
        <v>F10.5</v>
      </c>
      <c r="AB609" s="498" t="str">
        <f t="shared" si="102"/>
        <v>F119</v>
      </c>
      <c r="AC609" s="572"/>
      <c r="AD609" s="572"/>
      <c r="AE609" s="572"/>
      <c r="AF609" s="572"/>
    </row>
    <row r="610" spans="1:32">
      <c r="A610" s="947">
        <f t="shared" si="109"/>
        <v>603</v>
      </c>
      <c r="B610" s="948">
        <v>2</v>
      </c>
      <c r="C610" s="949">
        <v>33368</v>
      </c>
      <c r="D610" s="949" t="s">
        <v>177</v>
      </c>
      <c r="E610" s="904">
        <v>10</v>
      </c>
      <c r="F610" s="644">
        <v>1991</v>
      </c>
      <c r="G610" s="948" t="s">
        <v>129</v>
      </c>
      <c r="H610" s="645" t="s">
        <v>149</v>
      </c>
      <c r="I610" s="951">
        <v>40</v>
      </c>
      <c r="J610" s="951">
        <v>0.2</v>
      </c>
      <c r="K610" s="952">
        <f t="shared" si="107"/>
        <v>4.5454545454545461E-3</v>
      </c>
      <c r="L610" s="644">
        <f t="shared" si="110"/>
        <v>19</v>
      </c>
      <c r="M610" s="935">
        <v>0.80902777777777779</v>
      </c>
      <c r="N610" s="936">
        <f t="shared" si="100"/>
        <v>0.80902777777777779</v>
      </c>
      <c r="O610" s="725"/>
      <c r="P610" s="725">
        <f t="shared" si="103"/>
        <v>-0.80902777777777779</v>
      </c>
      <c r="Q610" s="622"/>
      <c r="R610" s="36"/>
      <c r="S610" s="37" t="str">
        <f t="shared" si="101"/>
        <v>DallamF0</v>
      </c>
      <c r="T610" s="37" t="str">
        <f t="shared" si="104"/>
        <v>1991F0</v>
      </c>
      <c r="U610" s="429">
        <v>20</v>
      </c>
      <c r="V610" s="1029">
        <v>0.2</v>
      </c>
      <c r="W610" s="598">
        <v>5.0000000000000001E-3</v>
      </c>
      <c r="X610" s="429"/>
      <c r="Y610" s="37" t="str">
        <f t="shared" si="105"/>
        <v>F020</v>
      </c>
      <c r="Z610" s="37" t="str">
        <f t="shared" si="106"/>
        <v>F00.2</v>
      </c>
      <c r="AA610" s="37" t="str">
        <f t="shared" si="108"/>
        <v>F00.005</v>
      </c>
      <c r="AB610" s="498" t="str">
        <f t="shared" si="102"/>
        <v>F019</v>
      </c>
      <c r="AC610" s="572"/>
      <c r="AD610" s="572"/>
      <c r="AE610" s="572"/>
      <c r="AF610" s="572"/>
    </row>
    <row r="611" spans="1:32">
      <c r="A611" s="947">
        <f t="shared" si="109"/>
        <v>604</v>
      </c>
      <c r="B611" s="948">
        <v>3</v>
      </c>
      <c r="C611" s="949">
        <v>33369</v>
      </c>
      <c r="D611" s="949" t="s">
        <v>177</v>
      </c>
      <c r="E611" s="904">
        <v>11</v>
      </c>
      <c r="F611" s="644">
        <v>1991</v>
      </c>
      <c r="G611" s="948" t="s">
        <v>126</v>
      </c>
      <c r="H611" s="645" t="s">
        <v>149</v>
      </c>
      <c r="I611" s="951">
        <v>70</v>
      </c>
      <c r="J611" s="951">
        <v>0.5</v>
      </c>
      <c r="K611" s="952">
        <f t="shared" si="107"/>
        <v>1.9886363636363636E-2</v>
      </c>
      <c r="L611" s="644">
        <f t="shared" si="110"/>
        <v>19</v>
      </c>
      <c r="M611" s="935">
        <v>0.79305555555555562</v>
      </c>
      <c r="N611" s="936">
        <f t="shared" si="100"/>
        <v>0.79305555555555562</v>
      </c>
      <c r="O611" s="725"/>
      <c r="P611" s="725">
        <f t="shared" si="103"/>
        <v>-0.79305555555555562</v>
      </c>
      <c r="Q611" s="622"/>
      <c r="R611" s="36"/>
      <c r="S611" s="37" t="str">
        <f t="shared" si="101"/>
        <v>CimarronF0</v>
      </c>
      <c r="T611" s="37" t="str">
        <f t="shared" si="104"/>
        <v>1991F0</v>
      </c>
      <c r="U611" s="429">
        <v>50</v>
      </c>
      <c r="V611" s="1029">
        <v>0.5</v>
      </c>
      <c r="W611" s="598">
        <v>0.02</v>
      </c>
      <c r="X611" s="429"/>
      <c r="Y611" s="37" t="str">
        <f t="shared" si="105"/>
        <v>F050</v>
      </c>
      <c r="Z611" s="37" t="str">
        <f t="shared" si="106"/>
        <v>F00.5</v>
      </c>
      <c r="AA611" s="37" t="str">
        <f t="shared" si="108"/>
        <v>F00.02</v>
      </c>
      <c r="AB611" s="498" t="str">
        <f t="shared" si="102"/>
        <v>F019</v>
      </c>
      <c r="AC611" s="572"/>
      <c r="AD611" s="572"/>
      <c r="AE611" s="572"/>
      <c r="AF611" s="572"/>
    </row>
    <row r="612" spans="1:32">
      <c r="A612" s="947">
        <f t="shared" si="109"/>
        <v>605</v>
      </c>
      <c r="B612" s="948">
        <v>4</v>
      </c>
      <c r="C612" s="949">
        <v>33369</v>
      </c>
      <c r="D612" s="949" t="s">
        <v>177</v>
      </c>
      <c r="E612" s="904">
        <v>11</v>
      </c>
      <c r="F612" s="644">
        <v>1991</v>
      </c>
      <c r="G612" s="948" t="s">
        <v>145</v>
      </c>
      <c r="H612" s="645" t="s">
        <v>149</v>
      </c>
      <c r="I612" s="951">
        <v>30</v>
      </c>
      <c r="J612" s="951">
        <v>0.1</v>
      </c>
      <c r="K612" s="952">
        <f t="shared" si="107"/>
        <v>1.7045454545454545E-3</v>
      </c>
      <c r="L612" s="644">
        <f t="shared" si="110"/>
        <v>19</v>
      </c>
      <c r="M612" s="935">
        <v>0.8125</v>
      </c>
      <c r="N612" s="936">
        <f t="shared" si="100"/>
        <v>0.8125</v>
      </c>
      <c r="O612" s="725"/>
      <c r="P612" s="725">
        <f t="shared" si="103"/>
        <v>-0.8125</v>
      </c>
      <c r="Q612" s="622"/>
      <c r="R612" s="37"/>
      <c r="S612" s="37" t="str">
        <f t="shared" si="101"/>
        <v>RandallF0</v>
      </c>
      <c r="T612" s="37" t="str">
        <f t="shared" si="104"/>
        <v>1991F0</v>
      </c>
      <c r="U612" s="429">
        <v>20</v>
      </c>
      <c r="V612" s="1029">
        <v>0.1</v>
      </c>
      <c r="W612" s="598">
        <v>2E-3</v>
      </c>
      <c r="X612" s="429"/>
      <c r="Y612" s="37" t="str">
        <f t="shared" si="105"/>
        <v>F020</v>
      </c>
      <c r="Z612" s="37" t="str">
        <f t="shared" si="106"/>
        <v>F00.1</v>
      </c>
      <c r="AA612" s="37" t="str">
        <f t="shared" si="108"/>
        <v>F00.002</v>
      </c>
      <c r="AB612" s="498" t="str">
        <f t="shared" si="102"/>
        <v>F019</v>
      </c>
      <c r="AC612" s="572"/>
      <c r="AD612" s="572"/>
      <c r="AE612" s="572"/>
      <c r="AF612" s="572"/>
    </row>
    <row r="613" spans="1:32">
      <c r="A613" s="947">
        <f t="shared" si="109"/>
        <v>606</v>
      </c>
      <c r="B613" s="948">
        <v>5</v>
      </c>
      <c r="C613" s="949">
        <v>33369</v>
      </c>
      <c r="D613" s="949" t="s">
        <v>177</v>
      </c>
      <c r="E613" s="904">
        <v>11</v>
      </c>
      <c r="F613" s="644">
        <v>1991</v>
      </c>
      <c r="G613" s="948" t="s">
        <v>145</v>
      </c>
      <c r="H613" s="645" t="s">
        <v>149</v>
      </c>
      <c r="I613" s="951">
        <v>30</v>
      </c>
      <c r="J613" s="951">
        <v>0.2</v>
      </c>
      <c r="K613" s="952">
        <f t="shared" si="107"/>
        <v>3.4090909090909089E-3</v>
      </c>
      <c r="L613" s="644">
        <f t="shared" si="110"/>
        <v>19</v>
      </c>
      <c r="M613" s="935">
        <v>0.82291666666666663</v>
      </c>
      <c r="N613" s="936">
        <f t="shared" si="100"/>
        <v>0.82291666666666663</v>
      </c>
      <c r="O613" s="725"/>
      <c r="P613" s="725">
        <f t="shared" si="103"/>
        <v>-0.82291666666666663</v>
      </c>
      <c r="Q613" s="622"/>
      <c r="R613" s="37"/>
      <c r="S613" s="37" t="str">
        <f t="shared" si="101"/>
        <v>RandallF0</v>
      </c>
      <c r="T613" s="37" t="str">
        <f t="shared" si="104"/>
        <v>1991F0</v>
      </c>
      <c r="U613" s="429">
        <v>20</v>
      </c>
      <c r="V613" s="1029">
        <v>0.2</v>
      </c>
      <c r="W613" s="598">
        <v>2E-3</v>
      </c>
      <c r="X613" s="429"/>
      <c r="Y613" s="37" t="str">
        <f t="shared" si="105"/>
        <v>F020</v>
      </c>
      <c r="Z613" s="37" t="str">
        <f t="shared" si="106"/>
        <v>F00.2</v>
      </c>
      <c r="AA613" s="37" t="str">
        <f t="shared" si="108"/>
        <v>F00.002</v>
      </c>
      <c r="AB613" s="498" t="str">
        <f t="shared" si="102"/>
        <v>F019</v>
      </c>
      <c r="AC613" s="572"/>
      <c r="AD613" s="572"/>
      <c r="AE613" s="572"/>
      <c r="AF613" s="572"/>
    </row>
    <row r="614" spans="1:32">
      <c r="A614" s="947">
        <f t="shared" si="109"/>
        <v>607</v>
      </c>
      <c r="B614" s="948">
        <v>6</v>
      </c>
      <c r="C614" s="949">
        <v>33371</v>
      </c>
      <c r="D614" s="949" t="s">
        <v>177</v>
      </c>
      <c r="E614" s="904">
        <v>13</v>
      </c>
      <c r="F614" s="644">
        <v>1991</v>
      </c>
      <c r="G614" s="948" t="s">
        <v>136</v>
      </c>
      <c r="H614" s="645" t="s">
        <v>149</v>
      </c>
      <c r="I614" s="951">
        <v>30</v>
      </c>
      <c r="J614" s="951">
        <v>0.2</v>
      </c>
      <c r="K614" s="952">
        <f t="shared" si="107"/>
        <v>3.4090909090909089E-3</v>
      </c>
      <c r="L614" s="644">
        <f t="shared" si="110"/>
        <v>16</v>
      </c>
      <c r="M614" s="935">
        <v>0.7</v>
      </c>
      <c r="N614" s="936">
        <f t="shared" si="100"/>
        <v>0.7</v>
      </c>
      <c r="O614" s="725"/>
      <c r="P614" s="725">
        <f t="shared" si="103"/>
        <v>-0.7</v>
      </c>
      <c r="Q614" s="622"/>
      <c r="R614" s="37"/>
      <c r="S614" s="37" t="str">
        <f t="shared" si="101"/>
        <v>HutchinsonF0</v>
      </c>
      <c r="T614" s="37" t="str">
        <f t="shared" si="104"/>
        <v>1991F0</v>
      </c>
      <c r="U614" s="429">
        <v>20</v>
      </c>
      <c r="V614" s="1029">
        <v>0.2</v>
      </c>
      <c r="W614" s="598">
        <v>2E-3</v>
      </c>
      <c r="X614" s="429"/>
      <c r="Y614" s="37" t="str">
        <f t="shared" si="105"/>
        <v>F020</v>
      </c>
      <c r="Z614" s="37" t="str">
        <f t="shared" si="106"/>
        <v>F00.2</v>
      </c>
      <c r="AA614" s="37" t="str">
        <f t="shared" si="108"/>
        <v>F00.002</v>
      </c>
      <c r="AB614" s="498" t="str">
        <f t="shared" si="102"/>
        <v>F016</v>
      </c>
      <c r="AC614" s="572"/>
      <c r="AD614" s="572"/>
      <c r="AE614" s="572"/>
      <c r="AF614" s="572"/>
    </row>
    <row r="615" spans="1:32">
      <c r="A615" s="947">
        <f t="shared" si="109"/>
        <v>608</v>
      </c>
      <c r="B615" s="948">
        <v>7</v>
      </c>
      <c r="C615" s="949">
        <v>33371</v>
      </c>
      <c r="D615" s="949" t="s">
        <v>177</v>
      </c>
      <c r="E615" s="904">
        <v>13</v>
      </c>
      <c r="F615" s="644">
        <v>1991</v>
      </c>
      <c r="G615" s="948" t="s">
        <v>136</v>
      </c>
      <c r="H615" s="645" t="s">
        <v>149</v>
      </c>
      <c r="I615" s="951">
        <v>20</v>
      </c>
      <c r="J615" s="951">
        <v>0.1</v>
      </c>
      <c r="K615" s="952">
        <f t="shared" si="107"/>
        <v>1.1363636363636365E-3</v>
      </c>
      <c r="L615" s="644">
        <f t="shared" si="110"/>
        <v>17</v>
      </c>
      <c r="M615" s="935">
        <v>0.74305555555555547</v>
      </c>
      <c r="N615" s="936">
        <f t="shared" si="100"/>
        <v>0.74305555555555547</v>
      </c>
      <c r="O615" s="725"/>
      <c r="P615" s="725">
        <f t="shared" si="103"/>
        <v>-0.74305555555555547</v>
      </c>
      <c r="Q615" s="622"/>
      <c r="R615" s="37"/>
      <c r="S615" s="37" t="str">
        <f t="shared" si="101"/>
        <v>HutchinsonF0</v>
      </c>
      <c r="T615" s="37" t="str">
        <f t="shared" si="104"/>
        <v>1991F0</v>
      </c>
      <c r="U615" s="429">
        <v>20</v>
      </c>
      <c r="V615" s="1029">
        <v>0.1</v>
      </c>
      <c r="W615" s="598">
        <v>1E-3</v>
      </c>
      <c r="X615" s="429"/>
      <c r="Y615" s="37" t="str">
        <f t="shared" si="105"/>
        <v>F020</v>
      </c>
      <c r="Z615" s="37" t="str">
        <f t="shared" si="106"/>
        <v>F00.1</v>
      </c>
      <c r="AA615" s="37" t="str">
        <f t="shared" si="108"/>
        <v>F00.001</v>
      </c>
      <c r="AB615" s="498" t="str">
        <f t="shared" si="102"/>
        <v>F017</v>
      </c>
      <c r="AC615" s="572"/>
      <c r="AD615" s="572"/>
      <c r="AE615" s="572"/>
      <c r="AF615" s="572"/>
    </row>
    <row r="616" spans="1:32">
      <c r="A616" s="947">
        <f t="shared" si="109"/>
        <v>609</v>
      </c>
      <c r="B616" s="948">
        <v>8</v>
      </c>
      <c r="C616" s="949">
        <v>33373</v>
      </c>
      <c r="D616" s="949" t="s">
        <v>177</v>
      </c>
      <c r="E616" s="904">
        <v>15</v>
      </c>
      <c r="F616" s="644">
        <v>1991</v>
      </c>
      <c r="G616" s="948" t="s">
        <v>148</v>
      </c>
      <c r="H616" s="645" t="s">
        <v>152</v>
      </c>
      <c r="I616" s="951">
        <v>450</v>
      </c>
      <c r="J616" s="951">
        <v>12</v>
      </c>
      <c r="K616" s="952">
        <f t="shared" si="107"/>
        <v>3.0681818181818183</v>
      </c>
      <c r="L616" s="644">
        <f t="shared" si="110"/>
        <v>20</v>
      </c>
      <c r="M616" s="935">
        <v>0.84513888888888899</v>
      </c>
      <c r="N616" s="936">
        <f t="shared" si="100"/>
        <v>0.84513888888888899</v>
      </c>
      <c r="O616" s="725">
        <v>0.87361111111111101</v>
      </c>
      <c r="P616" s="725">
        <f t="shared" si="103"/>
        <v>2.847222222222201E-2</v>
      </c>
      <c r="Q616" s="622" t="s">
        <v>85</v>
      </c>
      <c r="R616" s="37"/>
      <c r="S616" s="37" t="str">
        <f t="shared" si="101"/>
        <v>CollingsworthF3</v>
      </c>
      <c r="T616" s="37" t="str">
        <f t="shared" si="104"/>
        <v>1991F3</v>
      </c>
      <c r="U616" s="429">
        <v>200</v>
      </c>
      <c r="V616" s="1029">
        <v>10</v>
      </c>
      <c r="W616" s="598">
        <v>2</v>
      </c>
      <c r="X616" s="429"/>
      <c r="Y616" s="37" t="str">
        <f t="shared" si="105"/>
        <v>F3200</v>
      </c>
      <c r="Z616" s="37" t="str">
        <f t="shared" si="106"/>
        <v>F310</v>
      </c>
      <c r="AA616" s="37" t="str">
        <f t="shared" si="108"/>
        <v>F32</v>
      </c>
      <c r="AB616" s="498" t="str">
        <f t="shared" si="102"/>
        <v>F320</v>
      </c>
      <c r="AC616" s="572"/>
      <c r="AD616" s="572"/>
      <c r="AE616" s="572"/>
      <c r="AF616" s="572"/>
    </row>
    <row r="617" spans="1:32">
      <c r="A617" s="947">
        <f t="shared" si="109"/>
        <v>610</v>
      </c>
      <c r="B617" s="948">
        <v>9</v>
      </c>
      <c r="C617" s="949">
        <v>33373</v>
      </c>
      <c r="D617" s="949" t="s">
        <v>177</v>
      </c>
      <c r="E617" s="904">
        <v>15</v>
      </c>
      <c r="F617" s="644">
        <v>1991</v>
      </c>
      <c r="G617" s="948" t="s">
        <v>143</v>
      </c>
      <c r="H617" s="645" t="s">
        <v>152</v>
      </c>
      <c r="I617" s="951">
        <v>450</v>
      </c>
      <c r="J617" s="951">
        <v>4</v>
      </c>
      <c r="K617" s="952">
        <f t="shared" si="107"/>
        <v>1.0227272727272727</v>
      </c>
      <c r="L617" s="644">
        <f t="shared" si="110"/>
        <v>20</v>
      </c>
      <c r="M617" s="935">
        <v>0.87361111111111101</v>
      </c>
      <c r="N617" s="936">
        <f t="shared" si="100"/>
        <v>0.87361111111111101</v>
      </c>
      <c r="O617" s="725"/>
      <c r="P617" s="725">
        <f t="shared" si="103"/>
        <v>-0.87361111111111101</v>
      </c>
      <c r="Q617" s="622" t="s">
        <v>86</v>
      </c>
      <c r="R617" s="37"/>
      <c r="S617" s="37" t="str">
        <f t="shared" si="101"/>
        <v>WheelerF3</v>
      </c>
      <c r="T617" s="37" t="str">
        <f t="shared" si="104"/>
        <v>1991F3</v>
      </c>
      <c r="U617" s="429">
        <v>200</v>
      </c>
      <c r="V617" s="1029">
        <v>2</v>
      </c>
      <c r="W617" s="598">
        <v>1</v>
      </c>
      <c r="X617" s="429"/>
      <c r="Y617" s="37" t="str">
        <f t="shared" si="105"/>
        <v>F3200</v>
      </c>
      <c r="Z617" s="37" t="str">
        <f t="shared" si="106"/>
        <v>F32</v>
      </c>
      <c r="AA617" s="37" t="str">
        <f t="shared" si="108"/>
        <v>F31</v>
      </c>
      <c r="AB617" s="498" t="str">
        <f t="shared" si="102"/>
        <v>F320</v>
      </c>
      <c r="AC617" s="572"/>
      <c r="AD617" s="572"/>
      <c r="AE617" s="572"/>
      <c r="AF617" s="572"/>
    </row>
    <row r="618" spans="1:32">
      <c r="A618" s="947">
        <f t="shared" si="109"/>
        <v>611</v>
      </c>
      <c r="B618" s="948">
        <v>10</v>
      </c>
      <c r="C618" s="949">
        <v>33381</v>
      </c>
      <c r="D618" s="949" t="s">
        <v>177</v>
      </c>
      <c r="E618" s="904">
        <v>23</v>
      </c>
      <c r="F618" s="644">
        <v>1991</v>
      </c>
      <c r="G618" s="948" t="s">
        <v>127</v>
      </c>
      <c r="H618" s="645" t="s">
        <v>149</v>
      </c>
      <c r="I618" s="951">
        <v>70</v>
      </c>
      <c r="J618" s="951">
        <v>0.1</v>
      </c>
      <c r="K618" s="952">
        <f t="shared" si="107"/>
        <v>3.9772727272727277E-3</v>
      </c>
      <c r="L618" s="644">
        <f t="shared" si="110"/>
        <v>17</v>
      </c>
      <c r="M618" s="935">
        <v>0.72222222222222221</v>
      </c>
      <c r="N618" s="936">
        <f t="shared" si="100"/>
        <v>0.72222222222222221</v>
      </c>
      <c r="O618" s="725"/>
      <c r="P618" s="725">
        <f t="shared" si="103"/>
        <v>-0.72222222222222221</v>
      </c>
      <c r="Q618" s="622"/>
      <c r="R618" s="37"/>
      <c r="S618" s="37" t="str">
        <f t="shared" si="101"/>
        <v>TexasF0</v>
      </c>
      <c r="T618" s="37" t="str">
        <f t="shared" si="104"/>
        <v>1991F0</v>
      </c>
      <c r="U618" s="429">
        <v>50</v>
      </c>
      <c r="V618" s="1029">
        <v>0.1</v>
      </c>
      <c r="W618" s="598">
        <v>2E-3</v>
      </c>
      <c r="X618" s="429"/>
      <c r="Y618" s="37" t="str">
        <f t="shared" si="105"/>
        <v>F050</v>
      </c>
      <c r="Z618" s="37" t="str">
        <f t="shared" si="106"/>
        <v>F00.1</v>
      </c>
      <c r="AA618" s="37" t="str">
        <f t="shared" si="108"/>
        <v>F00.002</v>
      </c>
      <c r="AB618" s="498" t="str">
        <f t="shared" si="102"/>
        <v>F017</v>
      </c>
      <c r="AC618" s="572"/>
      <c r="AD618" s="572"/>
      <c r="AE618" s="572"/>
      <c r="AF618" s="572"/>
    </row>
    <row r="619" spans="1:32">
      <c r="A619" s="947">
        <f t="shared" si="109"/>
        <v>612</v>
      </c>
      <c r="B619" s="948">
        <v>11</v>
      </c>
      <c r="C619" s="949">
        <v>33381</v>
      </c>
      <c r="D619" s="949" t="s">
        <v>177</v>
      </c>
      <c r="E619" s="904">
        <v>23</v>
      </c>
      <c r="F619" s="644">
        <v>1991</v>
      </c>
      <c r="G619" s="948" t="s">
        <v>142</v>
      </c>
      <c r="H619" s="645" t="s">
        <v>149</v>
      </c>
      <c r="I619" s="951">
        <v>20</v>
      </c>
      <c r="J619" s="951">
        <v>0.1</v>
      </c>
      <c r="K619" s="952">
        <f t="shared" si="107"/>
        <v>1.1363636363636365E-3</v>
      </c>
      <c r="L619" s="644">
        <f t="shared" si="110"/>
        <v>19</v>
      </c>
      <c r="M619" s="935">
        <v>0.79513888888888884</v>
      </c>
      <c r="N619" s="936">
        <f t="shared" si="100"/>
        <v>0.79513888888888884</v>
      </c>
      <c r="O619" s="725"/>
      <c r="P619" s="725">
        <f t="shared" si="103"/>
        <v>-0.79513888888888884</v>
      </c>
      <c r="Q619" s="622"/>
      <c r="R619" s="37"/>
      <c r="S619" s="37" t="str">
        <f t="shared" si="101"/>
        <v>GrayF0</v>
      </c>
      <c r="T619" s="37" t="str">
        <f t="shared" si="104"/>
        <v>1991F0</v>
      </c>
      <c r="U619" s="429">
        <v>20</v>
      </c>
      <c r="V619" s="1029">
        <v>0.1</v>
      </c>
      <c r="W619" s="598">
        <v>1E-3</v>
      </c>
      <c r="X619" s="429"/>
      <c r="Y619" s="37" t="str">
        <f t="shared" si="105"/>
        <v>F020</v>
      </c>
      <c r="Z619" s="37" t="str">
        <f t="shared" si="106"/>
        <v>F00.1</v>
      </c>
      <c r="AA619" s="37" t="str">
        <f t="shared" si="108"/>
        <v>F00.001</v>
      </c>
      <c r="AB619" s="498" t="str">
        <f t="shared" si="102"/>
        <v>F019</v>
      </c>
      <c r="AC619" s="572"/>
      <c r="AD619" s="572"/>
      <c r="AE619" s="572"/>
      <c r="AF619" s="572"/>
    </row>
    <row r="620" spans="1:32">
      <c r="A620" s="947">
        <f t="shared" si="109"/>
        <v>613</v>
      </c>
      <c r="B620" s="948">
        <v>12</v>
      </c>
      <c r="C620" s="949">
        <v>33386</v>
      </c>
      <c r="D620" s="949" t="s">
        <v>177</v>
      </c>
      <c r="E620" s="904">
        <v>28</v>
      </c>
      <c r="F620" s="644">
        <v>1991</v>
      </c>
      <c r="G620" s="948" t="s">
        <v>134</v>
      </c>
      <c r="H620" s="645" t="s">
        <v>149</v>
      </c>
      <c r="I620" s="951">
        <v>40</v>
      </c>
      <c r="J620" s="951">
        <v>0.5</v>
      </c>
      <c r="K620" s="952">
        <f t="shared" si="107"/>
        <v>1.1363636363636364E-2</v>
      </c>
      <c r="L620" s="644">
        <f t="shared" si="110"/>
        <v>21</v>
      </c>
      <c r="M620" s="935">
        <v>0.87569444444444444</v>
      </c>
      <c r="N620" s="936">
        <f t="shared" si="100"/>
        <v>0.87569444444444444</v>
      </c>
      <c r="O620" s="725"/>
      <c r="P620" s="725">
        <f t="shared" si="103"/>
        <v>-0.87569444444444444</v>
      </c>
      <c r="Q620" s="622"/>
      <c r="R620" s="37"/>
      <c r="S620" s="37" t="str">
        <f t="shared" si="101"/>
        <v>HartleyF0</v>
      </c>
      <c r="T620" s="37" t="str">
        <f t="shared" si="104"/>
        <v>1991F0</v>
      </c>
      <c r="U620" s="429">
        <v>20</v>
      </c>
      <c r="V620" s="1029">
        <v>0.5</v>
      </c>
      <c r="W620" s="598">
        <v>0.01</v>
      </c>
      <c r="X620" s="429"/>
      <c r="Y620" s="37" t="str">
        <f t="shared" si="105"/>
        <v>F020</v>
      </c>
      <c r="Z620" s="37" t="str">
        <f t="shared" si="106"/>
        <v>F00.5</v>
      </c>
      <c r="AA620" s="37" t="str">
        <f t="shared" si="108"/>
        <v>F00.01</v>
      </c>
      <c r="AB620" s="498" t="str">
        <f t="shared" si="102"/>
        <v>F021</v>
      </c>
      <c r="AC620" s="572"/>
      <c r="AD620" s="572"/>
      <c r="AE620" s="572"/>
      <c r="AF620" s="572"/>
    </row>
    <row r="621" spans="1:32">
      <c r="A621" s="947">
        <f t="shared" si="109"/>
        <v>614</v>
      </c>
      <c r="B621" s="948">
        <v>13</v>
      </c>
      <c r="C621" s="949">
        <v>33386</v>
      </c>
      <c r="D621" s="949" t="s">
        <v>177</v>
      </c>
      <c r="E621" s="904">
        <v>28</v>
      </c>
      <c r="F621" s="644">
        <v>1991</v>
      </c>
      <c r="G621" s="948" t="s">
        <v>134</v>
      </c>
      <c r="H621" s="645" t="s">
        <v>149</v>
      </c>
      <c r="I621" s="951">
        <v>30</v>
      </c>
      <c r="J621" s="951">
        <v>0.1</v>
      </c>
      <c r="K621" s="952">
        <f t="shared" si="107"/>
        <v>1.7045454545454545E-3</v>
      </c>
      <c r="L621" s="644">
        <f t="shared" si="110"/>
        <v>21</v>
      </c>
      <c r="M621" s="935">
        <v>0.88194444444444453</v>
      </c>
      <c r="N621" s="936">
        <f t="shared" si="100"/>
        <v>0.88194444444444453</v>
      </c>
      <c r="O621" s="725"/>
      <c r="P621" s="725">
        <f t="shared" si="103"/>
        <v>-0.88194444444444453</v>
      </c>
      <c r="Q621" s="622"/>
      <c r="R621" s="37"/>
      <c r="S621" s="37" t="str">
        <f t="shared" si="101"/>
        <v>HartleyF0</v>
      </c>
      <c r="T621" s="37" t="str">
        <f t="shared" si="104"/>
        <v>1991F0</v>
      </c>
      <c r="U621" s="429">
        <v>20</v>
      </c>
      <c r="V621" s="1029">
        <v>0.1</v>
      </c>
      <c r="W621" s="598">
        <v>2E-3</v>
      </c>
      <c r="X621" s="429"/>
      <c r="Y621" s="37" t="str">
        <f t="shared" si="105"/>
        <v>F020</v>
      </c>
      <c r="Z621" s="37" t="str">
        <f t="shared" si="106"/>
        <v>F00.1</v>
      </c>
      <c r="AA621" s="37" t="str">
        <f t="shared" si="108"/>
        <v>F00.002</v>
      </c>
      <c r="AB621" s="498" t="str">
        <f t="shared" si="102"/>
        <v>F021</v>
      </c>
      <c r="AC621" s="572"/>
      <c r="AD621" s="572"/>
      <c r="AE621" s="572"/>
      <c r="AF621" s="572"/>
    </row>
    <row r="622" spans="1:32">
      <c r="A622" s="947">
        <f t="shared" si="109"/>
        <v>615</v>
      </c>
      <c r="B622" s="948">
        <v>14</v>
      </c>
      <c r="C622" s="949">
        <v>33387</v>
      </c>
      <c r="D622" s="949" t="s">
        <v>177</v>
      </c>
      <c r="E622" s="904">
        <v>29</v>
      </c>
      <c r="F622" s="644">
        <v>1991</v>
      </c>
      <c r="G622" s="948" t="s">
        <v>132</v>
      </c>
      <c r="H622" s="645" t="s">
        <v>149</v>
      </c>
      <c r="I622" s="951">
        <v>60</v>
      </c>
      <c r="J622" s="951">
        <v>0.5</v>
      </c>
      <c r="K622" s="952">
        <f t="shared" si="107"/>
        <v>1.7045454545454544E-2</v>
      </c>
      <c r="L622" s="644">
        <f t="shared" si="110"/>
        <v>17</v>
      </c>
      <c r="M622" s="935">
        <v>0.71666666666666667</v>
      </c>
      <c r="N622" s="936">
        <f t="shared" si="100"/>
        <v>0.71666666666666667</v>
      </c>
      <c r="O622" s="725"/>
      <c r="P622" s="725">
        <f t="shared" si="103"/>
        <v>-0.71666666666666667</v>
      </c>
      <c r="Q622" s="622"/>
      <c r="R622" s="37"/>
      <c r="S622" s="37" t="str">
        <f t="shared" si="101"/>
        <v>OchiltreeF0</v>
      </c>
      <c r="T622" s="37" t="str">
        <f t="shared" si="104"/>
        <v>1991F0</v>
      </c>
      <c r="U622" s="429">
        <v>50</v>
      </c>
      <c r="V622" s="1029">
        <v>0.5</v>
      </c>
      <c r="W622" s="598">
        <v>0.01</v>
      </c>
      <c r="X622" s="429"/>
      <c r="Y622" s="37" t="str">
        <f t="shared" si="105"/>
        <v>F050</v>
      </c>
      <c r="Z622" s="37" t="str">
        <f t="shared" si="106"/>
        <v>F00.5</v>
      </c>
      <c r="AA622" s="37" t="str">
        <f t="shared" si="108"/>
        <v>F00.01</v>
      </c>
      <c r="AB622" s="498" t="str">
        <f t="shared" si="102"/>
        <v>F017</v>
      </c>
      <c r="AC622" s="572"/>
      <c r="AD622" s="572"/>
      <c r="AE622" s="572"/>
      <c r="AF622" s="572"/>
    </row>
    <row r="623" spans="1:32">
      <c r="A623" s="947">
        <f t="shared" si="109"/>
        <v>616</v>
      </c>
      <c r="B623" s="948">
        <v>15</v>
      </c>
      <c r="C623" s="949">
        <v>33387</v>
      </c>
      <c r="D623" s="949" t="s">
        <v>177</v>
      </c>
      <c r="E623" s="904">
        <v>29</v>
      </c>
      <c r="F623" s="644">
        <v>1991</v>
      </c>
      <c r="G623" s="948" t="s">
        <v>145</v>
      </c>
      <c r="H623" s="645" t="s">
        <v>149</v>
      </c>
      <c r="I623" s="951">
        <v>50</v>
      </c>
      <c r="J623" s="951">
        <v>0.5</v>
      </c>
      <c r="K623" s="952">
        <f t="shared" si="107"/>
        <v>1.4204545454545454E-2</v>
      </c>
      <c r="L623" s="644">
        <f t="shared" si="110"/>
        <v>17</v>
      </c>
      <c r="M623" s="935">
        <v>0.74097222222222225</v>
      </c>
      <c r="N623" s="936">
        <f t="shared" si="100"/>
        <v>0.74097222222222225</v>
      </c>
      <c r="O623" s="725"/>
      <c r="P623" s="725">
        <f t="shared" si="103"/>
        <v>-0.74097222222222225</v>
      </c>
      <c r="Q623" s="622"/>
      <c r="R623" s="37"/>
      <c r="S623" s="37" t="str">
        <f t="shared" si="101"/>
        <v>RandallF0</v>
      </c>
      <c r="T623" s="37" t="str">
        <f t="shared" si="104"/>
        <v>1991F0</v>
      </c>
      <c r="U623" s="429">
        <v>50</v>
      </c>
      <c r="V623" s="1029">
        <v>0.5</v>
      </c>
      <c r="W623" s="598">
        <v>0.01</v>
      </c>
      <c r="X623" s="429"/>
      <c r="Y623" s="37" t="str">
        <f t="shared" si="105"/>
        <v>F050</v>
      </c>
      <c r="Z623" s="37" t="str">
        <f t="shared" si="106"/>
        <v>F00.5</v>
      </c>
      <c r="AA623" s="37" t="str">
        <f t="shared" si="108"/>
        <v>F00.01</v>
      </c>
      <c r="AB623" s="498" t="str">
        <f t="shared" si="102"/>
        <v>F017</v>
      </c>
      <c r="AC623" s="572"/>
      <c r="AD623" s="572"/>
      <c r="AE623" s="572"/>
      <c r="AF623" s="572"/>
    </row>
    <row r="624" spans="1:32">
      <c r="A624" s="947">
        <f t="shared" si="109"/>
        <v>617</v>
      </c>
      <c r="B624" s="948">
        <v>16</v>
      </c>
      <c r="C624" s="949">
        <v>33387</v>
      </c>
      <c r="D624" s="949" t="s">
        <v>177</v>
      </c>
      <c r="E624" s="904">
        <v>29</v>
      </c>
      <c r="F624" s="644">
        <v>1991</v>
      </c>
      <c r="G624" s="948" t="s">
        <v>140</v>
      </c>
      <c r="H624" s="645" t="s">
        <v>149</v>
      </c>
      <c r="I624" s="951">
        <v>60</v>
      </c>
      <c r="J624" s="951">
        <v>2.8</v>
      </c>
      <c r="K624" s="952">
        <f t="shared" si="107"/>
        <v>9.5454545454545445E-2</v>
      </c>
      <c r="L624" s="644">
        <f t="shared" si="110"/>
        <v>17</v>
      </c>
      <c r="M624" s="935">
        <v>0.74375000000000002</v>
      </c>
      <c r="N624" s="936">
        <f t="shared" si="100"/>
        <v>0.74375000000000002</v>
      </c>
      <c r="O624" s="725"/>
      <c r="P624" s="725">
        <f t="shared" si="103"/>
        <v>-0.74375000000000002</v>
      </c>
      <c r="Q624" s="622" t="s">
        <v>460</v>
      </c>
      <c r="R624" s="37"/>
      <c r="S624" s="37" t="str">
        <f t="shared" si="101"/>
        <v>PotterF0</v>
      </c>
      <c r="T624" s="37" t="str">
        <f t="shared" si="104"/>
        <v>1991F0</v>
      </c>
      <c r="U624" s="429">
        <v>50</v>
      </c>
      <c r="V624" s="1029">
        <v>2</v>
      </c>
      <c r="W624" s="598">
        <v>0.05</v>
      </c>
      <c r="X624" s="429"/>
      <c r="Y624" s="37" t="str">
        <f t="shared" si="105"/>
        <v>F050</v>
      </c>
      <c r="Z624" s="37" t="str">
        <f t="shared" si="106"/>
        <v>F02</v>
      </c>
      <c r="AA624" s="37" t="str">
        <f t="shared" si="108"/>
        <v>F00.05</v>
      </c>
      <c r="AB624" s="498" t="str">
        <f t="shared" si="102"/>
        <v>F017</v>
      </c>
      <c r="AC624" s="572"/>
      <c r="AD624" s="572"/>
      <c r="AE624" s="572"/>
      <c r="AF624" s="572"/>
    </row>
    <row r="625" spans="1:32">
      <c r="A625" s="947">
        <f t="shared" si="109"/>
        <v>618</v>
      </c>
      <c r="B625" s="948">
        <v>17</v>
      </c>
      <c r="C625" s="949">
        <v>33387</v>
      </c>
      <c r="D625" s="949" t="s">
        <v>177</v>
      </c>
      <c r="E625" s="904">
        <v>29</v>
      </c>
      <c r="F625" s="644">
        <v>1991</v>
      </c>
      <c r="G625" s="948" t="s">
        <v>136</v>
      </c>
      <c r="H625" s="645" t="s">
        <v>149</v>
      </c>
      <c r="I625" s="951">
        <v>20</v>
      </c>
      <c r="J625" s="951">
        <v>0.1</v>
      </c>
      <c r="K625" s="952">
        <f t="shared" si="107"/>
        <v>1.1363636363636365E-3</v>
      </c>
      <c r="L625" s="644">
        <f t="shared" si="110"/>
        <v>18</v>
      </c>
      <c r="M625" s="935">
        <v>0.75555555555555554</v>
      </c>
      <c r="N625" s="936">
        <f t="shared" si="100"/>
        <v>0.75555555555555554</v>
      </c>
      <c r="O625" s="725"/>
      <c r="P625" s="725">
        <f t="shared" si="103"/>
        <v>-0.75555555555555554</v>
      </c>
      <c r="Q625" s="622"/>
      <c r="R625" s="37"/>
      <c r="S625" s="37" t="str">
        <f t="shared" si="101"/>
        <v>HutchinsonF0</v>
      </c>
      <c r="T625" s="37" t="str">
        <f t="shared" si="104"/>
        <v>1991F0</v>
      </c>
      <c r="U625" s="429">
        <v>20</v>
      </c>
      <c r="V625" s="1029">
        <v>0.1</v>
      </c>
      <c r="W625" s="598">
        <v>1E-3</v>
      </c>
      <c r="X625" s="429"/>
      <c r="Y625" s="37" t="str">
        <f t="shared" si="105"/>
        <v>F020</v>
      </c>
      <c r="Z625" s="37" t="str">
        <f t="shared" si="106"/>
        <v>F00.1</v>
      </c>
      <c r="AA625" s="37" t="str">
        <f t="shared" si="108"/>
        <v>F00.001</v>
      </c>
      <c r="AB625" s="498" t="str">
        <f t="shared" si="102"/>
        <v>F018</v>
      </c>
      <c r="AC625" s="572"/>
      <c r="AD625" s="572"/>
      <c r="AE625" s="572"/>
      <c r="AF625" s="572"/>
    </row>
    <row r="626" spans="1:32">
      <c r="A626" s="947">
        <f t="shared" si="109"/>
        <v>619</v>
      </c>
      <c r="B626" s="948">
        <v>18</v>
      </c>
      <c r="C626" s="949">
        <v>33387</v>
      </c>
      <c r="D626" s="949" t="s">
        <v>177</v>
      </c>
      <c r="E626" s="904">
        <v>29</v>
      </c>
      <c r="F626" s="644">
        <v>1991</v>
      </c>
      <c r="G626" s="948" t="s">
        <v>135</v>
      </c>
      <c r="H626" s="645" t="s">
        <v>149</v>
      </c>
      <c r="I626" s="951">
        <v>40</v>
      </c>
      <c r="J626" s="951">
        <v>2</v>
      </c>
      <c r="K626" s="952">
        <f t="shared" si="107"/>
        <v>4.5454545454545456E-2</v>
      </c>
      <c r="L626" s="644">
        <f t="shared" si="110"/>
        <v>18</v>
      </c>
      <c r="M626" s="935">
        <v>0.75694444444444453</v>
      </c>
      <c r="N626" s="936">
        <f t="shared" si="100"/>
        <v>0.75694444444444453</v>
      </c>
      <c r="O626" s="725"/>
      <c r="P626" s="725">
        <f t="shared" si="103"/>
        <v>-0.75694444444444453</v>
      </c>
      <c r="Q626" s="622"/>
      <c r="R626" s="37"/>
      <c r="S626" s="37" t="str">
        <f t="shared" si="101"/>
        <v>MooreF0</v>
      </c>
      <c r="T626" s="37" t="str">
        <f t="shared" si="104"/>
        <v>1991F0</v>
      </c>
      <c r="U626" s="429">
        <v>20</v>
      </c>
      <c r="V626" s="1029">
        <v>2</v>
      </c>
      <c r="W626" s="598">
        <v>0.02</v>
      </c>
      <c r="X626" s="429"/>
      <c r="Y626" s="37" t="str">
        <f t="shared" si="105"/>
        <v>F020</v>
      </c>
      <c r="Z626" s="37" t="str">
        <f t="shared" si="106"/>
        <v>F02</v>
      </c>
      <c r="AA626" s="37" t="str">
        <f t="shared" si="108"/>
        <v>F00.02</v>
      </c>
      <c r="AB626" s="498" t="str">
        <f t="shared" si="102"/>
        <v>F018</v>
      </c>
      <c r="AC626" s="572"/>
      <c r="AD626" s="572"/>
      <c r="AE626" s="572"/>
      <c r="AF626" s="572"/>
    </row>
    <row r="627" spans="1:32">
      <c r="A627" s="947">
        <f t="shared" si="109"/>
        <v>620</v>
      </c>
      <c r="B627" s="948">
        <v>19</v>
      </c>
      <c r="C627" s="949">
        <v>33387</v>
      </c>
      <c r="D627" s="949" t="s">
        <v>177</v>
      </c>
      <c r="E627" s="904">
        <v>29</v>
      </c>
      <c r="F627" s="644">
        <v>1991</v>
      </c>
      <c r="G627" s="948" t="s">
        <v>145</v>
      </c>
      <c r="H627" s="645" t="s">
        <v>149</v>
      </c>
      <c r="I627" s="951">
        <v>30</v>
      </c>
      <c r="J627" s="951">
        <v>0.2</v>
      </c>
      <c r="K627" s="952">
        <f t="shared" si="107"/>
        <v>3.4090909090909089E-3</v>
      </c>
      <c r="L627" s="644">
        <f t="shared" si="110"/>
        <v>18</v>
      </c>
      <c r="M627" s="935">
        <v>0.78333333333333333</v>
      </c>
      <c r="N627" s="936">
        <f t="shared" si="100"/>
        <v>0.78333333333333333</v>
      </c>
      <c r="O627" s="725"/>
      <c r="P627" s="725">
        <f t="shared" si="103"/>
        <v>-0.78333333333333333</v>
      </c>
      <c r="Q627" s="622"/>
      <c r="R627" s="37"/>
      <c r="S627" s="37" t="str">
        <f t="shared" si="101"/>
        <v>RandallF0</v>
      </c>
      <c r="T627" s="37" t="str">
        <f t="shared" si="104"/>
        <v>1991F0</v>
      </c>
      <c r="U627" s="429">
        <v>20</v>
      </c>
      <c r="V627" s="1029">
        <v>0.2</v>
      </c>
      <c r="W627" s="598">
        <v>2E-3</v>
      </c>
      <c r="X627" s="429"/>
      <c r="Y627" s="37" t="str">
        <f t="shared" si="105"/>
        <v>F020</v>
      </c>
      <c r="Z627" s="37" t="str">
        <f t="shared" si="106"/>
        <v>F00.2</v>
      </c>
      <c r="AA627" s="37" t="str">
        <f t="shared" si="108"/>
        <v>F00.002</v>
      </c>
      <c r="AB627" s="498" t="str">
        <f t="shared" si="102"/>
        <v>F018</v>
      </c>
      <c r="AC627" s="572"/>
      <c r="AD627" s="572"/>
      <c r="AE627" s="572"/>
      <c r="AF627" s="572"/>
    </row>
    <row r="628" spans="1:32">
      <c r="A628" s="947">
        <f t="shared" si="109"/>
        <v>621</v>
      </c>
      <c r="B628" s="948">
        <v>20</v>
      </c>
      <c r="C628" s="949">
        <v>33387</v>
      </c>
      <c r="D628" s="949" t="s">
        <v>177</v>
      </c>
      <c r="E628" s="904">
        <v>29</v>
      </c>
      <c r="F628" s="644">
        <v>1991</v>
      </c>
      <c r="G628" s="948" t="s">
        <v>141</v>
      </c>
      <c r="H628" s="645" t="s">
        <v>149</v>
      </c>
      <c r="I628" s="951">
        <v>20</v>
      </c>
      <c r="J628" s="951">
        <v>0.1</v>
      </c>
      <c r="K628" s="952">
        <f t="shared" si="107"/>
        <v>1.1363636363636365E-3</v>
      </c>
      <c r="L628" s="644">
        <f t="shared" si="110"/>
        <v>19</v>
      </c>
      <c r="M628" s="935">
        <v>0.8125</v>
      </c>
      <c r="N628" s="936">
        <f t="shared" si="100"/>
        <v>0.8125</v>
      </c>
      <c r="O628" s="725"/>
      <c r="P628" s="725">
        <f t="shared" si="103"/>
        <v>-0.8125</v>
      </c>
      <c r="Q628" s="622"/>
      <c r="R628" s="37"/>
      <c r="S628" s="37" t="str">
        <f t="shared" si="101"/>
        <v>CarsonF0</v>
      </c>
      <c r="T628" s="37" t="str">
        <f t="shared" si="104"/>
        <v>1991F0</v>
      </c>
      <c r="U628" s="429">
        <v>20</v>
      </c>
      <c r="V628" s="1029">
        <v>0.1</v>
      </c>
      <c r="W628" s="598">
        <v>1E-3</v>
      </c>
      <c r="X628" s="429"/>
      <c r="Y628" s="37" t="str">
        <f t="shared" si="105"/>
        <v>F020</v>
      </c>
      <c r="Z628" s="37" t="str">
        <f t="shared" si="106"/>
        <v>F00.1</v>
      </c>
      <c r="AA628" s="37" t="str">
        <f t="shared" si="108"/>
        <v>F00.001</v>
      </c>
      <c r="AB628" s="498" t="str">
        <f t="shared" si="102"/>
        <v>F019</v>
      </c>
      <c r="AC628" s="572"/>
      <c r="AD628" s="572"/>
      <c r="AE628" s="572"/>
      <c r="AF628" s="572"/>
    </row>
    <row r="629" spans="1:32">
      <c r="A629" s="947">
        <f t="shared" si="109"/>
        <v>622</v>
      </c>
      <c r="B629" s="948">
        <v>21</v>
      </c>
      <c r="C629" s="949">
        <v>33387</v>
      </c>
      <c r="D629" s="949" t="s">
        <v>177</v>
      </c>
      <c r="E629" s="904">
        <v>29</v>
      </c>
      <c r="F629" s="644">
        <v>1991</v>
      </c>
      <c r="G629" s="948" t="s">
        <v>141</v>
      </c>
      <c r="H629" s="645" t="s">
        <v>149</v>
      </c>
      <c r="I629" s="951">
        <v>30</v>
      </c>
      <c r="J629" s="951">
        <v>0.2</v>
      </c>
      <c r="K629" s="952">
        <f t="shared" si="107"/>
        <v>3.4090909090909089E-3</v>
      </c>
      <c r="L629" s="644">
        <f t="shared" si="110"/>
        <v>20</v>
      </c>
      <c r="M629" s="935">
        <v>0.83680555555555547</v>
      </c>
      <c r="N629" s="936">
        <f t="shared" si="100"/>
        <v>0.83680555555555547</v>
      </c>
      <c r="O629" s="725"/>
      <c r="P629" s="725">
        <f t="shared" si="103"/>
        <v>-0.83680555555555547</v>
      </c>
      <c r="Q629" s="622"/>
      <c r="R629" s="37"/>
      <c r="S629" s="37" t="str">
        <f t="shared" si="101"/>
        <v>CarsonF0</v>
      </c>
      <c r="T629" s="37" t="str">
        <f t="shared" si="104"/>
        <v>1991F0</v>
      </c>
      <c r="U629" s="429">
        <v>20</v>
      </c>
      <c r="V629" s="1029">
        <v>0.2</v>
      </c>
      <c r="W629" s="598">
        <v>2E-3</v>
      </c>
      <c r="X629" s="429"/>
      <c r="Y629" s="37" t="str">
        <f t="shared" si="105"/>
        <v>F020</v>
      </c>
      <c r="Z629" s="37" t="str">
        <f t="shared" si="106"/>
        <v>F00.2</v>
      </c>
      <c r="AA629" s="37" t="str">
        <f t="shared" si="108"/>
        <v>F00.002</v>
      </c>
      <c r="AB629" s="498" t="str">
        <f t="shared" si="102"/>
        <v>F020</v>
      </c>
      <c r="AC629" s="572"/>
      <c r="AD629" s="572"/>
      <c r="AE629" s="572"/>
      <c r="AF629" s="572"/>
    </row>
    <row r="630" spans="1:32">
      <c r="A630" s="947">
        <f t="shared" si="109"/>
        <v>623</v>
      </c>
      <c r="B630" s="948">
        <v>22</v>
      </c>
      <c r="C630" s="949">
        <v>33407</v>
      </c>
      <c r="D630" s="949" t="s">
        <v>178</v>
      </c>
      <c r="E630" s="904">
        <v>18</v>
      </c>
      <c r="F630" s="644">
        <v>1991</v>
      </c>
      <c r="G630" s="948" t="s">
        <v>128</v>
      </c>
      <c r="H630" s="645" t="s">
        <v>149</v>
      </c>
      <c r="I630" s="951">
        <v>30</v>
      </c>
      <c r="J630" s="951">
        <v>0.5</v>
      </c>
      <c r="K630" s="952">
        <f t="shared" si="107"/>
        <v>8.5227272727272721E-3</v>
      </c>
      <c r="L630" s="644">
        <f t="shared" si="110"/>
        <v>17</v>
      </c>
      <c r="M630" s="935">
        <v>0.73611111111111116</v>
      </c>
      <c r="N630" s="936">
        <f t="shared" si="100"/>
        <v>0.73611111111111116</v>
      </c>
      <c r="O630" s="725"/>
      <c r="P630" s="725">
        <f t="shared" si="103"/>
        <v>-0.73611111111111116</v>
      </c>
      <c r="Q630" s="622"/>
      <c r="R630" s="37"/>
      <c r="S630" s="37" t="str">
        <f t="shared" si="101"/>
        <v>BeaverF0</v>
      </c>
      <c r="T630" s="37" t="str">
        <f t="shared" si="104"/>
        <v>1991F0</v>
      </c>
      <c r="U630" s="429">
        <v>20</v>
      </c>
      <c r="V630" s="1029">
        <v>0.5</v>
      </c>
      <c r="W630" s="598">
        <v>5.0000000000000001E-3</v>
      </c>
      <c r="X630" s="429"/>
      <c r="Y630" s="37" t="str">
        <f t="shared" si="105"/>
        <v>F020</v>
      </c>
      <c r="Z630" s="37" t="str">
        <f t="shared" si="106"/>
        <v>F00.5</v>
      </c>
      <c r="AA630" s="37" t="str">
        <f t="shared" si="108"/>
        <v>F00.005</v>
      </c>
      <c r="AB630" s="498" t="str">
        <f t="shared" si="102"/>
        <v>F017</v>
      </c>
      <c r="AC630" s="572"/>
      <c r="AD630" s="572"/>
      <c r="AE630" s="572"/>
      <c r="AF630" s="572"/>
    </row>
    <row r="631" spans="1:32">
      <c r="A631" s="947">
        <f t="shared" si="109"/>
        <v>624</v>
      </c>
      <c r="B631" s="948">
        <v>1</v>
      </c>
      <c r="C631" s="949">
        <v>33710</v>
      </c>
      <c r="D631" s="949" t="s">
        <v>176</v>
      </c>
      <c r="E631" s="904">
        <v>16</v>
      </c>
      <c r="F631" s="644">
        <v>1992</v>
      </c>
      <c r="G631" s="948" t="s">
        <v>136</v>
      </c>
      <c r="H631" s="645" t="s">
        <v>149</v>
      </c>
      <c r="I631" s="951">
        <v>13</v>
      </c>
      <c r="J631" s="951">
        <v>0.5</v>
      </c>
      <c r="K631" s="952">
        <f t="shared" si="107"/>
        <v>3.6931818181818181E-3</v>
      </c>
      <c r="L631" s="644">
        <f t="shared" si="110"/>
        <v>16</v>
      </c>
      <c r="M631" s="935">
        <v>0.70138888888888884</v>
      </c>
      <c r="N631" s="936">
        <f t="shared" si="100"/>
        <v>0.70138888888888884</v>
      </c>
      <c r="O631" s="725"/>
      <c r="P631" s="725">
        <f t="shared" si="103"/>
        <v>-0.70138888888888884</v>
      </c>
      <c r="Q631" s="622"/>
      <c r="R631" s="37"/>
      <c r="S631" s="37" t="str">
        <f t="shared" si="101"/>
        <v>HutchinsonF0</v>
      </c>
      <c r="T631" s="37" t="str">
        <f t="shared" si="104"/>
        <v>1992F0</v>
      </c>
      <c r="U631" s="429">
        <v>10</v>
      </c>
      <c r="V631" s="1029">
        <v>0.5</v>
      </c>
      <c r="W631" s="598">
        <v>2E-3</v>
      </c>
      <c r="X631" s="429"/>
      <c r="Y631" s="37" t="str">
        <f t="shared" si="105"/>
        <v>F010</v>
      </c>
      <c r="Z631" s="37" t="str">
        <f t="shared" si="106"/>
        <v>F00.5</v>
      </c>
      <c r="AA631" s="37" t="str">
        <f t="shared" si="108"/>
        <v>F00.002</v>
      </c>
      <c r="AB631" s="498" t="str">
        <f t="shared" si="102"/>
        <v>F016</v>
      </c>
      <c r="AC631" s="572"/>
      <c r="AD631" s="572"/>
      <c r="AE631" s="572"/>
      <c r="AF631" s="572"/>
    </row>
    <row r="632" spans="1:32">
      <c r="A632" s="947">
        <f t="shared" si="109"/>
        <v>625</v>
      </c>
      <c r="B632" s="948">
        <v>2</v>
      </c>
      <c r="C632" s="949">
        <v>33710</v>
      </c>
      <c r="D632" s="949" t="s">
        <v>176</v>
      </c>
      <c r="E632" s="904">
        <v>16</v>
      </c>
      <c r="F632" s="644">
        <v>1992</v>
      </c>
      <c r="G632" s="948" t="s">
        <v>136</v>
      </c>
      <c r="H632" s="645" t="s">
        <v>149</v>
      </c>
      <c r="I632" s="951">
        <v>13</v>
      </c>
      <c r="J632" s="951">
        <v>0.5</v>
      </c>
      <c r="K632" s="952">
        <f t="shared" si="107"/>
        <v>3.6931818181818181E-3</v>
      </c>
      <c r="L632" s="644">
        <f t="shared" si="110"/>
        <v>16</v>
      </c>
      <c r="M632" s="935">
        <v>0.70763888888888893</v>
      </c>
      <c r="N632" s="936">
        <f t="shared" si="100"/>
        <v>0.70763888888888893</v>
      </c>
      <c r="O632" s="725"/>
      <c r="P632" s="725">
        <f t="shared" si="103"/>
        <v>-0.70763888888888893</v>
      </c>
      <c r="Q632" s="622"/>
      <c r="R632" s="37"/>
      <c r="S632" s="37" t="str">
        <f t="shared" si="101"/>
        <v>HutchinsonF0</v>
      </c>
      <c r="T632" s="37" t="str">
        <f t="shared" si="104"/>
        <v>1992F0</v>
      </c>
      <c r="U632" s="429">
        <v>10</v>
      </c>
      <c r="V632" s="1029">
        <v>0.5</v>
      </c>
      <c r="W632" s="598">
        <v>2E-3</v>
      </c>
      <c r="X632" s="429"/>
      <c r="Y632" s="37" t="str">
        <f t="shared" si="105"/>
        <v>F010</v>
      </c>
      <c r="Z632" s="37" t="str">
        <f t="shared" si="106"/>
        <v>F00.5</v>
      </c>
      <c r="AA632" s="37" t="str">
        <f t="shared" si="108"/>
        <v>F00.002</v>
      </c>
      <c r="AB632" s="498" t="str">
        <f t="shared" si="102"/>
        <v>F016</v>
      </c>
      <c r="AC632" s="572"/>
      <c r="AD632" s="572"/>
      <c r="AE632" s="572"/>
      <c r="AF632" s="572"/>
    </row>
    <row r="633" spans="1:32">
      <c r="A633" s="947">
        <f t="shared" si="109"/>
        <v>626</v>
      </c>
      <c r="B633" s="948">
        <v>3</v>
      </c>
      <c r="C633" s="949">
        <v>33710</v>
      </c>
      <c r="D633" s="949" t="s">
        <v>176</v>
      </c>
      <c r="E633" s="904">
        <v>16</v>
      </c>
      <c r="F633" s="644">
        <v>1992</v>
      </c>
      <c r="G633" s="948" t="s">
        <v>136</v>
      </c>
      <c r="H633" s="645" t="s">
        <v>150</v>
      </c>
      <c r="I633" s="951">
        <v>50</v>
      </c>
      <c r="J633" s="951">
        <v>3</v>
      </c>
      <c r="K633" s="952">
        <f t="shared" si="107"/>
        <v>8.5227272727272721E-2</v>
      </c>
      <c r="L633" s="644">
        <f t="shared" si="110"/>
        <v>17</v>
      </c>
      <c r="M633" s="935">
        <v>0.7090277777777777</v>
      </c>
      <c r="N633" s="936">
        <f t="shared" si="100"/>
        <v>0.7090277777777777</v>
      </c>
      <c r="O633" s="725"/>
      <c r="P633" s="725">
        <f t="shared" si="103"/>
        <v>-0.7090277777777777</v>
      </c>
      <c r="Q633" s="622"/>
      <c r="R633" s="37"/>
      <c r="S633" s="37" t="str">
        <f t="shared" si="101"/>
        <v>HutchinsonF1</v>
      </c>
      <c r="T633" s="37" t="str">
        <f t="shared" si="104"/>
        <v>1992F1</v>
      </c>
      <c r="U633" s="429">
        <v>50</v>
      </c>
      <c r="V633" s="1029">
        <v>2</v>
      </c>
      <c r="W633" s="598">
        <v>0.05</v>
      </c>
      <c r="X633" s="429"/>
      <c r="Y633" s="37" t="str">
        <f t="shared" si="105"/>
        <v>F150</v>
      </c>
      <c r="Z633" s="37" t="str">
        <f t="shared" si="106"/>
        <v>F12</v>
      </c>
      <c r="AA633" s="37" t="str">
        <f t="shared" si="108"/>
        <v>F10.05</v>
      </c>
      <c r="AB633" s="498" t="str">
        <f t="shared" si="102"/>
        <v>F117</v>
      </c>
      <c r="AC633" s="572"/>
      <c r="AD633" s="572"/>
      <c r="AE633" s="572"/>
      <c r="AF633" s="572"/>
    </row>
    <row r="634" spans="1:32">
      <c r="A634" s="947">
        <f t="shared" si="109"/>
        <v>627</v>
      </c>
      <c r="B634" s="948">
        <v>4</v>
      </c>
      <c r="C634" s="949">
        <v>33710</v>
      </c>
      <c r="D634" s="949" t="s">
        <v>176</v>
      </c>
      <c r="E634" s="904">
        <v>16</v>
      </c>
      <c r="F634" s="644">
        <v>1992</v>
      </c>
      <c r="G634" s="948" t="s">
        <v>141</v>
      </c>
      <c r="H634" s="645" t="s">
        <v>149</v>
      </c>
      <c r="I634" s="951">
        <v>10</v>
      </c>
      <c r="J634" s="951">
        <v>0.5</v>
      </c>
      <c r="K634" s="952">
        <f t="shared" si="107"/>
        <v>2.840909090909091E-3</v>
      </c>
      <c r="L634" s="644">
        <f t="shared" si="110"/>
        <v>17</v>
      </c>
      <c r="M634" s="935">
        <v>0.71527777777777779</v>
      </c>
      <c r="N634" s="936">
        <f t="shared" si="100"/>
        <v>0.71527777777777779</v>
      </c>
      <c r="O634" s="725"/>
      <c r="P634" s="725">
        <f t="shared" si="103"/>
        <v>-0.71527777777777779</v>
      </c>
      <c r="Q634" s="622"/>
      <c r="R634" s="37"/>
      <c r="S634" s="37" t="str">
        <f t="shared" si="101"/>
        <v>CarsonF0</v>
      </c>
      <c r="T634" s="37" t="str">
        <f t="shared" si="104"/>
        <v>1992F0</v>
      </c>
      <c r="U634" s="429">
        <v>10</v>
      </c>
      <c r="V634" s="1029">
        <v>0.5</v>
      </c>
      <c r="W634" s="598">
        <v>2E-3</v>
      </c>
      <c r="X634" s="429"/>
      <c r="Y634" s="37" t="str">
        <f t="shared" si="105"/>
        <v>F010</v>
      </c>
      <c r="Z634" s="37" t="str">
        <f t="shared" si="106"/>
        <v>F00.5</v>
      </c>
      <c r="AA634" s="37" t="str">
        <f t="shared" si="108"/>
        <v>F00.002</v>
      </c>
      <c r="AB634" s="498" t="str">
        <f t="shared" si="102"/>
        <v>F017</v>
      </c>
      <c r="AC634" s="572"/>
      <c r="AD634" s="572"/>
      <c r="AE634" s="572"/>
      <c r="AF634" s="572"/>
    </row>
    <row r="635" spans="1:32">
      <c r="A635" s="947">
        <f t="shared" si="109"/>
        <v>628</v>
      </c>
      <c r="B635" s="948">
        <v>5</v>
      </c>
      <c r="C635" s="949">
        <v>33751</v>
      </c>
      <c r="D635" s="949" t="s">
        <v>177</v>
      </c>
      <c r="E635" s="904">
        <v>27</v>
      </c>
      <c r="F635" s="644">
        <v>1992</v>
      </c>
      <c r="G635" s="948" t="s">
        <v>139</v>
      </c>
      <c r="H635" s="645" t="s">
        <v>149</v>
      </c>
      <c r="I635" s="951">
        <v>50</v>
      </c>
      <c r="J635" s="951">
        <v>0.1</v>
      </c>
      <c r="K635" s="952">
        <f t="shared" si="107"/>
        <v>2.840909090909091E-3</v>
      </c>
      <c r="L635" s="644">
        <f t="shared" si="110"/>
        <v>16</v>
      </c>
      <c r="M635" s="935">
        <v>0.67708333333333337</v>
      </c>
      <c r="N635" s="936">
        <f t="shared" si="100"/>
        <v>0.67708333333333337</v>
      </c>
      <c r="O635" s="725"/>
      <c r="P635" s="725">
        <f t="shared" si="103"/>
        <v>-0.67708333333333337</v>
      </c>
      <c r="Q635" s="622"/>
      <c r="R635" s="37"/>
      <c r="S635" s="37" t="str">
        <f t="shared" si="101"/>
        <v>OldhamF0</v>
      </c>
      <c r="T635" s="37" t="str">
        <f t="shared" si="104"/>
        <v>1992F0</v>
      </c>
      <c r="U635" s="429">
        <v>50</v>
      </c>
      <c r="V635" s="1029">
        <v>0.1</v>
      </c>
      <c r="W635" s="598">
        <v>2E-3</v>
      </c>
      <c r="X635" s="429"/>
      <c r="Y635" s="37" t="str">
        <f t="shared" si="105"/>
        <v>F050</v>
      </c>
      <c r="Z635" s="37" t="str">
        <f t="shared" si="106"/>
        <v>F00.1</v>
      </c>
      <c r="AA635" s="37" t="str">
        <f t="shared" si="108"/>
        <v>F00.002</v>
      </c>
      <c r="AB635" s="498" t="str">
        <f t="shared" si="102"/>
        <v>F016</v>
      </c>
      <c r="AC635" s="572"/>
      <c r="AD635" s="572"/>
      <c r="AE635" s="572"/>
      <c r="AF635" s="572"/>
    </row>
    <row r="636" spans="1:32">
      <c r="A636" s="947">
        <f t="shared" si="109"/>
        <v>629</v>
      </c>
      <c r="B636" s="948">
        <v>6</v>
      </c>
      <c r="C636" s="949">
        <v>33759</v>
      </c>
      <c r="D636" s="949" t="s">
        <v>178</v>
      </c>
      <c r="E636" s="904">
        <v>4</v>
      </c>
      <c r="F636" s="644">
        <v>1992</v>
      </c>
      <c r="G636" s="948" t="s">
        <v>135</v>
      </c>
      <c r="H636" s="645" t="s">
        <v>149</v>
      </c>
      <c r="I636" s="951">
        <v>13</v>
      </c>
      <c r="J636" s="951">
        <v>0.5</v>
      </c>
      <c r="K636" s="952">
        <f t="shared" si="107"/>
        <v>3.6931818181818181E-3</v>
      </c>
      <c r="L636" s="644">
        <f t="shared" si="110"/>
        <v>20</v>
      </c>
      <c r="M636" s="935">
        <v>0.86458333333333337</v>
      </c>
      <c r="N636" s="936">
        <f t="shared" si="100"/>
        <v>0.86458333333333337</v>
      </c>
      <c r="O636" s="725"/>
      <c r="P636" s="725">
        <f t="shared" si="103"/>
        <v>-0.86458333333333337</v>
      </c>
      <c r="Q636" s="622"/>
      <c r="R636" s="37"/>
      <c r="S636" s="37" t="str">
        <f t="shared" si="101"/>
        <v>MooreF0</v>
      </c>
      <c r="T636" s="37" t="str">
        <f t="shared" si="104"/>
        <v>1992F0</v>
      </c>
      <c r="U636" s="429">
        <v>10</v>
      </c>
      <c r="V636" s="1029">
        <v>0.5</v>
      </c>
      <c r="W636" s="598">
        <v>2E-3</v>
      </c>
      <c r="X636" s="429"/>
      <c r="Y636" s="37" t="str">
        <f t="shared" si="105"/>
        <v>F010</v>
      </c>
      <c r="Z636" s="37" t="str">
        <f t="shared" si="106"/>
        <v>F00.5</v>
      </c>
      <c r="AA636" s="37" t="str">
        <f t="shared" si="108"/>
        <v>F00.002</v>
      </c>
      <c r="AB636" s="498" t="str">
        <f t="shared" si="102"/>
        <v>F020</v>
      </c>
      <c r="AC636" s="572"/>
      <c r="AD636" s="572"/>
      <c r="AE636" s="572"/>
      <c r="AF636" s="572"/>
    </row>
    <row r="637" spans="1:32">
      <c r="A637" s="947">
        <f t="shared" si="109"/>
        <v>630</v>
      </c>
      <c r="B637" s="948">
        <v>7</v>
      </c>
      <c r="C637" s="949">
        <v>33759</v>
      </c>
      <c r="D637" s="949" t="s">
        <v>178</v>
      </c>
      <c r="E637" s="904">
        <v>4</v>
      </c>
      <c r="F637" s="644">
        <v>1992</v>
      </c>
      <c r="G637" s="948" t="s">
        <v>135</v>
      </c>
      <c r="H637" s="645" t="s">
        <v>149</v>
      </c>
      <c r="I637" s="951">
        <v>13</v>
      </c>
      <c r="J637" s="951">
        <v>0.5</v>
      </c>
      <c r="K637" s="952">
        <f t="shared" si="107"/>
        <v>3.6931818181818181E-3</v>
      </c>
      <c r="L637" s="644">
        <f t="shared" si="110"/>
        <v>21</v>
      </c>
      <c r="M637" s="935">
        <v>0.90486111111111101</v>
      </c>
      <c r="N637" s="936">
        <f t="shared" si="100"/>
        <v>0.90486111111111101</v>
      </c>
      <c r="O637" s="725"/>
      <c r="P637" s="725">
        <f t="shared" si="103"/>
        <v>-0.90486111111111101</v>
      </c>
      <c r="Q637" s="622"/>
      <c r="R637" s="37"/>
      <c r="S637" s="37" t="str">
        <f t="shared" si="101"/>
        <v>MooreF0</v>
      </c>
      <c r="T637" s="37" t="str">
        <f t="shared" si="104"/>
        <v>1992F0</v>
      </c>
      <c r="U637" s="429">
        <v>10</v>
      </c>
      <c r="V637" s="1029">
        <v>0.5</v>
      </c>
      <c r="W637" s="598">
        <v>2E-3</v>
      </c>
      <c r="X637" s="429"/>
      <c r="Y637" s="37" t="str">
        <f t="shared" si="105"/>
        <v>F010</v>
      </c>
      <c r="Z637" s="37" t="str">
        <f t="shared" si="106"/>
        <v>F00.5</v>
      </c>
      <c r="AA637" s="37" t="str">
        <f t="shared" si="108"/>
        <v>F00.002</v>
      </c>
      <c r="AB637" s="498" t="str">
        <f t="shared" si="102"/>
        <v>F021</v>
      </c>
      <c r="AC637" s="572"/>
      <c r="AD637" s="572"/>
      <c r="AE637" s="572"/>
      <c r="AF637" s="572"/>
    </row>
    <row r="638" spans="1:32">
      <c r="A638" s="947">
        <f t="shared" si="109"/>
        <v>631</v>
      </c>
      <c r="B638" s="948">
        <v>8</v>
      </c>
      <c r="C638" s="949">
        <v>33759</v>
      </c>
      <c r="D638" s="949" t="s">
        <v>178</v>
      </c>
      <c r="E638" s="904">
        <v>4</v>
      </c>
      <c r="F638" s="644">
        <v>1992</v>
      </c>
      <c r="G638" s="948" t="s">
        <v>135</v>
      </c>
      <c r="H638" s="645" t="s">
        <v>149</v>
      </c>
      <c r="I638" s="951">
        <v>13</v>
      </c>
      <c r="J638" s="951">
        <v>0.5</v>
      </c>
      <c r="K638" s="952">
        <f t="shared" si="107"/>
        <v>3.6931818181818181E-3</v>
      </c>
      <c r="L638" s="644">
        <f t="shared" si="110"/>
        <v>22</v>
      </c>
      <c r="M638" s="935">
        <v>0.92152777777777783</v>
      </c>
      <c r="N638" s="936">
        <f t="shared" si="100"/>
        <v>0.92152777777777783</v>
      </c>
      <c r="O638" s="725"/>
      <c r="P638" s="725">
        <f t="shared" si="103"/>
        <v>-0.92152777777777783</v>
      </c>
      <c r="Q638" s="622"/>
      <c r="R638" s="37"/>
      <c r="S638" s="37" t="str">
        <f t="shared" si="101"/>
        <v>MooreF0</v>
      </c>
      <c r="T638" s="37" t="str">
        <f t="shared" si="104"/>
        <v>1992F0</v>
      </c>
      <c r="U638" s="429">
        <v>10</v>
      </c>
      <c r="V638" s="1029">
        <v>0.5</v>
      </c>
      <c r="W638" s="598">
        <v>2E-3</v>
      </c>
      <c r="X638" s="429"/>
      <c r="Y638" s="37" t="str">
        <f t="shared" si="105"/>
        <v>F010</v>
      </c>
      <c r="Z638" s="37" t="str">
        <f t="shared" si="106"/>
        <v>F00.5</v>
      </c>
      <c r="AA638" s="37" t="str">
        <f t="shared" si="108"/>
        <v>F00.002</v>
      </c>
      <c r="AB638" s="498" t="str">
        <f t="shared" si="102"/>
        <v>F022</v>
      </c>
      <c r="AC638" s="572"/>
      <c r="AD638" s="572"/>
      <c r="AE638" s="572"/>
      <c r="AF638" s="572"/>
    </row>
    <row r="639" spans="1:32">
      <c r="A639" s="947">
        <f t="shared" si="109"/>
        <v>632</v>
      </c>
      <c r="B639" s="948">
        <v>9</v>
      </c>
      <c r="C639" s="949">
        <v>33766</v>
      </c>
      <c r="D639" s="949" t="s">
        <v>178</v>
      </c>
      <c r="E639" s="904">
        <v>11</v>
      </c>
      <c r="F639" s="644">
        <v>1992</v>
      </c>
      <c r="G639" s="948" t="s">
        <v>145</v>
      </c>
      <c r="H639" s="645" t="s">
        <v>149</v>
      </c>
      <c r="I639" s="951">
        <v>13</v>
      </c>
      <c r="J639" s="951">
        <v>0.5</v>
      </c>
      <c r="K639" s="952">
        <f t="shared" si="107"/>
        <v>3.6931818181818181E-3</v>
      </c>
      <c r="L639" s="644">
        <f t="shared" si="110"/>
        <v>15</v>
      </c>
      <c r="M639" s="935">
        <v>0.66041666666666665</v>
      </c>
      <c r="N639" s="936">
        <f t="shared" si="100"/>
        <v>0.66041666666666665</v>
      </c>
      <c r="O639" s="725"/>
      <c r="P639" s="725">
        <f t="shared" si="103"/>
        <v>-0.66041666666666665</v>
      </c>
      <c r="Q639" s="622"/>
      <c r="R639" s="37"/>
      <c r="S639" s="37" t="str">
        <f t="shared" si="101"/>
        <v>RandallF0</v>
      </c>
      <c r="T639" s="37" t="str">
        <f t="shared" si="104"/>
        <v>1992F0</v>
      </c>
      <c r="U639" s="429">
        <v>10</v>
      </c>
      <c r="V639" s="1029">
        <v>0.5</v>
      </c>
      <c r="W639" s="598">
        <v>2E-3</v>
      </c>
      <c r="X639" s="429"/>
      <c r="Y639" s="37" t="str">
        <f t="shared" si="105"/>
        <v>F010</v>
      </c>
      <c r="Z639" s="37" t="str">
        <f t="shared" si="106"/>
        <v>F00.5</v>
      </c>
      <c r="AA639" s="37" t="str">
        <f t="shared" si="108"/>
        <v>F00.002</v>
      </c>
      <c r="AB639" s="498" t="str">
        <f t="shared" si="102"/>
        <v>F015</v>
      </c>
      <c r="AC639" s="572"/>
      <c r="AD639" s="572"/>
      <c r="AE639" s="572"/>
      <c r="AF639" s="572"/>
    </row>
    <row r="640" spans="1:32">
      <c r="A640" s="947">
        <f t="shared" si="109"/>
        <v>633</v>
      </c>
      <c r="B640" s="948">
        <v>10</v>
      </c>
      <c r="C640" s="949">
        <v>33766</v>
      </c>
      <c r="D640" s="949" t="s">
        <v>178</v>
      </c>
      <c r="E640" s="904">
        <v>11</v>
      </c>
      <c r="F640" s="644">
        <v>1992</v>
      </c>
      <c r="G640" s="948" t="s">
        <v>145</v>
      </c>
      <c r="H640" s="645" t="s">
        <v>149</v>
      </c>
      <c r="I640" s="951">
        <v>13</v>
      </c>
      <c r="J640" s="951">
        <v>0.5</v>
      </c>
      <c r="K640" s="952">
        <f t="shared" si="107"/>
        <v>3.6931818181818181E-3</v>
      </c>
      <c r="L640" s="644">
        <f t="shared" si="110"/>
        <v>15</v>
      </c>
      <c r="M640" s="935">
        <v>0.66111111111111109</v>
      </c>
      <c r="N640" s="936">
        <f t="shared" si="100"/>
        <v>0.66111111111111109</v>
      </c>
      <c r="O640" s="725"/>
      <c r="P640" s="725">
        <f t="shared" si="103"/>
        <v>-0.66111111111111109</v>
      </c>
      <c r="Q640" s="622"/>
      <c r="R640" s="37"/>
      <c r="S640" s="37" t="str">
        <f t="shared" si="101"/>
        <v>RandallF0</v>
      </c>
      <c r="T640" s="37" t="str">
        <f t="shared" si="104"/>
        <v>1992F0</v>
      </c>
      <c r="U640" s="429">
        <v>10</v>
      </c>
      <c r="V640" s="1029">
        <v>0.5</v>
      </c>
      <c r="W640" s="598">
        <v>2E-3</v>
      </c>
      <c r="X640" s="429"/>
      <c r="Y640" s="37" t="str">
        <f t="shared" si="105"/>
        <v>F010</v>
      </c>
      <c r="Z640" s="37" t="str">
        <f t="shared" si="106"/>
        <v>F00.5</v>
      </c>
      <c r="AA640" s="37" t="str">
        <f t="shared" si="108"/>
        <v>F00.002</v>
      </c>
      <c r="AB640" s="498" t="str">
        <f t="shared" si="102"/>
        <v>F015</v>
      </c>
      <c r="AC640" s="572"/>
      <c r="AD640" s="572"/>
      <c r="AE640" s="572"/>
      <c r="AF640" s="572"/>
    </row>
    <row r="641" spans="1:32">
      <c r="A641" s="947">
        <f t="shared" si="109"/>
        <v>634</v>
      </c>
      <c r="B641" s="948">
        <v>11</v>
      </c>
      <c r="C641" s="949">
        <v>33773</v>
      </c>
      <c r="D641" s="949" t="s">
        <v>178</v>
      </c>
      <c r="E641" s="904">
        <v>18</v>
      </c>
      <c r="F641" s="644">
        <v>1992</v>
      </c>
      <c r="G641" s="948" t="s">
        <v>132</v>
      </c>
      <c r="H641" s="645" t="s">
        <v>149</v>
      </c>
      <c r="I641" s="951">
        <v>7</v>
      </c>
      <c r="J641" s="951">
        <v>0.3</v>
      </c>
      <c r="K641" s="952">
        <f t="shared" si="107"/>
        <v>1.1931818181818181E-3</v>
      </c>
      <c r="L641" s="644">
        <f t="shared" si="110"/>
        <v>16</v>
      </c>
      <c r="M641" s="935">
        <v>0.70138888888888884</v>
      </c>
      <c r="N641" s="936">
        <f t="shared" si="100"/>
        <v>0.70138888888888884</v>
      </c>
      <c r="O641" s="725"/>
      <c r="P641" s="725">
        <f t="shared" si="103"/>
        <v>-0.70138888888888884</v>
      </c>
      <c r="Q641" s="622"/>
      <c r="R641" s="37"/>
      <c r="S641" s="37" t="str">
        <f t="shared" si="101"/>
        <v>OchiltreeF0</v>
      </c>
      <c r="T641" s="37" t="str">
        <f t="shared" si="104"/>
        <v>1992F0</v>
      </c>
      <c r="U641" s="429">
        <v>5</v>
      </c>
      <c r="V641" s="1029">
        <v>0.2</v>
      </c>
      <c r="W641" s="598">
        <v>1E-3</v>
      </c>
      <c r="X641" s="429"/>
      <c r="Y641" s="37" t="str">
        <f t="shared" si="105"/>
        <v>F05</v>
      </c>
      <c r="Z641" s="37" t="str">
        <f t="shared" si="106"/>
        <v>F00.2</v>
      </c>
      <c r="AA641" s="37" t="str">
        <f t="shared" si="108"/>
        <v>F00.001</v>
      </c>
      <c r="AB641" s="498" t="str">
        <f t="shared" si="102"/>
        <v>F016</v>
      </c>
      <c r="AC641" s="572"/>
      <c r="AD641" s="572"/>
      <c r="AE641" s="572"/>
      <c r="AF641" s="572"/>
    </row>
    <row r="642" spans="1:32">
      <c r="A642" s="947">
        <f t="shared" si="109"/>
        <v>635</v>
      </c>
      <c r="B642" s="948">
        <v>12</v>
      </c>
      <c r="C642" s="949">
        <v>33774</v>
      </c>
      <c r="D642" s="949" t="s">
        <v>178</v>
      </c>
      <c r="E642" s="904">
        <v>19</v>
      </c>
      <c r="F642" s="644">
        <v>1992</v>
      </c>
      <c r="G642" s="948" t="s">
        <v>148</v>
      </c>
      <c r="H642" s="645" t="s">
        <v>149</v>
      </c>
      <c r="I642" s="951">
        <v>5</v>
      </c>
      <c r="J642" s="951">
        <v>0.1</v>
      </c>
      <c r="K642" s="952">
        <f t="shared" si="107"/>
        <v>2.8409090909090913E-4</v>
      </c>
      <c r="L642" s="644">
        <f t="shared" si="110"/>
        <v>19</v>
      </c>
      <c r="M642" s="935">
        <v>0.80625000000000002</v>
      </c>
      <c r="N642" s="936">
        <f t="shared" si="100"/>
        <v>0.80625000000000002</v>
      </c>
      <c r="O642" s="725"/>
      <c r="P642" s="725">
        <f t="shared" si="103"/>
        <v>-0.80625000000000002</v>
      </c>
      <c r="Q642" s="622"/>
      <c r="R642" s="37"/>
      <c r="S642" s="37" t="str">
        <f t="shared" si="101"/>
        <v>CollingsworthF0</v>
      </c>
      <c r="T642" s="37" t="str">
        <f t="shared" si="104"/>
        <v>1992F0</v>
      </c>
      <c r="U642" s="429">
        <v>5</v>
      </c>
      <c r="V642" s="1029">
        <v>0.1</v>
      </c>
      <c r="W642" s="598">
        <v>2.0000000000000001E-4</v>
      </c>
      <c r="X642" s="429"/>
      <c r="Y642" s="37" t="str">
        <f t="shared" si="105"/>
        <v>F05</v>
      </c>
      <c r="Z642" s="37" t="str">
        <f t="shared" si="106"/>
        <v>F00.1</v>
      </c>
      <c r="AA642" s="37" t="str">
        <f t="shared" si="108"/>
        <v>F00.0002</v>
      </c>
      <c r="AB642" s="498" t="str">
        <f t="shared" si="102"/>
        <v>F019</v>
      </c>
      <c r="AC642" s="572"/>
      <c r="AD642" s="572"/>
      <c r="AE642" s="572"/>
      <c r="AF642" s="572"/>
    </row>
    <row r="643" spans="1:32">
      <c r="A643" s="947">
        <f t="shared" si="109"/>
        <v>636</v>
      </c>
      <c r="B643" s="948">
        <v>13</v>
      </c>
      <c r="C643" s="949">
        <v>33774</v>
      </c>
      <c r="D643" s="949" t="s">
        <v>178</v>
      </c>
      <c r="E643" s="904">
        <v>19</v>
      </c>
      <c r="F643" s="644">
        <v>1992</v>
      </c>
      <c r="G643" s="948" t="s">
        <v>126</v>
      </c>
      <c r="H643" s="645" t="s">
        <v>150</v>
      </c>
      <c r="I643" s="951">
        <v>23</v>
      </c>
      <c r="J643" s="951">
        <v>2</v>
      </c>
      <c r="K643" s="952">
        <f t="shared" si="107"/>
        <v>2.6136363636363635E-2</v>
      </c>
      <c r="L643" s="644">
        <f t="shared" si="110"/>
        <v>20</v>
      </c>
      <c r="M643" s="935">
        <v>0.84027777777777779</v>
      </c>
      <c r="N643" s="936">
        <f t="shared" si="100"/>
        <v>0.84027777777777779</v>
      </c>
      <c r="O643" s="725"/>
      <c r="P643" s="725">
        <f t="shared" si="103"/>
        <v>-0.84027777777777779</v>
      </c>
      <c r="Q643" s="622"/>
      <c r="R643" s="37"/>
      <c r="S643" s="37" t="str">
        <f t="shared" si="101"/>
        <v>CimarronF1</v>
      </c>
      <c r="T643" s="37" t="str">
        <f t="shared" si="104"/>
        <v>1992F1</v>
      </c>
      <c r="U643" s="429">
        <v>20</v>
      </c>
      <c r="V643" s="1029">
        <v>2</v>
      </c>
      <c r="W643" s="598">
        <v>0.02</v>
      </c>
      <c r="X643" s="429"/>
      <c r="Y643" s="37" t="str">
        <f t="shared" si="105"/>
        <v>F120</v>
      </c>
      <c r="Z643" s="37" t="str">
        <f t="shared" si="106"/>
        <v>F12</v>
      </c>
      <c r="AA643" s="37" t="str">
        <f t="shared" si="108"/>
        <v>F10.02</v>
      </c>
      <c r="AB643" s="498" t="str">
        <f t="shared" si="102"/>
        <v>F120</v>
      </c>
      <c r="AC643" s="572"/>
      <c r="AD643" s="572"/>
      <c r="AE643" s="572"/>
      <c r="AF643" s="572"/>
    </row>
    <row r="644" spans="1:32">
      <c r="A644" s="947">
        <f t="shared" si="109"/>
        <v>637</v>
      </c>
      <c r="B644" s="948">
        <v>14</v>
      </c>
      <c r="C644" s="949">
        <v>33781</v>
      </c>
      <c r="D644" s="949" t="s">
        <v>178</v>
      </c>
      <c r="E644" s="904">
        <v>26</v>
      </c>
      <c r="F644" s="644">
        <v>1992</v>
      </c>
      <c r="G644" s="948" t="s">
        <v>127</v>
      </c>
      <c r="H644" s="645" t="s">
        <v>149</v>
      </c>
      <c r="I644" s="951">
        <v>10</v>
      </c>
      <c r="J644" s="951">
        <v>0.2</v>
      </c>
      <c r="K644" s="952">
        <f t="shared" si="107"/>
        <v>1.1363636363636365E-3</v>
      </c>
      <c r="L644" s="644">
        <f t="shared" si="110"/>
        <v>19</v>
      </c>
      <c r="M644" s="935">
        <v>0.82291666666666663</v>
      </c>
      <c r="N644" s="936">
        <f t="shared" si="100"/>
        <v>0.82291666666666663</v>
      </c>
      <c r="O644" s="725"/>
      <c r="P644" s="725">
        <f t="shared" si="103"/>
        <v>-0.82291666666666663</v>
      </c>
      <c r="Q644" s="622"/>
      <c r="R644" s="37"/>
      <c r="S644" s="37" t="str">
        <f t="shared" si="101"/>
        <v>TexasF0</v>
      </c>
      <c r="T644" s="37" t="str">
        <f t="shared" si="104"/>
        <v>1992F0</v>
      </c>
      <c r="U644" s="429">
        <v>10</v>
      </c>
      <c r="V644" s="1029">
        <v>0.2</v>
      </c>
      <c r="W644" s="598">
        <v>1E-3</v>
      </c>
      <c r="X644" s="429"/>
      <c r="Y644" s="37" t="str">
        <f t="shared" si="105"/>
        <v>F010</v>
      </c>
      <c r="Z644" s="37" t="str">
        <f t="shared" si="106"/>
        <v>F00.2</v>
      </c>
      <c r="AA644" s="37" t="str">
        <f t="shared" si="108"/>
        <v>F00.001</v>
      </c>
      <c r="AB644" s="498" t="str">
        <f t="shared" si="102"/>
        <v>F019</v>
      </c>
      <c r="AC644" s="572"/>
      <c r="AD644" s="572"/>
      <c r="AE644" s="572"/>
      <c r="AF644" s="572"/>
    </row>
    <row r="645" spans="1:32" ht="29.25" customHeight="1">
      <c r="A645" s="947">
        <f t="shared" si="109"/>
        <v>638</v>
      </c>
      <c r="B645" s="948">
        <v>15</v>
      </c>
      <c r="C645" s="949">
        <v>33782</v>
      </c>
      <c r="D645" s="949" t="s">
        <v>178</v>
      </c>
      <c r="E645" s="904">
        <v>27</v>
      </c>
      <c r="F645" s="644">
        <v>1992</v>
      </c>
      <c r="G645" s="948" t="s">
        <v>135</v>
      </c>
      <c r="H645" s="645" t="s">
        <v>149</v>
      </c>
      <c r="I645" s="951">
        <v>10</v>
      </c>
      <c r="J645" s="951">
        <v>0.1</v>
      </c>
      <c r="K645" s="952">
        <f t="shared" si="107"/>
        <v>5.6818181818181826E-4</v>
      </c>
      <c r="L645" s="644">
        <f t="shared" si="110"/>
        <v>17</v>
      </c>
      <c r="M645" s="935">
        <v>0.72083333333333333</v>
      </c>
      <c r="N645" s="936">
        <f t="shared" si="100"/>
        <v>0.72083333333333333</v>
      </c>
      <c r="O645" s="725"/>
      <c r="P645" s="725">
        <f t="shared" si="103"/>
        <v>-0.72083333333333333</v>
      </c>
      <c r="Q645" s="622" t="s">
        <v>468</v>
      </c>
      <c r="R645" s="37"/>
      <c r="S645" s="37" t="str">
        <f t="shared" si="101"/>
        <v>MooreF0</v>
      </c>
      <c r="T645" s="37" t="str">
        <f t="shared" si="104"/>
        <v>1992F0</v>
      </c>
      <c r="U645" s="429">
        <v>10</v>
      </c>
      <c r="V645" s="1029">
        <v>0.1</v>
      </c>
      <c r="W645" s="598">
        <v>1E-3</v>
      </c>
      <c r="X645" s="429"/>
      <c r="Y645" s="37" t="str">
        <f t="shared" si="105"/>
        <v>F010</v>
      </c>
      <c r="Z645" s="37" t="str">
        <f t="shared" si="106"/>
        <v>F00.1</v>
      </c>
      <c r="AA645" s="37" t="str">
        <f t="shared" si="108"/>
        <v>F00.001</v>
      </c>
      <c r="AB645" s="498" t="str">
        <f t="shared" si="102"/>
        <v>F017</v>
      </c>
      <c r="AC645" s="572"/>
      <c r="AD645" s="572"/>
      <c r="AE645" s="572"/>
      <c r="AF645" s="572"/>
    </row>
    <row r="646" spans="1:32">
      <c r="A646" s="947">
        <f t="shared" si="109"/>
        <v>639</v>
      </c>
      <c r="B646" s="948">
        <v>16</v>
      </c>
      <c r="C646" s="949">
        <v>33782</v>
      </c>
      <c r="D646" s="949" t="s">
        <v>178</v>
      </c>
      <c r="E646" s="904">
        <v>27</v>
      </c>
      <c r="F646" s="644">
        <v>1992</v>
      </c>
      <c r="G646" s="948" t="s">
        <v>135</v>
      </c>
      <c r="H646" s="645" t="s">
        <v>152</v>
      </c>
      <c r="I646" s="951">
        <v>300</v>
      </c>
      <c r="J646" s="951">
        <v>5</v>
      </c>
      <c r="K646" s="952">
        <f t="shared" si="107"/>
        <v>0.85227272727272718</v>
      </c>
      <c r="L646" s="644">
        <f t="shared" si="110"/>
        <v>17</v>
      </c>
      <c r="M646" s="935">
        <v>0.73402777777777783</v>
      </c>
      <c r="N646" s="936">
        <f t="shared" si="100"/>
        <v>0.73402777777777783</v>
      </c>
      <c r="O646" s="725"/>
      <c r="P646" s="725">
        <f t="shared" si="103"/>
        <v>-0.73402777777777783</v>
      </c>
      <c r="Q646" s="622" t="s">
        <v>120</v>
      </c>
      <c r="R646" s="37"/>
      <c r="S646" s="37" t="str">
        <f t="shared" si="101"/>
        <v>MooreF3</v>
      </c>
      <c r="T646" s="37" t="str">
        <f t="shared" si="104"/>
        <v>1992F3</v>
      </c>
      <c r="U646" s="429">
        <v>200</v>
      </c>
      <c r="V646" s="1029">
        <v>5</v>
      </c>
      <c r="W646" s="598">
        <v>0.5</v>
      </c>
      <c r="X646" s="429"/>
      <c r="Y646" s="37" t="str">
        <f t="shared" si="105"/>
        <v>F3200</v>
      </c>
      <c r="Z646" s="37" t="str">
        <f t="shared" si="106"/>
        <v>F35</v>
      </c>
      <c r="AA646" s="37" t="str">
        <f t="shared" si="108"/>
        <v>F30.5</v>
      </c>
      <c r="AB646" s="498" t="str">
        <f t="shared" si="102"/>
        <v>F317</v>
      </c>
      <c r="AC646" s="572"/>
      <c r="AD646" s="572"/>
      <c r="AE646" s="572"/>
      <c r="AF646" s="572"/>
    </row>
    <row r="647" spans="1:32" ht="81.75" customHeight="1">
      <c r="A647" s="947">
        <f t="shared" si="109"/>
        <v>640</v>
      </c>
      <c r="B647" s="948">
        <v>17</v>
      </c>
      <c r="C647" s="949">
        <v>33782</v>
      </c>
      <c r="D647" s="949" t="s">
        <v>178</v>
      </c>
      <c r="E647" s="904">
        <v>27</v>
      </c>
      <c r="F647" s="644">
        <v>1992</v>
      </c>
      <c r="G647" s="948" t="s">
        <v>135</v>
      </c>
      <c r="H647" s="645" t="s">
        <v>153</v>
      </c>
      <c r="I647" s="951">
        <v>1583</v>
      </c>
      <c r="J647" s="951">
        <v>10</v>
      </c>
      <c r="K647" s="952">
        <f t="shared" si="107"/>
        <v>8.9943181818181817</v>
      </c>
      <c r="L647" s="644">
        <f t="shared" si="110"/>
        <v>18</v>
      </c>
      <c r="M647" s="935">
        <v>0.7715277777777777</v>
      </c>
      <c r="N647" s="936">
        <f t="shared" ref="N647:N710" si="111">+M647</f>
        <v>0.7715277777777777</v>
      </c>
      <c r="O647" s="725">
        <v>0.78819444444444453</v>
      </c>
      <c r="P647" s="725">
        <f t="shared" si="103"/>
        <v>1.6666666666666829E-2</v>
      </c>
      <c r="Q647" s="622" t="s">
        <v>755</v>
      </c>
      <c r="R647" s="37"/>
      <c r="S647" s="37" t="str">
        <f t="shared" ref="S647:S710" si="112">CONCATENATE(G647,H647)</f>
        <v>MooreF4</v>
      </c>
      <c r="T647" s="37" t="str">
        <f t="shared" si="104"/>
        <v>1992F4</v>
      </c>
      <c r="U647" s="429">
        <v>1000</v>
      </c>
      <c r="V647" s="1029">
        <v>10</v>
      </c>
      <c r="W647" s="598">
        <v>5</v>
      </c>
      <c r="X647" s="429"/>
      <c r="Y647" s="37" t="str">
        <f t="shared" si="105"/>
        <v>F41000</v>
      </c>
      <c r="Z647" s="37" t="str">
        <f t="shared" si="106"/>
        <v>F410</v>
      </c>
      <c r="AA647" s="37" t="str">
        <f t="shared" si="108"/>
        <v>F45</v>
      </c>
      <c r="AB647" s="498" t="str">
        <f t="shared" ref="AB647:AB710" si="113">CONCATENATE(H647,L647)</f>
        <v>F418</v>
      </c>
      <c r="AC647" s="572"/>
      <c r="AD647" s="572"/>
      <c r="AE647" s="572"/>
      <c r="AF647" s="572"/>
    </row>
    <row r="648" spans="1:32" ht="45" customHeight="1">
      <c r="A648" s="947">
        <f t="shared" si="109"/>
        <v>641</v>
      </c>
      <c r="B648" s="948">
        <v>18</v>
      </c>
      <c r="C648" s="949">
        <v>33782</v>
      </c>
      <c r="D648" s="949" t="s">
        <v>178</v>
      </c>
      <c r="E648" s="904">
        <v>27</v>
      </c>
      <c r="F648" s="644">
        <v>1992</v>
      </c>
      <c r="G648" s="948" t="s">
        <v>136</v>
      </c>
      <c r="H648" s="645" t="s">
        <v>153</v>
      </c>
      <c r="I648" s="951">
        <v>1583</v>
      </c>
      <c r="J648" s="951">
        <v>3</v>
      </c>
      <c r="K648" s="952">
        <f t="shared" si="107"/>
        <v>2.6982954545454545</v>
      </c>
      <c r="L648" s="644">
        <f t="shared" si="110"/>
        <v>18</v>
      </c>
      <c r="M648" s="935">
        <v>0.78819444444444453</v>
      </c>
      <c r="N648" s="936">
        <f t="shared" si="111"/>
        <v>0.78819444444444453</v>
      </c>
      <c r="O648" s="725"/>
      <c r="P648" s="725">
        <f t="shared" ref="P648:P711" si="114">+O648-N648</f>
        <v>-0.78819444444444453</v>
      </c>
      <c r="Q648" s="106" t="s">
        <v>756</v>
      </c>
      <c r="R648" s="37"/>
      <c r="S648" s="37" t="str">
        <f t="shared" si="112"/>
        <v>HutchinsonF4</v>
      </c>
      <c r="T648" s="37" t="str">
        <f t="shared" ref="T648:T711" si="115">CONCATENATE(F648,H648)</f>
        <v>1992F4</v>
      </c>
      <c r="U648" s="429">
        <v>1000</v>
      </c>
      <c r="V648" s="1029">
        <v>2</v>
      </c>
      <c r="W648" s="598">
        <v>2</v>
      </c>
      <c r="X648" s="429"/>
      <c r="Y648" s="37" t="str">
        <f t="shared" ref="Y648:Y711" si="116">CONCATENATE(H648,U648)</f>
        <v>F41000</v>
      </c>
      <c r="Z648" s="37" t="str">
        <f t="shared" ref="Z648:Z711" si="117">CONCATENATE(H648,V648)</f>
        <v>F42</v>
      </c>
      <c r="AA648" s="37" t="str">
        <f t="shared" si="108"/>
        <v>F42</v>
      </c>
      <c r="AB648" s="498" t="str">
        <f t="shared" si="113"/>
        <v>F418</v>
      </c>
      <c r="AC648" s="572"/>
      <c r="AD648" s="572"/>
      <c r="AE648" s="572"/>
      <c r="AF648" s="572"/>
    </row>
    <row r="649" spans="1:32" ht="25.5">
      <c r="A649" s="947">
        <f t="shared" si="109"/>
        <v>642</v>
      </c>
      <c r="B649" s="948">
        <v>19</v>
      </c>
      <c r="C649" s="949">
        <v>33782</v>
      </c>
      <c r="D649" s="949" t="s">
        <v>178</v>
      </c>
      <c r="E649" s="904">
        <v>27</v>
      </c>
      <c r="F649" s="644">
        <v>1992</v>
      </c>
      <c r="G649" s="948" t="s">
        <v>135</v>
      </c>
      <c r="H649" s="645" t="s">
        <v>150</v>
      </c>
      <c r="I649" s="951">
        <v>55</v>
      </c>
      <c r="J649" s="951">
        <v>1</v>
      </c>
      <c r="K649" s="952">
        <f t="shared" ref="K649:K712" si="118">+(I649/1760)*J649</f>
        <v>3.125E-2</v>
      </c>
      <c r="L649" s="644">
        <f t="shared" si="110"/>
        <v>19</v>
      </c>
      <c r="M649" s="935">
        <v>0.79236111111111107</v>
      </c>
      <c r="N649" s="936">
        <f t="shared" si="111"/>
        <v>0.79236111111111107</v>
      </c>
      <c r="O649" s="725">
        <v>0.7944444444444444</v>
      </c>
      <c r="P649" s="725">
        <f t="shared" si="114"/>
        <v>2.0833333333333259E-3</v>
      </c>
      <c r="Q649" s="622" t="s">
        <v>757</v>
      </c>
      <c r="R649" s="37"/>
      <c r="S649" s="37" t="str">
        <f t="shared" si="112"/>
        <v>MooreF1</v>
      </c>
      <c r="T649" s="37" t="str">
        <f t="shared" si="115"/>
        <v>1992F1</v>
      </c>
      <c r="U649" s="429">
        <v>50</v>
      </c>
      <c r="V649" s="1029">
        <v>1</v>
      </c>
      <c r="W649" s="598">
        <v>0.02</v>
      </c>
      <c r="X649" s="429"/>
      <c r="Y649" s="37" t="str">
        <f t="shared" si="116"/>
        <v>F150</v>
      </c>
      <c r="Z649" s="37" t="str">
        <f t="shared" si="117"/>
        <v>F11</v>
      </c>
      <c r="AA649" s="37" t="str">
        <f t="shared" ref="AA649:AA712" si="119">CONCATENATE(H649,W649)</f>
        <v>F10.02</v>
      </c>
      <c r="AB649" s="498" t="str">
        <f t="shared" si="113"/>
        <v>F119</v>
      </c>
      <c r="AC649" s="572"/>
      <c r="AD649" s="572"/>
      <c r="AE649" s="572"/>
      <c r="AF649" s="572"/>
    </row>
    <row r="650" spans="1:32" ht="15" customHeight="1">
      <c r="A650" s="947">
        <f t="shared" ref="A650:A713" si="120">+A649+1</f>
        <v>643</v>
      </c>
      <c r="B650" s="948">
        <v>20</v>
      </c>
      <c r="C650" s="949">
        <v>33782</v>
      </c>
      <c r="D650" s="949" t="s">
        <v>178</v>
      </c>
      <c r="E650" s="904">
        <v>27</v>
      </c>
      <c r="F650" s="644">
        <v>1992</v>
      </c>
      <c r="G650" s="948" t="s">
        <v>136</v>
      </c>
      <c r="H650" s="645" t="s">
        <v>150</v>
      </c>
      <c r="I650" s="951">
        <v>55</v>
      </c>
      <c r="J650" s="951">
        <v>1</v>
      </c>
      <c r="K650" s="952">
        <f t="shared" si="118"/>
        <v>3.125E-2</v>
      </c>
      <c r="L650" s="644">
        <f t="shared" si="110"/>
        <v>19</v>
      </c>
      <c r="M650" s="935">
        <v>0.7944444444444444</v>
      </c>
      <c r="N650" s="936">
        <f t="shared" si="111"/>
        <v>0.7944444444444444</v>
      </c>
      <c r="O650" s="725">
        <v>0.79861111111111116</v>
      </c>
      <c r="P650" s="725">
        <f t="shared" si="114"/>
        <v>4.1666666666667629E-3</v>
      </c>
      <c r="Q650" s="622" t="s">
        <v>93</v>
      </c>
      <c r="R650" s="36"/>
      <c r="S650" s="37" t="str">
        <f t="shared" si="112"/>
        <v>HutchinsonF1</v>
      </c>
      <c r="T650" s="37" t="str">
        <f t="shared" si="115"/>
        <v>1992F1</v>
      </c>
      <c r="U650" s="429">
        <v>50</v>
      </c>
      <c r="V650" s="1029">
        <v>1</v>
      </c>
      <c r="W650" s="598">
        <v>0.02</v>
      </c>
      <c r="X650" s="429"/>
      <c r="Y650" s="37" t="str">
        <f t="shared" si="116"/>
        <v>F150</v>
      </c>
      <c r="Z650" s="37" t="str">
        <f t="shared" si="117"/>
        <v>F11</v>
      </c>
      <c r="AA650" s="37" t="str">
        <f t="shared" si="119"/>
        <v>F10.02</v>
      </c>
      <c r="AB650" s="498" t="str">
        <f t="shared" si="113"/>
        <v>F119</v>
      </c>
      <c r="AC650" s="572"/>
      <c r="AD650" s="572"/>
      <c r="AE650" s="572"/>
      <c r="AF650" s="572"/>
    </row>
    <row r="651" spans="1:32" ht="28.5" customHeight="1">
      <c r="A651" s="947">
        <f t="shared" si="120"/>
        <v>644</v>
      </c>
      <c r="B651" s="948">
        <v>21</v>
      </c>
      <c r="C651" s="949">
        <v>33782</v>
      </c>
      <c r="D651" s="949" t="s">
        <v>178</v>
      </c>
      <c r="E651" s="904">
        <v>27</v>
      </c>
      <c r="F651" s="644">
        <v>1992</v>
      </c>
      <c r="G651" s="948" t="s">
        <v>136</v>
      </c>
      <c r="H651" s="645" t="s">
        <v>151</v>
      </c>
      <c r="I651" s="951">
        <v>150</v>
      </c>
      <c r="J651" s="951">
        <v>4</v>
      </c>
      <c r="K651" s="952">
        <f t="shared" si="118"/>
        <v>0.34090909090909088</v>
      </c>
      <c r="L651" s="644">
        <f t="shared" si="110"/>
        <v>19</v>
      </c>
      <c r="M651" s="935">
        <v>0.79583333333333339</v>
      </c>
      <c r="N651" s="936">
        <f t="shared" si="111"/>
        <v>0.79583333333333339</v>
      </c>
      <c r="O651" s="725"/>
      <c r="P651" s="725">
        <f t="shared" si="114"/>
        <v>-0.79583333333333339</v>
      </c>
      <c r="Q651" s="622" t="s">
        <v>469</v>
      </c>
      <c r="R651" s="36"/>
      <c r="S651" s="37" t="str">
        <f t="shared" si="112"/>
        <v>HutchinsonF2</v>
      </c>
      <c r="T651" s="37" t="str">
        <f t="shared" si="115"/>
        <v>1992F2</v>
      </c>
      <c r="U651" s="429">
        <v>100</v>
      </c>
      <c r="V651" s="1029">
        <v>2</v>
      </c>
      <c r="W651" s="598">
        <v>0.2</v>
      </c>
      <c r="X651" s="429"/>
      <c r="Y651" s="37" t="str">
        <f t="shared" si="116"/>
        <v>F2100</v>
      </c>
      <c r="Z651" s="37" t="str">
        <f t="shared" si="117"/>
        <v>F22</v>
      </c>
      <c r="AA651" s="37" t="str">
        <f t="shared" si="119"/>
        <v>F20.2</v>
      </c>
      <c r="AB651" s="498" t="str">
        <f t="shared" si="113"/>
        <v>F219</v>
      </c>
      <c r="AC651" s="572"/>
      <c r="AD651" s="572"/>
      <c r="AE651" s="572"/>
      <c r="AF651" s="572"/>
    </row>
    <row r="652" spans="1:32" ht="42" customHeight="1">
      <c r="A652" s="947">
        <f t="shared" si="120"/>
        <v>645</v>
      </c>
      <c r="B652" s="948">
        <v>22</v>
      </c>
      <c r="C652" s="949">
        <v>33782</v>
      </c>
      <c r="D652" s="949" t="s">
        <v>178</v>
      </c>
      <c r="E652" s="904">
        <v>27</v>
      </c>
      <c r="F652" s="644">
        <v>1992</v>
      </c>
      <c r="G652" s="948" t="s">
        <v>141</v>
      </c>
      <c r="H652" s="645" t="s">
        <v>153</v>
      </c>
      <c r="I652" s="951">
        <v>1583</v>
      </c>
      <c r="J652" s="951">
        <v>5</v>
      </c>
      <c r="K652" s="952">
        <f t="shared" si="118"/>
        <v>4.4971590909090908</v>
      </c>
      <c r="L652" s="644">
        <f t="shared" si="110"/>
        <v>19</v>
      </c>
      <c r="M652" s="935">
        <v>0.79861111111111116</v>
      </c>
      <c r="N652" s="936">
        <f t="shared" si="111"/>
        <v>0.79861111111111116</v>
      </c>
      <c r="O652" s="725"/>
      <c r="P652" s="725">
        <f t="shared" si="114"/>
        <v>-0.79861111111111116</v>
      </c>
      <c r="Q652" s="622" t="s">
        <v>758</v>
      </c>
      <c r="R652" s="36"/>
      <c r="S652" s="37" t="str">
        <f t="shared" si="112"/>
        <v>CarsonF4</v>
      </c>
      <c r="T652" s="37" t="str">
        <f t="shared" si="115"/>
        <v>1992F4</v>
      </c>
      <c r="U652" s="429">
        <v>1000</v>
      </c>
      <c r="V652" s="1029">
        <v>5</v>
      </c>
      <c r="W652" s="598">
        <v>2</v>
      </c>
      <c r="X652" s="429"/>
      <c r="Y652" s="37" t="str">
        <f t="shared" si="116"/>
        <v>F41000</v>
      </c>
      <c r="Z652" s="37" t="str">
        <f t="shared" si="117"/>
        <v>F45</v>
      </c>
      <c r="AA652" s="37" t="str">
        <f t="shared" si="119"/>
        <v>F42</v>
      </c>
      <c r="AB652" s="498" t="str">
        <f t="shared" si="113"/>
        <v>F419</v>
      </c>
      <c r="AC652" s="572"/>
      <c r="AD652" s="572"/>
      <c r="AE652" s="572"/>
      <c r="AF652" s="572"/>
    </row>
    <row r="653" spans="1:32">
      <c r="A653" s="947">
        <f t="shared" si="120"/>
        <v>646</v>
      </c>
      <c r="B653" s="948">
        <v>1</v>
      </c>
      <c r="C653" s="949">
        <v>34087</v>
      </c>
      <c r="D653" s="949" t="s">
        <v>176</v>
      </c>
      <c r="E653" s="904">
        <v>28</v>
      </c>
      <c r="F653" s="644">
        <v>1993</v>
      </c>
      <c r="G653" s="948" t="s">
        <v>139</v>
      </c>
      <c r="H653" s="645" t="s">
        <v>149</v>
      </c>
      <c r="I653" s="951">
        <v>50</v>
      </c>
      <c r="J653" s="951">
        <v>0.2</v>
      </c>
      <c r="K653" s="952">
        <f t="shared" si="118"/>
        <v>5.681818181818182E-3</v>
      </c>
      <c r="L653" s="644">
        <f t="shared" si="110"/>
        <v>17</v>
      </c>
      <c r="M653" s="935">
        <v>0.7368055555555556</v>
      </c>
      <c r="N653" s="936">
        <f t="shared" si="111"/>
        <v>0.7368055555555556</v>
      </c>
      <c r="O653" s="725"/>
      <c r="P653" s="725">
        <f t="shared" si="114"/>
        <v>-0.7368055555555556</v>
      </c>
      <c r="Q653" s="622" t="s">
        <v>414</v>
      </c>
      <c r="R653" s="37"/>
      <c r="S653" s="37" t="str">
        <f t="shared" si="112"/>
        <v>OldhamF0</v>
      </c>
      <c r="T653" s="37" t="str">
        <f t="shared" si="115"/>
        <v>1993F0</v>
      </c>
      <c r="U653" s="429">
        <v>50</v>
      </c>
      <c r="V653" s="1029">
        <v>0.2</v>
      </c>
      <c r="W653" s="598">
        <v>5.0000000000000001E-3</v>
      </c>
      <c r="X653" s="429"/>
      <c r="Y653" s="37" t="str">
        <f t="shared" si="116"/>
        <v>F050</v>
      </c>
      <c r="Z653" s="37" t="str">
        <f t="shared" si="117"/>
        <v>F00.2</v>
      </c>
      <c r="AA653" s="37" t="str">
        <f t="shared" si="119"/>
        <v>F00.005</v>
      </c>
      <c r="AB653" s="498" t="str">
        <f t="shared" si="113"/>
        <v>F017</v>
      </c>
      <c r="AC653" s="572"/>
      <c r="AD653" s="572"/>
      <c r="AE653" s="572"/>
      <c r="AF653" s="572"/>
    </row>
    <row r="654" spans="1:32">
      <c r="A654" s="947">
        <f t="shared" si="120"/>
        <v>647</v>
      </c>
      <c r="B654" s="948">
        <v>2</v>
      </c>
      <c r="C654" s="949">
        <v>34087</v>
      </c>
      <c r="D654" s="949" t="s">
        <v>176</v>
      </c>
      <c r="E654" s="904">
        <v>28</v>
      </c>
      <c r="F654" s="644">
        <v>1993</v>
      </c>
      <c r="G654" s="948" t="s">
        <v>140</v>
      </c>
      <c r="H654" s="645" t="s">
        <v>149</v>
      </c>
      <c r="I654" s="951">
        <v>75</v>
      </c>
      <c r="J654" s="951">
        <v>1.5</v>
      </c>
      <c r="K654" s="952">
        <f t="shared" si="118"/>
        <v>6.3920454545454544E-2</v>
      </c>
      <c r="L654" s="644">
        <f t="shared" si="110"/>
        <v>17</v>
      </c>
      <c r="M654" s="935">
        <v>0.74375000000000002</v>
      </c>
      <c r="N654" s="936">
        <f t="shared" si="111"/>
        <v>0.74375000000000002</v>
      </c>
      <c r="O654" s="725"/>
      <c r="P654" s="725">
        <f t="shared" si="114"/>
        <v>-0.74375000000000002</v>
      </c>
      <c r="Q654" s="622" t="s">
        <v>416</v>
      </c>
      <c r="R654" s="37"/>
      <c r="S654" s="37" t="str">
        <f t="shared" si="112"/>
        <v>PotterF0</v>
      </c>
      <c r="T654" s="37" t="str">
        <f t="shared" si="115"/>
        <v>1993F0</v>
      </c>
      <c r="U654" s="429">
        <v>50</v>
      </c>
      <c r="V654" s="1029">
        <v>1</v>
      </c>
      <c r="W654" s="598">
        <v>0.05</v>
      </c>
      <c r="X654" s="429"/>
      <c r="Y654" s="37" t="str">
        <f t="shared" si="116"/>
        <v>F050</v>
      </c>
      <c r="Z654" s="37" t="str">
        <f t="shared" si="117"/>
        <v>F01</v>
      </c>
      <c r="AA654" s="37" t="str">
        <f t="shared" si="119"/>
        <v>F00.05</v>
      </c>
      <c r="AB654" s="498" t="str">
        <f t="shared" si="113"/>
        <v>F017</v>
      </c>
      <c r="AC654" s="572"/>
      <c r="AD654" s="572"/>
      <c r="AE654" s="572"/>
      <c r="AF654" s="572"/>
    </row>
    <row r="655" spans="1:32">
      <c r="A655" s="947">
        <f t="shared" si="120"/>
        <v>648</v>
      </c>
      <c r="B655" s="948">
        <v>3</v>
      </c>
      <c r="C655" s="949">
        <v>34087</v>
      </c>
      <c r="D655" s="949" t="s">
        <v>176</v>
      </c>
      <c r="E655" s="904">
        <v>28</v>
      </c>
      <c r="F655" s="644">
        <v>1993</v>
      </c>
      <c r="G655" s="948" t="s">
        <v>141</v>
      </c>
      <c r="H655" s="645" t="s">
        <v>150</v>
      </c>
      <c r="I655" s="951">
        <v>100</v>
      </c>
      <c r="J655" s="951">
        <v>2.5</v>
      </c>
      <c r="K655" s="952">
        <f t="shared" si="118"/>
        <v>0.14204545454545453</v>
      </c>
      <c r="L655" s="644">
        <f t="shared" si="110"/>
        <v>18</v>
      </c>
      <c r="M655" s="935">
        <v>0.78263888888888899</v>
      </c>
      <c r="N655" s="936">
        <f t="shared" si="111"/>
        <v>0.78263888888888899</v>
      </c>
      <c r="O655" s="725"/>
      <c r="P655" s="725">
        <f t="shared" si="114"/>
        <v>-0.78263888888888899</v>
      </c>
      <c r="Q655" s="622" t="s">
        <v>285</v>
      </c>
      <c r="R655" s="37"/>
      <c r="S655" s="37" t="str">
        <f t="shared" si="112"/>
        <v>CarsonF1</v>
      </c>
      <c r="T655" s="37" t="str">
        <f t="shared" si="115"/>
        <v>1993F1</v>
      </c>
      <c r="U655" s="429">
        <v>100</v>
      </c>
      <c r="V655" s="1029">
        <v>2</v>
      </c>
      <c r="W655" s="598">
        <v>0.1</v>
      </c>
      <c r="X655" s="429"/>
      <c r="Y655" s="37" t="str">
        <f t="shared" si="116"/>
        <v>F1100</v>
      </c>
      <c r="Z655" s="37" t="str">
        <f t="shared" si="117"/>
        <v>F12</v>
      </c>
      <c r="AA655" s="37" t="str">
        <f t="shared" si="119"/>
        <v>F10.1</v>
      </c>
      <c r="AB655" s="498" t="str">
        <f t="shared" si="113"/>
        <v>F118</v>
      </c>
      <c r="AC655" s="572"/>
      <c r="AD655" s="572"/>
      <c r="AE655" s="572"/>
      <c r="AF655" s="572"/>
    </row>
    <row r="656" spans="1:32">
      <c r="A656" s="947">
        <f t="shared" si="120"/>
        <v>649</v>
      </c>
      <c r="B656" s="948">
        <v>4</v>
      </c>
      <c r="C656" s="949">
        <v>34094</v>
      </c>
      <c r="D656" s="949" t="s">
        <v>177</v>
      </c>
      <c r="E656" s="904">
        <v>5</v>
      </c>
      <c r="F656" s="644">
        <v>1993</v>
      </c>
      <c r="G656" s="948" t="s">
        <v>131</v>
      </c>
      <c r="H656" s="645" t="s">
        <v>149</v>
      </c>
      <c r="I656" s="951">
        <v>100</v>
      </c>
      <c r="J656" s="951">
        <v>0.5</v>
      </c>
      <c r="K656" s="952">
        <f t="shared" si="118"/>
        <v>2.8409090909090908E-2</v>
      </c>
      <c r="L656" s="644">
        <f t="shared" si="110"/>
        <v>17</v>
      </c>
      <c r="M656" s="935">
        <v>0.71875</v>
      </c>
      <c r="N656" s="936">
        <f t="shared" si="111"/>
        <v>0.71875</v>
      </c>
      <c r="O656" s="725"/>
      <c r="P656" s="725">
        <f t="shared" si="114"/>
        <v>-0.71875</v>
      </c>
      <c r="Q656" s="622" t="s">
        <v>354</v>
      </c>
      <c r="R656" s="37"/>
      <c r="S656" s="37" t="str">
        <f t="shared" si="112"/>
        <v>HansfordF0</v>
      </c>
      <c r="T656" s="37" t="str">
        <f t="shared" si="115"/>
        <v>1993F0</v>
      </c>
      <c r="U656" s="429">
        <v>100</v>
      </c>
      <c r="V656" s="1029">
        <v>0.5</v>
      </c>
      <c r="W656" s="598">
        <v>0.02</v>
      </c>
      <c r="X656" s="429"/>
      <c r="Y656" s="37" t="str">
        <f t="shared" si="116"/>
        <v>F0100</v>
      </c>
      <c r="Z656" s="37" t="str">
        <f t="shared" si="117"/>
        <v>F00.5</v>
      </c>
      <c r="AA656" s="37" t="str">
        <f t="shared" si="119"/>
        <v>F00.02</v>
      </c>
      <c r="AB656" s="498" t="str">
        <f t="shared" si="113"/>
        <v>F017</v>
      </c>
      <c r="AC656" s="572"/>
      <c r="AD656" s="572"/>
      <c r="AE656" s="572"/>
      <c r="AF656" s="572"/>
    </row>
    <row r="657" spans="1:32" ht="25.5">
      <c r="A657" s="947">
        <f t="shared" si="120"/>
        <v>650</v>
      </c>
      <c r="B657" s="948">
        <v>5</v>
      </c>
      <c r="C657" s="949">
        <v>34094</v>
      </c>
      <c r="D657" s="949" t="s">
        <v>177</v>
      </c>
      <c r="E657" s="904">
        <v>5</v>
      </c>
      <c r="F657" s="644">
        <v>1993</v>
      </c>
      <c r="G657" s="948" t="s">
        <v>127</v>
      </c>
      <c r="H657" s="645" t="s">
        <v>152</v>
      </c>
      <c r="I657" s="951">
        <v>500</v>
      </c>
      <c r="J657" s="951">
        <v>4</v>
      </c>
      <c r="K657" s="952">
        <f t="shared" si="118"/>
        <v>1.1363636363636365</v>
      </c>
      <c r="L657" s="644">
        <f t="shared" si="110"/>
        <v>17</v>
      </c>
      <c r="M657" s="935">
        <v>0.73472222222222217</v>
      </c>
      <c r="N657" s="936">
        <f t="shared" si="111"/>
        <v>0.73472222222222217</v>
      </c>
      <c r="O657" s="725"/>
      <c r="P657" s="725">
        <f t="shared" si="114"/>
        <v>-0.73472222222222217</v>
      </c>
      <c r="Q657" s="622" t="s">
        <v>470</v>
      </c>
      <c r="R657" s="37"/>
      <c r="S657" s="37" t="str">
        <f t="shared" si="112"/>
        <v>TexasF3</v>
      </c>
      <c r="T657" s="37" t="str">
        <f t="shared" si="115"/>
        <v>1993F3</v>
      </c>
      <c r="U657" s="429">
        <v>500</v>
      </c>
      <c r="V657" s="1029">
        <v>10</v>
      </c>
      <c r="W657" s="598">
        <v>1</v>
      </c>
      <c r="X657" s="429"/>
      <c r="Y657" s="37" t="str">
        <f t="shared" si="116"/>
        <v>F3500</v>
      </c>
      <c r="Z657" s="37" t="str">
        <f t="shared" si="117"/>
        <v>F310</v>
      </c>
      <c r="AA657" s="37" t="str">
        <f t="shared" si="119"/>
        <v>F31</v>
      </c>
      <c r="AB657" s="498" t="str">
        <f t="shared" si="113"/>
        <v>F317</v>
      </c>
      <c r="AC657" s="572"/>
      <c r="AD657" s="572"/>
      <c r="AE657" s="572"/>
      <c r="AF657" s="572"/>
    </row>
    <row r="658" spans="1:32">
      <c r="A658" s="947">
        <f t="shared" si="120"/>
        <v>651</v>
      </c>
      <c r="B658" s="948">
        <v>6</v>
      </c>
      <c r="C658" s="949">
        <v>34094</v>
      </c>
      <c r="D658" s="949" t="s">
        <v>177</v>
      </c>
      <c r="E658" s="904">
        <v>5</v>
      </c>
      <c r="F658" s="644">
        <v>1993</v>
      </c>
      <c r="G658" s="948" t="s">
        <v>127</v>
      </c>
      <c r="H658" s="645" t="s">
        <v>149</v>
      </c>
      <c r="I658" s="951">
        <v>150</v>
      </c>
      <c r="J658" s="951">
        <v>1</v>
      </c>
      <c r="K658" s="952">
        <f t="shared" si="118"/>
        <v>8.5227272727272721E-2</v>
      </c>
      <c r="L658" s="644">
        <f t="shared" si="110"/>
        <v>17</v>
      </c>
      <c r="M658" s="935">
        <v>0.74652777777777779</v>
      </c>
      <c r="N658" s="936">
        <f t="shared" si="111"/>
        <v>0.74652777777777779</v>
      </c>
      <c r="O658" s="725"/>
      <c r="P658" s="725">
        <f t="shared" si="114"/>
        <v>-0.74652777777777779</v>
      </c>
      <c r="Q658" s="622" t="s">
        <v>242</v>
      </c>
      <c r="R658" s="37"/>
      <c r="S658" s="37" t="str">
        <f t="shared" si="112"/>
        <v>TexasF0</v>
      </c>
      <c r="T658" s="37" t="str">
        <f t="shared" si="115"/>
        <v>1993F0</v>
      </c>
      <c r="U658" s="429">
        <v>100</v>
      </c>
      <c r="V658" s="1029">
        <v>1</v>
      </c>
      <c r="W658" s="598">
        <v>0.05</v>
      </c>
      <c r="X658" s="429"/>
      <c r="Y658" s="37" t="str">
        <f t="shared" si="116"/>
        <v>F0100</v>
      </c>
      <c r="Z658" s="37" t="str">
        <f t="shared" si="117"/>
        <v>F01</v>
      </c>
      <c r="AA658" s="37" t="str">
        <f t="shared" si="119"/>
        <v>F00.05</v>
      </c>
      <c r="AB658" s="498" t="str">
        <f t="shared" si="113"/>
        <v>F017</v>
      </c>
      <c r="AC658" s="572"/>
      <c r="AD658" s="572"/>
      <c r="AE658" s="572"/>
      <c r="AF658" s="572"/>
    </row>
    <row r="659" spans="1:32">
      <c r="A659" s="947">
        <f t="shared" si="120"/>
        <v>652</v>
      </c>
      <c r="B659" s="948">
        <v>7</v>
      </c>
      <c r="C659" s="949">
        <v>34094</v>
      </c>
      <c r="D659" s="949" t="s">
        <v>177</v>
      </c>
      <c r="E659" s="904">
        <v>5</v>
      </c>
      <c r="F659" s="644">
        <v>1993</v>
      </c>
      <c r="G659" s="948" t="s">
        <v>127</v>
      </c>
      <c r="H659" s="645" t="s">
        <v>150</v>
      </c>
      <c r="I659" s="951">
        <v>275</v>
      </c>
      <c r="J659" s="951">
        <v>2</v>
      </c>
      <c r="K659" s="952">
        <f t="shared" si="118"/>
        <v>0.3125</v>
      </c>
      <c r="L659" s="644">
        <f t="shared" si="110"/>
        <v>18</v>
      </c>
      <c r="M659" s="935">
        <v>0.75694444444444453</v>
      </c>
      <c r="N659" s="936">
        <f t="shared" si="111"/>
        <v>0.75694444444444453</v>
      </c>
      <c r="O659" s="725"/>
      <c r="P659" s="725">
        <f t="shared" si="114"/>
        <v>-0.75694444444444453</v>
      </c>
      <c r="Q659" s="622" t="s">
        <v>243</v>
      </c>
      <c r="R659" s="37"/>
      <c r="S659" s="37" t="str">
        <f t="shared" si="112"/>
        <v>TexasF1</v>
      </c>
      <c r="T659" s="37" t="str">
        <f t="shared" si="115"/>
        <v>1993F1</v>
      </c>
      <c r="U659" s="429">
        <v>200</v>
      </c>
      <c r="V659" s="1029">
        <v>2</v>
      </c>
      <c r="W659" s="598">
        <v>0.2</v>
      </c>
      <c r="X659" s="429"/>
      <c r="Y659" s="37" t="str">
        <f t="shared" si="116"/>
        <v>F1200</v>
      </c>
      <c r="Z659" s="37" t="str">
        <f t="shared" si="117"/>
        <v>F12</v>
      </c>
      <c r="AA659" s="37" t="str">
        <f t="shared" si="119"/>
        <v>F10.2</v>
      </c>
      <c r="AB659" s="498" t="str">
        <f t="shared" si="113"/>
        <v>F118</v>
      </c>
      <c r="AC659" s="572"/>
      <c r="AD659" s="572"/>
      <c r="AE659" s="572"/>
      <c r="AF659" s="572"/>
    </row>
    <row r="660" spans="1:32">
      <c r="A660" s="947">
        <f t="shared" si="120"/>
        <v>653</v>
      </c>
      <c r="B660" s="948">
        <v>8</v>
      </c>
      <c r="C660" s="949">
        <v>34094</v>
      </c>
      <c r="D660" s="949" t="s">
        <v>177</v>
      </c>
      <c r="E660" s="904">
        <v>5</v>
      </c>
      <c r="F660" s="644">
        <v>1993</v>
      </c>
      <c r="G660" s="948" t="s">
        <v>127</v>
      </c>
      <c r="H660" s="645" t="s">
        <v>149</v>
      </c>
      <c r="I660" s="951">
        <v>100</v>
      </c>
      <c r="J660" s="951">
        <v>0.5</v>
      </c>
      <c r="K660" s="952">
        <f t="shared" si="118"/>
        <v>2.8409090909090908E-2</v>
      </c>
      <c r="L660" s="644">
        <f t="shared" si="110"/>
        <v>18</v>
      </c>
      <c r="M660" s="935">
        <v>0.78263888888888899</v>
      </c>
      <c r="N660" s="936">
        <f t="shared" si="111"/>
        <v>0.78263888888888899</v>
      </c>
      <c r="O660" s="725"/>
      <c r="P660" s="725">
        <f t="shared" si="114"/>
        <v>-0.78263888888888899</v>
      </c>
      <c r="Q660" s="622" t="s">
        <v>244</v>
      </c>
      <c r="R660" s="37"/>
      <c r="S660" s="37" t="str">
        <f t="shared" si="112"/>
        <v>TexasF0</v>
      </c>
      <c r="T660" s="37" t="str">
        <f t="shared" si="115"/>
        <v>1993F0</v>
      </c>
      <c r="U660" s="429">
        <v>100</v>
      </c>
      <c r="V660" s="1029">
        <v>0.5</v>
      </c>
      <c r="W660" s="598">
        <v>0.02</v>
      </c>
      <c r="X660" s="429"/>
      <c r="Y660" s="37" t="str">
        <f t="shared" si="116"/>
        <v>F0100</v>
      </c>
      <c r="Z660" s="37" t="str">
        <f t="shared" si="117"/>
        <v>F00.5</v>
      </c>
      <c r="AA660" s="37" t="str">
        <f t="shared" si="119"/>
        <v>F00.02</v>
      </c>
      <c r="AB660" s="498" t="str">
        <f t="shared" si="113"/>
        <v>F018</v>
      </c>
      <c r="AC660" s="572"/>
      <c r="AD660" s="572"/>
      <c r="AE660" s="572"/>
      <c r="AF660" s="572"/>
    </row>
    <row r="661" spans="1:32">
      <c r="A661" s="947">
        <f t="shared" si="120"/>
        <v>654</v>
      </c>
      <c r="B661" s="948">
        <v>9</v>
      </c>
      <c r="C661" s="949">
        <v>34094</v>
      </c>
      <c r="D661" s="949" t="s">
        <v>177</v>
      </c>
      <c r="E661" s="904">
        <v>5</v>
      </c>
      <c r="F661" s="644">
        <v>1993</v>
      </c>
      <c r="G661" s="948" t="s">
        <v>127</v>
      </c>
      <c r="H661" s="645" t="s">
        <v>149</v>
      </c>
      <c r="I661" s="951">
        <v>150</v>
      </c>
      <c r="J661" s="951">
        <v>2</v>
      </c>
      <c r="K661" s="952">
        <f t="shared" si="118"/>
        <v>0.17045454545454544</v>
      </c>
      <c r="L661" s="644">
        <f t="shared" si="110"/>
        <v>18</v>
      </c>
      <c r="M661" s="935">
        <v>0.78472222222222221</v>
      </c>
      <c r="N661" s="936">
        <f t="shared" si="111"/>
        <v>0.78472222222222221</v>
      </c>
      <c r="O661" s="725"/>
      <c r="P661" s="725">
        <f t="shared" si="114"/>
        <v>-0.78472222222222221</v>
      </c>
      <c r="Q661" s="622" t="s">
        <v>245</v>
      </c>
      <c r="R661" s="37"/>
      <c r="S661" s="37" t="str">
        <f t="shared" si="112"/>
        <v>TexasF0</v>
      </c>
      <c r="T661" s="37" t="str">
        <f t="shared" si="115"/>
        <v>1993F0</v>
      </c>
      <c r="U661" s="429">
        <v>100</v>
      </c>
      <c r="V661" s="1029">
        <v>2</v>
      </c>
      <c r="W661" s="598">
        <v>0.1</v>
      </c>
      <c r="X661" s="429"/>
      <c r="Y661" s="37" t="str">
        <f t="shared" si="116"/>
        <v>F0100</v>
      </c>
      <c r="Z661" s="37" t="str">
        <f t="shared" si="117"/>
        <v>F02</v>
      </c>
      <c r="AA661" s="37" t="str">
        <f t="shared" si="119"/>
        <v>F00.1</v>
      </c>
      <c r="AB661" s="498" t="str">
        <f t="shared" si="113"/>
        <v>F018</v>
      </c>
      <c r="AC661" s="572"/>
      <c r="AD661" s="572"/>
      <c r="AE661" s="572"/>
      <c r="AF661" s="572"/>
    </row>
    <row r="662" spans="1:32" ht="25.5">
      <c r="A662" s="947">
        <f t="shared" si="120"/>
        <v>655</v>
      </c>
      <c r="B662" s="948">
        <v>10</v>
      </c>
      <c r="C662" s="949">
        <v>34094</v>
      </c>
      <c r="D662" s="949" t="s">
        <v>177</v>
      </c>
      <c r="E662" s="904">
        <v>5</v>
      </c>
      <c r="F662" s="644">
        <v>1993</v>
      </c>
      <c r="G662" s="948" t="s">
        <v>127</v>
      </c>
      <c r="H662" s="645" t="s">
        <v>152</v>
      </c>
      <c r="I662" s="951">
        <v>1200</v>
      </c>
      <c r="J662" s="951">
        <v>11</v>
      </c>
      <c r="K662" s="952">
        <f t="shared" si="118"/>
        <v>7.4999999999999991</v>
      </c>
      <c r="L662" s="644">
        <f t="shared" si="110"/>
        <v>18</v>
      </c>
      <c r="M662" s="935">
        <v>0.78749999999999998</v>
      </c>
      <c r="N662" s="936">
        <f t="shared" si="111"/>
        <v>0.78749999999999998</v>
      </c>
      <c r="O662" s="725"/>
      <c r="P662" s="725">
        <f t="shared" si="114"/>
        <v>-0.78749999999999998</v>
      </c>
      <c r="Q662" s="622" t="s">
        <v>87</v>
      </c>
      <c r="R662" s="37"/>
      <c r="S662" s="37" t="str">
        <f t="shared" si="112"/>
        <v>TexasF3</v>
      </c>
      <c r="T662" s="37" t="str">
        <f t="shared" si="115"/>
        <v>1993F3</v>
      </c>
      <c r="U662" s="429">
        <v>1000</v>
      </c>
      <c r="V662" s="1029">
        <v>10</v>
      </c>
      <c r="W662" s="598">
        <v>5</v>
      </c>
      <c r="X662" s="429"/>
      <c r="Y662" s="37" t="str">
        <f t="shared" si="116"/>
        <v>F31000</v>
      </c>
      <c r="Z662" s="37" t="str">
        <f t="shared" si="117"/>
        <v>F310</v>
      </c>
      <c r="AA662" s="37" t="str">
        <f t="shared" si="119"/>
        <v>F35</v>
      </c>
      <c r="AB662" s="498" t="str">
        <f t="shared" si="113"/>
        <v>F318</v>
      </c>
      <c r="AC662" s="572"/>
      <c r="AD662" s="572"/>
      <c r="AE662" s="572"/>
      <c r="AF662" s="572"/>
    </row>
    <row r="663" spans="1:32">
      <c r="A663" s="947">
        <f t="shared" si="120"/>
        <v>656</v>
      </c>
      <c r="B663" s="948">
        <v>11</v>
      </c>
      <c r="C663" s="949">
        <v>34096</v>
      </c>
      <c r="D663" s="949" t="s">
        <v>177</v>
      </c>
      <c r="E663" s="904">
        <v>7</v>
      </c>
      <c r="F663" s="644">
        <v>1993</v>
      </c>
      <c r="G663" s="948" t="s">
        <v>138</v>
      </c>
      <c r="H663" s="645" t="s">
        <v>149</v>
      </c>
      <c r="I663" s="951">
        <v>75</v>
      </c>
      <c r="J663" s="951">
        <v>0.5</v>
      </c>
      <c r="K663" s="952">
        <f t="shared" si="118"/>
        <v>2.130681818181818E-2</v>
      </c>
      <c r="L663" s="644">
        <f t="shared" si="110"/>
        <v>16</v>
      </c>
      <c r="M663" s="935">
        <v>0.70486111111111116</v>
      </c>
      <c r="N663" s="936">
        <f t="shared" si="111"/>
        <v>0.70486111111111116</v>
      </c>
      <c r="O663" s="725"/>
      <c r="P663" s="725">
        <f t="shared" si="114"/>
        <v>-0.70486111111111116</v>
      </c>
      <c r="Q663" s="622" t="s">
        <v>373</v>
      </c>
      <c r="R663" s="37"/>
      <c r="S663" s="37" t="str">
        <f t="shared" si="112"/>
        <v>HemphillF0</v>
      </c>
      <c r="T663" s="37" t="str">
        <f t="shared" si="115"/>
        <v>1993F0</v>
      </c>
      <c r="U663" s="429">
        <v>50</v>
      </c>
      <c r="V663" s="1029">
        <v>0.5</v>
      </c>
      <c r="W663" s="598">
        <v>0.02</v>
      </c>
      <c r="X663" s="429"/>
      <c r="Y663" s="37" t="str">
        <f t="shared" si="116"/>
        <v>F050</v>
      </c>
      <c r="Z663" s="37" t="str">
        <f t="shared" si="117"/>
        <v>F00.5</v>
      </c>
      <c r="AA663" s="37" t="str">
        <f t="shared" si="119"/>
        <v>F00.02</v>
      </c>
      <c r="AB663" s="498" t="str">
        <f t="shared" si="113"/>
        <v>F016</v>
      </c>
      <c r="AC663" s="572"/>
      <c r="AD663" s="572"/>
      <c r="AE663" s="572"/>
      <c r="AF663" s="572"/>
    </row>
    <row r="664" spans="1:32">
      <c r="A664" s="947">
        <f t="shared" si="120"/>
        <v>657</v>
      </c>
      <c r="B664" s="948">
        <v>12</v>
      </c>
      <c r="C664" s="949">
        <v>34096</v>
      </c>
      <c r="D664" s="949" t="s">
        <v>177</v>
      </c>
      <c r="E664" s="904">
        <v>7</v>
      </c>
      <c r="F664" s="644">
        <v>1993</v>
      </c>
      <c r="G664" s="948" t="s">
        <v>148</v>
      </c>
      <c r="H664" s="645" t="s">
        <v>149</v>
      </c>
      <c r="I664" s="951">
        <v>100</v>
      </c>
      <c r="J664" s="951">
        <v>1</v>
      </c>
      <c r="K664" s="952">
        <f t="shared" si="118"/>
        <v>5.6818181818181816E-2</v>
      </c>
      <c r="L664" s="644">
        <f t="shared" si="110"/>
        <v>17</v>
      </c>
      <c r="M664" s="935">
        <v>0.72986111111111107</v>
      </c>
      <c r="N664" s="936">
        <f t="shared" si="111"/>
        <v>0.72986111111111107</v>
      </c>
      <c r="O664" s="725"/>
      <c r="P664" s="725">
        <f t="shared" si="114"/>
        <v>-0.72986111111111107</v>
      </c>
      <c r="Q664" s="622" t="s">
        <v>305</v>
      </c>
      <c r="R664" s="37"/>
      <c r="S664" s="37" t="str">
        <f t="shared" si="112"/>
        <v>CollingsworthF0</v>
      </c>
      <c r="T664" s="37" t="str">
        <f t="shared" si="115"/>
        <v>1993F0</v>
      </c>
      <c r="U664" s="429">
        <v>100</v>
      </c>
      <c r="V664" s="1029">
        <v>1</v>
      </c>
      <c r="W664" s="598">
        <v>0.05</v>
      </c>
      <c r="X664" s="429"/>
      <c r="Y664" s="37" t="str">
        <f t="shared" si="116"/>
        <v>F0100</v>
      </c>
      <c r="Z664" s="37" t="str">
        <f t="shared" si="117"/>
        <v>F01</v>
      </c>
      <c r="AA664" s="37" t="str">
        <f t="shared" si="119"/>
        <v>F00.05</v>
      </c>
      <c r="AB664" s="498" t="str">
        <f t="shared" si="113"/>
        <v>F017</v>
      </c>
      <c r="AC664" s="572"/>
      <c r="AD664" s="572"/>
      <c r="AE664" s="572"/>
      <c r="AF664" s="572"/>
    </row>
    <row r="665" spans="1:32">
      <c r="A665" s="947">
        <f t="shared" si="120"/>
        <v>658</v>
      </c>
      <c r="B665" s="948">
        <v>13</v>
      </c>
      <c r="C665" s="949">
        <v>34096</v>
      </c>
      <c r="D665" s="949" t="s">
        <v>177</v>
      </c>
      <c r="E665" s="904">
        <v>7</v>
      </c>
      <c r="F665" s="644">
        <v>1993</v>
      </c>
      <c r="G665" s="948" t="s">
        <v>148</v>
      </c>
      <c r="H665" s="645" t="s">
        <v>149</v>
      </c>
      <c r="I665" s="951">
        <v>100</v>
      </c>
      <c r="J665" s="951">
        <v>1</v>
      </c>
      <c r="K665" s="952">
        <f t="shared" si="118"/>
        <v>5.6818181818181816E-2</v>
      </c>
      <c r="L665" s="644">
        <f t="shared" si="110"/>
        <v>17</v>
      </c>
      <c r="M665" s="935">
        <v>0.73958333333333337</v>
      </c>
      <c r="N665" s="936">
        <f t="shared" si="111"/>
        <v>0.73958333333333337</v>
      </c>
      <c r="O665" s="725"/>
      <c r="P665" s="725">
        <f t="shared" si="114"/>
        <v>-0.73958333333333337</v>
      </c>
      <c r="Q665" s="622" t="s">
        <v>306</v>
      </c>
      <c r="R665" s="37"/>
      <c r="S665" s="37" t="str">
        <f t="shared" si="112"/>
        <v>CollingsworthF0</v>
      </c>
      <c r="T665" s="37" t="str">
        <f t="shared" si="115"/>
        <v>1993F0</v>
      </c>
      <c r="U665" s="429">
        <v>100</v>
      </c>
      <c r="V665" s="1029">
        <v>1</v>
      </c>
      <c r="W665" s="598">
        <v>0.05</v>
      </c>
      <c r="X665" s="429"/>
      <c r="Y665" s="37" t="str">
        <f t="shared" si="116"/>
        <v>F0100</v>
      </c>
      <c r="Z665" s="37" t="str">
        <f t="shared" si="117"/>
        <v>F01</v>
      </c>
      <c r="AA665" s="37" t="str">
        <f t="shared" si="119"/>
        <v>F00.05</v>
      </c>
      <c r="AB665" s="498" t="str">
        <f t="shared" si="113"/>
        <v>F017</v>
      </c>
      <c r="AC665" s="572"/>
      <c r="AD665" s="572"/>
      <c r="AE665" s="572"/>
      <c r="AF665" s="572"/>
    </row>
    <row r="666" spans="1:32">
      <c r="A666" s="947">
        <f t="shared" si="120"/>
        <v>659</v>
      </c>
      <c r="B666" s="948">
        <v>14</v>
      </c>
      <c r="C666" s="949">
        <v>34106</v>
      </c>
      <c r="D666" s="949" t="s">
        <v>177</v>
      </c>
      <c r="E666" s="904">
        <v>17</v>
      </c>
      <c r="F666" s="644">
        <v>1993</v>
      </c>
      <c r="G666" s="948" t="s">
        <v>143</v>
      </c>
      <c r="H666" s="645" t="s">
        <v>150</v>
      </c>
      <c r="I666" s="951">
        <v>150</v>
      </c>
      <c r="J666" s="951">
        <v>2.5</v>
      </c>
      <c r="K666" s="952">
        <f t="shared" si="118"/>
        <v>0.2130681818181818</v>
      </c>
      <c r="L666" s="644">
        <f t="shared" si="110"/>
        <v>18</v>
      </c>
      <c r="M666" s="935">
        <v>0.77361111111111114</v>
      </c>
      <c r="N666" s="936">
        <f t="shared" si="111"/>
        <v>0.77361111111111114</v>
      </c>
      <c r="O666" s="725"/>
      <c r="P666" s="725">
        <f t="shared" si="114"/>
        <v>-0.77361111111111114</v>
      </c>
      <c r="Q666" s="622" t="s">
        <v>445</v>
      </c>
      <c r="R666" s="37"/>
      <c r="S666" s="37" t="str">
        <f t="shared" si="112"/>
        <v>WheelerF1</v>
      </c>
      <c r="T666" s="37" t="str">
        <f t="shared" si="115"/>
        <v>1993F1</v>
      </c>
      <c r="U666" s="429">
        <v>100</v>
      </c>
      <c r="V666" s="1029">
        <v>2</v>
      </c>
      <c r="W666" s="598">
        <v>0.2</v>
      </c>
      <c r="X666" s="429"/>
      <c r="Y666" s="37" t="str">
        <f t="shared" si="116"/>
        <v>F1100</v>
      </c>
      <c r="Z666" s="37" t="str">
        <f t="shared" si="117"/>
        <v>F12</v>
      </c>
      <c r="AA666" s="37" t="str">
        <f t="shared" si="119"/>
        <v>F10.2</v>
      </c>
      <c r="AB666" s="498" t="str">
        <f t="shared" si="113"/>
        <v>F118</v>
      </c>
      <c r="AC666" s="572"/>
      <c r="AD666" s="572"/>
      <c r="AE666" s="572"/>
      <c r="AF666" s="572"/>
    </row>
    <row r="667" spans="1:32" ht="30" customHeight="1">
      <c r="A667" s="947">
        <f t="shared" si="120"/>
        <v>660</v>
      </c>
      <c r="B667" s="948">
        <v>15</v>
      </c>
      <c r="C667" s="949">
        <v>34122</v>
      </c>
      <c r="D667" s="949" t="s">
        <v>178</v>
      </c>
      <c r="E667" s="904">
        <v>2</v>
      </c>
      <c r="F667" s="644">
        <v>1993</v>
      </c>
      <c r="G667" s="948" t="s">
        <v>128</v>
      </c>
      <c r="H667" s="645" t="s">
        <v>149</v>
      </c>
      <c r="I667" s="951">
        <v>50</v>
      </c>
      <c r="J667" s="951">
        <v>0.5</v>
      </c>
      <c r="K667" s="952">
        <f t="shared" si="118"/>
        <v>1.4204545454545454E-2</v>
      </c>
      <c r="L667" s="644">
        <f t="shared" si="110"/>
        <v>21</v>
      </c>
      <c r="M667" s="935">
        <v>0.89583333333333337</v>
      </c>
      <c r="N667" s="936">
        <f t="shared" si="111"/>
        <v>0.89583333333333337</v>
      </c>
      <c r="O667" s="725"/>
      <c r="P667" s="725">
        <f t="shared" si="114"/>
        <v>-0.89583333333333337</v>
      </c>
      <c r="Q667" s="106" t="s">
        <v>499</v>
      </c>
      <c r="R667" s="37"/>
      <c r="S667" s="37" t="str">
        <f t="shared" si="112"/>
        <v>BeaverF0</v>
      </c>
      <c r="T667" s="37" t="str">
        <f t="shared" si="115"/>
        <v>1993F0</v>
      </c>
      <c r="U667" s="429">
        <v>50</v>
      </c>
      <c r="V667" s="1029">
        <v>0.5</v>
      </c>
      <c r="W667" s="598">
        <v>0.01</v>
      </c>
      <c r="X667" s="429"/>
      <c r="Y667" s="37" t="str">
        <f t="shared" si="116"/>
        <v>F050</v>
      </c>
      <c r="Z667" s="37" t="str">
        <f t="shared" si="117"/>
        <v>F00.5</v>
      </c>
      <c r="AA667" s="37" t="str">
        <f t="shared" si="119"/>
        <v>F00.01</v>
      </c>
      <c r="AB667" s="498" t="str">
        <f t="shared" si="113"/>
        <v>F021</v>
      </c>
      <c r="AC667" s="572"/>
      <c r="AD667" s="572"/>
      <c r="AE667" s="572"/>
      <c r="AF667" s="572"/>
    </row>
    <row r="668" spans="1:32" ht="30" customHeight="1">
      <c r="A668" s="947">
        <f t="shared" si="120"/>
        <v>661</v>
      </c>
      <c r="B668" s="948">
        <v>16</v>
      </c>
      <c r="C668" s="949">
        <v>34157</v>
      </c>
      <c r="D668" s="949" t="s">
        <v>179</v>
      </c>
      <c r="E668" s="904">
        <v>7</v>
      </c>
      <c r="F668" s="644">
        <v>1993</v>
      </c>
      <c r="G668" s="948" t="s">
        <v>141</v>
      </c>
      <c r="H668" s="645" t="s">
        <v>149</v>
      </c>
      <c r="I668" s="951">
        <v>50</v>
      </c>
      <c r="J668" s="951">
        <v>0.5</v>
      </c>
      <c r="K668" s="952">
        <f t="shared" si="118"/>
        <v>1.4204545454545454E-2</v>
      </c>
      <c r="L668" s="644">
        <f t="shared" si="110"/>
        <v>19</v>
      </c>
      <c r="M668" s="935">
        <v>0.79166666666666663</v>
      </c>
      <c r="N668" s="936">
        <f t="shared" si="111"/>
        <v>0.79166666666666663</v>
      </c>
      <c r="O668" s="725"/>
      <c r="P668" s="725">
        <f t="shared" si="114"/>
        <v>-0.79166666666666663</v>
      </c>
      <c r="Q668" s="106" t="s">
        <v>500</v>
      </c>
      <c r="R668" s="37"/>
      <c r="S668" s="37" t="str">
        <f t="shared" si="112"/>
        <v>CarsonF0</v>
      </c>
      <c r="T668" s="37" t="str">
        <f t="shared" si="115"/>
        <v>1993F0</v>
      </c>
      <c r="U668" s="429">
        <v>50</v>
      </c>
      <c r="V668" s="1029">
        <v>0.5</v>
      </c>
      <c r="W668" s="598">
        <v>0.01</v>
      </c>
      <c r="X668" s="429"/>
      <c r="Y668" s="37" t="str">
        <f t="shared" si="116"/>
        <v>F050</v>
      </c>
      <c r="Z668" s="37" t="str">
        <f t="shared" si="117"/>
        <v>F00.5</v>
      </c>
      <c r="AA668" s="37" t="str">
        <f t="shared" si="119"/>
        <v>F00.01</v>
      </c>
      <c r="AB668" s="498" t="str">
        <f t="shared" si="113"/>
        <v>F019</v>
      </c>
      <c r="AC668" s="572"/>
      <c r="AD668" s="572"/>
      <c r="AE668" s="572"/>
      <c r="AF668" s="572"/>
    </row>
    <row r="669" spans="1:32" ht="30" customHeight="1">
      <c r="A669" s="947">
        <f t="shared" si="120"/>
        <v>662</v>
      </c>
      <c r="B669" s="948">
        <v>17</v>
      </c>
      <c r="C669" s="949">
        <v>34230</v>
      </c>
      <c r="D669" s="949" t="s">
        <v>181</v>
      </c>
      <c r="E669" s="904">
        <v>18</v>
      </c>
      <c r="F669" s="644">
        <v>1993</v>
      </c>
      <c r="G669" s="948" t="s">
        <v>128</v>
      </c>
      <c r="H669" s="645" t="s">
        <v>149</v>
      </c>
      <c r="I669" s="951">
        <v>100</v>
      </c>
      <c r="J669" s="951">
        <v>0.5</v>
      </c>
      <c r="K669" s="952">
        <f t="shared" si="118"/>
        <v>2.8409090909090908E-2</v>
      </c>
      <c r="L669" s="644">
        <f t="shared" si="110"/>
        <v>18</v>
      </c>
      <c r="M669" s="935">
        <v>0.7597222222222223</v>
      </c>
      <c r="N669" s="936">
        <f t="shared" si="111"/>
        <v>0.7597222222222223</v>
      </c>
      <c r="O669" s="725">
        <v>0.76249999999999996</v>
      </c>
      <c r="P669" s="725">
        <f t="shared" si="114"/>
        <v>2.7777777777776569E-3</v>
      </c>
      <c r="Q669" s="106" t="s">
        <v>492</v>
      </c>
      <c r="R669" s="37"/>
      <c r="S669" s="37" t="str">
        <f t="shared" si="112"/>
        <v>BeaverF0</v>
      </c>
      <c r="T669" s="37" t="str">
        <f t="shared" si="115"/>
        <v>1993F0</v>
      </c>
      <c r="U669" s="429">
        <v>100</v>
      </c>
      <c r="V669" s="1029">
        <v>0.5</v>
      </c>
      <c r="W669" s="598">
        <v>0.02</v>
      </c>
      <c r="X669" s="429"/>
      <c r="Y669" s="37" t="str">
        <f t="shared" si="116"/>
        <v>F0100</v>
      </c>
      <c r="Z669" s="37" t="str">
        <f t="shared" si="117"/>
        <v>F00.5</v>
      </c>
      <c r="AA669" s="37" t="str">
        <f t="shared" si="119"/>
        <v>F00.02</v>
      </c>
      <c r="AB669" s="498" t="str">
        <f t="shared" si="113"/>
        <v>F018</v>
      </c>
      <c r="AC669" s="572"/>
      <c r="AD669" s="572"/>
      <c r="AE669" s="572"/>
      <c r="AF669" s="572"/>
    </row>
    <row r="670" spans="1:32">
      <c r="A670" s="947">
        <f t="shared" si="120"/>
        <v>663</v>
      </c>
      <c r="B670" s="948">
        <v>18</v>
      </c>
      <c r="C670" s="949">
        <v>34254</v>
      </c>
      <c r="D670" s="949" t="s">
        <v>182</v>
      </c>
      <c r="E670" s="904">
        <v>12</v>
      </c>
      <c r="F670" s="644">
        <v>1993</v>
      </c>
      <c r="G670" s="948" t="s">
        <v>142</v>
      </c>
      <c r="H670" s="645" t="s">
        <v>150</v>
      </c>
      <c r="I670" s="951">
        <v>75</v>
      </c>
      <c r="J670" s="951">
        <v>2</v>
      </c>
      <c r="K670" s="952">
        <f t="shared" si="118"/>
        <v>8.5227272727272721E-2</v>
      </c>
      <c r="L670" s="644">
        <f t="shared" ref="L670:L733" si="121">HOUR(N670)</f>
        <v>17</v>
      </c>
      <c r="M670" s="935">
        <v>0.73958333333333337</v>
      </c>
      <c r="N670" s="936">
        <f t="shared" si="111"/>
        <v>0.73958333333333337</v>
      </c>
      <c r="O670" s="725"/>
      <c r="P670" s="725">
        <f t="shared" si="114"/>
        <v>-0.73958333333333337</v>
      </c>
      <c r="Q670" s="622" t="s">
        <v>340</v>
      </c>
      <c r="R670" s="37"/>
      <c r="S670" s="37" t="str">
        <f t="shared" si="112"/>
        <v>GrayF1</v>
      </c>
      <c r="T670" s="37" t="str">
        <f t="shared" si="115"/>
        <v>1993F1</v>
      </c>
      <c r="U670" s="429">
        <v>50</v>
      </c>
      <c r="V670" s="1029">
        <v>2</v>
      </c>
      <c r="W670" s="598">
        <v>0.05</v>
      </c>
      <c r="X670" s="429"/>
      <c r="Y670" s="37" t="str">
        <f t="shared" si="116"/>
        <v>F150</v>
      </c>
      <c r="Z670" s="37" t="str">
        <f t="shared" si="117"/>
        <v>F12</v>
      </c>
      <c r="AA670" s="37" t="str">
        <f t="shared" si="119"/>
        <v>F10.05</v>
      </c>
      <c r="AB670" s="498" t="str">
        <f t="shared" si="113"/>
        <v>F117</v>
      </c>
      <c r="AC670" s="572"/>
      <c r="AD670" s="572"/>
      <c r="AE670" s="572"/>
      <c r="AF670" s="572"/>
    </row>
    <row r="671" spans="1:32">
      <c r="A671" s="947">
        <f t="shared" si="120"/>
        <v>664</v>
      </c>
      <c r="B671" s="948">
        <v>1</v>
      </c>
      <c r="C671" s="949">
        <v>34463</v>
      </c>
      <c r="D671" s="949" t="s">
        <v>177</v>
      </c>
      <c r="E671" s="904">
        <v>9</v>
      </c>
      <c r="F671" s="644">
        <v>1994</v>
      </c>
      <c r="G671" s="948" t="s">
        <v>129</v>
      </c>
      <c r="H671" s="645" t="s">
        <v>150</v>
      </c>
      <c r="I671" s="951">
        <v>100</v>
      </c>
      <c r="J671" s="951">
        <v>2</v>
      </c>
      <c r="K671" s="952">
        <f t="shared" si="118"/>
        <v>0.11363636363636363</v>
      </c>
      <c r="L671" s="644">
        <f t="shared" si="121"/>
        <v>16</v>
      </c>
      <c r="M671" s="935">
        <v>0.69444444444444453</v>
      </c>
      <c r="N671" s="936">
        <f t="shared" si="111"/>
        <v>0.69444444444444453</v>
      </c>
      <c r="O671" s="725"/>
      <c r="P671" s="725">
        <f t="shared" si="114"/>
        <v>-0.69444444444444453</v>
      </c>
      <c r="Q671" s="622" t="s">
        <v>311</v>
      </c>
      <c r="R671" s="37"/>
      <c r="S671" s="37" t="str">
        <f t="shared" si="112"/>
        <v>DallamF1</v>
      </c>
      <c r="T671" s="37" t="str">
        <f t="shared" si="115"/>
        <v>1994F1</v>
      </c>
      <c r="U671" s="429">
        <v>100</v>
      </c>
      <c r="V671" s="1029">
        <v>2</v>
      </c>
      <c r="W671" s="598">
        <v>0.1</v>
      </c>
      <c r="X671" s="429"/>
      <c r="Y671" s="37" t="str">
        <f t="shared" si="116"/>
        <v>F1100</v>
      </c>
      <c r="Z671" s="37" t="str">
        <f t="shared" si="117"/>
        <v>F12</v>
      </c>
      <c r="AA671" s="37" t="str">
        <f t="shared" si="119"/>
        <v>F10.1</v>
      </c>
      <c r="AB671" s="498" t="str">
        <f t="shared" si="113"/>
        <v>F116</v>
      </c>
      <c r="AC671" s="572"/>
      <c r="AD671" s="572"/>
      <c r="AE671" s="572"/>
      <c r="AF671" s="572"/>
    </row>
    <row r="672" spans="1:32">
      <c r="A672" s="947">
        <f t="shared" si="120"/>
        <v>665</v>
      </c>
      <c r="B672" s="948">
        <v>2</v>
      </c>
      <c r="C672" s="949">
        <v>34463</v>
      </c>
      <c r="D672" s="949" t="s">
        <v>177</v>
      </c>
      <c r="E672" s="904">
        <v>9</v>
      </c>
      <c r="F672" s="644">
        <v>1994</v>
      </c>
      <c r="G672" s="948" t="s">
        <v>129</v>
      </c>
      <c r="H672" s="645" t="s">
        <v>149</v>
      </c>
      <c r="I672" s="951">
        <v>25</v>
      </c>
      <c r="J672" s="951">
        <v>1</v>
      </c>
      <c r="K672" s="952">
        <f t="shared" si="118"/>
        <v>1.4204545454545454E-2</v>
      </c>
      <c r="L672" s="644">
        <f t="shared" si="121"/>
        <v>17</v>
      </c>
      <c r="M672" s="935">
        <v>0.71527777777777779</v>
      </c>
      <c r="N672" s="936">
        <f t="shared" si="111"/>
        <v>0.71527777777777779</v>
      </c>
      <c r="O672" s="725"/>
      <c r="P672" s="725">
        <f t="shared" si="114"/>
        <v>-0.71527777777777779</v>
      </c>
      <c r="Q672" s="622" t="s">
        <v>312</v>
      </c>
      <c r="R672" s="37"/>
      <c r="S672" s="37" t="str">
        <f t="shared" si="112"/>
        <v>DallamF0</v>
      </c>
      <c r="T672" s="37" t="str">
        <f t="shared" si="115"/>
        <v>1994F0</v>
      </c>
      <c r="U672" s="429">
        <v>20</v>
      </c>
      <c r="V672" s="1029">
        <v>1</v>
      </c>
      <c r="W672" s="598">
        <v>0.01</v>
      </c>
      <c r="X672" s="429"/>
      <c r="Y672" s="37" t="str">
        <f t="shared" si="116"/>
        <v>F020</v>
      </c>
      <c r="Z672" s="37" t="str">
        <f t="shared" si="117"/>
        <v>F01</v>
      </c>
      <c r="AA672" s="37" t="str">
        <f t="shared" si="119"/>
        <v>F00.01</v>
      </c>
      <c r="AB672" s="498" t="str">
        <f t="shared" si="113"/>
        <v>F017</v>
      </c>
      <c r="AC672" s="572"/>
      <c r="AD672" s="572"/>
      <c r="AE672" s="572"/>
      <c r="AF672" s="572"/>
    </row>
    <row r="673" spans="1:32">
      <c r="A673" s="947">
        <f t="shared" si="120"/>
        <v>666</v>
      </c>
      <c r="B673" s="948">
        <v>3</v>
      </c>
      <c r="C673" s="949">
        <v>34482</v>
      </c>
      <c r="D673" s="949" t="s">
        <v>177</v>
      </c>
      <c r="E673" s="904">
        <v>28</v>
      </c>
      <c r="F673" s="644">
        <v>1994</v>
      </c>
      <c r="G673" s="948" t="s">
        <v>137</v>
      </c>
      <c r="H673" s="645" t="s">
        <v>150</v>
      </c>
      <c r="I673" s="951">
        <v>350</v>
      </c>
      <c r="J673" s="951">
        <v>4</v>
      </c>
      <c r="K673" s="952">
        <f t="shared" si="118"/>
        <v>0.79545454545454541</v>
      </c>
      <c r="L673" s="644">
        <f t="shared" si="121"/>
        <v>19</v>
      </c>
      <c r="M673" s="935">
        <v>0.7944444444444444</v>
      </c>
      <c r="N673" s="936">
        <f t="shared" si="111"/>
        <v>0.7944444444444444</v>
      </c>
      <c r="O673" s="725">
        <v>0.80694444444444446</v>
      </c>
      <c r="P673" s="725">
        <f t="shared" si="114"/>
        <v>1.2500000000000067E-2</v>
      </c>
      <c r="Q673" s="622" t="s">
        <v>431</v>
      </c>
      <c r="R673" s="37"/>
      <c r="S673" s="37" t="str">
        <f t="shared" si="112"/>
        <v>RobertsF1</v>
      </c>
      <c r="T673" s="37" t="str">
        <f t="shared" si="115"/>
        <v>1994F1</v>
      </c>
      <c r="U673" s="429">
        <v>200</v>
      </c>
      <c r="V673" s="1029">
        <v>2</v>
      </c>
      <c r="W673" s="598">
        <v>0.5</v>
      </c>
      <c r="X673" s="429"/>
      <c r="Y673" s="37" t="str">
        <f t="shared" si="116"/>
        <v>F1200</v>
      </c>
      <c r="Z673" s="37" t="str">
        <f t="shared" si="117"/>
        <v>F12</v>
      </c>
      <c r="AA673" s="37" t="str">
        <f t="shared" si="119"/>
        <v>F10.5</v>
      </c>
      <c r="AB673" s="498" t="str">
        <f t="shared" si="113"/>
        <v>F119</v>
      </c>
      <c r="AC673" s="572"/>
      <c r="AD673" s="572"/>
      <c r="AE673" s="572"/>
      <c r="AF673" s="572"/>
    </row>
    <row r="674" spans="1:32">
      <c r="A674" s="947">
        <f t="shared" si="120"/>
        <v>667</v>
      </c>
      <c r="B674" s="948">
        <v>4</v>
      </c>
      <c r="C674" s="949">
        <v>34495</v>
      </c>
      <c r="D674" s="949" t="s">
        <v>178</v>
      </c>
      <c r="E674" s="904">
        <v>10</v>
      </c>
      <c r="F674" s="644">
        <v>1994</v>
      </c>
      <c r="G674" s="948" t="s">
        <v>139</v>
      </c>
      <c r="H674" s="645" t="s">
        <v>149</v>
      </c>
      <c r="I674" s="951">
        <v>50</v>
      </c>
      <c r="J674" s="951">
        <v>1</v>
      </c>
      <c r="K674" s="952">
        <f t="shared" si="118"/>
        <v>2.8409090909090908E-2</v>
      </c>
      <c r="L674" s="644">
        <f t="shared" si="121"/>
        <v>19</v>
      </c>
      <c r="M674" s="935">
        <v>0.8125</v>
      </c>
      <c r="N674" s="936">
        <f t="shared" si="111"/>
        <v>0.8125</v>
      </c>
      <c r="O674" s="725"/>
      <c r="P674" s="725">
        <f t="shared" si="114"/>
        <v>-0.8125</v>
      </c>
      <c r="Q674" s="622" t="s">
        <v>415</v>
      </c>
      <c r="R674" s="37"/>
      <c r="S674" s="37" t="str">
        <f t="shared" si="112"/>
        <v>OldhamF0</v>
      </c>
      <c r="T674" s="37" t="str">
        <f t="shared" si="115"/>
        <v>1994F0</v>
      </c>
      <c r="U674" s="429">
        <v>50</v>
      </c>
      <c r="V674" s="1029">
        <v>1</v>
      </c>
      <c r="W674" s="598">
        <v>0.02</v>
      </c>
      <c r="X674" s="429"/>
      <c r="Y674" s="37" t="str">
        <f t="shared" si="116"/>
        <v>F050</v>
      </c>
      <c r="Z674" s="37" t="str">
        <f t="shared" si="117"/>
        <v>F01</v>
      </c>
      <c r="AA674" s="37" t="str">
        <f t="shared" si="119"/>
        <v>F00.02</v>
      </c>
      <c r="AB674" s="498" t="str">
        <f t="shared" si="113"/>
        <v>F019</v>
      </c>
      <c r="AC674" s="572"/>
      <c r="AD674" s="572"/>
      <c r="AE674" s="572"/>
      <c r="AF674" s="572"/>
    </row>
    <row r="675" spans="1:32">
      <c r="A675" s="947">
        <f t="shared" si="120"/>
        <v>668</v>
      </c>
      <c r="B675" s="948">
        <v>5</v>
      </c>
      <c r="C675" s="949">
        <v>34514</v>
      </c>
      <c r="D675" s="949" t="s">
        <v>178</v>
      </c>
      <c r="E675" s="904">
        <v>29</v>
      </c>
      <c r="F675" s="644">
        <v>1994</v>
      </c>
      <c r="G675" s="948" t="s">
        <v>133</v>
      </c>
      <c r="H675" s="645" t="s">
        <v>149</v>
      </c>
      <c r="I675" s="951">
        <v>25</v>
      </c>
      <c r="J675" s="951">
        <v>0.5</v>
      </c>
      <c r="K675" s="952">
        <f t="shared" si="118"/>
        <v>7.102272727272727E-3</v>
      </c>
      <c r="L675" s="644">
        <f t="shared" si="121"/>
        <v>19</v>
      </c>
      <c r="M675" s="935">
        <v>0.79861111111111116</v>
      </c>
      <c r="N675" s="936">
        <f t="shared" si="111"/>
        <v>0.79861111111111116</v>
      </c>
      <c r="O675" s="725"/>
      <c r="P675" s="725">
        <f t="shared" si="114"/>
        <v>-0.79861111111111116</v>
      </c>
      <c r="Q675" s="622" t="s">
        <v>461</v>
      </c>
      <c r="R675" s="37"/>
      <c r="S675" s="37" t="str">
        <f t="shared" si="112"/>
        <v>LipscombF0</v>
      </c>
      <c r="T675" s="37" t="str">
        <f t="shared" si="115"/>
        <v>1994F0</v>
      </c>
      <c r="U675" s="429">
        <v>20</v>
      </c>
      <c r="V675" s="1029">
        <v>0.5</v>
      </c>
      <c r="W675" s="598">
        <v>5.0000000000000001E-3</v>
      </c>
      <c r="X675" s="429"/>
      <c r="Y675" s="37" t="str">
        <f t="shared" si="116"/>
        <v>F020</v>
      </c>
      <c r="Z675" s="37" t="str">
        <f t="shared" si="117"/>
        <v>F00.5</v>
      </c>
      <c r="AA675" s="37" t="str">
        <f t="shared" si="119"/>
        <v>F00.005</v>
      </c>
      <c r="AB675" s="498" t="str">
        <f t="shared" si="113"/>
        <v>F019</v>
      </c>
      <c r="AC675" s="572"/>
      <c r="AD675" s="572"/>
      <c r="AE675" s="572"/>
      <c r="AF675" s="572"/>
    </row>
    <row r="676" spans="1:32">
      <c r="A676" s="947">
        <f t="shared" si="120"/>
        <v>669</v>
      </c>
      <c r="B676" s="948">
        <v>1</v>
      </c>
      <c r="C676" s="949">
        <v>34783</v>
      </c>
      <c r="D676" s="963" t="s">
        <v>175</v>
      </c>
      <c r="E676" s="904">
        <v>25</v>
      </c>
      <c r="F676" s="644">
        <v>1995</v>
      </c>
      <c r="G676" s="948" t="s">
        <v>128</v>
      </c>
      <c r="H676" s="645" t="s">
        <v>150</v>
      </c>
      <c r="I676" s="951">
        <v>100</v>
      </c>
      <c r="J676" s="951">
        <v>3</v>
      </c>
      <c r="K676" s="952">
        <f t="shared" si="118"/>
        <v>0.17045454545454544</v>
      </c>
      <c r="L676" s="644">
        <f t="shared" si="121"/>
        <v>15</v>
      </c>
      <c r="M676" s="935">
        <v>0.64236111111111105</v>
      </c>
      <c r="N676" s="936">
        <f t="shared" si="111"/>
        <v>0.64236111111111105</v>
      </c>
      <c r="O676" s="725"/>
      <c r="P676" s="725">
        <f t="shared" si="114"/>
        <v>-0.64236111111111105</v>
      </c>
      <c r="Q676" s="622" t="s">
        <v>266</v>
      </c>
      <c r="R676" s="37"/>
      <c r="S676" s="37" t="str">
        <f t="shared" si="112"/>
        <v>BeaverF1</v>
      </c>
      <c r="T676" s="37" t="str">
        <f t="shared" si="115"/>
        <v>1995F1</v>
      </c>
      <c r="U676" s="429">
        <v>100</v>
      </c>
      <c r="V676" s="1029">
        <v>2</v>
      </c>
      <c r="W676" s="598">
        <v>0.1</v>
      </c>
      <c r="X676" s="429"/>
      <c r="Y676" s="37" t="str">
        <f t="shared" si="116"/>
        <v>F1100</v>
      </c>
      <c r="Z676" s="37" t="str">
        <f t="shared" si="117"/>
        <v>F12</v>
      </c>
      <c r="AA676" s="37" t="str">
        <f t="shared" si="119"/>
        <v>F10.1</v>
      </c>
      <c r="AB676" s="498" t="str">
        <f t="shared" si="113"/>
        <v>F115</v>
      </c>
      <c r="AC676" s="572"/>
      <c r="AD676" s="572"/>
      <c r="AE676" s="572"/>
      <c r="AF676" s="572"/>
    </row>
    <row r="677" spans="1:32">
      <c r="A677" s="947">
        <f t="shared" si="120"/>
        <v>670</v>
      </c>
      <c r="B677" s="948">
        <v>2</v>
      </c>
      <c r="C677" s="949">
        <v>34783</v>
      </c>
      <c r="D677" s="963" t="s">
        <v>175</v>
      </c>
      <c r="E677" s="904">
        <v>25</v>
      </c>
      <c r="F677" s="644">
        <v>1995</v>
      </c>
      <c r="G677" s="948" t="s">
        <v>133</v>
      </c>
      <c r="H677" s="645" t="s">
        <v>150</v>
      </c>
      <c r="I677" s="951">
        <v>200</v>
      </c>
      <c r="J677" s="951">
        <v>5</v>
      </c>
      <c r="K677" s="952">
        <f t="shared" si="118"/>
        <v>0.56818181818181812</v>
      </c>
      <c r="L677" s="644">
        <f t="shared" si="121"/>
        <v>17</v>
      </c>
      <c r="M677" s="935">
        <v>0.73750000000000004</v>
      </c>
      <c r="N677" s="936">
        <f t="shared" si="111"/>
        <v>0.73750000000000004</v>
      </c>
      <c r="O677" s="725"/>
      <c r="P677" s="725">
        <f t="shared" si="114"/>
        <v>-0.73750000000000004</v>
      </c>
      <c r="Q677" s="622" t="s">
        <v>387</v>
      </c>
      <c r="R677" s="37"/>
      <c r="S677" s="37" t="str">
        <f t="shared" si="112"/>
        <v>LipscombF1</v>
      </c>
      <c r="T677" s="37" t="str">
        <f t="shared" si="115"/>
        <v>1995F1</v>
      </c>
      <c r="U677" s="429">
        <v>200</v>
      </c>
      <c r="V677" s="1029">
        <v>5</v>
      </c>
      <c r="W677" s="598">
        <v>0.5</v>
      </c>
      <c r="X677" s="429"/>
      <c r="Y677" s="37" t="str">
        <f t="shared" si="116"/>
        <v>F1200</v>
      </c>
      <c r="Z677" s="37" t="str">
        <f t="shared" si="117"/>
        <v>F15</v>
      </c>
      <c r="AA677" s="37" t="str">
        <f t="shared" si="119"/>
        <v>F10.5</v>
      </c>
      <c r="AB677" s="498" t="str">
        <f t="shared" si="113"/>
        <v>F117</v>
      </c>
      <c r="AC677" s="572"/>
      <c r="AD677" s="572"/>
      <c r="AE677" s="572"/>
      <c r="AF677" s="572"/>
    </row>
    <row r="678" spans="1:32">
      <c r="A678" s="947">
        <f t="shared" si="120"/>
        <v>671</v>
      </c>
      <c r="B678" s="948">
        <v>3</v>
      </c>
      <c r="C678" s="949">
        <v>34783</v>
      </c>
      <c r="D678" s="963" t="s">
        <v>175</v>
      </c>
      <c r="E678" s="904">
        <v>25</v>
      </c>
      <c r="F678" s="644">
        <v>1995</v>
      </c>
      <c r="G678" s="948" t="s">
        <v>128</v>
      </c>
      <c r="H678" s="645" t="s">
        <v>149</v>
      </c>
      <c r="I678" s="951">
        <v>50</v>
      </c>
      <c r="J678" s="951">
        <v>0.5</v>
      </c>
      <c r="K678" s="952">
        <f t="shared" si="118"/>
        <v>1.4204545454545454E-2</v>
      </c>
      <c r="L678" s="644">
        <f t="shared" si="121"/>
        <v>18</v>
      </c>
      <c r="M678" s="935">
        <v>0.76041666666666663</v>
      </c>
      <c r="N678" s="936">
        <f t="shared" si="111"/>
        <v>0.76041666666666663</v>
      </c>
      <c r="O678" s="725"/>
      <c r="P678" s="725">
        <f t="shared" si="114"/>
        <v>-0.76041666666666663</v>
      </c>
      <c r="Q678" s="622" t="s">
        <v>267</v>
      </c>
      <c r="R678" s="37"/>
      <c r="S678" s="37" t="str">
        <f t="shared" si="112"/>
        <v>BeaverF0</v>
      </c>
      <c r="T678" s="37" t="str">
        <f t="shared" si="115"/>
        <v>1995F0</v>
      </c>
      <c r="U678" s="429">
        <v>50</v>
      </c>
      <c r="V678" s="1029">
        <v>0.5</v>
      </c>
      <c r="W678" s="598">
        <v>0.01</v>
      </c>
      <c r="X678" s="429"/>
      <c r="Y678" s="37" t="str">
        <f t="shared" si="116"/>
        <v>F050</v>
      </c>
      <c r="Z678" s="37" t="str">
        <f t="shared" si="117"/>
        <v>F00.5</v>
      </c>
      <c r="AA678" s="37" t="str">
        <f t="shared" si="119"/>
        <v>F00.01</v>
      </c>
      <c r="AB678" s="498" t="str">
        <f t="shared" si="113"/>
        <v>F018</v>
      </c>
      <c r="AC678" s="572"/>
      <c r="AD678" s="572"/>
      <c r="AE678" s="572"/>
      <c r="AF678" s="572"/>
    </row>
    <row r="679" spans="1:32">
      <c r="A679" s="947">
        <f t="shared" si="120"/>
        <v>672</v>
      </c>
      <c r="B679" s="948">
        <v>4</v>
      </c>
      <c r="C679" s="949">
        <v>34808</v>
      </c>
      <c r="D679" s="949" t="s">
        <v>176</v>
      </c>
      <c r="E679" s="904">
        <v>19</v>
      </c>
      <c r="F679" s="644">
        <v>1995</v>
      </c>
      <c r="G679" s="948" t="s">
        <v>135</v>
      </c>
      <c r="H679" s="645" t="s">
        <v>149</v>
      </c>
      <c r="I679" s="951">
        <v>20</v>
      </c>
      <c r="J679" s="951">
        <v>0.2</v>
      </c>
      <c r="K679" s="952">
        <f t="shared" si="118"/>
        <v>2.2727272727272731E-3</v>
      </c>
      <c r="L679" s="644">
        <f t="shared" si="121"/>
        <v>19</v>
      </c>
      <c r="M679" s="935">
        <v>0.80208333333333337</v>
      </c>
      <c r="N679" s="936">
        <f t="shared" si="111"/>
        <v>0.80208333333333337</v>
      </c>
      <c r="O679" s="725"/>
      <c r="P679" s="725">
        <f t="shared" si="114"/>
        <v>-0.80208333333333337</v>
      </c>
      <c r="Q679" s="622" t="s">
        <v>393</v>
      </c>
      <c r="R679" s="37"/>
      <c r="S679" s="37" t="str">
        <f t="shared" si="112"/>
        <v>MooreF0</v>
      </c>
      <c r="T679" s="37" t="str">
        <f t="shared" si="115"/>
        <v>1995F0</v>
      </c>
      <c r="U679" s="429">
        <v>20</v>
      </c>
      <c r="V679" s="1029">
        <v>0.2</v>
      </c>
      <c r="W679" s="598">
        <v>2E-3</v>
      </c>
      <c r="X679" s="429"/>
      <c r="Y679" s="37" t="str">
        <f t="shared" si="116"/>
        <v>F020</v>
      </c>
      <c r="Z679" s="37" t="str">
        <f t="shared" si="117"/>
        <v>F00.2</v>
      </c>
      <c r="AA679" s="37" t="str">
        <f t="shared" si="119"/>
        <v>F00.002</v>
      </c>
      <c r="AB679" s="498" t="str">
        <f t="shared" si="113"/>
        <v>F019</v>
      </c>
      <c r="AC679" s="572"/>
      <c r="AD679" s="572"/>
      <c r="AE679" s="572"/>
      <c r="AF679" s="572"/>
    </row>
    <row r="680" spans="1:32" ht="30" customHeight="1">
      <c r="A680" s="947">
        <f t="shared" si="120"/>
        <v>673</v>
      </c>
      <c r="B680" s="948">
        <v>5</v>
      </c>
      <c r="C680" s="949">
        <v>34826</v>
      </c>
      <c r="D680" s="949" t="s">
        <v>177</v>
      </c>
      <c r="E680" s="904">
        <v>7</v>
      </c>
      <c r="F680" s="644">
        <v>1995</v>
      </c>
      <c r="G680" s="948" t="s">
        <v>145</v>
      </c>
      <c r="H680" s="645" t="s">
        <v>151</v>
      </c>
      <c r="I680" s="951">
        <v>200</v>
      </c>
      <c r="J680" s="951">
        <v>12</v>
      </c>
      <c r="K680" s="952">
        <f t="shared" si="118"/>
        <v>1.3636363636363635</v>
      </c>
      <c r="L680" s="644">
        <f t="shared" si="121"/>
        <v>0</v>
      </c>
      <c r="M680" s="935">
        <v>2.7777777777777776E-2</v>
      </c>
      <c r="N680" s="936">
        <f t="shared" si="111"/>
        <v>2.7777777777777776E-2</v>
      </c>
      <c r="O680" s="725">
        <v>4.1666666666666664E-2</v>
      </c>
      <c r="P680" s="725">
        <f t="shared" si="114"/>
        <v>1.3888888888888888E-2</v>
      </c>
      <c r="Q680" s="106" t="s">
        <v>491</v>
      </c>
      <c r="R680" s="37"/>
      <c r="S680" s="37" t="str">
        <f t="shared" si="112"/>
        <v>RandallF2</v>
      </c>
      <c r="T680" s="37" t="str">
        <f t="shared" si="115"/>
        <v>1995F2</v>
      </c>
      <c r="U680" s="429">
        <v>200</v>
      </c>
      <c r="V680" s="1029">
        <v>10</v>
      </c>
      <c r="W680" s="598">
        <v>1</v>
      </c>
      <c r="X680" s="429"/>
      <c r="Y680" s="37" t="str">
        <f t="shared" si="116"/>
        <v>F2200</v>
      </c>
      <c r="Z680" s="37" t="str">
        <f t="shared" si="117"/>
        <v>F210</v>
      </c>
      <c r="AA680" s="37" t="str">
        <f t="shared" si="119"/>
        <v>F21</v>
      </c>
      <c r="AB680" s="498" t="str">
        <f t="shared" si="113"/>
        <v>F20</v>
      </c>
      <c r="AC680" s="572"/>
      <c r="AD680" s="572"/>
      <c r="AE680" s="572"/>
      <c r="AF680" s="572"/>
    </row>
    <row r="681" spans="1:32">
      <c r="A681" s="947">
        <f t="shared" si="120"/>
        <v>674</v>
      </c>
      <c r="B681" s="948">
        <v>6</v>
      </c>
      <c r="C681" s="949">
        <v>34826</v>
      </c>
      <c r="D681" s="949" t="s">
        <v>177</v>
      </c>
      <c r="E681" s="904">
        <v>7</v>
      </c>
      <c r="F681" s="644">
        <v>1995</v>
      </c>
      <c r="G681" s="948" t="s">
        <v>131</v>
      </c>
      <c r="H681" s="645" t="s">
        <v>149</v>
      </c>
      <c r="I681" s="951">
        <v>25</v>
      </c>
      <c r="J681" s="951">
        <v>0.2</v>
      </c>
      <c r="K681" s="952">
        <f t="shared" si="118"/>
        <v>2.840909090909091E-3</v>
      </c>
      <c r="L681" s="644">
        <f t="shared" si="121"/>
        <v>7</v>
      </c>
      <c r="M681" s="935">
        <v>0.2951388888888889</v>
      </c>
      <c r="N681" s="936">
        <f t="shared" si="111"/>
        <v>0.2951388888888889</v>
      </c>
      <c r="O681" s="725"/>
      <c r="P681" s="725">
        <f t="shared" si="114"/>
        <v>-0.2951388888888889</v>
      </c>
      <c r="Q681" s="622" t="s">
        <v>355</v>
      </c>
      <c r="R681" s="37"/>
      <c r="S681" s="37" t="str">
        <f t="shared" si="112"/>
        <v>HansfordF0</v>
      </c>
      <c r="T681" s="37" t="str">
        <f t="shared" si="115"/>
        <v>1995F0</v>
      </c>
      <c r="U681" s="429">
        <v>20</v>
      </c>
      <c r="V681" s="1029">
        <v>0.2</v>
      </c>
      <c r="W681" s="598">
        <v>2E-3</v>
      </c>
      <c r="X681" s="429"/>
      <c r="Y681" s="37" t="str">
        <f t="shared" si="116"/>
        <v>F020</v>
      </c>
      <c r="Z681" s="37" t="str">
        <f t="shared" si="117"/>
        <v>F00.2</v>
      </c>
      <c r="AA681" s="37" t="str">
        <f t="shared" si="119"/>
        <v>F00.002</v>
      </c>
      <c r="AB681" s="498" t="str">
        <f t="shared" si="113"/>
        <v>F07</v>
      </c>
      <c r="AC681" s="572"/>
      <c r="AD681" s="572"/>
      <c r="AE681" s="572"/>
      <c r="AF681" s="572"/>
    </row>
    <row r="682" spans="1:32">
      <c r="A682" s="947">
        <f t="shared" si="120"/>
        <v>675</v>
      </c>
      <c r="B682" s="948">
        <v>7</v>
      </c>
      <c r="C682" s="949">
        <v>34836</v>
      </c>
      <c r="D682" s="949" t="s">
        <v>177</v>
      </c>
      <c r="E682" s="904">
        <v>17</v>
      </c>
      <c r="F682" s="644">
        <v>1995</v>
      </c>
      <c r="G682" s="948" t="s">
        <v>132</v>
      </c>
      <c r="H682" s="645" t="s">
        <v>149</v>
      </c>
      <c r="I682" s="951">
        <v>75</v>
      </c>
      <c r="J682" s="951">
        <v>3</v>
      </c>
      <c r="K682" s="952">
        <f t="shared" si="118"/>
        <v>0.12784090909090909</v>
      </c>
      <c r="L682" s="644">
        <f t="shared" si="121"/>
        <v>13</v>
      </c>
      <c r="M682" s="935">
        <v>0.54513888888888895</v>
      </c>
      <c r="N682" s="936">
        <f t="shared" si="111"/>
        <v>0.54513888888888895</v>
      </c>
      <c r="O682" s="725"/>
      <c r="P682" s="725">
        <f t="shared" si="114"/>
        <v>-0.54513888888888895</v>
      </c>
      <c r="Q682" s="622" t="s">
        <v>464</v>
      </c>
      <c r="R682" s="37"/>
      <c r="S682" s="37" t="str">
        <f t="shared" si="112"/>
        <v>OchiltreeF0</v>
      </c>
      <c r="T682" s="37" t="str">
        <f t="shared" si="115"/>
        <v>1995F0</v>
      </c>
      <c r="U682" s="429">
        <v>50</v>
      </c>
      <c r="V682" s="1029">
        <v>2</v>
      </c>
      <c r="W682" s="598">
        <v>0.1</v>
      </c>
      <c r="X682" s="429"/>
      <c r="Y682" s="37" t="str">
        <f t="shared" si="116"/>
        <v>F050</v>
      </c>
      <c r="Z682" s="37" t="str">
        <f t="shared" si="117"/>
        <v>F02</v>
      </c>
      <c r="AA682" s="37" t="str">
        <f t="shared" si="119"/>
        <v>F00.1</v>
      </c>
      <c r="AB682" s="498" t="str">
        <f t="shared" si="113"/>
        <v>F013</v>
      </c>
      <c r="AC682" s="572"/>
      <c r="AD682" s="572"/>
      <c r="AE682" s="572"/>
      <c r="AF682" s="572"/>
    </row>
    <row r="683" spans="1:32" ht="30" customHeight="1">
      <c r="A683" s="947">
        <f t="shared" si="120"/>
        <v>676</v>
      </c>
      <c r="B683" s="948">
        <v>8</v>
      </c>
      <c r="C683" s="949">
        <v>34836</v>
      </c>
      <c r="D683" s="949" t="s">
        <v>177</v>
      </c>
      <c r="E683" s="904">
        <v>17</v>
      </c>
      <c r="F683" s="644">
        <v>1995</v>
      </c>
      <c r="G683" s="948" t="s">
        <v>128</v>
      </c>
      <c r="H683" s="645" t="s">
        <v>149</v>
      </c>
      <c r="I683" s="951">
        <v>100</v>
      </c>
      <c r="J683" s="951">
        <v>2</v>
      </c>
      <c r="K683" s="952">
        <f t="shared" si="118"/>
        <v>0.11363636363636363</v>
      </c>
      <c r="L683" s="644">
        <f t="shared" si="121"/>
        <v>14</v>
      </c>
      <c r="M683" s="935">
        <v>0.59444444444444444</v>
      </c>
      <c r="N683" s="936">
        <f t="shared" si="111"/>
        <v>0.59444444444444444</v>
      </c>
      <c r="O683" s="725">
        <v>0.6</v>
      </c>
      <c r="P683" s="725">
        <f t="shared" si="114"/>
        <v>5.5555555555555358E-3</v>
      </c>
      <c r="Q683" s="106" t="s">
        <v>490</v>
      </c>
      <c r="R683" s="37"/>
      <c r="S683" s="37" t="str">
        <f t="shared" si="112"/>
        <v>BeaverF0</v>
      </c>
      <c r="T683" s="37" t="str">
        <f t="shared" si="115"/>
        <v>1995F0</v>
      </c>
      <c r="U683" s="429">
        <v>100</v>
      </c>
      <c r="V683" s="1029">
        <v>2</v>
      </c>
      <c r="W683" s="598">
        <v>0.1</v>
      </c>
      <c r="X683" s="429"/>
      <c r="Y683" s="37" t="str">
        <f t="shared" si="116"/>
        <v>F0100</v>
      </c>
      <c r="Z683" s="37" t="str">
        <f t="shared" si="117"/>
        <v>F02</v>
      </c>
      <c r="AA683" s="37" t="str">
        <f t="shared" si="119"/>
        <v>F00.1</v>
      </c>
      <c r="AB683" s="498" t="str">
        <f t="shared" si="113"/>
        <v>F014</v>
      </c>
      <c r="AC683" s="572"/>
      <c r="AD683" s="572"/>
      <c r="AE683" s="572"/>
      <c r="AF683" s="572"/>
    </row>
    <row r="684" spans="1:32">
      <c r="A684" s="947">
        <f t="shared" si="120"/>
        <v>677</v>
      </c>
      <c r="B684" s="948">
        <v>9</v>
      </c>
      <c r="C684" s="949">
        <v>34841</v>
      </c>
      <c r="D684" s="949" t="s">
        <v>177</v>
      </c>
      <c r="E684" s="904">
        <v>22</v>
      </c>
      <c r="F684" s="644">
        <v>1995</v>
      </c>
      <c r="G684" s="948" t="s">
        <v>136</v>
      </c>
      <c r="H684" s="645" t="s">
        <v>150</v>
      </c>
      <c r="I684" s="951">
        <v>200</v>
      </c>
      <c r="J684" s="951">
        <v>2</v>
      </c>
      <c r="K684" s="952">
        <f t="shared" si="118"/>
        <v>0.22727272727272727</v>
      </c>
      <c r="L684" s="644">
        <f t="shared" si="121"/>
        <v>15</v>
      </c>
      <c r="M684" s="935">
        <v>0.63472222222222219</v>
      </c>
      <c r="N684" s="936">
        <f t="shared" si="111"/>
        <v>0.63472222222222219</v>
      </c>
      <c r="O684" s="725"/>
      <c r="P684" s="725">
        <f t="shared" si="114"/>
        <v>-0.63472222222222219</v>
      </c>
      <c r="Q684" s="622" t="s">
        <v>377</v>
      </c>
      <c r="R684" s="37"/>
      <c r="S684" s="37" t="str">
        <f t="shared" si="112"/>
        <v>HutchinsonF1</v>
      </c>
      <c r="T684" s="37" t="str">
        <f t="shared" si="115"/>
        <v>1995F1</v>
      </c>
      <c r="U684" s="429">
        <v>200</v>
      </c>
      <c r="V684" s="1029">
        <v>2</v>
      </c>
      <c r="W684" s="598">
        <v>0.2</v>
      </c>
      <c r="X684" s="429"/>
      <c r="Y684" s="37" t="str">
        <f t="shared" si="116"/>
        <v>F1200</v>
      </c>
      <c r="Z684" s="37" t="str">
        <f t="shared" si="117"/>
        <v>F12</v>
      </c>
      <c r="AA684" s="37" t="str">
        <f t="shared" si="119"/>
        <v>F10.2</v>
      </c>
      <c r="AB684" s="498" t="str">
        <f t="shared" si="113"/>
        <v>F115</v>
      </c>
      <c r="AC684" s="572"/>
      <c r="AD684" s="572"/>
      <c r="AE684" s="572"/>
      <c r="AF684" s="572"/>
    </row>
    <row r="685" spans="1:32">
      <c r="A685" s="947">
        <f t="shared" si="120"/>
        <v>678</v>
      </c>
      <c r="B685" s="948">
        <v>10</v>
      </c>
      <c r="C685" s="949">
        <v>34841</v>
      </c>
      <c r="D685" s="949" t="s">
        <v>177</v>
      </c>
      <c r="E685" s="904">
        <v>22</v>
      </c>
      <c r="F685" s="644">
        <v>1995</v>
      </c>
      <c r="G685" s="948" t="s">
        <v>141</v>
      </c>
      <c r="H685" s="645" t="s">
        <v>149</v>
      </c>
      <c r="I685" s="951">
        <v>25</v>
      </c>
      <c r="J685" s="951">
        <v>0.5</v>
      </c>
      <c r="K685" s="952">
        <f t="shared" si="118"/>
        <v>7.102272727272727E-3</v>
      </c>
      <c r="L685" s="644">
        <f t="shared" si="121"/>
        <v>15</v>
      </c>
      <c r="M685" s="935">
        <v>0.63541666666666663</v>
      </c>
      <c r="N685" s="936">
        <f t="shared" si="111"/>
        <v>0.63541666666666663</v>
      </c>
      <c r="O685" s="725"/>
      <c r="P685" s="725">
        <f t="shared" si="114"/>
        <v>-0.63541666666666663</v>
      </c>
      <c r="Q685" s="622" t="s">
        <v>286</v>
      </c>
      <c r="R685" s="37"/>
      <c r="S685" s="37" t="str">
        <f t="shared" si="112"/>
        <v>CarsonF0</v>
      </c>
      <c r="T685" s="37" t="str">
        <f t="shared" si="115"/>
        <v>1995F0</v>
      </c>
      <c r="U685" s="429">
        <v>20</v>
      </c>
      <c r="V685" s="1029">
        <v>0.5</v>
      </c>
      <c r="W685" s="598">
        <v>5.0000000000000001E-3</v>
      </c>
      <c r="X685" s="429"/>
      <c r="Y685" s="37" t="str">
        <f t="shared" si="116"/>
        <v>F020</v>
      </c>
      <c r="Z685" s="37" t="str">
        <f t="shared" si="117"/>
        <v>F00.5</v>
      </c>
      <c r="AA685" s="37" t="str">
        <f t="shared" si="119"/>
        <v>F00.005</v>
      </c>
      <c r="AB685" s="498" t="str">
        <f t="shared" si="113"/>
        <v>F015</v>
      </c>
      <c r="AC685" s="572"/>
      <c r="AD685" s="572"/>
      <c r="AE685" s="572"/>
      <c r="AF685" s="572"/>
    </row>
    <row r="686" spans="1:32">
      <c r="A686" s="947">
        <f t="shared" si="120"/>
        <v>679</v>
      </c>
      <c r="B686" s="948">
        <v>11</v>
      </c>
      <c r="C686" s="949">
        <v>34841</v>
      </c>
      <c r="D686" s="949" t="s">
        <v>177</v>
      </c>
      <c r="E686" s="904">
        <v>22</v>
      </c>
      <c r="F686" s="644">
        <v>1995</v>
      </c>
      <c r="G686" s="948" t="s">
        <v>143</v>
      </c>
      <c r="H686" s="645" t="s">
        <v>149</v>
      </c>
      <c r="I686" s="951">
        <v>50</v>
      </c>
      <c r="J686" s="951">
        <v>1</v>
      </c>
      <c r="K686" s="952">
        <f t="shared" si="118"/>
        <v>2.8409090909090908E-2</v>
      </c>
      <c r="L686" s="644">
        <f t="shared" si="121"/>
        <v>18</v>
      </c>
      <c r="M686" s="935">
        <v>0.76249999999999996</v>
      </c>
      <c r="N686" s="936">
        <f t="shared" si="111"/>
        <v>0.76249999999999996</v>
      </c>
      <c r="O686" s="725"/>
      <c r="P686" s="725">
        <f t="shared" si="114"/>
        <v>-0.76249999999999996</v>
      </c>
      <c r="Q686" s="622" t="s">
        <v>446</v>
      </c>
      <c r="R686" s="37"/>
      <c r="S686" s="37" t="str">
        <f t="shared" si="112"/>
        <v>WheelerF0</v>
      </c>
      <c r="T686" s="37" t="str">
        <f t="shared" si="115"/>
        <v>1995F0</v>
      </c>
      <c r="U686" s="429">
        <v>50</v>
      </c>
      <c r="V686" s="1029">
        <v>1</v>
      </c>
      <c r="W686" s="598">
        <v>0.02</v>
      </c>
      <c r="X686" s="429"/>
      <c r="Y686" s="37" t="str">
        <f t="shared" si="116"/>
        <v>F050</v>
      </c>
      <c r="Z686" s="37" t="str">
        <f t="shared" si="117"/>
        <v>F01</v>
      </c>
      <c r="AA686" s="37" t="str">
        <f t="shared" si="119"/>
        <v>F00.02</v>
      </c>
      <c r="AB686" s="498" t="str">
        <f t="shared" si="113"/>
        <v>F018</v>
      </c>
      <c r="AC686" s="572"/>
      <c r="AD686" s="572"/>
      <c r="AE686" s="572"/>
      <c r="AF686" s="572"/>
    </row>
    <row r="687" spans="1:32">
      <c r="A687" s="947">
        <f t="shared" si="120"/>
        <v>680</v>
      </c>
      <c r="B687" s="948">
        <v>12</v>
      </c>
      <c r="C687" s="949">
        <v>34841</v>
      </c>
      <c r="D687" s="949" t="s">
        <v>177</v>
      </c>
      <c r="E687" s="904">
        <v>22</v>
      </c>
      <c r="F687" s="644">
        <v>1995</v>
      </c>
      <c r="G687" s="948" t="s">
        <v>143</v>
      </c>
      <c r="H687" s="645" t="s">
        <v>149</v>
      </c>
      <c r="I687" s="951">
        <v>25</v>
      </c>
      <c r="J687" s="951">
        <v>0.3</v>
      </c>
      <c r="K687" s="952">
        <f t="shared" si="118"/>
        <v>4.261363636363636E-3</v>
      </c>
      <c r="L687" s="644">
        <f t="shared" si="121"/>
        <v>19</v>
      </c>
      <c r="M687" s="935">
        <v>0.81597222222222221</v>
      </c>
      <c r="N687" s="936">
        <f t="shared" si="111"/>
        <v>0.81597222222222221</v>
      </c>
      <c r="O687" s="725"/>
      <c r="P687" s="725">
        <f t="shared" si="114"/>
        <v>-0.81597222222222221</v>
      </c>
      <c r="Q687" s="622" t="s">
        <v>447</v>
      </c>
      <c r="R687" s="37"/>
      <c r="S687" s="37" t="str">
        <f t="shared" si="112"/>
        <v>WheelerF0</v>
      </c>
      <c r="T687" s="37" t="str">
        <f t="shared" si="115"/>
        <v>1995F0</v>
      </c>
      <c r="U687" s="429">
        <v>20</v>
      </c>
      <c r="V687" s="1029">
        <v>0.2</v>
      </c>
      <c r="W687" s="598">
        <v>2E-3</v>
      </c>
      <c r="X687" s="429"/>
      <c r="Y687" s="37" t="str">
        <f t="shared" si="116"/>
        <v>F020</v>
      </c>
      <c r="Z687" s="37" t="str">
        <f t="shared" si="117"/>
        <v>F00.2</v>
      </c>
      <c r="AA687" s="37" t="str">
        <f t="shared" si="119"/>
        <v>F00.002</v>
      </c>
      <c r="AB687" s="498" t="str">
        <f t="shared" si="113"/>
        <v>F019</v>
      </c>
      <c r="AC687" s="572"/>
      <c r="AD687" s="572"/>
      <c r="AE687" s="572"/>
      <c r="AF687" s="572"/>
    </row>
    <row r="688" spans="1:32">
      <c r="A688" s="947">
        <f t="shared" si="120"/>
        <v>681</v>
      </c>
      <c r="B688" s="948">
        <v>13</v>
      </c>
      <c r="C688" s="949">
        <v>34841</v>
      </c>
      <c r="D688" s="949" t="s">
        <v>177</v>
      </c>
      <c r="E688" s="904">
        <v>22</v>
      </c>
      <c r="F688" s="644">
        <v>1995</v>
      </c>
      <c r="G688" s="948" t="s">
        <v>143</v>
      </c>
      <c r="H688" s="645" t="s">
        <v>149</v>
      </c>
      <c r="I688" s="951">
        <v>75</v>
      </c>
      <c r="J688" s="951">
        <v>1</v>
      </c>
      <c r="K688" s="952">
        <f t="shared" si="118"/>
        <v>4.261363636363636E-2</v>
      </c>
      <c r="L688" s="644">
        <f t="shared" si="121"/>
        <v>20</v>
      </c>
      <c r="M688" s="935">
        <v>0.8340277777777777</v>
      </c>
      <c r="N688" s="936">
        <f t="shared" si="111"/>
        <v>0.8340277777777777</v>
      </c>
      <c r="O688" s="725"/>
      <c r="P688" s="725">
        <f t="shared" si="114"/>
        <v>-0.8340277777777777</v>
      </c>
      <c r="Q688" s="622" t="s">
        <v>448</v>
      </c>
      <c r="R688" s="37"/>
      <c r="S688" s="37" t="str">
        <f t="shared" si="112"/>
        <v>WheelerF0</v>
      </c>
      <c r="T688" s="37" t="str">
        <f t="shared" si="115"/>
        <v>1995F0</v>
      </c>
      <c r="U688" s="429">
        <v>50</v>
      </c>
      <c r="V688" s="1029">
        <v>1</v>
      </c>
      <c r="W688" s="598">
        <v>0.02</v>
      </c>
      <c r="X688" s="429"/>
      <c r="Y688" s="37" t="str">
        <f t="shared" si="116"/>
        <v>F050</v>
      </c>
      <c r="Z688" s="37" t="str">
        <f t="shared" si="117"/>
        <v>F01</v>
      </c>
      <c r="AA688" s="37" t="str">
        <f t="shared" si="119"/>
        <v>F00.02</v>
      </c>
      <c r="AB688" s="498" t="str">
        <f t="shared" si="113"/>
        <v>F020</v>
      </c>
      <c r="AC688" s="572"/>
      <c r="AD688" s="572"/>
      <c r="AE688" s="572"/>
      <c r="AF688" s="572"/>
    </row>
    <row r="689" spans="1:32">
      <c r="A689" s="947">
        <f t="shared" si="120"/>
        <v>682</v>
      </c>
      <c r="B689" s="948">
        <v>14</v>
      </c>
      <c r="C689" s="949">
        <v>34845</v>
      </c>
      <c r="D689" s="949" t="s">
        <v>177</v>
      </c>
      <c r="E689" s="904">
        <v>26</v>
      </c>
      <c r="F689" s="644">
        <v>1995</v>
      </c>
      <c r="G689" s="948" t="s">
        <v>146</v>
      </c>
      <c r="H689" s="645" t="s">
        <v>149</v>
      </c>
      <c r="I689" s="951">
        <v>100</v>
      </c>
      <c r="J689" s="951">
        <v>1</v>
      </c>
      <c r="K689" s="952">
        <f t="shared" si="118"/>
        <v>5.6818181818181816E-2</v>
      </c>
      <c r="L689" s="644">
        <f t="shared" si="121"/>
        <v>15</v>
      </c>
      <c r="M689" s="935">
        <v>0.66319444444444442</v>
      </c>
      <c r="N689" s="936">
        <f t="shared" si="111"/>
        <v>0.66319444444444442</v>
      </c>
      <c r="O689" s="725"/>
      <c r="P689" s="725">
        <f t="shared" si="114"/>
        <v>-0.66319444444444442</v>
      </c>
      <c r="Q689" s="622" t="s">
        <v>276</v>
      </c>
      <c r="R689" s="37"/>
      <c r="S689" s="37" t="str">
        <f t="shared" si="112"/>
        <v>ArmstrongF0</v>
      </c>
      <c r="T689" s="37" t="str">
        <f t="shared" si="115"/>
        <v>1995F0</v>
      </c>
      <c r="U689" s="429">
        <v>100</v>
      </c>
      <c r="V689" s="1029">
        <v>1</v>
      </c>
      <c r="W689" s="598">
        <v>0.05</v>
      </c>
      <c r="X689" s="429"/>
      <c r="Y689" s="37" t="str">
        <f t="shared" si="116"/>
        <v>F0100</v>
      </c>
      <c r="Z689" s="37" t="str">
        <f t="shared" si="117"/>
        <v>F01</v>
      </c>
      <c r="AA689" s="37" t="str">
        <f t="shared" si="119"/>
        <v>F00.05</v>
      </c>
      <c r="AB689" s="498" t="str">
        <f t="shared" si="113"/>
        <v>F015</v>
      </c>
      <c r="AC689" s="572"/>
      <c r="AD689" s="572"/>
      <c r="AE689" s="572"/>
      <c r="AF689" s="572"/>
    </row>
    <row r="690" spans="1:32">
      <c r="A690" s="947">
        <f t="shared" si="120"/>
        <v>683</v>
      </c>
      <c r="B690" s="948">
        <v>15</v>
      </c>
      <c r="C690" s="949">
        <v>34849</v>
      </c>
      <c r="D690" s="949" t="s">
        <v>177</v>
      </c>
      <c r="E690" s="904">
        <v>30</v>
      </c>
      <c r="F690" s="644">
        <v>1995</v>
      </c>
      <c r="G690" s="948" t="s">
        <v>127</v>
      </c>
      <c r="H690" s="645" t="s">
        <v>149</v>
      </c>
      <c r="I690" s="951">
        <v>50</v>
      </c>
      <c r="J690" s="951">
        <v>0.5</v>
      </c>
      <c r="K690" s="952">
        <f t="shared" si="118"/>
        <v>1.4204545454545454E-2</v>
      </c>
      <c r="L690" s="644">
        <f t="shared" si="121"/>
        <v>18</v>
      </c>
      <c r="M690" s="935">
        <v>0.76111111111111107</v>
      </c>
      <c r="N690" s="936">
        <f t="shared" si="111"/>
        <v>0.76111111111111107</v>
      </c>
      <c r="O690" s="725"/>
      <c r="P690" s="725">
        <f t="shared" si="114"/>
        <v>-0.76111111111111107</v>
      </c>
      <c r="Q690" s="622" t="s">
        <v>246</v>
      </c>
      <c r="R690" s="37"/>
      <c r="S690" s="37" t="str">
        <f t="shared" si="112"/>
        <v>TexasF0</v>
      </c>
      <c r="T690" s="37" t="str">
        <f t="shared" si="115"/>
        <v>1995F0</v>
      </c>
      <c r="U690" s="429">
        <v>50</v>
      </c>
      <c r="V690" s="1029">
        <v>0.5</v>
      </c>
      <c r="W690" s="598">
        <v>0.01</v>
      </c>
      <c r="X690" s="429"/>
      <c r="Y690" s="37" t="str">
        <f t="shared" si="116"/>
        <v>F050</v>
      </c>
      <c r="Z690" s="37" t="str">
        <f t="shared" si="117"/>
        <v>F00.5</v>
      </c>
      <c r="AA690" s="37" t="str">
        <f t="shared" si="119"/>
        <v>F00.01</v>
      </c>
      <c r="AB690" s="498" t="str">
        <f t="shared" si="113"/>
        <v>F018</v>
      </c>
      <c r="AC690" s="572"/>
      <c r="AD690" s="572"/>
      <c r="AE690" s="572"/>
      <c r="AF690" s="572"/>
    </row>
    <row r="691" spans="1:32">
      <c r="A691" s="947">
        <f t="shared" si="120"/>
        <v>684</v>
      </c>
      <c r="B691" s="948">
        <v>16</v>
      </c>
      <c r="C691" s="949">
        <v>34849</v>
      </c>
      <c r="D691" s="949" t="s">
        <v>177</v>
      </c>
      <c r="E691" s="904">
        <v>30</v>
      </c>
      <c r="F691" s="644">
        <v>1995</v>
      </c>
      <c r="G691" s="948" t="s">
        <v>142</v>
      </c>
      <c r="H691" s="645" t="s">
        <v>149</v>
      </c>
      <c r="I691" s="951">
        <v>200</v>
      </c>
      <c r="J691" s="951">
        <v>2</v>
      </c>
      <c r="K691" s="952">
        <f t="shared" si="118"/>
        <v>0.22727272727272727</v>
      </c>
      <c r="L691" s="644">
        <f t="shared" si="121"/>
        <v>19</v>
      </c>
      <c r="M691" s="935">
        <v>0.80208333333333337</v>
      </c>
      <c r="N691" s="936">
        <f t="shared" si="111"/>
        <v>0.80208333333333337</v>
      </c>
      <c r="O691" s="725"/>
      <c r="P691" s="725">
        <f t="shared" si="114"/>
        <v>-0.80208333333333337</v>
      </c>
      <c r="Q691" s="622" t="s">
        <v>341</v>
      </c>
      <c r="R691" s="37"/>
      <c r="S691" s="37" t="str">
        <f t="shared" si="112"/>
        <v>GrayF0</v>
      </c>
      <c r="T691" s="37" t="str">
        <f t="shared" si="115"/>
        <v>1995F0</v>
      </c>
      <c r="U691" s="429">
        <v>200</v>
      </c>
      <c r="V691" s="1029">
        <v>2</v>
      </c>
      <c r="W691" s="598">
        <v>0.2</v>
      </c>
      <c r="X691" s="429"/>
      <c r="Y691" s="37" t="str">
        <f t="shared" si="116"/>
        <v>F0200</v>
      </c>
      <c r="Z691" s="37" t="str">
        <f t="shared" si="117"/>
        <v>F02</v>
      </c>
      <c r="AA691" s="37" t="str">
        <f t="shared" si="119"/>
        <v>F00.2</v>
      </c>
      <c r="AB691" s="498" t="str">
        <f t="shared" si="113"/>
        <v>F019</v>
      </c>
      <c r="AC691" s="572"/>
      <c r="AD691" s="572"/>
      <c r="AE691" s="572"/>
      <c r="AF691" s="572"/>
    </row>
    <row r="692" spans="1:32">
      <c r="A692" s="947">
        <f t="shared" si="120"/>
        <v>685</v>
      </c>
      <c r="B692" s="948">
        <v>17</v>
      </c>
      <c r="C692" s="949">
        <v>34850</v>
      </c>
      <c r="D692" s="949" t="s">
        <v>177</v>
      </c>
      <c r="E692" s="904">
        <v>31</v>
      </c>
      <c r="F692" s="644">
        <v>1995</v>
      </c>
      <c r="G692" s="948" t="s">
        <v>142</v>
      </c>
      <c r="H692" s="645" t="s">
        <v>149</v>
      </c>
      <c r="I692" s="951">
        <v>25</v>
      </c>
      <c r="J692" s="951">
        <v>0.1</v>
      </c>
      <c r="K692" s="952">
        <f t="shared" si="118"/>
        <v>1.4204545454545455E-3</v>
      </c>
      <c r="L692" s="644">
        <f t="shared" si="121"/>
        <v>12</v>
      </c>
      <c r="M692" s="935">
        <v>0.52083333333333337</v>
      </c>
      <c r="N692" s="936">
        <f t="shared" si="111"/>
        <v>0.52083333333333337</v>
      </c>
      <c r="O692" s="725"/>
      <c r="P692" s="725">
        <f t="shared" si="114"/>
        <v>-0.52083333333333337</v>
      </c>
      <c r="Q692" s="622" t="s">
        <v>342</v>
      </c>
      <c r="R692" s="37"/>
      <c r="S692" s="37" t="str">
        <f t="shared" si="112"/>
        <v>GrayF0</v>
      </c>
      <c r="T692" s="37" t="str">
        <f t="shared" si="115"/>
        <v>1995F0</v>
      </c>
      <c r="U692" s="429">
        <v>20</v>
      </c>
      <c r="V692" s="1029">
        <v>0.1</v>
      </c>
      <c r="W692" s="598">
        <v>1E-3</v>
      </c>
      <c r="X692" s="429"/>
      <c r="Y692" s="37" t="str">
        <f t="shared" si="116"/>
        <v>F020</v>
      </c>
      <c r="Z692" s="37" t="str">
        <f t="shared" si="117"/>
        <v>F00.1</v>
      </c>
      <c r="AA692" s="37" t="str">
        <f t="shared" si="119"/>
        <v>F00.001</v>
      </c>
      <c r="AB692" s="498" t="str">
        <f t="shared" si="113"/>
        <v>F012</v>
      </c>
      <c r="AC692" s="572"/>
      <c r="AD692" s="572"/>
      <c r="AE692" s="572"/>
      <c r="AF692" s="572"/>
    </row>
    <row r="693" spans="1:32" ht="25.5">
      <c r="A693" s="947">
        <f t="shared" si="120"/>
        <v>686</v>
      </c>
      <c r="B693" s="948">
        <v>18</v>
      </c>
      <c r="C693" s="949">
        <v>34852</v>
      </c>
      <c r="D693" s="949" t="s">
        <v>178</v>
      </c>
      <c r="E693" s="904">
        <v>2</v>
      </c>
      <c r="F693" s="644">
        <v>1995</v>
      </c>
      <c r="G693" s="948" t="s">
        <v>134</v>
      </c>
      <c r="H693" s="645" t="s">
        <v>150</v>
      </c>
      <c r="I693" s="951">
        <v>150</v>
      </c>
      <c r="J693" s="951">
        <v>11</v>
      </c>
      <c r="K693" s="952">
        <f t="shared" si="118"/>
        <v>0.93749999999999989</v>
      </c>
      <c r="L693" s="644">
        <f t="shared" si="121"/>
        <v>17</v>
      </c>
      <c r="M693" s="935">
        <v>0.72569444444444453</v>
      </c>
      <c r="N693" s="936">
        <f t="shared" si="111"/>
        <v>0.72569444444444453</v>
      </c>
      <c r="O693" s="725">
        <v>0.73263888888888884</v>
      </c>
      <c r="P693" s="725">
        <f t="shared" si="114"/>
        <v>6.9444444444443088E-3</v>
      </c>
      <c r="Q693" s="622" t="s">
        <v>759</v>
      </c>
      <c r="R693" s="37"/>
      <c r="S693" s="37" t="str">
        <f t="shared" si="112"/>
        <v>HartleyF1</v>
      </c>
      <c r="T693" s="37" t="str">
        <f t="shared" si="115"/>
        <v>1995F1</v>
      </c>
      <c r="U693" s="429">
        <v>100</v>
      </c>
      <c r="V693" s="1029">
        <v>10</v>
      </c>
      <c r="W693" s="598">
        <v>0.5</v>
      </c>
      <c r="X693" s="429"/>
      <c r="Y693" s="37" t="str">
        <f t="shared" si="116"/>
        <v>F1100</v>
      </c>
      <c r="Z693" s="37" t="str">
        <f t="shared" si="117"/>
        <v>F110</v>
      </c>
      <c r="AA693" s="37" t="str">
        <f t="shared" si="119"/>
        <v>F10.5</v>
      </c>
      <c r="AB693" s="498" t="str">
        <f t="shared" si="113"/>
        <v>F117</v>
      </c>
      <c r="AC693" s="572"/>
      <c r="AD693" s="572"/>
      <c r="AE693" s="572"/>
      <c r="AF693" s="572"/>
    </row>
    <row r="694" spans="1:32" ht="30" customHeight="1">
      <c r="A694" s="947">
        <f t="shared" si="120"/>
        <v>687</v>
      </c>
      <c r="B694" s="948">
        <v>19</v>
      </c>
      <c r="C694" s="949">
        <v>34858</v>
      </c>
      <c r="D694" s="949" t="s">
        <v>178</v>
      </c>
      <c r="E694" s="904">
        <v>8</v>
      </c>
      <c r="F694" s="644">
        <v>1995</v>
      </c>
      <c r="G694" s="948" t="s">
        <v>142</v>
      </c>
      <c r="H694" s="645" t="s">
        <v>149</v>
      </c>
      <c r="I694" s="951">
        <v>50</v>
      </c>
      <c r="J694" s="951">
        <v>0.1</v>
      </c>
      <c r="K694" s="952">
        <f t="shared" si="118"/>
        <v>2.840909090909091E-3</v>
      </c>
      <c r="L694" s="644">
        <f t="shared" si="121"/>
        <v>15</v>
      </c>
      <c r="M694" s="935">
        <v>0.64375000000000004</v>
      </c>
      <c r="N694" s="936">
        <f t="shared" si="111"/>
        <v>0.64375000000000004</v>
      </c>
      <c r="O694" s="725">
        <v>0.64652777777777781</v>
      </c>
      <c r="P694" s="725">
        <f t="shared" si="114"/>
        <v>2.7777777777777679E-3</v>
      </c>
      <c r="Q694" s="622" t="s">
        <v>118</v>
      </c>
      <c r="R694" s="37"/>
      <c r="S694" s="37" t="str">
        <f t="shared" si="112"/>
        <v>GrayF0</v>
      </c>
      <c r="T694" s="37" t="str">
        <f t="shared" si="115"/>
        <v>1995F0</v>
      </c>
      <c r="U694" s="429">
        <v>50</v>
      </c>
      <c r="V694" s="1029">
        <v>0.1</v>
      </c>
      <c r="W694" s="598">
        <v>2E-3</v>
      </c>
      <c r="X694" s="429"/>
      <c r="Y694" s="37" t="str">
        <f t="shared" si="116"/>
        <v>F050</v>
      </c>
      <c r="Z694" s="37" t="str">
        <f t="shared" si="117"/>
        <v>F00.1</v>
      </c>
      <c r="AA694" s="37" t="str">
        <f t="shared" si="119"/>
        <v>F00.002</v>
      </c>
      <c r="AB694" s="498" t="str">
        <f t="shared" si="113"/>
        <v>F015</v>
      </c>
      <c r="AC694" s="572"/>
      <c r="AD694" s="572"/>
      <c r="AE694" s="572"/>
      <c r="AF694" s="572"/>
    </row>
    <row r="695" spans="1:32" ht="39.950000000000003" customHeight="1">
      <c r="A695" s="947">
        <f t="shared" si="120"/>
        <v>688</v>
      </c>
      <c r="B695" s="948">
        <v>20</v>
      </c>
      <c r="C695" s="949">
        <v>34858</v>
      </c>
      <c r="D695" s="949" t="s">
        <v>178</v>
      </c>
      <c r="E695" s="904">
        <v>8</v>
      </c>
      <c r="F695" s="644">
        <v>1995</v>
      </c>
      <c r="G695" s="948" t="s">
        <v>142</v>
      </c>
      <c r="H695" s="645" t="s">
        <v>153</v>
      </c>
      <c r="I695" s="951">
        <v>200</v>
      </c>
      <c r="J695" s="951">
        <v>3</v>
      </c>
      <c r="K695" s="952">
        <f t="shared" si="118"/>
        <v>0.34090909090909088</v>
      </c>
      <c r="L695" s="644">
        <f t="shared" si="121"/>
        <v>15</v>
      </c>
      <c r="M695" s="935">
        <v>0.64652777777777781</v>
      </c>
      <c r="N695" s="936">
        <f t="shared" si="111"/>
        <v>0.64652777777777781</v>
      </c>
      <c r="O695" s="725"/>
      <c r="P695" s="725">
        <f t="shared" si="114"/>
        <v>-0.64652777777777781</v>
      </c>
      <c r="Q695" s="106" t="s">
        <v>493</v>
      </c>
      <c r="R695" s="37"/>
      <c r="S695" s="37" t="str">
        <f t="shared" si="112"/>
        <v>GrayF4</v>
      </c>
      <c r="T695" s="37" t="str">
        <f t="shared" si="115"/>
        <v>1995F4</v>
      </c>
      <c r="U695" s="429">
        <v>200</v>
      </c>
      <c r="V695" s="1029">
        <v>2</v>
      </c>
      <c r="W695" s="598">
        <v>0.2</v>
      </c>
      <c r="X695" s="429"/>
      <c r="Y695" s="37" t="str">
        <f t="shared" si="116"/>
        <v>F4200</v>
      </c>
      <c r="Z695" s="37" t="str">
        <f t="shared" si="117"/>
        <v>F42</v>
      </c>
      <c r="AA695" s="37" t="str">
        <f t="shared" si="119"/>
        <v>F40.2</v>
      </c>
      <c r="AB695" s="498" t="str">
        <f t="shared" si="113"/>
        <v>F415</v>
      </c>
      <c r="AC695" s="572"/>
      <c r="AD695" s="572"/>
      <c r="AE695" s="572"/>
      <c r="AF695" s="572"/>
    </row>
    <row r="696" spans="1:32">
      <c r="A696" s="947">
        <f t="shared" si="120"/>
        <v>689</v>
      </c>
      <c r="B696" s="948">
        <v>21</v>
      </c>
      <c r="C696" s="949">
        <v>34858</v>
      </c>
      <c r="D696" s="949" t="s">
        <v>178</v>
      </c>
      <c r="E696" s="904">
        <v>8</v>
      </c>
      <c r="F696" s="644">
        <v>1995</v>
      </c>
      <c r="G696" s="948" t="s">
        <v>142</v>
      </c>
      <c r="H696" s="645" t="s">
        <v>149</v>
      </c>
      <c r="I696" s="951">
        <v>100</v>
      </c>
      <c r="J696" s="951">
        <v>0.3</v>
      </c>
      <c r="K696" s="952">
        <f t="shared" si="118"/>
        <v>1.7045454545454544E-2</v>
      </c>
      <c r="L696" s="644">
        <f t="shared" si="121"/>
        <v>15</v>
      </c>
      <c r="M696" s="935">
        <v>0.65972222222222221</v>
      </c>
      <c r="N696" s="936">
        <f t="shared" si="111"/>
        <v>0.65972222222222221</v>
      </c>
      <c r="O696" s="725"/>
      <c r="P696" s="725">
        <f t="shared" si="114"/>
        <v>-0.65972222222222221</v>
      </c>
      <c r="Q696" s="622" t="s">
        <v>119</v>
      </c>
      <c r="R696" s="36"/>
      <c r="S696" s="37" t="str">
        <f t="shared" si="112"/>
        <v>GrayF0</v>
      </c>
      <c r="T696" s="37" t="str">
        <f t="shared" si="115"/>
        <v>1995F0</v>
      </c>
      <c r="U696" s="429">
        <v>100</v>
      </c>
      <c r="V696" s="1029">
        <v>0.2</v>
      </c>
      <c r="W696" s="598">
        <v>0.01</v>
      </c>
      <c r="X696" s="429"/>
      <c r="Y696" s="37" t="str">
        <f t="shared" si="116"/>
        <v>F0100</v>
      </c>
      <c r="Z696" s="37" t="str">
        <f t="shared" si="117"/>
        <v>F00.2</v>
      </c>
      <c r="AA696" s="37" t="str">
        <f t="shared" si="119"/>
        <v>F00.01</v>
      </c>
      <c r="AB696" s="498" t="str">
        <f t="shared" si="113"/>
        <v>F015</v>
      </c>
      <c r="AC696" s="572"/>
      <c r="AD696" s="572"/>
      <c r="AE696" s="572"/>
      <c r="AF696" s="572"/>
    </row>
    <row r="697" spans="1:32" ht="30" customHeight="1">
      <c r="A697" s="947">
        <f t="shared" si="120"/>
        <v>690</v>
      </c>
      <c r="B697" s="948">
        <v>22</v>
      </c>
      <c r="C697" s="949">
        <v>34858</v>
      </c>
      <c r="D697" s="949" t="s">
        <v>178</v>
      </c>
      <c r="E697" s="904">
        <v>8</v>
      </c>
      <c r="F697" s="644">
        <v>1995</v>
      </c>
      <c r="G697" s="948" t="s">
        <v>142</v>
      </c>
      <c r="H697" s="645" t="s">
        <v>151</v>
      </c>
      <c r="I697" s="951">
        <v>400</v>
      </c>
      <c r="J697" s="951">
        <v>6</v>
      </c>
      <c r="K697" s="952">
        <f t="shared" si="118"/>
        <v>1.3636363636363635</v>
      </c>
      <c r="L697" s="644">
        <f t="shared" si="121"/>
        <v>15</v>
      </c>
      <c r="M697" s="935">
        <v>0.65972222222222221</v>
      </c>
      <c r="N697" s="936">
        <f t="shared" si="111"/>
        <v>0.65972222222222221</v>
      </c>
      <c r="O697" s="725">
        <v>0.66527777777777775</v>
      </c>
      <c r="P697" s="725">
        <f t="shared" si="114"/>
        <v>5.5555555555555358E-3</v>
      </c>
      <c r="Q697" s="106" t="s">
        <v>489</v>
      </c>
      <c r="R697" s="36"/>
      <c r="S697" s="37" t="str">
        <f t="shared" si="112"/>
        <v>GrayF2</v>
      </c>
      <c r="T697" s="37" t="str">
        <f t="shared" si="115"/>
        <v>1995F2</v>
      </c>
      <c r="U697" s="429">
        <v>200</v>
      </c>
      <c r="V697" s="1029">
        <v>5</v>
      </c>
      <c r="W697" s="598">
        <v>1</v>
      </c>
      <c r="X697" s="429"/>
      <c r="Y697" s="37" t="str">
        <f t="shared" si="116"/>
        <v>F2200</v>
      </c>
      <c r="Z697" s="37" t="str">
        <f t="shared" si="117"/>
        <v>F25</v>
      </c>
      <c r="AA697" s="37" t="str">
        <f t="shared" si="119"/>
        <v>F21</v>
      </c>
      <c r="AB697" s="498" t="str">
        <f t="shared" si="113"/>
        <v>F215</v>
      </c>
      <c r="AC697" s="572"/>
      <c r="AD697" s="572"/>
      <c r="AE697" s="572"/>
      <c r="AF697" s="572"/>
    </row>
    <row r="698" spans="1:32">
      <c r="A698" s="947">
        <f t="shared" si="120"/>
        <v>691</v>
      </c>
      <c r="B698" s="948">
        <v>23</v>
      </c>
      <c r="C698" s="949">
        <v>34858</v>
      </c>
      <c r="D698" s="949" t="s">
        <v>178</v>
      </c>
      <c r="E698" s="904">
        <v>8</v>
      </c>
      <c r="F698" s="644">
        <v>1995</v>
      </c>
      <c r="G698" s="948" t="s">
        <v>137</v>
      </c>
      <c r="H698" s="645" t="s">
        <v>150</v>
      </c>
      <c r="I698" s="951">
        <v>200</v>
      </c>
      <c r="J698" s="951">
        <v>3</v>
      </c>
      <c r="K698" s="952">
        <f t="shared" si="118"/>
        <v>0.34090909090909088</v>
      </c>
      <c r="L698" s="644">
        <f t="shared" si="121"/>
        <v>15</v>
      </c>
      <c r="M698" s="935">
        <v>0.66319444444444442</v>
      </c>
      <c r="N698" s="936">
        <f t="shared" si="111"/>
        <v>0.66319444444444442</v>
      </c>
      <c r="O698" s="725">
        <v>0.67708333333333337</v>
      </c>
      <c r="P698" s="725">
        <f t="shared" si="114"/>
        <v>1.3888888888888951E-2</v>
      </c>
      <c r="Q698" s="622" t="s">
        <v>432</v>
      </c>
      <c r="R698" s="37"/>
      <c r="S698" s="37" t="str">
        <f t="shared" si="112"/>
        <v>RobertsF1</v>
      </c>
      <c r="T698" s="37" t="str">
        <f t="shared" si="115"/>
        <v>1995F1</v>
      </c>
      <c r="U698" s="429">
        <v>200</v>
      </c>
      <c r="V698" s="1029">
        <v>2</v>
      </c>
      <c r="W698" s="598">
        <v>0.2</v>
      </c>
      <c r="X698" s="429"/>
      <c r="Y698" s="37" t="str">
        <f t="shared" si="116"/>
        <v>F1200</v>
      </c>
      <c r="Z698" s="37" t="str">
        <f t="shared" si="117"/>
        <v>F12</v>
      </c>
      <c r="AA698" s="37" t="str">
        <f t="shared" si="119"/>
        <v>F10.2</v>
      </c>
      <c r="AB698" s="498" t="str">
        <f t="shared" si="113"/>
        <v>F115</v>
      </c>
      <c r="AC698" s="572"/>
      <c r="AD698" s="572"/>
      <c r="AE698" s="572"/>
      <c r="AF698" s="572"/>
    </row>
    <row r="699" spans="1:32">
      <c r="A699" s="947">
        <f t="shared" si="120"/>
        <v>692</v>
      </c>
      <c r="B699" s="948">
        <v>24</v>
      </c>
      <c r="C699" s="949">
        <v>34858</v>
      </c>
      <c r="D699" s="949" t="s">
        <v>178</v>
      </c>
      <c r="E699" s="904">
        <v>8</v>
      </c>
      <c r="F699" s="644">
        <v>1995</v>
      </c>
      <c r="G699" s="948" t="s">
        <v>142</v>
      </c>
      <c r="H699" s="645" t="s">
        <v>150</v>
      </c>
      <c r="I699" s="951">
        <v>250</v>
      </c>
      <c r="J699" s="951">
        <v>2</v>
      </c>
      <c r="K699" s="952">
        <f t="shared" si="118"/>
        <v>0.28409090909090912</v>
      </c>
      <c r="L699" s="644">
        <f t="shared" si="121"/>
        <v>16</v>
      </c>
      <c r="M699" s="935">
        <v>0.66666666666666663</v>
      </c>
      <c r="N699" s="936">
        <f t="shared" si="111"/>
        <v>0.66666666666666663</v>
      </c>
      <c r="O699" s="725">
        <v>0.67361111111111116</v>
      </c>
      <c r="P699" s="725">
        <f t="shared" si="114"/>
        <v>6.9444444444445308E-3</v>
      </c>
      <c r="Q699" s="634" t="s">
        <v>343</v>
      </c>
      <c r="R699" s="37"/>
      <c r="S699" s="37" t="str">
        <f t="shared" si="112"/>
        <v>GrayF1</v>
      </c>
      <c r="T699" s="37" t="str">
        <f t="shared" si="115"/>
        <v>1995F1</v>
      </c>
      <c r="U699" s="429">
        <v>200</v>
      </c>
      <c r="V699" s="1029">
        <v>2</v>
      </c>
      <c r="W699" s="598">
        <v>0.2</v>
      </c>
      <c r="X699" s="429"/>
      <c r="Y699" s="37" t="str">
        <f t="shared" si="116"/>
        <v>F1200</v>
      </c>
      <c r="Z699" s="37" t="str">
        <f t="shared" si="117"/>
        <v>F12</v>
      </c>
      <c r="AA699" s="37" t="str">
        <f t="shared" si="119"/>
        <v>F10.2</v>
      </c>
      <c r="AB699" s="498" t="str">
        <f t="shared" si="113"/>
        <v>F116</v>
      </c>
      <c r="AC699" s="572"/>
      <c r="AD699" s="572"/>
      <c r="AE699" s="572"/>
      <c r="AF699" s="572"/>
    </row>
    <row r="700" spans="1:32">
      <c r="A700" s="947">
        <f t="shared" si="120"/>
        <v>693</v>
      </c>
      <c r="B700" s="948">
        <v>25</v>
      </c>
      <c r="C700" s="949">
        <v>34858</v>
      </c>
      <c r="D700" s="949" t="s">
        <v>178</v>
      </c>
      <c r="E700" s="904">
        <v>8</v>
      </c>
      <c r="F700" s="644">
        <v>1995</v>
      </c>
      <c r="G700" s="948" t="s">
        <v>132</v>
      </c>
      <c r="H700" s="645" t="s">
        <v>149</v>
      </c>
      <c r="I700" s="951">
        <v>75</v>
      </c>
      <c r="J700" s="951">
        <v>1</v>
      </c>
      <c r="K700" s="952">
        <f t="shared" si="118"/>
        <v>4.261363636363636E-2</v>
      </c>
      <c r="L700" s="644">
        <f t="shared" si="121"/>
        <v>16</v>
      </c>
      <c r="M700" s="935">
        <v>0.67708333333333337</v>
      </c>
      <c r="N700" s="936">
        <f t="shared" si="111"/>
        <v>0.67708333333333337</v>
      </c>
      <c r="O700" s="725"/>
      <c r="P700" s="725">
        <f t="shared" si="114"/>
        <v>-0.67708333333333337</v>
      </c>
      <c r="Q700" s="622" t="s">
        <v>403</v>
      </c>
      <c r="R700" s="37"/>
      <c r="S700" s="37" t="str">
        <f t="shared" si="112"/>
        <v>OchiltreeF0</v>
      </c>
      <c r="T700" s="37" t="str">
        <f t="shared" si="115"/>
        <v>1995F0</v>
      </c>
      <c r="U700" s="429">
        <v>50</v>
      </c>
      <c r="V700" s="1029">
        <v>1</v>
      </c>
      <c r="W700" s="598">
        <v>0.02</v>
      </c>
      <c r="X700" s="429"/>
      <c r="Y700" s="37" t="str">
        <f t="shared" si="116"/>
        <v>F050</v>
      </c>
      <c r="Z700" s="37" t="str">
        <f t="shared" si="117"/>
        <v>F01</v>
      </c>
      <c r="AA700" s="37" t="str">
        <f t="shared" si="119"/>
        <v>F00.02</v>
      </c>
      <c r="AB700" s="498" t="str">
        <f t="shared" si="113"/>
        <v>F016</v>
      </c>
      <c r="AC700" s="572"/>
      <c r="AD700" s="572"/>
      <c r="AE700" s="572"/>
      <c r="AF700" s="572"/>
    </row>
    <row r="701" spans="1:32">
      <c r="A701" s="947">
        <f t="shared" si="120"/>
        <v>694</v>
      </c>
      <c r="B701" s="948">
        <v>26</v>
      </c>
      <c r="C701" s="949">
        <v>34858</v>
      </c>
      <c r="D701" s="949" t="s">
        <v>178</v>
      </c>
      <c r="E701" s="904">
        <v>8</v>
      </c>
      <c r="F701" s="644">
        <v>1995</v>
      </c>
      <c r="G701" s="948" t="s">
        <v>147</v>
      </c>
      <c r="H701" s="645" t="s">
        <v>149</v>
      </c>
      <c r="I701" s="951">
        <v>100</v>
      </c>
      <c r="J701" s="951">
        <v>2</v>
      </c>
      <c r="K701" s="952">
        <f t="shared" si="118"/>
        <v>0.11363636363636363</v>
      </c>
      <c r="L701" s="644">
        <f t="shared" si="121"/>
        <v>16</v>
      </c>
      <c r="M701" s="935">
        <v>0.67986111111111114</v>
      </c>
      <c r="N701" s="936">
        <f t="shared" si="111"/>
        <v>0.67986111111111114</v>
      </c>
      <c r="O701" s="725"/>
      <c r="P701" s="725">
        <f t="shared" si="114"/>
        <v>-0.67986111111111114</v>
      </c>
      <c r="Q701" s="622" t="s">
        <v>327</v>
      </c>
      <c r="R701" s="37"/>
      <c r="S701" s="37" t="str">
        <f t="shared" si="112"/>
        <v>DonleyF0</v>
      </c>
      <c r="T701" s="37" t="str">
        <f t="shared" si="115"/>
        <v>1995F0</v>
      </c>
      <c r="U701" s="429">
        <v>100</v>
      </c>
      <c r="V701" s="1029">
        <v>2</v>
      </c>
      <c r="W701" s="598">
        <v>0.1</v>
      </c>
      <c r="X701" s="429"/>
      <c r="Y701" s="37" t="str">
        <f t="shared" si="116"/>
        <v>F0100</v>
      </c>
      <c r="Z701" s="37" t="str">
        <f t="shared" si="117"/>
        <v>F02</v>
      </c>
      <c r="AA701" s="37" t="str">
        <f t="shared" si="119"/>
        <v>F00.1</v>
      </c>
      <c r="AB701" s="498" t="str">
        <f t="shared" si="113"/>
        <v>F016</v>
      </c>
      <c r="AC701" s="572"/>
      <c r="AD701" s="572"/>
      <c r="AE701" s="572"/>
      <c r="AF701" s="572"/>
    </row>
    <row r="702" spans="1:32">
      <c r="A702" s="947">
        <f t="shared" si="120"/>
        <v>695</v>
      </c>
      <c r="B702" s="948">
        <v>27</v>
      </c>
      <c r="C702" s="949">
        <v>34858</v>
      </c>
      <c r="D702" s="949" t="s">
        <v>178</v>
      </c>
      <c r="E702" s="904">
        <v>8</v>
      </c>
      <c r="F702" s="644">
        <v>1995</v>
      </c>
      <c r="G702" s="948" t="s">
        <v>137</v>
      </c>
      <c r="H702" s="645" t="s">
        <v>150</v>
      </c>
      <c r="I702" s="951">
        <v>250</v>
      </c>
      <c r="J702" s="951">
        <v>10</v>
      </c>
      <c r="K702" s="952">
        <f t="shared" si="118"/>
        <v>1.4204545454545456</v>
      </c>
      <c r="L702" s="644">
        <f t="shared" si="121"/>
        <v>16</v>
      </c>
      <c r="M702" s="935">
        <v>0.69097222222222221</v>
      </c>
      <c r="N702" s="936">
        <f t="shared" si="111"/>
        <v>0.69097222222222221</v>
      </c>
      <c r="O702" s="725">
        <v>0.70138888888888884</v>
      </c>
      <c r="P702" s="725">
        <f t="shared" si="114"/>
        <v>1.041666666666663E-2</v>
      </c>
      <c r="Q702" s="622" t="s">
        <v>433</v>
      </c>
      <c r="R702" s="37"/>
      <c r="S702" s="37" t="str">
        <f t="shared" si="112"/>
        <v>RobertsF1</v>
      </c>
      <c r="T702" s="37" t="str">
        <f t="shared" si="115"/>
        <v>1995F1</v>
      </c>
      <c r="U702" s="429">
        <v>200</v>
      </c>
      <c r="V702" s="1029">
        <v>10</v>
      </c>
      <c r="W702" s="598">
        <v>1</v>
      </c>
      <c r="X702" s="429"/>
      <c r="Y702" s="37" t="str">
        <f t="shared" si="116"/>
        <v>F1200</v>
      </c>
      <c r="Z702" s="37" t="str">
        <f t="shared" si="117"/>
        <v>F110</v>
      </c>
      <c r="AA702" s="37" t="str">
        <f t="shared" si="119"/>
        <v>F11</v>
      </c>
      <c r="AB702" s="498" t="str">
        <f t="shared" si="113"/>
        <v>F116</v>
      </c>
      <c r="AC702" s="572"/>
      <c r="AD702" s="572"/>
      <c r="AE702" s="572"/>
      <c r="AF702" s="572"/>
    </row>
    <row r="703" spans="1:32">
      <c r="A703" s="947">
        <f t="shared" si="120"/>
        <v>696</v>
      </c>
      <c r="B703" s="948">
        <v>28</v>
      </c>
      <c r="C703" s="949">
        <v>34858</v>
      </c>
      <c r="D703" s="949" t="s">
        <v>178</v>
      </c>
      <c r="E703" s="904">
        <v>8</v>
      </c>
      <c r="F703" s="644">
        <v>1995</v>
      </c>
      <c r="G703" s="964" t="s">
        <v>147</v>
      </c>
      <c r="H703" s="965" t="s">
        <v>151</v>
      </c>
      <c r="I703" s="966">
        <v>500</v>
      </c>
      <c r="J703" s="966">
        <v>10</v>
      </c>
      <c r="K703" s="952">
        <f t="shared" si="118"/>
        <v>2.8409090909090913</v>
      </c>
      <c r="L703" s="967">
        <f t="shared" si="121"/>
        <v>16</v>
      </c>
      <c r="M703" s="935">
        <v>0.70486111111111116</v>
      </c>
      <c r="N703" s="968">
        <f t="shared" si="111"/>
        <v>0.70486111111111116</v>
      </c>
      <c r="O703" s="969">
        <v>0.71527777777777779</v>
      </c>
      <c r="P703" s="725">
        <f t="shared" si="114"/>
        <v>1.041666666666663E-2</v>
      </c>
      <c r="Q703" s="622" t="s">
        <v>328</v>
      </c>
      <c r="R703" s="37"/>
      <c r="S703" s="37" t="str">
        <f t="shared" si="112"/>
        <v>DonleyF2</v>
      </c>
      <c r="T703" s="37" t="str">
        <f t="shared" si="115"/>
        <v>1995F2</v>
      </c>
      <c r="U703" s="429">
        <v>500</v>
      </c>
      <c r="V703" s="1029">
        <v>10</v>
      </c>
      <c r="W703" s="598">
        <v>2</v>
      </c>
      <c r="X703" s="429"/>
      <c r="Y703" s="37" t="str">
        <f t="shared" si="116"/>
        <v>F2500</v>
      </c>
      <c r="Z703" s="37" t="str">
        <f t="shared" si="117"/>
        <v>F210</v>
      </c>
      <c r="AA703" s="37" t="str">
        <f t="shared" si="119"/>
        <v>F22</v>
      </c>
      <c r="AB703" s="498" t="str">
        <f t="shared" si="113"/>
        <v>F216</v>
      </c>
      <c r="AC703" s="572"/>
      <c r="AD703" s="572"/>
      <c r="AE703" s="572"/>
      <c r="AF703" s="572"/>
    </row>
    <row r="704" spans="1:32">
      <c r="A704" s="947">
        <f t="shared" si="120"/>
        <v>697</v>
      </c>
      <c r="B704" s="948">
        <v>29</v>
      </c>
      <c r="C704" s="949">
        <v>34858</v>
      </c>
      <c r="D704" s="949" t="s">
        <v>178</v>
      </c>
      <c r="E704" s="904">
        <v>8</v>
      </c>
      <c r="F704" s="644">
        <v>1995</v>
      </c>
      <c r="G704" s="964" t="s">
        <v>142</v>
      </c>
      <c r="H704" s="965" t="s">
        <v>151</v>
      </c>
      <c r="I704" s="966">
        <v>300</v>
      </c>
      <c r="J704" s="966">
        <v>4</v>
      </c>
      <c r="K704" s="952">
        <f t="shared" si="118"/>
        <v>0.68181818181818177</v>
      </c>
      <c r="L704" s="967">
        <f t="shared" si="121"/>
        <v>16</v>
      </c>
      <c r="M704" s="935">
        <v>0.70763888888888893</v>
      </c>
      <c r="N704" s="968">
        <f t="shared" si="111"/>
        <v>0.70763888888888893</v>
      </c>
      <c r="O704" s="969">
        <v>0.72569444444444453</v>
      </c>
      <c r="P704" s="725">
        <f t="shared" si="114"/>
        <v>1.8055555555555602E-2</v>
      </c>
      <c r="Q704" s="622" t="s">
        <v>121</v>
      </c>
      <c r="R704" s="37"/>
      <c r="S704" s="37" t="str">
        <f t="shared" si="112"/>
        <v>GrayF2</v>
      </c>
      <c r="T704" s="37" t="str">
        <f t="shared" si="115"/>
        <v>1995F2</v>
      </c>
      <c r="U704" s="429">
        <v>200</v>
      </c>
      <c r="V704" s="1029">
        <v>2</v>
      </c>
      <c r="W704" s="598">
        <v>0.5</v>
      </c>
      <c r="X704" s="429"/>
      <c r="Y704" s="37" t="str">
        <f t="shared" si="116"/>
        <v>F2200</v>
      </c>
      <c r="Z704" s="37" t="str">
        <f t="shared" si="117"/>
        <v>F22</v>
      </c>
      <c r="AA704" s="37" t="str">
        <f t="shared" si="119"/>
        <v>F20.5</v>
      </c>
      <c r="AB704" s="498" t="str">
        <f t="shared" si="113"/>
        <v>F216</v>
      </c>
      <c r="AC704" s="572"/>
      <c r="AD704" s="572"/>
      <c r="AE704" s="572"/>
      <c r="AF704" s="572"/>
    </row>
    <row r="705" spans="1:32" ht="56.25" customHeight="1">
      <c r="A705" s="947">
        <f t="shared" si="120"/>
        <v>698</v>
      </c>
      <c r="B705" s="948">
        <v>30</v>
      </c>
      <c r="C705" s="949">
        <v>34858</v>
      </c>
      <c r="D705" s="949" t="s">
        <v>178</v>
      </c>
      <c r="E705" s="904">
        <v>8</v>
      </c>
      <c r="F705" s="644">
        <v>1995</v>
      </c>
      <c r="G705" s="964" t="s">
        <v>147</v>
      </c>
      <c r="H705" s="965" t="s">
        <v>151</v>
      </c>
      <c r="I705" s="966">
        <v>400</v>
      </c>
      <c r="J705" s="966">
        <v>4</v>
      </c>
      <c r="K705" s="952">
        <f t="shared" si="118"/>
        <v>0.90909090909090906</v>
      </c>
      <c r="L705" s="967">
        <f t="shared" si="121"/>
        <v>17</v>
      </c>
      <c r="M705" s="935">
        <v>0.71527777777777779</v>
      </c>
      <c r="N705" s="968">
        <f t="shared" si="111"/>
        <v>0.71527777777777779</v>
      </c>
      <c r="O705" s="969">
        <v>0.72083333333333333</v>
      </c>
      <c r="P705" s="725">
        <f t="shared" si="114"/>
        <v>5.5555555555555358E-3</v>
      </c>
      <c r="Q705" s="106" t="s">
        <v>869</v>
      </c>
      <c r="R705" s="37"/>
      <c r="S705" s="37" t="str">
        <f t="shared" si="112"/>
        <v>DonleyF2</v>
      </c>
      <c r="T705" s="37" t="str">
        <f t="shared" si="115"/>
        <v>1995F2</v>
      </c>
      <c r="U705" s="429">
        <v>200</v>
      </c>
      <c r="V705" s="1029">
        <v>2</v>
      </c>
      <c r="W705" s="598">
        <v>0.5</v>
      </c>
      <c r="X705" s="429"/>
      <c r="Y705" s="37" t="str">
        <f t="shared" si="116"/>
        <v>F2200</v>
      </c>
      <c r="Z705" s="37" t="str">
        <f t="shared" si="117"/>
        <v>F22</v>
      </c>
      <c r="AA705" s="37" t="str">
        <f t="shared" si="119"/>
        <v>F20.5</v>
      </c>
      <c r="AB705" s="498" t="str">
        <f t="shared" si="113"/>
        <v>F217</v>
      </c>
      <c r="AC705" s="572"/>
      <c r="AD705" s="572"/>
      <c r="AE705" s="572"/>
      <c r="AF705" s="572"/>
    </row>
    <row r="706" spans="1:32">
      <c r="A706" s="947">
        <f t="shared" si="120"/>
        <v>699</v>
      </c>
      <c r="B706" s="948">
        <v>31</v>
      </c>
      <c r="C706" s="949">
        <v>34858</v>
      </c>
      <c r="D706" s="949" t="s">
        <v>178</v>
      </c>
      <c r="E706" s="904">
        <v>8</v>
      </c>
      <c r="F706" s="644">
        <v>1995</v>
      </c>
      <c r="G706" s="948" t="s">
        <v>142</v>
      </c>
      <c r="H706" s="645" t="s">
        <v>149</v>
      </c>
      <c r="I706" s="951">
        <v>100</v>
      </c>
      <c r="J706" s="951">
        <v>2</v>
      </c>
      <c r="K706" s="952">
        <f t="shared" si="118"/>
        <v>0.11363636363636363</v>
      </c>
      <c r="L706" s="644">
        <f t="shared" si="121"/>
        <v>17</v>
      </c>
      <c r="M706" s="935">
        <v>0.71527777777777779</v>
      </c>
      <c r="N706" s="936">
        <f t="shared" si="111"/>
        <v>0.71527777777777779</v>
      </c>
      <c r="O706" s="725"/>
      <c r="P706" s="725">
        <f t="shared" si="114"/>
        <v>-0.71527777777777779</v>
      </c>
      <c r="Q706" s="622" t="s">
        <v>344</v>
      </c>
      <c r="R706" s="37"/>
      <c r="S706" s="37" t="str">
        <f t="shared" si="112"/>
        <v>GrayF0</v>
      </c>
      <c r="T706" s="37" t="str">
        <f t="shared" si="115"/>
        <v>1995F0</v>
      </c>
      <c r="U706" s="429">
        <v>100</v>
      </c>
      <c r="V706" s="1029">
        <v>2</v>
      </c>
      <c r="W706" s="598">
        <v>0.1</v>
      </c>
      <c r="X706" s="429"/>
      <c r="Y706" s="37" t="str">
        <f t="shared" si="116"/>
        <v>F0100</v>
      </c>
      <c r="Z706" s="37" t="str">
        <f t="shared" si="117"/>
        <v>F02</v>
      </c>
      <c r="AA706" s="37" t="str">
        <f t="shared" si="119"/>
        <v>F00.1</v>
      </c>
      <c r="AB706" s="498" t="str">
        <f t="shared" si="113"/>
        <v>F017</v>
      </c>
      <c r="AC706" s="572"/>
      <c r="AD706" s="572"/>
      <c r="AE706" s="572"/>
      <c r="AF706" s="572"/>
    </row>
    <row r="707" spans="1:32" ht="25.5">
      <c r="A707" s="947">
        <f t="shared" si="120"/>
        <v>700</v>
      </c>
      <c r="B707" s="948">
        <v>32</v>
      </c>
      <c r="C707" s="949">
        <v>34858</v>
      </c>
      <c r="D707" s="949" t="s">
        <v>178</v>
      </c>
      <c r="E707" s="904">
        <v>8</v>
      </c>
      <c r="F707" s="644">
        <v>1995</v>
      </c>
      <c r="G707" s="948" t="s">
        <v>142</v>
      </c>
      <c r="H707" s="645" t="s">
        <v>151</v>
      </c>
      <c r="I707" s="951">
        <v>300</v>
      </c>
      <c r="J707" s="951">
        <v>5</v>
      </c>
      <c r="K707" s="952">
        <f t="shared" si="118"/>
        <v>0.85227272727272718</v>
      </c>
      <c r="L707" s="644">
        <f t="shared" si="121"/>
        <v>17</v>
      </c>
      <c r="M707" s="935">
        <v>0.72083333333333333</v>
      </c>
      <c r="N707" s="936">
        <f t="shared" si="111"/>
        <v>0.72083333333333333</v>
      </c>
      <c r="O707" s="725">
        <v>0.72569444444444453</v>
      </c>
      <c r="P707" s="725">
        <f t="shared" si="114"/>
        <v>4.8611111111112049E-3</v>
      </c>
      <c r="Q707" s="622" t="s">
        <v>870</v>
      </c>
      <c r="R707" s="37"/>
      <c r="S707" s="37" t="str">
        <f t="shared" si="112"/>
        <v>GrayF2</v>
      </c>
      <c r="T707" s="37" t="str">
        <f t="shared" si="115"/>
        <v>1995F2</v>
      </c>
      <c r="U707" s="429">
        <v>200</v>
      </c>
      <c r="V707" s="1029">
        <v>5</v>
      </c>
      <c r="W707" s="598">
        <v>0.5</v>
      </c>
      <c r="X707" s="429"/>
      <c r="Y707" s="37" t="str">
        <f t="shared" si="116"/>
        <v>F2200</v>
      </c>
      <c r="Z707" s="37" t="str">
        <f t="shared" si="117"/>
        <v>F25</v>
      </c>
      <c r="AA707" s="37" t="str">
        <f t="shared" si="119"/>
        <v>F20.5</v>
      </c>
      <c r="AB707" s="498" t="str">
        <f t="shared" si="113"/>
        <v>F217</v>
      </c>
      <c r="AC707" s="572"/>
      <c r="AD707" s="572"/>
      <c r="AE707" s="572"/>
      <c r="AF707" s="572"/>
    </row>
    <row r="708" spans="1:32">
      <c r="A708" s="947">
        <f t="shared" si="120"/>
        <v>701</v>
      </c>
      <c r="B708" s="948">
        <v>33</v>
      </c>
      <c r="C708" s="949">
        <v>34858</v>
      </c>
      <c r="D708" s="949" t="s">
        <v>178</v>
      </c>
      <c r="E708" s="904">
        <v>8</v>
      </c>
      <c r="F708" s="644">
        <v>1995</v>
      </c>
      <c r="G708" s="948" t="s">
        <v>142</v>
      </c>
      <c r="H708" s="645" t="s">
        <v>149</v>
      </c>
      <c r="I708" s="951">
        <v>50</v>
      </c>
      <c r="J708" s="951">
        <v>1</v>
      </c>
      <c r="K708" s="952">
        <f t="shared" si="118"/>
        <v>2.8409090909090908E-2</v>
      </c>
      <c r="L708" s="644">
        <f t="shared" si="121"/>
        <v>17</v>
      </c>
      <c r="M708" s="935">
        <v>0.72291666666666676</v>
      </c>
      <c r="N708" s="936">
        <f t="shared" si="111"/>
        <v>0.72291666666666676</v>
      </c>
      <c r="O708" s="725"/>
      <c r="P708" s="725">
        <f t="shared" si="114"/>
        <v>-0.72291666666666676</v>
      </c>
      <c r="Q708" s="622" t="s">
        <v>122</v>
      </c>
      <c r="R708" s="37"/>
      <c r="S708" s="37" t="str">
        <f t="shared" si="112"/>
        <v>GrayF0</v>
      </c>
      <c r="T708" s="37" t="str">
        <f t="shared" si="115"/>
        <v>1995F0</v>
      </c>
      <c r="U708" s="429">
        <v>50</v>
      </c>
      <c r="V708" s="1029">
        <v>1</v>
      </c>
      <c r="W708" s="598">
        <v>0.02</v>
      </c>
      <c r="X708" s="429"/>
      <c r="Y708" s="37" t="str">
        <f t="shared" si="116"/>
        <v>F050</v>
      </c>
      <c r="Z708" s="37" t="str">
        <f t="shared" si="117"/>
        <v>F01</v>
      </c>
      <c r="AA708" s="37" t="str">
        <f t="shared" si="119"/>
        <v>F00.02</v>
      </c>
      <c r="AB708" s="498" t="str">
        <f t="shared" si="113"/>
        <v>F017</v>
      </c>
      <c r="AC708" s="572"/>
      <c r="AD708" s="572"/>
      <c r="AE708" s="572"/>
      <c r="AF708" s="572"/>
    </row>
    <row r="709" spans="1:32" ht="39.950000000000003" customHeight="1">
      <c r="A709" s="947">
        <f t="shared" si="120"/>
        <v>702</v>
      </c>
      <c r="B709" s="948">
        <v>34</v>
      </c>
      <c r="C709" s="949">
        <v>34858</v>
      </c>
      <c r="D709" s="949" t="s">
        <v>178</v>
      </c>
      <c r="E709" s="904">
        <v>8</v>
      </c>
      <c r="F709" s="644">
        <v>1995</v>
      </c>
      <c r="G709" s="948" t="s">
        <v>142</v>
      </c>
      <c r="H709" s="645" t="s">
        <v>153</v>
      </c>
      <c r="I709" s="951">
        <v>600</v>
      </c>
      <c r="J709" s="951">
        <v>5</v>
      </c>
      <c r="K709" s="952">
        <f t="shared" si="118"/>
        <v>1.7045454545454544</v>
      </c>
      <c r="L709" s="644">
        <f t="shared" si="121"/>
        <v>17</v>
      </c>
      <c r="M709" s="935">
        <v>0.73263888888888884</v>
      </c>
      <c r="N709" s="936">
        <f t="shared" si="111"/>
        <v>0.73263888888888884</v>
      </c>
      <c r="O709" s="725">
        <v>0.74652777777777779</v>
      </c>
      <c r="P709" s="725">
        <f t="shared" si="114"/>
        <v>1.3888888888888951E-2</v>
      </c>
      <c r="Q709" s="380" t="s">
        <v>760</v>
      </c>
      <c r="R709" s="37"/>
      <c r="S709" s="37" t="str">
        <f t="shared" si="112"/>
        <v>GrayF4</v>
      </c>
      <c r="T709" s="37" t="str">
        <f t="shared" si="115"/>
        <v>1995F4</v>
      </c>
      <c r="U709" s="429">
        <v>500</v>
      </c>
      <c r="V709" s="1029">
        <v>5</v>
      </c>
      <c r="W709" s="598">
        <v>1</v>
      </c>
      <c r="X709" s="429"/>
      <c r="Y709" s="37" t="str">
        <f t="shared" si="116"/>
        <v>F4500</v>
      </c>
      <c r="Z709" s="37" t="str">
        <f t="shared" si="117"/>
        <v>F45</v>
      </c>
      <c r="AA709" s="37" t="str">
        <f t="shared" si="119"/>
        <v>F41</v>
      </c>
      <c r="AB709" s="498" t="str">
        <f t="shared" si="113"/>
        <v>F417</v>
      </c>
      <c r="AC709" s="572"/>
      <c r="AD709" s="572"/>
      <c r="AE709" s="572"/>
      <c r="AF709" s="572"/>
    </row>
    <row r="710" spans="1:32">
      <c r="A710" s="947">
        <f t="shared" si="120"/>
        <v>703</v>
      </c>
      <c r="B710" s="948">
        <v>35</v>
      </c>
      <c r="C710" s="949">
        <v>34858</v>
      </c>
      <c r="D710" s="949" t="s">
        <v>178</v>
      </c>
      <c r="E710" s="904">
        <v>8</v>
      </c>
      <c r="F710" s="644">
        <v>1995</v>
      </c>
      <c r="G710" s="948" t="s">
        <v>138</v>
      </c>
      <c r="H710" s="645" t="s">
        <v>149</v>
      </c>
      <c r="I710" s="951">
        <v>150</v>
      </c>
      <c r="J710" s="951">
        <v>4</v>
      </c>
      <c r="K710" s="952">
        <f t="shared" si="118"/>
        <v>0.34090909090909088</v>
      </c>
      <c r="L710" s="644">
        <f t="shared" si="121"/>
        <v>17</v>
      </c>
      <c r="M710" s="935">
        <v>0.73819444444444438</v>
      </c>
      <c r="N710" s="936">
        <f t="shared" si="111"/>
        <v>0.73819444444444438</v>
      </c>
      <c r="O710" s="725">
        <v>0.74236111111111114</v>
      </c>
      <c r="P710" s="725">
        <f t="shared" si="114"/>
        <v>4.1666666666667629E-3</v>
      </c>
      <c r="Q710" s="622" t="s">
        <v>39</v>
      </c>
      <c r="R710" s="37"/>
      <c r="S710" s="37" t="str">
        <f t="shared" si="112"/>
        <v>HemphillF0</v>
      </c>
      <c r="T710" s="37" t="str">
        <f t="shared" si="115"/>
        <v>1995F0</v>
      </c>
      <c r="U710" s="429">
        <v>100</v>
      </c>
      <c r="V710" s="1029">
        <v>2</v>
      </c>
      <c r="W710" s="598">
        <v>0.2</v>
      </c>
      <c r="X710" s="429"/>
      <c r="Y710" s="37" t="str">
        <f t="shared" si="116"/>
        <v>F0100</v>
      </c>
      <c r="Z710" s="37" t="str">
        <f t="shared" si="117"/>
        <v>F02</v>
      </c>
      <c r="AA710" s="37" t="str">
        <f t="shared" si="119"/>
        <v>F00.2</v>
      </c>
      <c r="AB710" s="498" t="str">
        <f t="shared" si="113"/>
        <v>F017</v>
      </c>
      <c r="AC710" s="572"/>
      <c r="AD710" s="572"/>
      <c r="AE710" s="572"/>
      <c r="AF710" s="572"/>
    </row>
    <row r="711" spans="1:32">
      <c r="A711" s="947">
        <f t="shared" si="120"/>
        <v>704</v>
      </c>
      <c r="B711" s="948">
        <v>36</v>
      </c>
      <c r="C711" s="949">
        <v>34858</v>
      </c>
      <c r="D711" s="949" t="s">
        <v>178</v>
      </c>
      <c r="E711" s="904">
        <v>8</v>
      </c>
      <c r="F711" s="644">
        <v>1995</v>
      </c>
      <c r="G711" s="948" t="s">
        <v>137</v>
      </c>
      <c r="H711" s="645" t="s">
        <v>149</v>
      </c>
      <c r="I711" s="951">
        <v>50</v>
      </c>
      <c r="J711" s="951">
        <v>0.5</v>
      </c>
      <c r="K711" s="952">
        <f t="shared" si="118"/>
        <v>1.4204545454545454E-2</v>
      </c>
      <c r="L711" s="644">
        <f t="shared" si="121"/>
        <v>17</v>
      </c>
      <c r="M711" s="935">
        <v>0.74513888888888891</v>
      </c>
      <c r="N711" s="936">
        <f t="shared" ref="N711:N774" si="122">+M711</f>
        <v>0.74513888888888891</v>
      </c>
      <c r="O711" s="725"/>
      <c r="P711" s="725">
        <f t="shared" si="114"/>
        <v>-0.74513888888888891</v>
      </c>
      <c r="Q711" s="622" t="s">
        <v>434</v>
      </c>
      <c r="R711" s="37"/>
      <c r="S711" s="37" t="str">
        <f t="shared" ref="S711:S774" si="123">CONCATENATE(G711,H711)</f>
        <v>RobertsF0</v>
      </c>
      <c r="T711" s="37" t="str">
        <f t="shared" si="115"/>
        <v>1995F0</v>
      </c>
      <c r="U711" s="429">
        <v>50</v>
      </c>
      <c r="V711" s="1029">
        <v>0.5</v>
      </c>
      <c r="W711" s="598">
        <v>0.01</v>
      </c>
      <c r="X711" s="429"/>
      <c r="Y711" s="37" t="str">
        <f t="shared" si="116"/>
        <v>F050</v>
      </c>
      <c r="Z711" s="37" t="str">
        <f t="shared" si="117"/>
        <v>F00.5</v>
      </c>
      <c r="AA711" s="37" t="str">
        <f t="shared" si="119"/>
        <v>F00.01</v>
      </c>
      <c r="AB711" s="498" t="str">
        <f t="shared" ref="AB711:AB774" si="124">CONCATENATE(H711,L711)</f>
        <v>F017</v>
      </c>
      <c r="AC711" s="572"/>
      <c r="AD711" s="572"/>
      <c r="AE711" s="572"/>
      <c r="AF711" s="572"/>
    </row>
    <row r="712" spans="1:32" ht="25.5">
      <c r="A712" s="947">
        <f t="shared" si="120"/>
        <v>705</v>
      </c>
      <c r="B712" s="948">
        <v>37</v>
      </c>
      <c r="C712" s="949">
        <v>34858</v>
      </c>
      <c r="D712" s="949" t="s">
        <v>178</v>
      </c>
      <c r="E712" s="904">
        <v>8</v>
      </c>
      <c r="F712" s="644">
        <v>1995</v>
      </c>
      <c r="G712" s="948" t="s">
        <v>143</v>
      </c>
      <c r="H712" s="645" t="s">
        <v>153</v>
      </c>
      <c r="I712" s="951">
        <v>800</v>
      </c>
      <c r="J712" s="951">
        <v>24</v>
      </c>
      <c r="K712" s="952">
        <f t="shared" si="118"/>
        <v>10.909090909090908</v>
      </c>
      <c r="L712" s="644">
        <f t="shared" si="121"/>
        <v>17</v>
      </c>
      <c r="M712" s="935">
        <v>0.74652777777777779</v>
      </c>
      <c r="N712" s="936">
        <f t="shared" si="122"/>
        <v>0.74652777777777779</v>
      </c>
      <c r="O712" s="725">
        <v>0.77083333333333337</v>
      </c>
      <c r="P712" s="725">
        <f t="shared" ref="P712:P775" si="125">+O712-N712</f>
        <v>2.430555555555558E-2</v>
      </c>
      <c r="Q712" s="622" t="s">
        <v>761</v>
      </c>
      <c r="R712" s="37"/>
      <c r="S712" s="37" t="str">
        <f t="shared" si="123"/>
        <v>WheelerF4</v>
      </c>
      <c r="T712" s="37" t="str">
        <f t="shared" ref="T712:T775" si="126">CONCATENATE(F712,H712)</f>
        <v>1995F4</v>
      </c>
      <c r="U712" s="429">
        <v>500</v>
      </c>
      <c r="V712" s="1029">
        <v>20</v>
      </c>
      <c r="W712" s="598">
        <v>10</v>
      </c>
      <c r="X712" s="429"/>
      <c r="Y712" s="37" t="str">
        <f t="shared" ref="Y712:Y775" si="127">CONCATENATE(H712,U712)</f>
        <v>F4500</v>
      </c>
      <c r="Z712" s="37" t="str">
        <f t="shared" ref="Z712:Z775" si="128">CONCATENATE(H712,V712)</f>
        <v>F420</v>
      </c>
      <c r="AA712" s="37" t="str">
        <f t="shared" si="119"/>
        <v>F410</v>
      </c>
      <c r="AB712" s="498" t="str">
        <f t="shared" si="124"/>
        <v>F417</v>
      </c>
      <c r="AC712" s="572"/>
      <c r="AD712" s="572"/>
      <c r="AE712" s="572"/>
      <c r="AF712" s="572"/>
    </row>
    <row r="713" spans="1:32" ht="65.099999999999994" customHeight="1">
      <c r="A713" s="947">
        <f t="shared" si="120"/>
        <v>706</v>
      </c>
      <c r="B713" s="948">
        <v>38</v>
      </c>
      <c r="C713" s="949">
        <v>34858</v>
      </c>
      <c r="D713" s="949" t="s">
        <v>178</v>
      </c>
      <c r="E713" s="904">
        <v>8</v>
      </c>
      <c r="F713" s="644">
        <v>1995</v>
      </c>
      <c r="G713" s="948" t="s">
        <v>143</v>
      </c>
      <c r="H713" s="645" t="s">
        <v>153</v>
      </c>
      <c r="I713" s="951">
        <v>2200</v>
      </c>
      <c r="J713" s="951">
        <v>10</v>
      </c>
      <c r="K713" s="952">
        <f t="shared" ref="K713:K776" si="129">+(I713/1760)*J713</f>
        <v>12.5</v>
      </c>
      <c r="L713" s="644">
        <f t="shared" si="121"/>
        <v>18</v>
      </c>
      <c r="M713" s="935">
        <v>0.78125</v>
      </c>
      <c r="N713" s="936">
        <f t="shared" si="122"/>
        <v>0.78125</v>
      </c>
      <c r="O713" s="725">
        <v>0.80208333333333337</v>
      </c>
      <c r="P713" s="725">
        <f t="shared" si="125"/>
        <v>2.083333333333337E-2</v>
      </c>
      <c r="Q713" s="622" t="s">
        <v>801</v>
      </c>
      <c r="R713" s="37"/>
      <c r="S713" s="37" t="str">
        <f t="shared" si="123"/>
        <v>WheelerF4</v>
      </c>
      <c r="T713" s="37" t="str">
        <f t="shared" si="126"/>
        <v>1995F4</v>
      </c>
      <c r="U713" s="429">
        <v>2000</v>
      </c>
      <c r="V713" s="1029">
        <v>10</v>
      </c>
      <c r="W713" s="598">
        <v>10</v>
      </c>
      <c r="X713" s="429"/>
      <c r="Y713" s="37" t="str">
        <f t="shared" si="127"/>
        <v>F42000</v>
      </c>
      <c r="Z713" s="37" t="str">
        <f t="shared" si="128"/>
        <v>F410</v>
      </c>
      <c r="AA713" s="37" t="str">
        <f t="shared" ref="AA713:AA776" si="130">CONCATENATE(H713,W713)</f>
        <v>F410</v>
      </c>
      <c r="AB713" s="498" t="str">
        <f t="shared" si="124"/>
        <v>F418</v>
      </c>
      <c r="AC713" s="572"/>
      <c r="AD713" s="572"/>
      <c r="AE713" s="572"/>
      <c r="AF713" s="572"/>
    </row>
    <row r="714" spans="1:32" ht="25.5">
      <c r="A714" s="947">
        <f t="shared" ref="A714:A777" si="131">+A713+1</f>
        <v>707</v>
      </c>
      <c r="B714" s="948">
        <v>39</v>
      </c>
      <c r="C714" s="949">
        <v>34858</v>
      </c>
      <c r="D714" s="949" t="s">
        <v>178</v>
      </c>
      <c r="E714" s="904">
        <v>8</v>
      </c>
      <c r="F714" s="644">
        <v>1995</v>
      </c>
      <c r="G714" s="948" t="s">
        <v>138</v>
      </c>
      <c r="H714" s="645" t="s">
        <v>153</v>
      </c>
      <c r="I714" s="951">
        <v>1750</v>
      </c>
      <c r="J714" s="951">
        <v>5</v>
      </c>
      <c r="K714" s="952">
        <f t="shared" si="129"/>
        <v>4.9715909090909092</v>
      </c>
      <c r="L714" s="644">
        <f t="shared" si="121"/>
        <v>19</v>
      </c>
      <c r="M714" s="935">
        <v>0.80208333333333337</v>
      </c>
      <c r="N714" s="936">
        <f t="shared" si="122"/>
        <v>0.80208333333333337</v>
      </c>
      <c r="O714" s="725">
        <v>0.81319444444444444</v>
      </c>
      <c r="P714" s="725">
        <f t="shared" si="125"/>
        <v>1.1111111111111072E-2</v>
      </c>
      <c r="Q714" s="622" t="s">
        <v>762</v>
      </c>
      <c r="R714" s="37"/>
      <c r="S714" s="37" t="str">
        <f t="shared" si="123"/>
        <v>HemphillF4</v>
      </c>
      <c r="T714" s="37" t="str">
        <f t="shared" si="126"/>
        <v>1995F4</v>
      </c>
      <c r="U714" s="429">
        <v>1000</v>
      </c>
      <c r="V714" s="1029">
        <v>5</v>
      </c>
      <c r="W714" s="598">
        <v>2</v>
      </c>
      <c r="X714" s="429"/>
      <c r="Y714" s="37" t="str">
        <f t="shared" si="127"/>
        <v>F41000</v>
      </c>
      <c r="Z714" s="37" t="str">
        <f t="shared" si="128"/>
        <v>F45</v>
      </c>
      <c r="AA714" s="37" t="str">
        <f t="shared" si="130"/>
        <v>F42</v>
      </c>
      <c r="AB714" s="498" t="str">
        <f t="shared" si="124"/>
        <v>F419</v>
      </c>
      <c r="AC714" s="572"/>
      <c r="AD714" s="572"/>
      <c r="AE714" s="572"/>
      <c r="AF714" s="572"/>
    </row>
    <row r="715" spans="1:32">
      <c r="A715" s="947">
        <f t="shared" si="131"/>
        <v>708</v>
      </c>
      <c r="B715" s="948">
        <v>40</v>
      </c>
      <c r="C715" s="949">
        <v>34882</v>
      </c>
      <c r="D715" s="949" t="s">
        <v>179</v>
      </c>
      <c r="E715" s="904">
        <v>2</v>
      </c>
      <c r="F715" s="644">
        <v>1995</v>
      </c>
      <c r="G715" s="948" t="s">
        <v>141</v>
      </c>
      <c r="H715" s="645" t="s">
        <v>149</v>
      </c>
      <c r="I715" s="951">
        <v>50</v>
      </c>
      <c r="J715" s="951">
        <v>0.3</v>
      </c>
      <c r="K715" s="952">
        <f t="shared" si="129"/>
        <v>8.5227272727272721E-3</v>
      </c>
      <c r="L715" s="644">
        <f t="shared" si="121"/>
        <v>19</v>
      </c>
      <c r="M715" s="935">
        <v>0.8222222222222223</v>
      </c>
      <c r="N715" s="936">
        <f t="shared" si="122"/>
        <v>0.8222222222222223</v>
      </c>
      <c r="O715" s="725"/>
      <c r="P715" s="725">
        <f t="shared" si="125"/>
        <v>-0.8222222222222223</v>
      </c>
      <c r="Q715" s="622" t="s">
        <v>287</v>
      </c>
      <c r="R715" s="37"/>
      <c r="S715" s="37" t="str">
        <f t="shared" si="123"/>
        <v>CarsonF0</v>
      </c>
      <c r="T715" s="37" t="str">
        <f t="shared" si="126"/>
        <v>1995F0</v>
      </c>
      <c r="U715" s="429">
        <v>50</v>
      </c>
      <c r="V715" s="1029">
        <v>0.2</v>
      </c>
      <c r="W715" s="598">
        <v>5.0000000000000001E-3</v>
      </c>
      <c r="X715" s="429"/>
      <c r="Y715" s="37" t="str">
        <f t="shared" si="127"/>
        <v>F050</v>
      </c>
      <c r="Z715" s="37" t="str">
        <f t="shared" si="128"/>
        <v>F00.2</v>
      </c>
      <c r="AA715" s="37" t="str">
        <f t="shared" si="130"/>
        <v>F00.005</v>
      </c>
      <c r="AB715" s="498" t="str">
        <f t="shared" si="124"/>
        <v>F019</v>
      </c>
      <c r="AC715" s="572"/>
      <c r="AD715" s="572"/>
      <c r="AE715" s="572"/>
      <c r="AF715" s="572"/>
    </row>
    <row r="716" spans="1:32" ht="30" customHeight="1">
      <c r="A716" s="947">
        <f t="shared" si="131"/>
        <v>709</v>
      </c>
      <c r="B716" s="948">
        <v>41</v>
      </c>
      <c r="C716" s="949">
        <v>34882</v>
      </c>
      <c r="D716" s="949" t="s">
        <v>179</v>
      </c>
      <c r="E716" s="904">
        <v>2</v>
      </c>
      <c r="F716" s="644">
        <v>1995</v>
      </c>
      <c r="G716" s="948" t="s">
        <v>141</v>
      </c>
      <c r="H716" s="645" t="s">
        <v>149</v>
      </c>
      <c r="I716" s="951">
        <v>75</v>
      </c>
      <c r="J716" s="951">
        <v>0.5</v>
      </c>
      <c r="K716" s="952">
        <f t="shared" si="129"/>
        <v>2.130681818181818E-2</v>
      </c>
      <c r="L716" s="644">
        <f t="shared" si="121"/>
        <v>20</v>
      </c>
      <c r="M716" s="935">
        <v>0.84375</v>
      </c>
      <c r="N716" s="936">
        <f t="shared" si="122"/>
        <v>0.84375</v>
      </c>
      <c r="O716" s="725">
        <v>0.85069444444444453</v>
      </c>
      <c r="P716" s="725">
        <f t="shared" si="125"/>
        <v>6.9444444444445308E-3</v>
      </c>
      <c r="Q716" s="106" t="s">
        <v>494</v>
      </c>
      <c r="R716" s="37"/>
      <c r="S716" s="37" t="str">
        <f t="shared" si="123"/>
        <v>CarsonF0</v>
      </c>
      <c r="T716" s="37" t="str">
        <f t="shared" si="126"/>
        <v>1995F0</v>
      </c>
      <c r="U716" s="429">
        <v>50</v>
      </c>
      <c r="V716" s="1029">
        <v>0.5</v>
      </c>
      <c r="W716" s="598">
        <v>0.02</v>
      </c>
      <c r="X716" s="429"/>
      <c r="Y716" s="37" t="str">
        <f t="shared" si="127"/>
        <v>F050</v>
      </c>
      <c r="Z716" s="37" t="str">
        <f t="shared" si="128"/>
        <v>F00.5</v>
      </c>
      <c r="AA716" s="37" t="str">
        <f t="shared" si="130"/>
        <v>F00.02</v>
      </c>
      <c r="AB716" s="498" t="str">
        <f t="shared" si="124"/>
        <v>F020</v>
      </c>
      <c r="AC716" s="572"/>
      <c r="AD716" s="572"/>
      <c r="AE716" s="572"/>
      <c r="AF716" s="572"/>
    </row>
    <row r="717" spans="1:32">
      <c r="A717" s="947">
        <f t="shared" si="131"/>
        <v>710</v>
      </c>
      <c r="B717" s="948">
        <v>42</v>
      </c>
      <c r="C717" s="949">
        <v>34902</v>
      </c>
      <c r="D717" s="949" t="s">
        <v>179</v>
      </c>
      <c r="E717" s="904">
        <v>22</v>
      </c>
      <c r="F717" s="644">
        <v>1995</v>
      </c>
      <c r="G717" s="948" t="s">
        <v>138</v>
      </c>
      <c r="H717" s="645" t="s">
        <v>149</v>
      </c>
      <c r="I717" s="951">
        <v>25</v>
      </c>
      <c r="J717" s="951">
        <v>0.1</v>
      </c>
      <c r="K717" s="952">
        <f t="shared" si="129"/>
        <v>1.4204545454545455E-3</v>
      </c>
      <c r="L717" s="644">
        <f t="shared" si="121"/>
        <v>19</v>
      </c>
      <c r="M717" s="935">
        <v>0.80625000000000002</v>
      </c>
      <c r="N717" s="936">
        <f t="shared" si="122"/>
        <v>0.80625000000000002</v>
      </c>
      <c r="O717" s="725"/>
      <c r="P717" s="725">
        <f t="shared" si="125"/>
        <v>-0.80625000000000002</v>
      </c>
      <c r="Q717" s="622" t="s">
        <v>374</v>
      </c>
      <c r="R717" s="37"/>
      <c r="S717" s="37" t="str">
        <f t="shared" si="123"/>
        <v>HemphillF0</v>
      </c>
      <c r="T717" s="37" t="str">
        <f t="shared" si="126"/>
        <v>1995F0</v>
      </c>
      <c r="U717" s="429">
        <v>20</v>
      </c>
      <c r="V717" s="1029">
        <v>0.1</v>
      </c>
      <c r="W717" s="598">
        <v>1E-3</v>
      </c>
      <c r="X717" s="429"/>
      <c r="Y717" s="37" t="str">
        <f t="shared" si="127"/>
        <v>F020</v>
      </c>
      <c r="Z717" s="37" t="str">
        <f t="shared" si="128"/>
        <v>F00.1</v>
      </c>
      <c r="AA717" s="37" t="str">
        <f t="shared" si="130"/>
        <v>F00.001</v>
      </c>
      <c r="AB717" s="498" t="str">
        <f t="shared" si="124"/>
        <v>F019</v>
      </c>
      <c r="AC717" s="572"/>
      <c r="AD717" s="572"/>
      <c r="AE717" s="572"/>
      <c r="AF717" s="572"/>
    </row>
    <row r="718" spans="1:32" ht="30" customHeight="1">
      <c r="A718" s="947">
        <f t="shared" si="131"/>
        <v>711</v>
      </c>
      <c r="B718" s="948">
        <v>43</v>
      </c>
      <c r="C718" s="949">
        <v>34903</v>
      </c>
      <c r="D718" s="949" t="s">
        <v>179</v>
      </c>
      <c r="E718" s="904">
        <v>23</v>
      </c>
      <c r="F718" s="644">
        <v>1995</v>
      </c>
      <c r="G718" s="948" t="s">
        <v>146</v>
      </c>
      <c r="H718" s="645" t="s">
        <v>150</v>
      </c>
      <c r="I718" s="951">
        <v>150</v>
      </c>
      <c r="J718" s="951">
        <v>4</v>
      </c>
      <c r="K718" s="952">
        <f t="shared" si="129"/>
        <v>0.34090909090909088</v>
      </c>
      <c r="L718" s="644">
        <f t="shared" si="121"/>
        <v>19</v>
      </c>
      <c r="M718" s="935">
        <v>0.79305555555555562</v>
      </c>
      <c r="N718" s="936">
        <f t="shared" si="122"/>
        <v>0.79305555555555562</v>
      </c>
      <c r="O718" s="725">
        <v>0.80347222222222225</v>
      </c>
      <c r="P718" s="725">
        <f t="shared" si="125"/>
        <v>1.041666666666663E-2</v>
      </c>
      <c r="Q718" s="106" t="s">
        <v>495</v>
      </c>
      <c r="R718" s="37"/>
      <c r="S718" s="37" t="str">
        <f t="shared" si="123"/>
        <v>ArmstrongF1</v>
      </c>
      <c r="T718" s="37" t="str">
        <f t="shared" si="126"/>
        <v>1995F1</v>
      </c>
      <c r="U718" s="429">
        <v>100</v>
      </c>
      <c r="V718" s="1029">
        <v>2</v>
      </c>
      <c r="W718" s="598">
        <v>0.2</v>
      </c>
      <c r="X718" s="429"/>
      <c r="Y718" s="37" t="str">
        <f t="shared" si="127"/>
        <v>F1100</v>
      </c>
      <c r="Z718" s="37" t="str">
        <f t="shared" si="128"/>
        <v>F12</v>
      </c>
      <c r="AA718" s="37" t="str">
        <f t="shared" si="130"/>
        <v>F10.2</v>
      </c>
      <c r="AB718" s="498" t="str">
        <f t="shared" si="124"/>
        <v>F119</v>
      </c>
      <c r="AC718" s="572"/>
      <c r="AD718" s="572"/>
      <c r="AE718" s="572"/>
      <c r="AF718" s="572"/>
    </row>
    <row r="719" spans="1:32" ht="30" customHeight="1">
      <c r="A719" s="947">
        <f t="shared" si="131"/>
        <v>712</v>
      </c>
      <c r="B719" s="948">
        <v>44</v>
      </c>
      <c r="C719" s="949">
        <v>34903</v>
      </c>
      <c r="D719" s="949" t="s">
        <v>179</v>
      </c>
      <c r="E719" s="904">
        <v>23</v>
      </c>
      <c r="F719" s="644">
        <v>1995</v>
      </c>
      <c r="G719" s="948" t="s">
        <v>146</v>
      </c>
      <c r="H719" s="645" t="s">
        <v>149</v>
      </c>
      <c r="I719" s="951">
        <v>100</v>
      </c>
      <c r="J719" s="951">
        <v>2</v>
      </c>
      <c r="K719" s="952">
        <f t="shared" si="129"/>
        <v>0.11363636363636363</v>
      </c>
      <c r="L719" s="644">
        <f t="shared" si="121"/>
        <v>19</v>
      </c>
      <c r="M719" s="935">
        <v>0.82638888888888884</v>
      </c>
      <c r="N719" s="936">
        <f t="shared" si="122"/>
        <v>0.82638888888888884</v>
      </c>
      <c r="O719" s="725">
        <v>0.83194444444444438</v>
      </c>
      <c r="P719" s="725">
        <f t="shared" si="125"/>
        <v>5.5555555555555358E-3</v>
      </c>
      <c r="Q719" s="106" t="s">
        <v>496</v>
      </c>
      <c r="R719" s="37"/>
      <c r="S719" s="37" t="str">
        <f t="shared" si="123"/>
        <v>ArmstrongF0</v>
      </c>
      <c r="T719" s="37" t="str">
        <f t="shared" si="126"/>
        <v>1995F0</v>
      </c>
      <c r="U719" s="429">
        <v>100</v>
      </c>
      <c r="V719" s="1029">
        <v>2</v>
      </c>
      <c r="W719" s="598">
        <v>0.1</v>
      </c>
      <c r="X719" s="429"/>
      <c r="Y719" s="37" t="str">
        <f t="shared" si="127"/>
        <v>F0100</v>
      </c>
      <c r="Z719" s="37" t="str">
        <f t="shared" si="128"/>
        <v>F02</v>
      </c>
      <c r="AA719" s="37" t="str">
        <f t="shared" si="130"/>
        <v>F00.1</v>
      </c>
      <c r="AB719" s="498" t="str">
        <f t="shared" si="124"/>
        <v>F019</v>
      </c>
      <c r="AC719" s="572"/>
      <c r="AD719" s="572"/>
      <c r="AE719" s="572"/>
      <c r="AF719" s="572"/>
    </row>
    <row r="720" spans="1:32">
      <c r="A720" s="947">
        <f t="shared" si="131"/>
        <v>713</v>
      </c>
      <c r="B720" s="948">
        <v>1</v>
      </c>
      <c r="C720" s="949">
        <v>35194</v>
      </c>
      <c r="D720" s="949" t="s">
        <v>177</v>
      </c>
      <c r="E720" s="904">
        <v>9</v>
      </c>
      <c r="F720" s="644">
        <v>1996</v>
      </c>
      <c r="G720" s="948" t="s">
        <v>142</v>
      </c>
      <c r="H720" s="645" t="s">
        <v>149</v>
      </c>
      <c r="I720" s="951">
        <v>25</v>
      </c>
      <c r="J720" s="951">
        <v>0.1</v>
      </c>
      <c r="K720" s="952">
        <f t="shared" si="129"/>
        <v>1.4204545454545455E-3</v>
      </c>
      <c r="L720" s="644">
        <f t="shared" si="121"/>
        <v>17</v>
      </c>
      <c r="M720" s="935">
        <v>0.72222222222222221</v>
      </c>
      <c r="N720" s="936">
        <f t="shared" si="122"/>
        <v>0.72222222222222221</v>
      </c>
      <c r="O720" s="725">
        <v>0.72291666666666676</v>
      </c>
      <c r="P720" s="725">
        <f t="shared" si="125"/>
        <v>6.94444444444553E-4</v>
      </c>
      <c r="Q720" s="622" t="s">
        <v>345</v>
      </c>
      <c r="R720" s="37"/>
      <c r="S720" s="37" t="str">
        <f t="shared" si="123"/>
        <v>GrayF0</v>
      </c>
      <c r="T720" s="37" t="str">
        <f t="shared" si="126"/>
        <v>1996F0</v>
      </c>
      <c r="U720" s="429">
        <v>20</v>
      </c>
      <c r="V720" s="1029">
        <v>0.1</v>
      </c>
      <c r="W720" s="598">
        <v>1E-3</v>
      </c>
      <c r="X720" s="429"/>
      <c r="Y720" s="37" t="str">
        <f t="shared" si="127"/>
        <v>F020</v>
      </c>
      <c r="Z720" s="37" t="str">
        <f t="shared" si="128"/>
        <v>F00.1</v>
      </c>
      <c r="AA720" s="37" t="str">
        <f t="shared" si="130"/>
        <v>F00.001</v>
      </c>
      <c r="AB720" s="498" t="str">
        <f t="shared" si="124"/>
        <v>F017</v>
      </c>
      <c r="AC720" s="572"/>
      <c r="AD720" s="572"/>
      <c r="AE720" s="572"/>
      <c r="AF720" s="572"/>
    </row>
    <row r="721" spans="1:32">
      <c r="A721" s="947">
        <f t="shared" si="131"/>
        <v>714</v>
      </c>
      <c r="B721" s="948">
        <v>2</v>
      </c>
      <c r="C721" s="949">
        <v>35194</v>
      </c>
      <c r="D721" s="949" t="s">
        <v>177</v>
      </c>
      <c r="E721" s="904">
        <v>9</v>
      </c>
      <c r="F721" s="644">
        <v>1996</v>
      </c>
      <c r="G721" s="948" t="s">
        <v>143</v>
      </c>
      <c r="H721" s="645" t="s">
        <v>149</v>
      </c>
      <c r="I721" s="951">
        <v>100</v>
      </c>
      <c r="J721" s="951">
        <v>5</v>
      </c>
      <c r="K721" s="952">
        <f t="shared" si="129"/>
        <v>0.28409090909090906</v>
      </c>
      <c r="L721" s="644">
        <f t="shared" si="121"/>
        <v>17</v>
      </c>
      <c r="M721" s="935">
        <v>0.74930555555555556</v>
      </c>
      <c r="N721" s="936">
        <f t="shared" si="122"/>
        <v>0.74930555555555556</v>
      </c>
      <c r="O721" s="725">
        <v>0.75694444444444453</v>
      </c>
      <c r="P721" s="725">
        <f t="shared" si="125"/>
        <v>7.6388888888889728E-3</v>
      </c>
      <c r="Q721" s="622" t="s">
        <v>449</v>
      </c>
      <c r="R721" s="37"/>
      <c r="S721" s="37" t="str">
        <f t="shared" si="123"/>
        <v>WheelerF0</v>
      </c>
      <c r="T721" s="37" t="str">
        <f t="shared" si="126"/>
        <v>1996F0</v>
      </c>
      <c r="U721" s="429">
        <v>100</v>
      </c>
      <c r="V721" s="1029">
        <v>5</v>
      </c>
      <c r="W721" s="598">
        <v>0.2</v>
      </c>
      <c r="X721" s="429"/>
      <c r="Y721" s="37" t="str">
        <f t="shared" si="127"/>
        <v>F0100</v>
      </c>
      <c r="Z721" s="37" t="str">
        <f t="shared" si="128"/>
        <v>F05</v>
      </c>
      <c r="AA721" s="37" t="str">
        <f t="shared" si="130"/>
        <v>F00.2</v>
      </c>
      <c r="AB721" s="498" t="str">
        <f t="shared" si="124"/>
        <v>F017</v>
      </c>
      <c r="AC721" s="572"/>
      <c r="AD721" s="572"/>
      <c r="AE721" s="572"/>
      <c r="AF721" s="572"/>
    </row>
    <row r="722" spans="1:32" ht="25.5">
      <c r="A722" s="947">
        <f t="shared" si="131"/>
        <v>715</v>
      </c>
      <c r="B722" s="948">
        <v>3</v>
      </c>
      <c r="C722" s="949">
        <v>35194</v>
      </c>
      <c r="D722" s="949" t="s">
        <v>177</v>
      </c>
      <c r="E722" s="904">
        <v>9</v>
      </c>
      <c r="F722" s="644">
        <v>1996</v>
      </c>
      <c r="G722" s="948" t="s">
        <v>143</v>
      </c>
      <c r="H722" s="645" t="s">
        <v>149</v>
      </c>
      <c r="I722" s="951">
        <v>20</v>
      </c>
      <c r="J722" s="951">
        <v>0.1</v>
      </c>
      <c r="K722" s="952">
        <f t="shared" si="129"/>
        <v>1.1363636363636365E-3</v>
      </c>
      <c r="L722" s="644">
        <f t="shared" si="121"/>
        <v>18</v>
      </c>
      <c r="M722" s="935">
        <v>0.76527777777777783</v>
      </c>
      <c r="N722" s="936">
        <f t="shared" si="122"/>
        <v>0.76527777777777783</v>
      </c>
      <c r="O722" s="725">
        <v>0.76527777777777783</v>
      </c>
      <c r="P722" s="725">
        <f t="shared" si="125"/>
        <v>0</v>
      </c>
      <c r="Q722" s="622" t="s">
        <v>40</v>
      </c>
      <c r="R722" s="37"/>
      <c r="S722" s="37" t="str">
        <f t="shared" si="123"/>
        <v>WheelerF0</v>
      </c>
      <c r="T722" s="37" t="str">
        <f t="shared" si="126"/>
        <v>1996F0</v>
      </c>
      <c r="U722" s="429">
        <v>20</v>
      </c>
      <c r="V722" s="1029">
        <v>0.1</v>
      </c>
      <c r="W722" s="598">
        <v>1E-3</v>
      </c>
      <c r="X722" s="429"/>
      <c r="Y722" s="37" t="str">
        <f t="shared" si="127"/>
        <v>F020</v>
      </c>
      <c r="Z722" s="37" t="str">
        <f t="shared" si="128"/>
        <v>F00.1</v>
      </c>
      <c r="AA722" s="37" t="str">
        <f t="shared" si="130"/>
        <v>F00.001</v>
      </c>
      <c r="AB722" s="498" t="str">
        <f t="shared" si="124"/>
        <v>F018</v>
      </c>
      <c r="AC722" s="572"/>
      <c r="AD722" s="572"/>
      <c r="AE722" s="572"/>
      <c r="AF722" s="572"/>
    </row>
    <row r="723" spans="1:32">
      <c r="A723" s="947">
        <f t="shared" si="131"/>
        <v>716</v>
      </c>
      <c r="B723" s="948">
        <v>4</v>
      </c>
      <c r="C723" s="949">
        <v>35194</v>
      </c>
      <c r="D723" s="949" t="s">
        <v>177</v>
      </c>
      <c r="E723" s="904">
        <v>9</v>
      </c>
      <c r="F723" s="644">
        <v>1996</v>
      </c>
      <c r="G723" s="948" t="s">
        <v>143</v>
      </c>
      <c r="H723" s="645" t="s">
        <v>149</v>
      </c>
      <c r="I723" s="951">
        <v>75</v>
      </c>
      <c r="J723" s="951">
        <v>0.6</v>
      </c>
      <c r="K723" s="952">
        <f t="shared" si="129"/>
        <v>2.5568181818181816E-2</v>
      </c>
      <c r="L723" s="644">
        <f t="shared" si="121"/>
        <v>18</v>
      </c>
      <c r="M723" s="935">
        <v>0.7715277777777777</v>
      </c>
      <c r="N723" s="936">
        <f t="shared" si="122"/>
        <v>0.7715277777777777</v>
      </c>
      <c r="O723" s="725">
        <v>0.77430555555555547</v>
      </c>
      <c r="P723" s="725">
        <f t="shared" si="125"/>
        <v>2.7777777777777679E-3</v>
      </c>
      <c r="Q723" s="622" t="s">
        <v>450</v>
      </c>
      <c r="R723" s="37"/>
      <c r="S723" s="37" t="str">
        <f t="shared" si="123"/>
        <v>WheelerF0</v>
      </c>
      <c r="T723" s="37" t="str">
        <f t="shared" si="126"/>
        <v>1996F0</v>
      </c>
      <c r="U723" s="429">
        <v>50</v>
      </c>
      <c r="V723" s="1029">
        <v>0.5</v>
      </c>
      <c r="W723" s="598">
        <v>0.02</v>
      </c>
      <c r="X723" s="429"/>
      <c r="Y723" s="37" t="str">
        <f t="shared" si="127"/>
        <v>F050</v>
      </c>
      <c r="Z723" s="37" t="str">
        <f t="shared" si="128"/>
        <v>F00.5</v>
      </c>
      <c r="AA723" s="37" t="str">
        <f t="shared" si="130"/>
        <v>F00.02</v>
      </c>
      <c r="AB723" s="498" t="str">
        <f t="shared" si="124"/>
        <v>F018</v>
      </c>
      <c r="AC723" s="572"/>
      <c r="AD723" s="572"/>
      <c r="AE723" s="572"/>
      <c r="AF723" s="572"/>
    </row>
    <row r="724" spans="1:32">
      <c r="A724" s="947">
        <f t="shared" si="131"/>
        <v>717</v>
      </c>
      <c r="B724" s="948">
        <v>5</v>
      </c>
      <c r="C724" s="949">
        <v>35209</v>
      </c>
      <c r="D724" s="949" t="s">
        <v>177</v>
      </c>
      <c r="E724" s="904">
        <v>24</v>
      </c>
      <c r="F724" s="644">
        <v>1996</v>
      </c>
      <c r="G724" s="948" t="s">
        <v>131</v>
      </c>
      <c r="H724" s="645" t="s">
        <v>149</v>
      </c>
      <c r="I724" s="951">
        <v>50</v>
      </c>
      <c r="J724" s="951">
        <v>1</v>
      </c>
      <c r="K724" s="952">
        <f t="shared" si="129"/>
        <v>2.8409090909090908E-2</v>
      </c>
      <c r="L724" s="644">
        <f t="shared" si="121"/>
        <v>14</v>
      </c>
      <c r="M724" s="935">
        <v>0.61736111111111114</v>
      </c>
      <c r="N724" s="936">
        <f t="shared" si="122"/>
        <v>0.61736111111111114</v>
      </c>
      <c r="O724" s="725">
        <v>0.62083333333333335</v>
      </c>
      <c r="P724" s="725">
        <f t="shared" si="125"/>
        <v>3.4722222222222099E-3</v>
      </c>
      <c r="Q724" s="622" t="s">
        <v>356</v>
      </c>
      <c r="R724" s="37"/>
      <c r="S724" s="37" t="str">
        <f t="shared" si="123"/>
        <v>HansfordF0</v>
      </c>
      <c r="T724" s="37" t="str">
        <f t="shared" si="126"/>
        <v>1996F0</v>
      </c>
      <c r="U724" s="429">
        <v>50</v>
      </c>
      <c r="V724" s="1029">
        <v>1</v>
      </c>
      <c r="W724" s="598">
        <v>0.02</v>
      </c>
      <c r="X724" s="429"/>
      <c r="Y724" s="37" t="str">
        <f t="shared" si="127"/>
        <v>F050</v>
      </c>
      <c r="Z724" s="37" t="str">
        <f t="shared" si="128"/>
        <v>F01</v>
      </c>
      <c r="AA724" s="37" t="str">
        <f t="shared" si="130"/>
        <v>F00.02</v>
      </c>
      <c r="AB724" s="498" t="str">
        <f t="shared" si="124"/>
        <v>F014</v>
      </c>
      <c r="AC724" s="572"/>
      <c r="AD724" s="572"/>
      <c r="AE724" s="572"/>
      <c r="AF724" s="572"/>
    </row>
    <row r="725" spans="1:32">
      <c r="A725" s="947">
        <f t="shared" si="131"/>
        <v>718</v>
      </c>
      <c r="B725" s="948">
        <v>6</v>
      </c>
      <c r="C725" s="949">
        <v>35209</v>
      </c>
      <c r="D725" s="949" t="s">
        <v>177</v>
      </c>
      <c r="E725" s="904">
        <v>24</v>
      </c>
      <c r="F725" s="644">
        <v>1996</v>
      </c>
      <c r="G725" s="948" t="s">
        <v>136</v>
      </c>
      <c r="H725" s="645" t="s">
        <v>149</v>
      </c>
      <c r="I725" s="951">
        <v>30</v>
      </c>
      <c r="J725" s="951">
        <v>0.5</v>
      </c>
      <c r="K725" s="952">
        <f t="shared" si="129"/>
        <v>8.5227272727272721E-3</v>
      </c>
      <c r="L725" s="644">
        <f t="shared" si="121"/>
        <v>14</v>
      </c>
      <c r="M725" s="935">
        <v>0.62222222222222223</v>
      </c>
      <c r="N725" s="936">
        <f t="shared" si="122"/>
        <v>0.62222222222222223</v>
      </c>
      <c r="O725" s="725">
        <v>0.62430555555555556</v>
      </c>
      <c r="P725" s="725">
        <f t="shared" si="125"/>
        <v>2.0833333333333259E-3</v>
      </c>
      <c r="Q725" s="622" t="s">
        <v>378</v>
      </c>
      <c r="R725" s="37"/>
      <c r="S725" s="37" t="str">
        <f t="shared" si="123"/>
        <v>HutchinsonF0</v>
      </c>
      <c r="T725" s="37" t="str">
        <f t="shared" si="126"/>
        <v>1996F0</v>
      </c>
      <c r="U725" s="429">
        <v>20</v>
      </c>
      <c r="V725" s="1029">
        <v>0.5</v>
      </c>
      <c r="W725" s="598">
        <v>5.0000000000000001E-3</v>
      </c>
      <c r="X725" s="429"/>
      <c r="Y725" s="37" t="str">
        <f t="shared" si="127"/>
        <v>F020</v>
      </c>
      <c r="Z725" s="37" t="str">
        <f t="shared" si="128"/>
        <v>F00.5</v>
      </c>
      <c r="AA725" s="37" t="str">
        <f t="shared" si="130"/>
        <v>F00.005</v>
      </c>
      <c r="AB725" s="498" t="str">
        <f t="shared" si="124"/>
        <v>F014</v>
      </c>
      <c r="AC725" s="572"/>
      <c r="AD725" s="572"/>
      <c r="AE725" s="572"/>
      <c r="AF725" s="572"/>
    </row>
    <row r="726" spans="1:32">
      <c r="A726" s="947">
        <f t="shared" si="131"/>
        <v>719</v>
      </c>
      <c r="B726" s="948">
        <v>7</v>
      </c>
      <c r="C726" s="949">
        <v>35209</v>
      </c>
      <c r="D726" s="949" t="s">
        <v>177</v>
      </c>
      <c r="E726" s="904">
        <v>24</v>
      </c>
      <c r="F726" s="644">
        <v>1996</v>
      </c>
      <c r="G726" s="948" t="s">
        <v>132</v>
      </c>
      <c r="H726" s="645" t="s">
        <v>149</v>
      </c>
      <c r="I726" s="951">
        <v>40</v>
      </c>
      <c r="J726" s="951">
        <v>0.6</v>
      </c>
      <c r="K726" s="952">
        <f t="shared" si="129"/>
        <v>1.3636363636363636E-2</v>
      </c>
      <c r="L726" s="644">
        <f t="shared" si="121"/>
        <v>14</v>
      </c>
      <c r="M726" s="935">
        <v>0.62291666666666667</v>
      </c>
      <c r="N726" s="936">
        <f t="shared" si="122"/>
        <v>0.62291666666666667</v>
      </c>
      <c r="O726" s="725">
        <v>0.62569444444444444</v>
      </c>
      <c r="P726" s="725">
        <f t="shared" si="125"/>
        <v>2.7777777777777679E-3</v>
      </c>
      <c r="Q726" s="622" t="s">
        <v>404</v>
      </c>
      <c r="R726" s="37"/>
      <c r="S726" s="37" t="str">
        <f t="shared" si="123"/>
        <v>OchiltreeF0</v>
      </c>
      <c r="T726" s="37" t="str">
        <f t="shared" si="126"/>
        <v>1996F0</v>
      </c>
      <c r="U726" s="429">
        <v>20</v>
      </c>
      <c r="V726" s="1029">
        <v>0.5</v>
      </c>
      <c r="W726" s="598">
        <v>0.01</v>
      </c>
      <c r="X726" s="429"/>
      <c r="Y726" s="37" t="str">
        <f t="shared" si="127"/>
        <v>F020</v>
      </c>
      <c r="Z726" s="37" t="str">
        <f t="shared" si="128"/>
        <v>F00.5</v>
      </c>
      <c r="AA726" s="37" t="str">
        <f t="shared" si="130"/>
        <v>F00.01</v>
      </c>
      <c r="AB726" s="498" t="str">
        <f t="shared" si="124"/>
        <v>F014</v>
      </c>
      <c r="AC726" s="572"/>
      <c r="AD726" s="572"/>
      <c r="AE726" s="572"/>
      <c r="AF726" s="572"/>
    </row>
    <row r="727" spans="1:32">
      <c r="A727" s="947">
        <f t="shared" si="131"/>
        <v>720</v>
      </c>
      <c r="B727" s="948">
        <v>8</v>
      </c>
      <c r="C727" s="949">
        <v>35209</v>
      </c>
      <c r="D727" s="949" t="s">
        <v>177</v>
      </c>
      <c r="E727" s="904">
        <v>24</v>
      </c>
      <c r="F727" s="644">
        <v>1996</v>
      </c>
      <c r="G727" s="948" t="s">
        <v>131</v>
      </c>
      <c r="H727" s="645" t="s">
        <v>149</v>
      </c>
      <c r="I727" s="951">
        <v>75</v>
      </c>
      <c r="J727" s="951">
        <v>0.6</v>
      </c>
      <c r="K727" s="952">
        <f t="shared" si="129"/>
        <v>2.5568181818181816E-2</v>
      </c>
      <c r="L727" s="644">
        <f t="shared" si="121"/>
        <v>15</v>
      </c>
      <c r="M727" s="935">
        <v>0.64444444444444449</v>
      </c>
      <c r="N727" s="936">
        <f t="shared" si="122"/>
        <v>0.64444444444444449</v>
      </c>
      <c r="O727" s="725">
        <v>0.64722222222222225</v>
      </c>
      <c r="P727" s="725">
        <f t="shared" si="125"/>
        <v>2.7777777777777679E-3</v>
      </c>
      <c r="Q727" s="622" t="s">
        <v>357</v>
      </c>
      <c r="R727" s="37"/>
      <c r="S727" s="37" t="str">
        <f t="shared" si="123"/>
        <v>HansfordF0</v>
      </c>
      <c r="T727" s="37" t="str">
        <f t="shared" si="126"/>
        <v>1996F0</v>
      </c>
      <c r="U727" s="429">
        <v>50</v>
      </c>
      <c r="V727" s="1029">
        <v>0.5</v>
      </c>
      <c r="W727" s="598">
        <v>0.02</v>
      </c>
      <c r="X727" s="429"/>
      <c r="Y727" s="37" t="str">
        <f t="shared" si="127"/>
        <v>F050</v>
      </c>
      <c r="Z727" s="37" t="str">
        <f t="shared" si="128"/>
        <v>F00.5</v>
      </c>
      <c r="AA727" s="37" t="str">
        <f t="shared" si="130"/>
        <v>F00.02</v>
      </c>
      <c r="AB727" s="498" t="str">
        <f t="shared" si="124"/>
        <v>F015</v>
      </c>
      <c r="AC727" s="572"/>
      <c r="AD727" s="572"/>
      <c r="AE727" s="572"/>
      <c r="AF727" s="572"/>
    </row>
    <row r="728" spans="1:32">
      <c r="A728" s="947">
        <f t="shared" si="131"/>
        <v>721</v>
      </c>
      <c r="B728" s="948">
        <v>9</v>
      </c>
      <c r="C728" s="949">
        <v>35209</v>
      </c>
      <c r="D728" s="949" t="s">
        <v>177</v>
      </c>
      <c r="E728" s="904">
        <v>24</v>
      </c>
      <c r="F728" s="644">
        <v>1996</v>
      </c>
      <c r="G728" s="948" t="s">
        <v>132</v>
      </c>
      <c r="H728" s="645" t="s">
        <v>149</v>
      </c>
      <c r="I728" s="951">
        <v>50</v>
      </c>
      <c r="J728" s="951">
        <v>0.5</v>
      </c>
      <c r="K728" s="952">
        <f t="shared" si="129"/>
        <v>1.4204545454545454E-2</v>
      </c>
      <c r="L728" s="644">
        <f t="shared" si="121"/>
        <v>15</v>
      </c>
      <c r="M728" s="935">
        <v>0.65416666666666667</v>
      </c>
      <c r="N728" s="936">
        <f t="shared" si="122"/>
        <v>0.65416666666666667</v>
      </c>
      <c r="O728" s="725">
        <v>0.65694444444444444</v>
      </c>
      <c r="P728" s="725">
        <f t="shared" si="125"/>
        <v>2.7777777777777679E-3</v>
      </c>
      <c r="Q728" s="622" t="s">
        <v>405</v>
      </c>
      <c r="R728" s="37"/>
      <c r="S728" s="37" t="str">
        <f t="shared" si="123"/>
        <v>OchiltreeF0</v>
      </c>
      <c r="T728" s="37" t="str">
        <f t="shared" si="126"/>
        <v>1996F0</v>
      </c>
      <c r="U728" s="429">
        <v>50</v>
      </c>
      <c r="V728" s="1029">
        <v>0.5</v>
      </c>
      <c r="W728" s="598">
        <v>0.01</v>
      </c>
      <c r="X728" s="429"/>
      <c r="Y728" s="37" t="str">
        <f t="shared" si="127"/>
        <v>F050</v>
      </c>
      <c r="Z728" s="37" t="str">
        <f t="shared" si="128"/>
        <v>F00.5</v>
      </c>
      <c r="AA728" s="37" t="str">
        <f t="shared" si="130"/>
        <v>F00.01</v>
      </c>
      <c r="AB728" s="498" t="str">
        <f t="shared" si="124"/>
        <v>F015</v>
      </c>
      <c r="AC728" s="572"/>
      <c r="AD728" s="572"/>
      <c r="AE728" s="572"/>
      <c r="AF728" s="572"/>
    </row>
    <row r="729" spans="1:32">
      <c r="A729" s="947">
        <f t="shared" si="131"/>
        <v>722</v>
      </c>
      <c r="B729" s="948">
        <v>10</v>
      </c>
      <c r="C729" s="949">
        <v>35209</v>
      </c>
      <c r="D729" s="949" t="s">
        <v>177</v>
      </c>
      <c r="E729" s="904">
        <v>24</v>
      </c>
      <c r="F729" s="644">
        <v>1996</v>
      </c>
      <c r="G729" s="948" t="s">
        <v>141</v>
      </c>
      <c r="H729" s="645" t="s">
        <v>149</v>
      </c>
      <c r="I729" s="951">
        <v>50</v>
      </c>
      <c r="J729" s="951">
        <v>0.6</v>
      </c>
      <c r="K729" s="952">
        <f t="shared" si="129"/>
        <v>1.7045454545454544E-2</v>
      </c>
      <c r="L729" s="644">
        <f t="shared" si="121"/>
        <v>16</v>
      </c>
      <c r="M729" s="935">
        <v>0.68958333333333333</v>
      </c>
      <c r="N729" s="936">
        <f t="shared" si="122"/>
        <v>0.68958333333333333</v>
      </c>
      <c r="O729" s="725">
        <v>0.69305555555555554</v>
      </c>
      <c r="P729" s="725">
        <f t="shared" si="125"/>
        <v>3.4722222222222099E-3</v>
      </c>
      <c r="Q729" s="622" t="s">
        <v>288</v>
      </c>
      <c r="R729" s="37"/>
      <c r="S729" s="37" t="str">
        <f t="shared" si="123"/>
        <v>CarsonF0</v>
      </c>
      <c r="T729" s="37" t="str">
        <f t="shared" si="126"/>
        <v>1996F0</v>
      </c>
      <c r="U729" s="429">
        <v>50</v>
      </c>
      <c r="V729" s="1029">
        <v>0.5</v>
      </c>
      <c r="W729" s="598">
        <v>0.01</v>
      </c>
      <c r="X729" s="429"/>
      <c r="Y729" s="37" t="str">
        <f t="shared" si="127"/>
        <v>F050</v>
      </c>
      <c r="Z729" s="37" t="str">
        <f t="shared" si="128"/>
        <v>F00.5</v>
      </c>
      <c r="AA729" s="37" t="str">
        <f t="shared" si="130"/>
        <v>F00.01</v>
      </c>
      <c r="AB729" s="498" t="str">
        <f t="shared" si="124"/>
        <v>F016</v>
      </c>
      <c r="AC729" s="572"/>
      <c r="AD729" s="572"/>
      <c r="AE729" s="572"/>
      <c r="AF729" s="572"/>
    </row>
    <row r="730" spans="1:32">
      <c r="A730" s="947">
        <f t="shared" si="131"/>
        <v>723</v>
      </c>
      <c r="B730" s="948">
        <v>11</v>
      </c>
      <c r="C730" s="949">
        <v>35209</v>
      </c>
      <c r="D730" s="949" t="s">
        <v>177</v>
      </c>
      <c r="E730" s="904">
        <v>24</v>
      </c>
      <c r="F730" s="644">
        <v>1996</v>
      </c>
      <c r="G730" s="948" t="s">
        <v>142</v>
      </c>
      <c r="H730" s="645" t="s">
        <v>149</v>
      </c>
      <c r="I730" s="951">
        <v>40</v>
      </c>
      <c r="J730" s="951">
        <v>0.5</v>
      </c>
      <c r="K730" s="952">
        <f t="shared" si="129"/>
        <v>1.1363636363636364E-2</v>
      </c>
      <c r="L730" s="644">
        <f t="shared" si="121"/>
        <v>17</v>
      </c>
      <c r="M730" s="935">
        <v>0.74652777777777779</v>
      </c>
      <c r="N730" s="936">
        <f t="shared" si="122"/>
        <v>0.74652777777777779</v>
      </c>
      <c r="O730" s="725">
        <v>0.74861111111111101</v>
      </c>
      <c r="P730" s="725">
        <f t="shared" si="125"/>
        <v>2.0833333333332149E-3</v>
      </c>
      <c r="Q730" s="622" t="s">
        <v>346</v>
      </c>
      <c r="R730" s="37"/>
      <c r="S730" s="37" t="str">
        <f t="shared" si="123"/>
        <v>GrayF0</v>
      </c>
      <c r="T730" s="37" t="str">
        <f t="shared" si="126"/>
        <v>1996F0</v>
      </c>
      <c r="U730" s="429">
        <v>20</v>
      </c>
      <c r="V730" s="1029">
        <v>0.5</v>
      </c>
      <c r="W730" s="598">
        <v>0.01</v>
      </c>
      <c r="X730" s="429"/>
      <c r="Y730" s="37" t="str">
        <f t="shared" si="127"/>
        <v>F020</v>
      </c>
      <c r="Z730" s="37" t="str">
        <f t="shared" si="128"/>
        <v>F00.5</v>
      </c>
      <c r="AA730" s="37" t="str">
        <f t="shared" si="130"/>
        <v>F00.01</v>
      </c>
      <c r="AB730" s="498" t="str">
        <f t="shared" si="124"/>
        <v>F017</v>
      </c>
      <c r="AC730" s="572"/>
      <c r="AD730" s="572"/>
      <c r="AE730" s="572"/>
      <c r="AF730" s="572"/>
    </row>
    <row r="731" spans="1:32">
      <c r="A731" s="947">
        <f t="shared" si="131"/>
        <v>724</v>
      </c>
      <c r="B731" s="948">
        <v>12</v>
      </c>
      <c r="C731" s="949">
        <v>35209</v>
      </c>
      <c r="D731" s="949" t="s">
        <v>177</v>
      </c>
      <c r="E731" s="904">
        <v>24</v>
      </c>
      <c r="F731" s="644">
        <v>1996</v>
      </c>
      <c r="G731" s="948" t="s">
        <v>132</v>
      </c>
      <c r="H731" s="645" t="s">
        <v>149</v>
      </c>
      <c r="I731" s="951">
        <v>50</v>
      </c>
      <c r="J731" s="951">
        <v>0.5</v>
      </c>
      <c r="K731" s="952">
        <f t="shared" si="129"/>
        <v>1.4204545454545454E-2</v>
      </c>
      <c r="L731" s="644">
        <f t="shared" si="121"/>
        <v>19</v>
      </c>
      <c r="M731" s="935">
        <v>0.8125</v>
      </c>
      <c r="N731" s="936">
        <f t="shared" si="122"/>
        <v>0.8125</v>
      </c>
      <c r="O731" s="725">
        <v>0.81597222222222221</v>
      </c>
      <c r="P731" s="725">
        <f t="shared" si="125"/>
        <v>3.4722222222222099E-3</v>
      </c>
      <c r="Q731" s="622" t="s">
        <v>406</v>
      </c>
      <c r="R731" s="37"/>
      <c r="S731" s="37" t="str">
        <f t="shared" si="123"/>
        <v>OchiltreeF0</v>
      </c>
      <c r="T731" s="37" t="str">
        <f t="shared" si="126"/>
        <v>1996F0</v>
      </c>
      <c r="U731" s="429">
        <v>50</v>
      </c>
      <c r="V731" s="1029">
        <v>0.5</v>
      </c>
      <c r="W731" s="598">
        <v>0.01</v>
      </c>
      <c r="X731" s="429"/>
      <c r="Y731" s="37" t="str">
        <f t="shared" si="127"/>
        <v>F050</v>
      </c>
      <c r="Z731" s="37" t="str">
        <f t="shared" si="128"/>
        <v>F00.5</v>
      </c>
      <c r="AA731" s="37" t="str">
        <f t="shared" si="130"/>
        <v>F00.01</v>
      </c>
      <c r="AB731" s="498" t="str">
        <f t="shared" si="124"/>
        <v>F019</v>
      </c>
      <c r="AC731" s="572"/>
      <c r="AD731" s="572"/>
      <c r="AE731" s="572"/>
      <c r="AF731" s="572"/>
    </row>
    <row r="732" spans="1:32">
      <c r="A732" s="947">
        <f t="shared" si="131"/>
        <v>725</v>
      </c>
      <c r="B732" s="948">
        <v>13</v>
      </c>
      <c r="C732" s="949">
        <v>35210</v>
      </c>
      <c r="D732" s="949" t="s">
        <v>177</v>
      </c>
      <c r="E732" s="904">
        <v>25</v>
      </c>
      <c r="F732" s="644">
        <v>1996</v>
      </c>
      <c r="G732" s="948" t="s">
        <v>129</v>
      </c>
      <c r="H732" s="645" t="s">
        <v>149</v>
      </c>
      <c r="I732" s="951">
        <v>100</v>
      </c>
      <c r="J732" s="951">
        <v>5</v>
      </c>
      <c r="K732" s="952">
        <f t="shared" si="129"/>
        <v>0.28409090909090906</v>
      </c>
      <c r="L732" s="644">
        <f t="shared" si="121"/>
        <v>16</v>
      </c>
      <c r="M732" s="935">
        <v>0.6875</v>
      </c>
      <c r="N732" s="936">
        <f t="shared" si="122"/>
        <v>0.6875</v>
      </c>
      <c r="O732" s="725">
        <v>0.69027777777777777</v>
      </c>
      <c r="P732" s="725">
        <f t="shared" si="125"/>
        <v>2.7777777777777679E-3</v>
      </c>
      <c r="Q732" s="622" t="s">
        <v>45</v>
      </c>
      <c r="R732" s="37"/>
      <c r="S732" s="37" t="str">
        <f t="shared" si="123"/>
        <v>DallamF0</v>
      </c>
      <c r="T732" s="37" t="str">
        <f t="shared" si="126"/>
        <v>1996F0</v>
      </c>
      <c r="U732" s="429">
        <v>100</v>
      </c>
      <c r="V732" s="1029">
        <v>5</v>
      </c>
      <c r="W732" s="598">
        <v>0.2</v>
      </c>
      <c r="X732" s="429"/>
      <c r="Y732" s="37" t="str">
        <f t="shared" si="127"/>
        <v>F0100</v>
      </c>
      <c r="Z732" s="37" t="str">
        <f t="shared" si="128"/>
        <v>F05</v>
      </c>
      <c r="AA732" s="37" t="str">
        <f t="shared" si="130"/>
        <v>F00.2</v>
      </c>
      <c r="AB732" s="498" t="str">
        <f t="shared" si="124"/>
        <v>F016</v>
      </c>
      <c r="AC732" s="572"/>
      <c r="AD732" s="572"/>
      <c r="AE732" s="572"/>
      <c r="AF732" s="572"/>
    </row>
    <row r="733" spans="1:32">
      <c r="A733" s="947">
        <f t="shared" si="131"/>
        <v>726</v>
      </c>
      <c r="B733" s="948">
        <v>14</v>
      </c>
      <c r="C733" s="949">
        <v>35210</v>
      </c>
      <c r="D733" s="949" t="s">
        <v>177</v>
      </c>
      <c r="E733" s="904">
        <v>25</v>
      </c>
      <c r="F733" s="644">
        <v>1996</v>
      </c>
      <c r="G733" s="948" t="s">
        <v>144</v>
      </c>
      <c r="H733" s="645" t="s">
        <v>151</v>
      </c>
      <c r="I733" s="951">
        <v>200</v>
      </c>
      <c r="J733" s="951">
        <v>3</v>
      </c>
      <c r="K733" s="952">
        <f t="shared" si="129"/>
        <v>0.34090909090909088</v>
      </c>
      <c r="L733" s="644">
        <f t="shared" si="121"/>
        <v>16</v>
      </c>
      <c r="M733" s="935">
        <v>0.70416666666666661</v>
      </c>
      <c r="N733" s="936">
        <f t="shared" si="122"/>
        <v>0.70416666666666661</v>
      </c>
      <c r="O733" s="725">
        <v>0.71250000000000002</v>
      </c>
      <c r="P733" s="725">
        <f t="shared" si="125"/>
        <v>8.3333333333334147E-3</v>
      </c>
      <c r="Q733" s="622" t="s">
        <v>317</v>
      </c>
      <c r="R733" s="37"/>
      <c r="S733" s="37" t="str">
        <f t="shared" si="123"/>
        <v>Deaf SmithF2</v>
      </c>
      <c r="T733" s="37" t="str">
        <f t="shared" si="126"/>
        <v>1996F2</v>
      </c>
      <c r="U733" s="429">
        <v>200</v>
      </c>
      <c r="V733" s="1029">
        <v>2</v>
      </c>
      <c r="W733" s="598">
        <v>0.2</v>
      </c>
      <c r="X733" s="429"/>
      <c r="Y733" s="37" t="str">
        <f t="shared" si="127"/>
        <v>F2200</v>
      </c>
      <c r="Z733" s="37" t="str">
        <f t="shared" si="128"/>
        <v>F22</v>
      </c>
      <c r="AA733" s="37" t="str">
        <f t="shared" si="130"/>
        <v>F20.2</v>
      </c>
      <c r="AB733" s="498" t="str">
        <f t="shared" si="124"/>
        <v>F216</v>
      </c>
      <c r="AC733" s="572"/>
      <c r="AD733" s="572"/>
      <c r="AE733" s="572"/>
      <c r="AF733" s="572"/>
    </row>
    <row r="734" spans="1:32">
      <c r="A734" s="947">
        <f t="shared" si="131"/>
        <v>727</v>
      </c>
      <c r="B734" s="948">
        <v>15</v>
      </c>
      <c r="C734" s="949">
        <v>35210</v>
      </c>
      <c r="D734" s="949" t="s">
        <v>177</v>
      </c>
      <c r="E734" s="904">
        <v>25</v>
      </c>
      <c r="F734" s="644">
        <v>1996</v>
      </c>
      <c r="G734" s="948" t="s">
        <v>126</v>
      </c>
      <c r="H734" s="645" t="s">
        <v>150</v>
      </c>
      <c r="I734" s="951">
        <v>100</v>
      </c>
      <c r="J734" s="951">
        <v>1</v>
      </c>
      <c r="K734" s="952">
        <f t="shared" si="129"/>
        <v>5.6818181818181816E-2</v>
      </c>
      <c r="L734" s="644">
        <f t="shared" ref="L734:L797" si="132">HOUR(N734)</f>
        <v>17</v>
      </c>
      <c r="M734" s="935">
        <v>0.72569444444444453</v>
      </c>
      <c r="N734" s="936">
        <f t="shared" si="122"/>
        <v>0.72569444444444453</v>
      </c>
      <c r="O734" s="725">
        <v>0.72916666666666663</v>
      </c>
      <c r="P734" s="725">
        <f t="shared" si="125"/>
        <v>3.4722222222220989E-3</v>
      </c>
      <c r="Q734" s="622" t="s">
        <v>237</v>
      </c>
      <c r="R734" s="37"/>
      <c r="S734" s="37" t="str">
        <f t="shared" si="123"/>
        <v>CimarronF1</v>
      </c>
      <c r="T734" s="37" t="str">
        <f t="shared" si="126"/>
        <v>1996F1</v>
      </c>
      <c r="U734" s="429">
        <v>100</v>
      </c>
      <c r="V734" s="1029">
        <v>1</v>
      </c>
      <c r="W734" s="598">
        <v>0.05</v>
      </c>
      <c r="X734" s="429"/>
      <c r="Y734" s="37" t="str">
        <f t="shared" si="127"/>
        <v>F1100</v>
      </c>
      <c r="Z734" s="37" t="str">
        <f t="shared" si="128"/>
        <v>F11</v>
      </c>
      <c r="AA734" s="37" t="str">
        <f t="shared" si="130"/>
        <v>F10.05</v>
      </c>
      <c r="AB734" s="498" t="str">
        <f t="shared" si="124"/>
        <v>F117</v>
      </c>
      <c r="AC734" s="572"/>
      <c r="AD734" s="572"/>
      <c r="AE734" s="572"/>
      <c r="AF734" s="572"/>
    </row>
    <row r="735" spans="1:32">
      <c r="A735" s="947">
        <f t="shared" si="131"/>
        <v>728</v>
      </c>
      <c r="B735" s="948">
        <v>16</v>
      </c>
      <c r="C735" s="949">
        <v>35210</v>
      </c>
      <c r="D735" s="949" t="s">
        <v>177</v>
      </c>
      <c r="E735" s="904">
        <v>25</v>
      </c>
      <c r="F735" s="644">
        <v>1996</v>
      </c>
      <c r="G735" s="948" t="s">
        <v>129</v>
      </c>
      <c r="H735" s="645" t="s">
        <v>150</v>
      </c>
      <c r="I735" s="951">
        <v>200</v>
      </c>
      <c r="J735" s="951">
        <v>4</v>
      </c>
      <c r="K735" s="952">
        <f t="shared" si="129"/>
        <v>0.45454545454545453</v>
      </c>
      <c r="L735" s="644">
        <f t="shared" si="132"/>
        <v>17</v>
      </c>
      <c r="M735" s="935">
        <v>0.73541666666666661</v>
      </c>
      <c r="N735" s="936">
        <f t="shared" si="122"/>
        <v>0.73541666666666661</v>
      </c>
      <c r="O735" s="725">
        <v>0.74305555555555547</v>
      </c>
      <c r="P735" s="725">
        <f t="shared" si="125"/>
        <v>7.6388888888888618E-3</v>
      </c>
      <c r="Q735" s="622" t="s">
        <v>313</v>
      </c>
      <c r="R735" s="37"/>
      <c r="S735" s="37" t="str">
        <f t="shared" si="123"/>
        <v>DallamF1</v>
      </c>
      <c r="T735" s="37" t="str">
        <f t="shared" si="126"/>
        <v>1996F1</v>
      </c>
      <c r="U735" s="429">
        <v>200</v>
      </c>
      <c r="V735" s="1029">
        <v>2</v>
      </c>
      <c r="W735" s="598">
        <v>0.2</v>
      </c>
      <c r="X735" s="429"/>
      <c r="Y735" s="37" t="str">
        <f t="shared" si="127"/>
        <v>F1200</v>
      </c>
      <c r="Z735" s="37" t="str">
        <f t="shared" si="128"/>
        <v>F12</v>
      </c>
      <c r="AA735" s="37" t="str">
        <f t="shared" si="130"/>
        <v>F10.2</v>
      </c>
      <c r="AB735" s="498" t="str">
        <f t="shared" si="124"/>
        <v>F117</v>
      </c>
      <c r="AC735" s="572"/>
      <c r="AD735" s="572"/>
      <c r="AE735" s="572"/>
      <c r="AF735" s="572"/>
    </row>
    <row r="736" spans="1:32">
      <c r="A736" s="947">
        <f t="shared" si="131"/>
        <v>729</v>
      </c>
      <c r="B736" s="948">
        <v>17</v>
      </c>
      <c r="C736" s="949">
        <v>35211</v>
      </c>
      <c r="D736" s="949" t="s">
        <v>177</v>
      </c>
      <c r="E736" s="904">
        <v>26</v>
      </c>
      <c r="F736" s="644">
        <v>1996</v>
      </c>
      <c r="G736" s="948" t="s">
        <v>127</v>
      </c>
      <c r="H736" s="645" t="s">
        <v>149</v>
      </c>
      <c r="I736" s="951">
        <v>50</v>
      </c>
      <c r="J736" s="951">
        <v>0.5</v>
      </c>
      <c r="K736" s="952">
        <f t="shared" si="129"/>
        <v>1.4204545454545454E-2</v>
      </c>
      <c r="L736" s="644">
        <f t="shared" si="132"/>
        <v>13</v>
      </c>
      <c r="M736" s="935">
        <v>0.57847222222222217</v>
      </c>
      <c r="N736" s="936">
        <f t="shared" si="122"/>
        <v>0.57847222222222217</v>
      </c>
      <c r="O736" s="725">
        <v>0.58194444444444449</v>
      </c>
      <c r="P736" s="725">
        <f t="shared" si="125"/>
        <v>3.4722222222223209E-3</v>
      </c>
      <c r="Q736" s="622" t="s">
        <v>247</v>
      </c>
      <c r="R736" s="37"/>
      <c r="S736" s="37" t="str">
        <f t="shared" si="123"/>
        <v>TexasF0</v>
      </c>
      <c r="T736" s="37" t="str">
        <f t="shared" si="126"/>
        <v>1996F0</v>
      </c>
      <c r="U736" s="429">
        <v>50</v>
      </c>
      <c r="V736" s="1029">
        <v>0.5</v>
      </c>
      <c r="W736" s="598">
        <v>0.01</v>
      </c>
      <c r="X736" s="429"/>
      <c r="Y736" s="37" t="str">
        <f t="shared" si="127"/>
        <v>F050</v>
      </c>
      <c r="Z736" s="37" t="str">
        <f t="shared" si="128"/>
        <v>F00.5</v>
      </c>
      <c r="AA736" s="37" t="str">
        <f t="shared" si="130"/>
        <v>F00.01</v>
      </c>
      <c r="AB736" s="498" t="str">
        <f t="shared" si="124"/>
        <v>F013</v>
      </c>
      <c r="AC736" s="572"/>
      <c r="AD736" s="572"/>
      <c r="AE736" s="572"/>
      <c r="AF736" s="572"/>
    </row>
    <row r="737" spans="1:32" ht="30" customHeight="1">
      <c r="A737" s="947">
        <f t="shared" si="131"/>
        <v>730</v>
      </c>
      <c r="B737" s="948">
        <v>18</v>
      </c>
      <c r="C737" s="949">
        <v>35211</v>
      </c>
      <c r="D737" s="949" t="s">
        <v>177</v>
      </c>
      <c r="E737" s="904">
        <v>26</v>
      </c>
      <c r="F737" s="644">
        <v>1996</v>
      </c>
      <c r="G737" s="948" t="s">
        <v>127</v>
      </c>
      <c r="H737" s="645" t="s">
        <v>149</v>
      </c>
      <c r="I737" s="951">
        <v>100</v>
      </c>
      <c r="J737" s="951">
        <v>1</v>
      </c>
      <c r="K737" s="952">
        <f t="shared" si="129"/>
        <v>5.6818181818181816E-2</v>
      </c>
      <c r="L737" s="644">
        <f t="shared" si="132"/>
        <v>14</v>
      </c>
      <c r="M737" s="935">
        <v>0.59444444444444444</v>
      </c>
      <c r="N737" s="936">
        <f t="shared" si="122"/>
        <v>0.59444444444444444</v>
      </c>
      <c r="O737" s="725">
        <v>0.59583333333333333</v>
      </c>
      <c r="P737" s="725">
        <f t="shared" si="125"/>
        <v>1.388888888888884E-3</v>
      </c>
      <c r="Q737" s="622" t="s">
        <v>46</v>
      </c>
      <c r="R737" s="37"/>
      <c r="S737" s="37" t="str">
        <f t="shared" si="123"/>
        <v>TexasF0</v>
      </c>
      <c r="T737" s="37" t="str">
        <f t="shared" si="126"/>
        <v>1996F0</v>
      </c>
      <c r="U737" s="429">
        <v>100</v>
      </c>
      <c r="V737" s="1029">
        <v>1</v>
      </c>
      <c r="W737" s="598">
        <v>0.05</v>
      </c>
      <c r="X737" s="429"/>
      <c r="Y737" s="37" t="str">
        <f t="shared" si="127"/>
        <v>F0100</v>
      </c>
      <c r="Z737" s="37" t="str">
        <f t="shared" si="128"/>
        <v>F01</v>
      </c>
      <c r="AA737" s="37" t="str">
        <f t="shared" si="130"/>
        <v>F00.05</v>
      </c>
      <c r="AB737" s="498" t="str">
        <f t="shared" si="124"/>
        <v>F014</v>
      </c>
      <c r="AC737" s="572"/>
      <c r="AD737" s="572"/>
      <c r="AE737" s="572"/>
      <c r="AF737" s="572"/>
    </row>
    <row r="738" spans="1:32">
      <c r="A738" s="947">
        <f t="shared" si="131"/>
        <v>731</v>
      </c>
      <c r="B738" s="948">
        <v>19</v>
      </c>
      <c r="C738" s="949">
        <v>35211</v>
      </c>
      <c r="D738" s="949" t="s">
        <v>177</v>
      </c>
      <c r="E738" s="904">
        <v>26</v>
      </c>
      <c r="F738" s="644">
        <v>1996</v>
      </c>
      <c r="G738" s="948" t="s">
        <v>127</v>
      </c>
      <c r="H738" s="645" t="s">
        <v>149</v>
      </c>
      <c r="I738" s="951">
        <v>75</v>
      </c>
      <c r="J738" s="951">
        <v>1</v>
      </c>
      <c r="K738" s="952">
        <f t="shared" si="129"/>
        <v>4.261363636363636E-2</v>
      </c>
      <c r="L738" s="644">
        <f t="shared" si="132"/>
        <v>14</v>
      </c>
      <c r="M738" s="935">
        <v>0.59444444444444444</v>
      </c>
      <c r="N738" s="936">
        <f t="shared" si="122"/>
        <v>0.59444444444444444</v>
      </c>
      <c r="O738" s="725">
        <v>0.59722222222222221</v>
      </c>
      <c r="P738" s="725">
        <f t="shared" si="125"/>
        <v>2.7777777777777679E-3</v>
      </c>
      <c r="Q738" s="622" t="s">
        <v>248</v>
      </c>
      <c r="R738" s="37"/>
      <c r="S738" s="37" t="str">
        <f t="shared" si="123"/>
        <v>TexasF0</v>
      </c>
      <c r="T738" s="37" t="str">
        <f t="shared" si="126"/>
        <v>1996F0</v>
      </c>
      <c r="U738" s="429">
        <v>50</v>
      </c>
      <c r="V738" s="1029">
        <v>1</v>
      </c>
      <c r="W738" s="598">
        <v>0.02</v>
      </c>
      <c r="X738" s="429"/>
      <c r="Y738" s="37" t="str">
        <f t="shared" si="127"/>
        <v>F050</v>
      </c>
      <c r="Z738" s="37" t="str">
        <f t="shared" si="128"/>
        <v>F01</v>
      </c>
      <c r="AA738" s="37" t="str">
        <f t="shared" si="130"/>
        <v>F00.02</v>
      </c>
      <c r="AB738" s="498" t="str">
        <f t="shared" si="124"/>
        <v>F014</v>
      </c>
      <c r="AC738" s="572"/>
      <c r="AD738" s="572"/>
      <c r="AE738" s="572"/>
      <c r="AF738" s="572"/>
    </row>
    <row r="739" spans="1:32">
      <c r="A739" s="947">
        <f t="shared" si="131"/>
        <v>732</v>
      </c>
      <c r="B739" s="948">
        <v>20</v>
      </c>
      <c r="C739" s="949">
        <v>35216</v>
      </c>
      <c r="D739" s="949" t="s">
        <v>177</v>
      </c>
      <c r="E739" s="904">
        <v>31</v>
      </c>
      <c r="F739" s="644">
        <v>1996</v>
      </c>
      <c r="G739" s="948" t="s">
        <v>146</v>
      </c>
      <c r="H739" s="645" t="s">
        <v>149</v>
      </c>
      <c r="I739" s="951">
        <v>50</v>
      </c>
      <c r="J739" s="951">
        <v>0.5</v>
      </c>
      <c r="K739" s="952">
        <f t="shared" si="129"/>
        <v>1.4204545454545454E-2</v>
      </c>
      <c r="L739" s="644">
        <f t="shared" si="132"/>
        <v>18</v>
      </c>
      <c r="M739" s="935">
        <v>0.76180555555555562</v>
      </c>
      <c r="N739" s="936">
        <f t="shared" si="122"/>
        <v>0.76180555555555562</v>
      </c>
      <c r="O739" s="725">
        <v>0.76249999999999996</v>
      </c>
      <c r="P739" s="725">
        <f t="shared" si="125"/>
        <v>6.9444444444433095E-4</v>
      </c>
      <c r="Q739" s="622" t="s">
        <v>47</v>
      </c>
      <c r="R739" s="37"/>
      <c r="S739" s="37" t="str">
        <f t="shared" si="123"/>
        <v>ArmstrongF0</v>
      </c>
      <c r="T739" s="37" t="str">
        <f t="shared" si="126"/>
        <v>1996F0</v>
      </c>
      <c r="U739" s="429">
        <v>50</v>
      </c>
      <c r="V739" s="1029">
        <v>0.5</v>
      </c>
      <c r="W739" s="598">
        <v>0.01</v>
      </c>
      <c r="X739" s="429"/>
      <c r="Y739" s="37" t="str">
        <f t="shared" si="127"/>
        <v>F050</v>
      </c>
      <c r="Z739" s="37" t="str">
        <f t="shared" si="128"/>
        <v>F00.5</v>
      </c>
      <c r="AA739" s="37" t="str">
        <f t="shared" si="130"/>
        <v>F00.01</v>
      </c>
      <c r="AB739" s="498" t="str">
        <f t="shared" si="124"/>
        <v>F018</v>
      </c>
      <c r="AC739" s="572"/>
      <c r="AD739" s="572"/>
      <c r="AE739" s="572"/>
      <c r="AF739" s="572"/>
    </row>
    <row r="740" spans="1:32">
      <c r="A740" s="947">
        <f t="shared" si="131"/>
        <v>733</v>
      </c>
      <c r="B740" s="948">
        <v>21</v>
      </c>
      <c r="C740" s="949">
        <v>35216</v>
      </c>
      <c r="D740" s="949" t="s">
        <v>177</v>
      </c>
      <c r="E740" s="904">
        <v>31</v>
      </c>
      <c r="F740" s="644">
        <v>1996</v>
      </c>
      <c r="G740" s="948" t="s">
        <v>147</v>
      </c>
      <c r="H740" s="645" t="s">
        <v>149</v>
      </c>
      <c r="I740" s="951">
        <v>50</v>
      </c>
      <c r="J740" s="951">
        <v>0.5</v>
      </c>
      <c r="K740" s="952">
        <f t="shared" si="129"/>
        <v>1.4204545454545454E-2</v>
      </c>
      <c r="L740" s="644">
        <f t="shared" si="132"/>
        <v>20</v>
      </c>
      <c r="M740" s="935">
        <v>0.84236111111111101</v>
      </c>
      <c r="N740" s="936">
        <f t="shared" si="122"/>
        <v>0.84236111111111101</v>
      </c>
      <c r="O740" s="725">
        <v>0.84305555555555556</v>
      </c>
      <c r="P740" s="725">
        <f t="shared" si="125"/>
        <v>6.94444444444553E-4</v>
      </c>
      <c r="Q740" s="622" t="s">
        <v>48</v>
      </c>
      <c r="R740" s="37"/>
      <c r="S740" s="37" t="str">
        <f t="shared" si="123"/>
        <v>DonleyF0</v>
      </c>
      <c r="T740" s="37" t="str">
        <f t="shared" si="126"/>
        <v>1996F0</v>
      </c>
      <c r="U740" s="429">
        <v>50</v>
      </c>
      <c r="V740" s="1029">
        <v>0.5</v>
      </c>
      <c r="W740" s="598">
        <v>0.01</v>
      </c>
      <c r="X740" s="429"/>
      <c r="Y740" s="37" t="str">
        <f t="shared" si="127"/>
        <v>F050</v>
      </c>
      <c r="Z740" s="37" t="str">
        <f t="shared" si="128"/>
        <v>F00.5</v>
      </c>
      <c r="AA740" s="37" t="str">
        <f t="shared" si="130"/>
        <v>F00.01</v>
      </c>
      <c r="AB740" s="498" t="str">
        <f t="shared" si="124"/>
        <v>F020</v>
      </c>
      <c r="AC740" s="572"/>
      <c r="AD740" s="572"/>
      <c r="AE740" s="572"/>
      <c r="AF740" s="572"/>
    </row>
    <row r="741" spans="1:32">
      <c r="A741" s="947">
        <f t="shared" si="131"/>
        <v>734</v>
      </c>
      <c r="B741" s="948">
        <v>22</v>
      </c>
      <c r="C741" s="949">
        <v>35218</v>
      </c>
      <c r="D741" s="949" t="s">
        <v>178</v>
      </c>
      <c r="E741" s="904">
        <v>2</v>
      </c>
      <c r="F741" s="644">
        <v>1996</v>
      </c>
      <c r="G741" s="948" t="s">
        <v>131</v>
      </c>
      <c r="H741" s="645" t="s">
        <v>149</v>
      </c>
      <c r="I741" s="951">
        <v>50</v>
      </c>
      <c r="J741" s="951">
        <v>3</v>
      </c>
      <c r="K741" s="952">
        <f t="shared" si="129"/>
        <v>8.5227272727272721E-2</v>
      </c>
      <c r="L741" s="644">
        <f t="shared" si="132"/>
        <v>14</v>
      </c>
      <c r="M741" s="935">
        <v>0.60277777777777775</v>
      </c>
      <c r="N741" s="936">
        <f t="shared" si="122"/>
        <v>0.60277777777777775</v>
      </c>
      <c r="O741" s="725">
        <v>0.61805555555555558</v>
      </c>
      <c r="P741" s="725">
        <f t="shared" si="125"/>
        <v>1.5277777777777835E-2</v>
      </c>
      <c r="Q741" s="622" t="s">
        <v>358</v>
      </c>
      <c r="R741" s="37"/>
      <c r="S741" s="37" t="str">
        <f t="shared" si="123"/>
        <v>HansfordF0</v>
      </c>
      <c r="T741" s="37" t="str">
        <f t="shared" si="126"/>
        <v>1996F0</v>
      </c>
      <c r="U741" s="429">
        <v>50</v>
      </c>
      <c r="V741" s="1029">
        <v>2</v>
      </c>
      <c r="W741" s="598">
        <v>0.05</v>
      </c>
      <c r="X741" s="429"/>
      <c r="Y741" s="37" t="str">
        <f t="shared" si="127"/>
        <v>F050</v>
      </c>
      <c r="Z741" s="37" t="str">
        <f t="shared" si="128"/>
        <v>F02</v>
      </c>
      <c r="AA741" s="37" t="str">
        <f t="shared" si="130"/>
        <v>F00.05</v>
      </c>
      <c r="AB741" s="498" t="str">
        <f t="shared" si="124"/>
        <v>F014</v>
      </c>
      <c r="AC741" s="572"/>
      <c r="AD741" s="572"/>
      <c r="AE741" s="572"/>
      <c r="AF741" s="572"/>
    </row>
    <row r="742" spans="1:32">
      <c r="A742" s="947">
        <f t="shared" si="131"/>
        <v>735</v>
      </c>
      <c r="B742" s="948">
        <v>23</v>
      </c>
      <c r="C742" s="949">
        <v>35218</v>
      </c>
      <c r="D742" s="949" t="s">
        <v>178</v>
      </c>
      <c r="E742" s="904">
        <v>2</v>
      </c>
      <c r="F742" s="644">
        <v>1996</v>
      </c>
      <c r="G742" s="948" t="s">
        <v>141</v>
      </c>
      <c r="H742" s="645" t="s">
        <v>149</v>
      </c>
      <c r="I742" s="951">
        <v>50</v>
      </c>
      <c r="J742" s="951">
        <v>0.5</v>
      </c>
      <c r="K742" s="952">
        <f t="shared" si="129"/>
        <v>1.4204545454545454E-2</v>
      </c>
      <c r="L742" s="644">
        <f t="shared" si="132"/>
        <v>16</v>
      </c>
      <c r="M742" s="935">
        <v>0.67152777777777783</v>
      </c>
      <c r="N742" s="936">
        <f t="shared" si="122"/>
        <v>0.67152777777777783</v>
      </c>
      <c r="O742" s="725">
        <v>0.6743055555555556</v>
      </c>
      <c r="P742" s="725">
        <f t="shared" si="125"/>
        <v>2.7777777777777679E-3</v>
      </c>
      <c r="Q742" s="622" t="s">
        <v>289</v>
      </c>
      <c r="R742" s="37"/>
      <c r="S742" s="37" t="str">
        <f t="shared" si="123"/>
        <v>CarsonF0</v>
      </c>
      <c r="T742" s="37" t="str">
        <f t="shared" si="126"/>
        <v>1996F0</v>
      </c>
      <c r="U742" s="429">
        <v>50</v>
      </c>
      <c r="V742" s="1029">
        <v>0.5</v>
      </c>
      <c r="W742" s="598">
        <v>0.01</v>
      </c>
      <c r="X742" s="429"/>
      <c r="Y742" s="37" t="str">
        <f t="shared" si="127"/>
        <v>F050</v>
      </c>
      <c r="Z742" s="37" t="str">
        <f t="shared" si="128"/>
        <v>F00.5</v>
      </c>
      <c r="AA742" s="37" t="str">
        <f t="shared" si="130"/>
        <v>F00.01</v>
      </c>
      <c r="AB742" s="498" t="str">
        <f t="shared" si="124"/>
        <v>F016</v>
      </c>
      <c r="AC742" s="572"/>
      <c r="AD742" s="572"/>
      <c r="AE742" s="572"/>
      <c r="AF742" s="572"/>
    </row>
    <row r="743" spans="1:32">
      <c r="A743" s="947">
        <f t="shared" si="131"/>
        <v>736</v>
      </c>
      <c r="B743" s="948">
        <v>24</v>
      </c>
      <c r="C743" s="949">
        <v>35218</v>
      </c>
      <c r="D743" s="949" t="s">
        <v>178</v>
      </c>
      <c r="E743" s="904">
        <v>2</v>
      </c>
      <c r="F743" s="644">
        <v>1996</v>
      </c>
      <c r="G743" s="948" t="s">
        <v>141</v>
      </c>
      <c r="H743" s="645" t="s">
        <v>149</v>
      </c>
      <c r="I743" s="951">
        <v>50</v>
      </c>
      <c r="J743" s="951">
        <v>0.5</v>
      </c>
      <c r="K743" s="952">
        <f t="shared" si="129"/>
        <v>1.4204545454545454E-2</v>
      </c>
      <c r="L743" s="644">
        <f t="shared" si="132"/>
        <v>16</v>
      </c>
      <c r="M743" s="935">
        <v>0.68888888888888899</v>
      </c>
      <c r="N743" s="936">
        <f t="shared" si="122"/>
        <v>0.68888888888888899</v>
      </c>
      <c r="O743" s="725">
        <v>0.69097222222222221</v>
      </c>
      <c r="P743" s="725">
        <f t="shared" si="125"/>
        <v>2.0833333333332149E-3</v>
      </c>
      <c r="Q743" s="622" t="s">
        <v>462</v>
      </c>
      <c r="R743" s="37"/>
      <c r="S743" s="37" t="str">
        <f t="shared" si="123"/>
        <v>CarsonF0</v>
      </c>
      <c r="T743" s="37" t="str">
        <f t="shared" si="126"/>
        <v>1996F0</v>
      </c>
      <c r="U743" s="429">
        <v>50</v>
      </c>
      <c r="V743" s="1029">
        <v>0.5</v>
      </c>
      <c r="W743" s="598">
        <v>0.01</v>
      </c>
      <c r="X743" s="429"/>
      <c r="Y743" s="37" t="str">
        <f t="shared" si="127"/>
        <v>F050</v>
      </c>
      <c r="Z743" s="37" t="str">
        <f t="shared" si="128"/>
        <v>F00.5</v>
      </c>
      <c r="AA743" s="37" t="str">
        <f t="shared" si="130"/>
        <v>F00.01</v>
      </c>
      <c r="AB743" s="498" t="str">
        <f t="shared" si="124"/>
        <v>F016</v>
      </c>
      <c r="AC743" s="572"/>
      <c r="AD743" s="572"/>
      <c r="AE743" s="572"/>
      <c r="AF743" s="572"/>
    </row>
    <row r="744" spans="1:32">
      <c r="A744" s="947">
        <f t="shared" si="131"/>
        <v>737</v>
      </c>
      <c r="B744" s="948">
        <v>25</v>
      </c>
      <c r="C744" s="949">
        <v>35219</v>
      </c>
      <c r="D744" s="949" t="s">
        <v>178</v>
      </c>
      <c r="E744" s="904">
        <v>3</v>
      </c>
      <c r="F744" s="644">
        <v>1996</v>
      </c>
      <c r="G744" s="948" t="s">
        <v>126</v>
      </c>
      <c r="H744" s="645" t="s">
        <v>149</v>
      </c>
      <c r="I744" s="951">
        <v>50</v>
      </c>
      <c r="J744" s="951">
        <v>0.5</v>
      </c>
      <c r="K744" s="952">
        <f t="shared" si="129"/>
        <v>1.4204545454545454E-2</v>
      </c>
      <c r="L744" s="644">
        <f t="shared" si="132"/>
        <v>14</v>
      </c>
      <c r="M744" s="935">
        <v>0.59722222222222221</v>
      </c>
      <c r="N744" s="936">
        <f t="shared" si="122"/>
        <v>0.59722222222222221</v>
      </c>
      <c r="O744" s="725">
        <v>0.6</v>
      </c>
      <c r="P744" s="725">
        <f t="shared" si="125"/>
        <v>2.7777777777777679E-3</v>
      </c>
      <c r="Q744" s="622" t="s">
        <v>238</v>
      </c>
      <c r="R744" s="37"/>
      <c r="S744" s="37" t="str">
        <f t="shared" si="123"/>
        <v>CimarronF0</v>
      </c>
      <c r="T744" s="37" t="str">
        <f t="shared" si="126"/>
        <v>1996F0</v>
      </c>
      <c r="U744" s="429">
        <v>50</v>
      </c>
      <c r="V744" s="1029">
        <v>0.5</v>
      </c>
      <c r="W744" s="598">
        <v>0.01</v>
      </c>
      <c r="X744" s="429"/>
      <c r="Y744" s="37" t="str">
        <f t="shared" si="127"/>
        <v>F050</v>
      </c>
      <c r="Z744" s="37" t="str">
        <f t="shared" si="128"/>
        <v>F00.5</v>
      </c>
      <c r="AA744" s="37" t="str">
        <f t="shared" si="130"/>
        <v>F00.01</v>
      </c>
      <c r="AB744" s="498" t="str">
        <f t="shared" si="124"/>
        <v>F014</v>
      </c>
      <c r="AC744" s="572"/>
      <c r="AD744" s="572"/>
      <c r="AE744" s="572"/>
      <c r="AF744" s="572"/>
    </row>
    <row r="745" spans="1:32">
      <c r="A745" s="947">
        <f t="shared" si="131"/>
        <v>738</v>
      </c>
      <c r="B745" s="948">
        <v>26</v>
      </c>
      <c r="C745" s="949">
        <v>35221</v>
      </c>
      <c r="D745" s="949" t="s">
        <v>178</v>
      </c>
      <c r="E745" s="904">
        <v>5</v>
      </c>
      <c r="F745" s="644">
        <v>1996</v>
      </c>
      <c r="G745" s="948" t="s">
        <v>127</v>
      </c>
      <c r="H745" s="645" t="s">
        <v>149</v>
      </c>
      <c r="I745" s="951">
        <v>25</v>
      </c>
      <c r="J745" s="951">
        <v>2</v>
      </c>
      <c r="K745" s="952">
        <f t="shared" si="129"/>
        <v>2.8409090909090908E-2</v>
      </c>
      <c r="L745" s="644">
        <f t="shared" si="132"/>
        <v>16</v>
      </c>
      <c r="M745" s="935">
        <v>0.69930555555555562</v>
      </c>
      <c r="N745" s="936">
        <f t="shared" si="122"/>
        <v>0.69930555555555562</v>
      </c>
      <c r="O745" s="725">
        <v>0.7055555555555556</v>
      </c>
      <c r="P745" s="725">
        <f t="shared" si="125"/>
        <v>6.2499999999999778E-3</v>
      </c>
      <c r="Q745" s="622" t="s">
        <v>249</v>
      </c>
      <c r="R745" s="37"/>
      <c r="S745" s="37" t="str">
        <f t="shared" si="123"/>
        <v>TexasF0</v>
      </c>
      <c r="T745" s="37" t="str">
        <f t="shared" si="126"/>
        <v>1996F0</v>
      </c>
      <c r="U745" s="429">
        <v>20</v>
      </c>
      <c r="V745" s="1029">
        <v>2</v>
      </c>
      <c r="W745" s="598">
        <v>0.02</v>
      </c>
      <c r="X745" s="429"/>
      <c r="Y745" s="37" t="str">
        <f t="shared" si="127"/>
        <v>F020</v>
      </c>
      <c r="Z745" s="37" t="str">
        <f t="shared" si="128"/>
        <v>F02</v>
      </c>
      <c r="AA745" s="37" t="str">
        <f t="shared" si="130"/>
        <v>F00.02</v>
      </c>
      <c r="AB745" s="498" t="str">
        <f t="shared" si="124"/>
        <v>F016</v>
      </c>
      <c r="AC745" s="572"/>
      <c r="AD745" s="572"/>
      <c r="AE745" s="572"/>
      <c r="AF745" s="572"/>
    </row>
    <row r="746" spans="1:32">
      <c r="A746" s="947">
        <f t="shared" si="131"/>
        <v>739</v>
      </c>
      <c r="B746" s="948">
        <v>27</v>
      </c>
      <c r="C746" s="949">
        <v>35234</v>
      </c>
      <c r="D746" s="949" t="s">
        <v>178</v>
      </c>
      <c r="E746" s="904">
        <v>18</v>
      </c>
      <c r="F746" s="644">
        <v>1996</v>
      </c>
      <c r="G746" s="948" t="s">
        <v>146</v>
      </c>
      <c r="H746" s="645" t="s">
        <v>149</v>
      </c>
      <c r="I746" s="951">
        <v>50</v>
      </c>
      <c r="J746" s="951">
        <v>0.5</v>
      </c>
      <c r="K746" s="952">
        <f t="shared" si="129"/>
        <v>1.4204545454545454E-2</v>
      </c>
      <c r="L746" s="644">
        <f t="shared" si="132"/>
        <v>16</v>
      </c>
      <c r="M746" s="935">
        <v>0.69027777777777777</v>
      </c>
      <c r="N746" s="936">
        <f t="shared" si="122"/>
        <v>0.69027777777777777</v>
      </c>
      <c r="O746" s="725">
        <v>0.69305555555555554</v>
      </c>
      <c r="P746" s="725">
        <f t="shared" si="125"/>
        <v>2.7777777777777679E-3</v>
      </c>
      <c r="Q746" s="622" t="s">
        <v>277</v>
      </c>
      <c r="R746" s="37"/>
      <c r="S746" s="37" t="str">
        <f t="shared" si="123"/>
        <v>ArmstrongF0</v>
      </c>
      <c r="T746" s="37" t="str">
        <f t="shared" si="126"/>
        <v>1996F0</v>
      </c>
      <c r="U746" s="429">
        <v>50</v>
      </c>
      <c r="V746" s="1029">
        <v>0.5</v>
      </c>
      <c r="W746" s="598">
        <v>0.01</v>
      </c>
      <c r="X746" s="429"/>
      <c r="Y746" s="37" t="str">
        <f t="shared" si="127"/>
        <v>F050</v>
      </c>
      <c r="Z746" s="37" t="str">
        <f t="shared" si="128"/>
        <v>F00.5</v>
      </c>
      <c r="AA746" s="37" t="str">
        <f t="shared" si="130"/>
        <v>F00.01</v>
      </c>
      <c r="AB746" s="498" t="str">
        <f t="shared" si="124"/>
        <v>F016</v>
      </c>
      <c r="AC746" s="572"/>
      <c r="AD746" s="572"/>
      <c r="AE746" s="572"/>
      <c r="AF746" s="572"/>
    </row>
    <row r="747" spans="1:32">
      <c r="A747" s="947">
        <f t="shared" si="131"/>
        <v>740</v>
      </c>
      <c r="B747" s="948">
        <v>28</v>
      </c>
      <c r="C747" s="949">
        <v>35287</v>
      </c>
      <c r="D747" s="949" t="s">
        <v>180</v>
      </c>
      <c r="E747" s="904">
        <v>10</v>
      </c>
      <c r="F747" s="644">
        <v>1996</v>
      </c>
      <c r="G747" s="948" t="s">
        <v>143</v>
      </c>
      <c r="H747" s="645" t="s">
        <v>149</v>
      </c>
      <c r="I747" s="951">
        <v>50</v>
      </c>
      <c r="J747" s="951">
        <v>0.5</v>
      </c>
      <c r="K747" s="952">
        <f t="shared" si="129"/>
        <v>1.4204545454545454E-2</v>
      </c>
      <c r="L747" s="644">
        <f t="shared" si="132"/>
        <v>17</v>
      </c>
      <c r="M747" s="935">
        <v>0.72430555555555554</v>
      </c>
      <c r="N747" s="936">
        <f t="shared" si="122"/>
        <v>0.72430555555555554</v>
      </c>
      <c r="O747" s="725">
        <v>0.72569444444444453</v>
      </c>
      <c r="P747" s="725">
        <f t="shared" si="125"/>
        <v>1.388888888888995E-3</v>
      </c>
      <c r="Q747" s="622" t="s">
        <v>451</v>
      </c>
      <c r="R747" s="37"/>
      <c r="S747" s="37" t="str">
        <f t="shared" si="123"/>
        <v>WheelerF0</v>
      </c>
      <c r="T747" s="37" t="str">
        <f t="shared" si="126"/>
        <v>1996F0</v>
      </c>
      <c r="U747" s="429">
        <v>50</v>
      </c>
      <c r="V747" s="1029">
        <v>0.5</v>
      </c>
      <c r="W747" s="598">
        <v>0.01</v>
      </c>
      <c r="X747" s="429"/>
      <c r="Y747" s="37" t="str">
        <f t="shared" si="127"/>
        <v>F050</v>
      </c>
      <c r="Z747" s="37" t="str">
        <f t="shared" si="128"/>
        <v>F00.5</v>
      </c>
      <c r="AA747" s="37" t="str">
        <f t="shared" si="130"/>
        <v>F00.01</v>
      </c>
      <c r="AB747" s="498" t="str">
        <f t="shared" si="124"/>
        <v>F017</v>
      </c>
      <c r="AC747" s="572"/>
      <c r="AD747" s="572"/>
      <c r="AE747" s="572"/>
      <c r="AF747" s="572"/>
    </row>
    <row r="748" spans="1:32">
      <c r="A748" s="947">
        <f t="shared" si="131"/>
        <v>741</v>
      </c>
      <c r="B748" s="948">
        <v>29</v>
      </c>
      <c r="C748" s="949">
        <v>35305</v>
      </c>
      <c r="D748" s="949" t="s">
        <v>180</v>
      </c>
      <c r="E748" s="904">
        <v>28</v>
      </c>
      <c r="F748" s="644">
        <v>1996</v>
      </c>
      <c r="G748" s="948" t="s">
        <v>145</v>
      </c>
      <c r="H748" s="645" t="s">
        <v>149</v>
      </c>
      <c r="I748" s="951">
        <v>10</v>
      </c>
      <c r="J748" s="951">
        <v>0.2</v>
      </c>
      <c r="K748" s="952">
        <f t="shared" si="129"/>
        <v>1.1363636363636365E-3</v>
      </c>
      <c r="L748" s="644">
        <f t="shared" si="132"/>
        <v>12</v>
      </c>
      <c r="M748" s="935">
        <v>0.50347222222222221</v>
      </c>
      <c r="N748" s="936">
        <f t="shared" si="122"/>
        <v>0.50347222222222221</v>
      </c>
      <c r="O748" s="725">
        <v>0.50486111111111109</v>
      </c>
      <c r="P748" s="725">
        <f t="shared" si="125"/>
        <v>1.388888888888884E-3</v>
      </c>
      <c r="Q748" s="622" t="s">
        <v>463</v>
      </c>
      <c r="R748" s="37"/>
      <c r="S748" s="37" t="str">
        <f t="shared" si="123"/>
        <v>RandallF0</v>
      </c>
      <c r="T748" s="37" t="str">
        <f t="shared" si="126"/>
        <v>1996F0</v>
      </c>
      <c r="U748" s="429">
        <v>10</v>
      </c>
      <c r="V748" s="1029">
        <v>0.2</v>
      </c>
      <c r="W748" s="598">
        <v>1E-3</v>
      </c>
      <c r="X748" s="429"/>
      <c r="Y748" s="37" t="str">
        <f t="shared" si="127"/>
        <v>F010</v>
      </c>
      <c r="Z748" s="37" t="str">
        <f t="shared" si="128"/>
        <v>F00.2</v>
      </c>
      <c r="AA748" s="37" t="str">
        <f t="shared" si="130"/>
        <v>F00.001</v>
      </c>
      <c r="AB748" s="498" t="str">
        <f t="shared" si="124"/>
        <v>F012</v>
      </c>
      <c r="AC748" s="572"/>
      <c r="AD748" s="572"/>
      <c r="AE748" s="572"/>
      <c r="AF748" s="572"/>
    </row>
    <row r="749" spans="1:32">
      <c r="A749" s="947">
        <f t="shared" si="131"/>
        <v>742</v>
      </c>
      <c r="B749" s="948">
        <v>30</v>
      </c>
      <c r="C749" s="949">
        <v>35305</v>
      </c>
      <c r="D749" s="949" t="s">
        <v>180</v>
      </c>
      <c r="E749" s="904">
        <v>28</v>
      </c>
      <c r="F749" s="644">
        <v>1996</v>
      </c>
      <c r="G749" s="948" t="s">
        <v>145</v>
      </c>
      <c r="H749" s="645" t="s">
        <v>149</v>
      </c>
      <c r="I749" s="951">
        <v>10</v>
      </c>
      <c r="J749" s="951">
        <v>0.2</v>
      </c>
      <c r="K749" s="952">
        <f t="shared" si="129"/>
        <v>1.1363636363636365E-3</v>
      </c>
      <c r="L749" s="644">
        <f t="shared" si="132"/>
        <v>12</v>
      </c>
      <c r="M749" s="935">
        <v>0.52083333333333337</v>
      </c>
      <c r="N749" s="936">
        <f t="shared" si="122"/>
        <v>0.52083333333333337</v>
      </c>
      <c r="O749" s="725">
        <v>0.52222222222222225</v>
      </c>
      <c r="P749" s="725">
        <f t="shared" si="125"/>
        <v>1.388888888888884E-3</v>
      </c>
      <c r="Q749" s="622" t="s">
        <v>419</v>
      </c>
      <c r="R749" s="37"/>
      <c r="S749" s="37" t="str">
        <f t="shared" si="123"/>
        <v>RandallF0</v>
      </c>
      <c r="T749" s="37" t="str">
        <f t="shared" si="126"/>
        <v>1996F0</v>
      </c>
      <c r="U749" s="429">
        <v>10</v>
      </c>
      <c r="V749" s="1029">
        <v>0.2</v>
      </c>
      <c r="W749" s="598">
        <v>1E-3</v>
      </c>
      <c r="X749" s="429"/>
      <c r="Y749" s="37" t="str">
        <f t="shared" si="127"/>
        <v>F010</v>
      </c>
      <c r="Z749" s="37" t="str">
        <f t="shared" si="128"/>
        <v>F00.2</v>
      </c>
      <c r="AA749" s="37" t="str">
        <f t="shared" si="130"/>
        <v>F00.001</v>
      </c>
      <c r="AB749" s="498" t="str">
        <f t="shared" si="124"/>
        <v>F012</v>
      </c>
      <c r="AC749" s="572"/>
      <c r="AD749" s="572"/>
      <c r="AE749" s="572"/>
      <c r="AF749" s="572"/>
    </row>
    <row r="750" spans="1:32">
      <c r="A750" s="947">
        <f t="shared" si="131"/>
        <v>743</v>
      </c>
      <c r="B750" s="948">
        <v>31</v>
      </c>
      <c r="C750" s="949">
        <v>35325</v>
      </c>
      <c r="D750" s="949" t="s">
        <v>181</v>
      </c>
      <c r="E750" s="904">
        <v>17</v>
      </c>
      <c r="F750" s="644">
        <v>1996</v>
      </c>
      <c r="G750" s="948" t="s">
        <v>135</v>
      </c>
      <c r="H750" s="645" t="s">
        <v>149</v>
      </c>
      <c r="I750" s="951">
        <v>100</v>
      </c>
      <c r="J750" s="951">
        <v>0.5</v>
      </c>
      <c r="K750" s="952">
        <f t="shared" si="129"/>
        <v>2.8409090909090908E-2</v>
      </c>
      <c r="L750" s="644">
        <f t="shared" si="132"/>
        <v>21</v>
      </c>
      <c r="M750" s="935">
        <v>0.88194444444444453</v>
      </c>
      <c r="N750" s="936">
        <f t="shared" si="122"/>
        <v>0.88194444444444453</v>
      </c>
      <c r="O750" s="725">
        <v>0.8833333333333333</v>
      </c>
      <c r="P750" s="725">
        <f t="shared" si="125"/>
        <v>1.3888888888887729E-3</v>
      </c>
      <c r="Q750" s="622" t="s">
        <v>394</v>
      </c>
      <c r="R750" s="37"/>
      <c r="S750" s="37" t="str">
        <f t="shared" si="123"/>
        <v>MooreF0</v>
      </c>
      <c r="T750" s="37" t="str">
        <f t="shared" si="126"/>
        <v>1996F0</v>
      </c>
      <c r="U750" s="429">
        <v>100</v>
      </c>
      <c r="V750" s="1029">
        <v>0.5</v>
      </c>
      <c r="W750" s="598">
        <v>0.02</v>
      </c>
      <c r="X750" s="429"/>
      <c r="Y750" s="37" t="str">
        <f t="shared" si="127"/>
        <v>F0100</v>
      </c>
      <c r="Z750" s="37" t="str">
        <f t="shared" si="128"/>
        <v>F00.5</v>
      </c>
      <c r="AA750" s="37" t="str">
        <f t="shared" si="130"/>
        <v>F00.02</v>
      </c>
      <c r="AB750" s="498" t="str">
        <f t="shared" si="124"/>
        <v>F021</v>
      </c>
      <c r="AC750" s="572"/>
      <c r="AD750" s="572"/>
      <c r="AE750" s="572"/>
      <c r="AF750" s="572"/>
    </row>
    <row r="751" spans="1:32">
      <c r="A751" s="947">
        <f t="shared" si="131"/>
        <v>744</v>
      </c>
      <c r="B751" s="948">
        <v>32</v>
      </c>
      <c r="C751" s="949">
        <v>35325</v>
      </c>
      <c r="D751" s="949" t="s">
        <v>181</v>
      </c>
      <c r="E751" s="904">
        <v>17</v>
      </c>
      <c r="F751" s="644">
        <v>1996</v>
      </c>
      <c r="G751" s="948" t="s">
        <v>136</v>
      </c>
      <c r="H751" s="645" t="s">
        <v>149</v>
      </c>
      <c r="I751" s="951">
        <v>50</v>
      </c>
      <c r="J751" s="951">
        <v>0.5</v>
      </c>
      <c r="K751" s="952">
        <f t="shared" si="129"/>
        <v>1.4204545454545454E-2</v>
      </c>
      <c r="L751" s="644">
        <f t="shared" si="132"/>
        <v>22</v>
      </c>
      <c r="M751" s="935">
        <v>0.9458333333333333</v>
      </c>
      <c r="N751" s="936">
        <f t="shared" si="122"/>
        <v>0.9458333333333333</v>
      </c>
      <c r="O751" s="725">
        <v>0.9472222222222223</v>
      </c>
      <c r="P751" s="725">
        <f t="shared" si="125"/>
        <v>1.388888888888995E-3</v>
      </c>
      <c r="Q751" s="622" t="s">
        <v>379</v>
      </c>
      <c r="R751" s="36"/>
      <c r="S751" s="37" t="str">
        <f t="shared" si="123"/>
        <v>HutchinsonF0</v>
      </c>
      <c r="T751" s="37" t="str">
        <f t="shared" si="126"/>
        <v>1996F0</v>
      </c>
      <c r="U751" s="429">
        <v>50</v>
      </c>
      <c r="V751" s="1029">
        <v>0.5</v>
      </c>
      <c r="W751" s="598">
        <v>0.01</v>
      </c>
      <c r="X751" s="429"/>
      <c r="Y751" s="37" t="str">
        <f t="shared" si="127"/>
        <v>F050</v>
      </c>
      <c r="Z751" s="37" t="str">
        <f t="shared" si="128"/>
        <v>F00.5</v>
      </c>
      <c r="AA751" s="37" t="str">
        <f t="shared" si="130"/>
        <v>F00.01</v>
      </c>
      <c r="AB751" s="498" t="str">
        <f t="shared" si="124"/>
        <v>F022</v>
      </c>
      <c r="AC751" s="572"/>
      <c r="AD751" s="572"/>
      <c r="AE751" s="572"/>
      <c r="AF751" s="572"/>
    </row>
    <row r="752" spans="1:32">
      <c r="A752" s="947">
        <f t="shared" si="131"/>
        <v>745</v>
      </c>
      <c r="B752" s="948">
        <v>33</v>
      </c>
      <c r="C752" s="949">
        <v>35325</v>
      </c>
      <c r="D752" s="949" t="s">
        <v>181</v>
      </c>
      <c r="E752" s="904">
        <v>17</v>
      </c>
      <c r="F752" s="644">
        <v>1996</v>
      </c>
      <c r="G752" s="948" t="s">
        <v>131</v>
      </c>
      <c r="H752" s="645" t="s">
        <v>149</v>
      </c>
      <c r="I752" s="951">
        <v>50</v>
      </c>
      <c r="J752" s="951">
        <v>0.5</v>
      </c>
      <c r="K752" s="952">
        <f t="shared" si="129"/>
        <v>1.4204545454545454E-2</v>
      </c>
      <c r="L752" s="644">
        <f t="shared" si="132"/>
        <v>23</v>
      </c>
      <c r="M752" s="935">
        <v>0.99236111111111114</v>
      </c>
      <c r="N752" s="936">
        <f t="shared" si="122"/>
        <v>0.99236111111111114</v>
      </c>
      <c r="O752" s="725">
        <v>0.99375000000000002</v>
      </c>
      <c r="P752" s="725">
        <f t="shared" si="125"/>
        <v>1.388888888888884E-3</v>
      </c>
      <c r="Q752" s="622" t="s">
        <v>359</v>
      </c>
      <c r="R752" s="36"/>
      <c r="S752" s="37" t="str">
        <f t="shared" si="123"/>
        <v>HansfordF0</v>
      </c>
      <c r="T752" s="37" t="str">
        <f t="shared" si="126"/>
        <v>1996F0</v>
      </c>
      <c r="U752" s="429">
        <v>50</v>
      </c>
      <c r="V752" s="1029">
        <v>0.5</v>
      </c>
      <c r="W752" s="598">
        <v>0.01</v>
      </c>
      <c r="X752" s="429"/>
      <c r="Y752" s="37" t="str">
        <f t="shared" si="127"/>
        <v>F050</v>
      </c>
      <c r="Z752" s="37" t="str">
        <f t="shared" si="128"/>
        <v>F00.5</v>
      </c>
      <c r="AA752" s="37" t="str">
        <f t="shared" si="130"/>
        <v>F00.01</v>
      </c>
      <c r="AB752" s="498" t="str">
        <f t="shared" si="124"/>
        <v>F023</v>
      </c>
      <c r="AC752" s="572"/>
      <c r="AD752" s="572"/>
      <c r="AE752" s="572"/>
      <c r="AF752" s="572"/>
    </row>
    <row r="753" spans="1:32">
      <c r="A753" s="947">
        <f t="shared" si="131"/>
        <v>746</v>
      </c>
      <c r="B753" s="948">
        <v>34</v>
      </c>
      <c r="C753" s="949">
        <v>35326</v>
      </c>
      <c r="D753" s="949" t="s">
        <v>181</v>
      </c>
      <c r="E753" s="904">
        <v>18</v>
      </c>
      <c r="F753" s="644">
        <v>1996</v>
      </c>
      <c r="G753" s="948" t="s">
        <v>127</v>
      </c>
      <c r="H753" s="645" t="s">
        <v>149</v>
      </c>
      <c r="I753" s="951">
        <v>50</v>
      </c>
      <c r="J753" s="951">
        <v>0.5</v>
      </c>
      <c r="K753" s="952">
        <f t="shared" si="129"/>
        <v>1.4204545454545454E-2</v>
      </c>
      <c r="L753" s="644">
        <f t="shared" si="132"/>
        <v>19</v>
      </c>
      <c r="M753" s="935">
        <v>0.79236111111111107</v>
      </c>
      <c r="N753" s="936">
        <f t="shared" si="122"/>
        <v>0.79236111111111107</v>
      </c>
      <c r="O753" s="725">
        <v>0.79374999999999996</v>
      </c>
      <c r="P753" s="725">
        <f t="shared" si="125"/>
        <v>1.388888888888884E-3</v>
      </c>
      <c r="Q753" s="622" t="s">
        <v>250</v>
      </c>
      <c r="R753" s="36"/>
      <c r="S753" s="37" t="str">
        <f t="shared" si="123"/>
        <v>TexasF0</v>
      </c>
      <c r="T753" s="37" t="str">
        <f t="shared" si="126"/>
        <v>1996F0</v>
      </c>
      <c r="U753" s="429">
        <v>50</v>
      </c>
      <c r="V753" s="1029">
        <v>0.5</v>
      </c>
      <c r="W753" s="598">
        <v>0.01</v>
      </c>
      <c r="X753" s="429"/>
      <c r="Y753" s="37" t="str">
        <f t="shared" si="127"/>
        <v>F050</v>
      </c>
      <c r="Z753" s="37" t="str">
        <f t="shared" si="128"/>
        <v>F00.5</v>
      </c>
      <c r="AA753" s="37" t="str">
        <f t="shared" si="130"/>
        <v>F00.01</v>
      </c>
      <c r="AB753" s="498" t="str">
        <f t="shared" si="124"/>
        <v>F019</v>
      </c>
      <c r="AC753" s="572"/>
      <c r="AD753" s="572"/>
      <c r="AE753" s="572"/>
      <c r="AF753" s="572"/>
    </row>
    <row r="754" spans="1:32">
      <c r="A754" s="947">
        <f t="shared" si="131"/>
        <v>747</v>
      </c>
      <c r="B754" s="948">
        <v>35</v>
      </c>
      <c r="C754" s="949">
        <v>35326</v>
      </c>
      <c r="D754" s="949" t="s">
        <v>181</v>
      </c>
      <c r="E754" s="904">
        <v>18</v>
      </c>
      <c r="F754" s="644">
        <v>1996</v>
      </c>
      <c r="G754" s="948" t="s">
        <v>127</v>
      </c>
      <c r="H754" s="645" t="s">
        <v>149</v>
      </c>
      <c r="I754" s="951">
        <v>50</v>
      </c>
      <c r="J754" s="951">
        <v>0.5</v>
      </c>
      <c r="K754" s="952">
        <f t="shared" si="129"/>
        <v>1.4204545454545454E-2</v>
      </c>
      <c r="L754" s="644">
        <f t="shared" si="132"/>
        <v>19</v>
      </c>
      <c r="M754" s="935">
        <v>0.79652777777777783</v>
      </c>
      <c r="N754" s="936">
        <f t="shared" si="122"/>
        <v>0.79652777777777783</v>
      </c>
      <c r="O754" s="725">
        <v>0.79861111111111116</v>
      </c>
      <c r="P754" s="725">
        <f t="shared" si="125"/>
        <v>2.0833333333333259E-3</v>
      </c>
      <c r="Q754" s="622" t="s">
        <v>251</v>
      </c>
      <c r="R754" s="36"/>
      <c r="S754" s="37" t="str">
        <f t="shared" si="123"/>
        <v>TexasF0</v>
      </c>
      <c r="T754" s="37" t="str">
        <f t="shared" si="126"/>
        <v>1996F0</v>
      </c>
      <c r="U754" s="429">
        <v>50</v>
      </c>
      <c r="V754" s="1029">
        <v>0.5</v>
      </c>
      <c r="W754" s="598">
        <v>0.01</v>
      </c>
      <c r="X754" s="429"/>
      <c r="Y754" s="37" t="str">
        <f t="shared" si="127"/>
        <v>F050</v>
      </c>
      <c r="Z754" s="37" t="str">
        <f t="shared" si="128"/>
        <v>F00.5</v>
      </c>
      <c r="AA754" s="37" t="str">
        <f t="shared" si="130"/>
        <v>F00.01</v>
      </c>
      <c r="AB754" s="498" t="str">
        <f t="shared" si="124"/>
        <v>F019</v>
      </c>
      <c r="AC754" s="572"/>
      <c r="AD754" s="572"/>
      <c r="AE754" s="572"/>
      <c r="AF754" s="572"/>
    </row>
    <row r="755" spans="1:32" ht="25.5">
      <c r="A755" s="947">
        <f t="shared" si="131"/>
        <v>748</v>
      </c>
      <c r="B755" s="948">
        <v>1</v>
      </c>
      <c r="C755" s="949">
        <v>35556</v>
      </c>
      <c r="D755" s="949" t="s">
        <v>177</v>
      </c>
      <c r="E755" s="904">
        <v>6</v>
      </c>
      <c r="F755" s="644">
        <v>1997</v>
      </c>
      <c r="G755" s="948" t="s">
        <v>130</v>
      </c>
      <c r="H755" s="645" t="s">
        <v>149</v>
      </c>
      <c r="I755" s="951">
        <v>25</v>
      </c>
      <c r="J755" s="951">
        <v>0.7</v>
      </c>
      <c r="K755" s="952">
        <f t="shared" si="129"/>
        <v>9.943181818181818E-3</v>
      </c>
      <c r="L755" s="644">
        <f t="shared" si="132"/>
        <v>19</v>
      </c>
      <c r="M755" s="935">
        <v>0.81597222222222221</v>
      </c>
      <c r="N755" s="936">
        <f t="shared" si="122"/>
        <v>0.81597222222222221</v>
      </c>
      <c r="O755" s="725">
        <v>0.81597222222222221</v>
      </c>
      <c r="P755" s="725">
        <f t="shared" si="125"/>
        <v>0</v>
      </c>
      <c r="Q755" s="622" t="s">
        <v>49</v>
      </c>
      <c r="R755" s="36"/>
      <c r="S755" s="37" t="str">
        <f t="shared" si="123"/>
        <v>ShermanF0</v>
      </c>
      <c r="T755" s="37" t="str">
        <f t="shared" si="126"/>
        <v>1997F0</v>
      </c>
      <c r="U755" s="429">
        <v>20</v>
      </c>
      <c r="V755" s="1029">
        <v>0.5</v>
      </c>
      <c r="W755" s="598">
        <v>0.01</v>
      </c>
      <c r="X755" s="429"/>
      <c r="Y755" s="37" t="str">
        <f t="shared" si="127"/>
        <v>F020</v>
      </c>
      <c r="Z755" s="37" t="str">
        <f t="shared" si="128"/>
        <v>F00.5</v>
      </c>
      <c r="AA755" s="37" t="str">
        <f t="shared" si="130"/>
        <v>F00.01</v>
      </c>
      <c r="AB755" s="498" t="str">
        <f t="shared" si="124"/>
        <v>F019</v>
      </c>
      <c r="AC755" s="572"/>
      <c r="AD755" s="572"/>
      <c r="AE755" s="572"/>
      <c r="AF755" s="572"/>
    </row>
    <row r="756" spans="1:32">
      <c r="A756" s="947">
        <f t="shared" si="131"/>
        <v>749</v>
      </c>
      <c r="B756" s="948">
        <v>2</v>
      </c>
      <c r="C756" s="949">
        <v>35557</v>
      </c>
      <c r="D756" s="949" t="s">
        <v>177</v>
      </c>
      <c r="E756" s="904">
        <v>7</v>
      </c>
      <c r="F756" s="644">
        <v>1997</v>
      </c>
      <c r="G756" s="948" t="s">
        <v>142</v>
      </c>
      <c r="H756" s="645" t="s">
        <v>149</v>
      </c>
      <c r="I756" s="951">
        <v>25</v>
      </c>
      <c r="J756" s="951">
        <v>0.2</v>
      </c>
      <c r="K756" s="952">
        <f t="shared" si="129"/>
        <v>2.840909090909091E-3</v>
      </c>
      <c r="L756" s="644">
        <f t="shared" si="132"/>
        <v>18</v>
      </c>
      <c r="M756" s="935">
        <v>0.77708333333333324</v>
      </c>
      <c r="N756" s="936">
        <f t="shared" si="122"/>
        <v>0.77708333333333324</v>
      </c>
      <c r="O756" s="725">
        <v>0.77847222222222223</v>
      </c>
      <c r="P756" s="725">
        <f t="shared" si="125"/>
        <v>1.388888888888995E-3</v>
      </c>
      <c r="Q756" s="622" t="s">
        <v>347</v>
      </c>
      <c r="R756" s="36"/>
      <c r="S756" s="37" t="str">
        <f t="shared" si="123"/>
        <v>GrayF0</v>
      </c>
      <c r="T756" s="37" t="str">
        <f t="shared" si="126"/>
        <v>1997F0</v>
      </c>
      <c r="U756" s="429">
        <v>20</v>
      </c>
      <c r="V756" s="1029">
        <v>0.2</v>
      </c>
      <c r="W756" s="598">
        <v>2E-3</v>
      </c>
      <c r="X756" s="429"/>
      <c r="Y756" s="37" t="str">
        <f t="shared" si="127"/>
        <v>F020</v>
      </c>
      <c r="Z756" s="37" t="str">
        <f t="shared" si="128"/>
        <v>F00.2</v>
      </c>
      <c r="AA756" s="37" t="str">
        <f t="shared" si="130"/>
        <v>F00.002</v>
      </c>
      <c r="AB756" s="498" t="str">
        <f t="shared" si="124"/>
        <v>F018</v>
      </c>
      <c r="AC756" s="572"/>
      <c r="AD756" s="572"/>
      <c r="AE756" s="572"/>
      <c r="AF756" s="572"/>
    </row>
    <row r="757" spans="1:32" ht="25.5">
      <c r="A757" s="947">
        <f t="shared" si="131"/>
        <v>750</v>
      </c>
      <c r="B757" s="948">
        <v>3</v>
      </c>
      <c r="C757" s="949">
        <v>35557</v>
      </c>
      <c r="D757" s="949" t="s">
        <v>177</v>
      </c>
      <c r="E757" s="904">
        <v>7</v>
      </c>
      <c r="F757" s="644">
        <v>1997</v>
      </c>
      <c r="G757" s="948" t="s">
        <v>141</v>
      </c>
      <c r="H757" s="645" t="s">
        <v>149</v>
      </c>
      <c r="I757" s="951">
        <v>25</v>
      </c>
      <c r="J757" s="951">
        <v>0.5</v>
      </c>
      <c r="K757" s="952">
        <f t="shared" si="129"/>
        <v>7.102272727272727E-3</v>
      </c>
      <c r="L757" s="644">
        <f t="shared" si="132"/>
        <v>18</v>
      </c>
      <c r="M757" s="935">
        <v>0.78611111111111109</v>
      </c>
      <c r="N757" s="936">
        <f t="shared" si="122"/>
        <v>0.78611111111111109</v>
      </c>
      <c r="O757" s="725">
        <v>0.78611111111111109</v>
      </c>
      <c r="P757" s="725">
        <f t="shared" si="125"/>
        <v>0</v>
      </c>
      <c r="Q757" s="622" t="s">
        <v>50</v>
      </c>
      <c r="R757" s="36"/>
      <c r="S757" s="37" t="str">
        <f t="shared" si="123"/>
        <v>CarsonF0</v>
      </c>
      <c r="T757" s="37" t="str">
        <f t="shared" si="126"/>
        <v>1997F0</v>
      </c>
      <c r="U757" s="429">
        <v>20</v>
      </c>
      <c r="V757" s="1029">
        <v>0.5</v>
      </c>
      <c r="W757" s="598">
        <v>5.0000000000000001E-3</v>
      </c>
      <c r="X757" s="429"/>
      <c r="Y757" s="37" t="str">
        <f t="shared" si="127"/>
        <v>F020</v>
      </c>
      <c r="Z757" s="37" t="str">
        <f t="shared" si="128"/>
        <v>F00.5</v>
      </c>
      <c r="AA757" s="37" t="str">
        <f t="shared" si="130"/>
        <v>F00.005</v>
      </c>
      <c r="AB757" s="498" t="str">
        <f t="shared" si="124"/>
        <v>F018</v>
      </c>
      <c r="AC757" s="572"/>
      <c r="AD757" s="572"/>
      <c r="AE757" s="572"/>
      <c r="AF757" s="572"/>
    </row>
    <row r="758" spans="1:32" ht="25.5">
      <c r="A758" s="947">
        <f t="shared" si="131"/>
        <v>751</v>
      </c>
      <c r="B758" s="948">
        <v>4</v>
      </c>
      <c r="C758" s="949">
        <v>35557</v>
      </c>
      <c r="D758" s="949" t="s">
        <v>177</v>
      </c>
      <c r="E758" s="904">
        <v>7</v>
      </c>
      <c r="F758" s="644">
        <v>1997</v>
      </c>
      <c r="G758" s="948" t="s">
        <v>142</v>
      </c>
      <c r="H758" s="645" t="s">
        <v>149</v>
      </c>
      <c r="I758" s="951">
        <v>50</v>
      </c>
      <c r="J758" s="951">
        <v>1</v>
      </c>
      <c r="K758" s="952">
        <f t="shared" si="129"/>
        <v>2.8409090909090908E-2</v>
      </c>
      <c r="L758" s="644">
        <f t="shared" si="132"/>
        <v>19</v>
      </c>
      <c r="M758" s="935">
        <v>0.79861111111111116</v>
      </c>
      <c r="N758" s="936">
        <f t="shared" si="122"/>
        <v>0.79861111111111116</v>
      </c>
      <c r="O758" s="725">
        <v>0.79861111111111116</v>
      </c>
      <c r="P758" s="725">
        <f t="shared" si="125"/>
        <v>0</v>
      </c>
      <c r="Q758" s="622" t="s">
        <v>51</v>
      </c>
      <c r="R758" s="36"/>
      <c r="S758" s="37" t="str">
        <f t="shared" si="123"/>
        <v>GrayF0</v>
      </c>
      <c r="T758" s="37" t="str">
        <f t="shared" si="126"/>
        <v>1997F0</v>
      </c>
      <c r="U758" s="429">
        <v>50</v>
      </c>
      <c r="V758" s="1029">
        <v>1</v>
      </c>
      <c r="W758" s="598">
        <v>0.02</v>
      </c>
      <c r="X758" s="429"/>
      <c r="Y758" s="37" t="str">
        <f t="shared" si="127"/>
        <v>F050</v>
      </c>
      <c r="Z758" s="37" t="str">
        <f t="shared" si="128"/>
        <v>F01</v>
      </c>
      <c r="AA758" s="37" t="str">
        <f t="shared" si="130"/>
        <v>F00.02</v>
      </c>
      <c r="AB758" s="498" t="str">
        <f t="shared" si="124"/>
        <v>F019</v>
      </c>
      <c r="AC758" s="572"/>
      <c r="AD758" s="572"/>
      <c r="AE758" s="572"/>
      <c r="AF758" s="572"/>
    </row>
    <row r="759" spans="1:32">
      <c r="A759" s="947">
        <f t="shared" si="131"/>
        <v>752</v>
      </c>
      <c r="B759" s="948">
        <v>5</v>
      </c>
      <c r="C759" s="949">
        <v>35557</v>
      </c>
      <c r="D759" s="949" t="s">
        <v>177</v>
      </c>
      <c r="E759" s="904">
        <v>7</v>
      </c>
      <c r="F759" s="644">
        <v>1997</v>
      </c>
      <c r="G759" s="948" t="s">
        <v>143</v>
      </c>
      <c r="H759" s="645" t="s">
        <v>149</v>
      </c>
      <c r="I759" s="951">
        <v>25</v>
      </c>
      <c r="J759" s="951">
        <v>0.1</v>
      </c>
      <c r="K759" s="952">
        <f t="shared" si="129"/>
        <v>1.4204545454545455E-3</v>
      </c>
      <c r="L759" s="644">
        <f t="shared" si="132"/>
        <v>20</v>
      </c>
      <c r="M759" s="935">
        <v>0.83680555555555547</v>
      </c>
      <c r="N759" s="936">
        <f t="shared" si="122"/>
        <v>0.83680555555555547</v>
      </c>
      <c r="O759" s="725">
        <v>0.83819444444444446</v>
      </c>
      <c r="P759" s="725">
        <f t="shared" si="125"/>
        <v>1.388888888888995E-3</v>
      </c>
      <c r="Q759" s="622" t="s">
        <v>452</v>
      </c>
      <c r="R759" s="36"/>
      <c r="S759" s="37" t="str">
        <f t="shared" si="123"/>
        <v>WheelerF0</v>
      </c>
      <c r="T759" s="37" t="str">
        <f t="shared" si="126"/>
        <v>1997F0</v>
      </c>
      <c r="U759" s="429">
        <v>20</v>
      </c>
      <c r="V759" s="1029">
        <v>0.1</v>
      </c>
      <c r="W759" s="598">
        <v>1E-3</v>
      </c>
      <c r="X759" s="429"/>
      <c r="Y759" s="37" t="str">
        <f t="shared" si="127"/>
        <v>F020</v>
      </c>
      <c r="Z759" s="37" t="str">
        <f t="shared" si="128"/>
        <v>F00.1</v>
      </c>
      <c r="AA759" s="37" t="str">
        <f t="shared" si="130"/>
        <v>F00.001</v>
      </c>
      <c r="AB759" s="498" t="str">
        <f t="shared" si="124"/>
        <v>F020</v>
      </c>
      <c r="AC759" s="572"/>
      <c r="AD759" s="572"/>
      <c r="AE759" s="572"/>
      <c r="AF759" s="572"/>
    </row>
    <row r="760" spans="1:32">
      <c r="A760" s="947">
        <f t="shared" si="131"/>
        <v>753</v>
      </c>
      <c r="B760" s="948">
        <v>6</v>
      </c>
      <c r="C760" s="949">
        <v>35578</v>
      </c>
      <c r="D760" s="949" t="s">
        <v>177</v>
      </c>
      <c r="E760" s="904">
        <v>28</v>
      </c>
      <c r="F760" s="644">
        <v>1997</v>
      </c>
      <c r="G760" s="948" t="s">
        <v>144</v>
      </c>
      <c r="H760" s="645" t="s">
        <v>149</v>
      </c>
      <c r="I760" s="951">
        <v>25</v>
      </c>
      <c r="J760" s="951">
        <v>0.1</v>
      </c>
      <c r="K760" s="952">
        <f t="shared" si="129"/>
        <v>1.4204545454545455E-3</v>
      </c>
      <c r="L760" s="644">
        <f t="shared" si="132"/>
        <v>16</v>
      </c>
      <c r="M760" s="935">
        <v>0.67152777777777783</v>
      </c>
      <c r="N760" s="936">
        <f t="shared" si="122"/>
        <v>0.67152777777777783</v>
      </c>
      <c r="O760" s="725">
        <v>0.67222222222222217</v>
      </c>
      <c r="P760" s="725">
        <f t="shared" si="125"/>
        <v>6.9444444444433095E-4</v>
      </c>
      <c r="Q760" s="622" t="s">
        <v>318</v>
      </c>
      <c r="R760" s="37"/>
      <c r="S760" s="37" t="str">
        <f t="shared" si="123"/>
        <v>Deaf SmithF0</v>
      </c>
      <c r="T760" s="37" t="str">
        <f t="shared" si="126"/>
        <v>1997F0</v>
      </c>
      <c r="U760" s="429">
        <v>20</v>
      </c>
      <c r="V760" s="1029">
        <v>0.1</v>
      </c>
      <c r="W760" s="598">
        <v>1E-3</v>
      </c>
      <c r="X760" s="429"/>
      <c r="Y760" s="37" t="str">
        <f t="shared" si="127"/>
        <v>F020</v>
      </c>
      <c r="Z760" s="37" t="str">
        <f t="shared" si="128"/>
        <v>F00.1</v>
      </c>
      <c r="AA760" s="37" t="str">
        <f t="shared" si="130"/>
        <v>F00.001</v>
      </c>
      <c r="AB760" s="498" t="str">
        <f t="shared" si="124"/>
        <v>F016</v>
      </c>
      <c r="AC760" s="572"/>
      <c r="AD760" s="572"/>
      <c r="AE760" s="572"/>
      <c r="AF760" s="572"/>
    </row>
    <row r="761" spans="1:32">
      <c r="A761" s="947">
        <f t="shared" si="131"/>
        <v>754</v>
      </c>
      <c r="B761" s="948">
        <v>7</v>
      </c>
      <c r="C761" s="949">
        <v>35579</v>
      </c>
      <c r="D761" s="949" t="s">
        <v>177</v>
      </c>
      <c r="E761" s="904">
        <v>29</v>
      </c>
      <c r="F761" s="644">
        <v>1997</v>
      </c>
      <c r="G761" s="948" t="s">
        <v>145</v>
      </c>
      <c r="H761" s="645" t="s">
        <v>149</v>
      </c>
      <c r="I761" s="951">
        <v>25</v>
      </c>
      <c r="J761" s="951">
        <v>0.1</v>
      </c>
      <c r="K761" s="952">
        <f t="shared" si="129"/>
        <v>1.4204545454545455E-3</v>
      </c>
      <c r="L761" s="644">
        <f t="shared" si="132"/>
        <v>20</v>
      </c>
      <c r="M761" s="935">
        <v>0.87152777777777779</v>
      </c>
      <c r="N761" s="936">
        <f t="shared" si="122"/>
        <v>0.87152777777777779</v>
      </c>
      <c r="O761" s="725">
        <v>0.87291666666666667</v>
      </c>
      <c r="P761" s="725">
        <f t="shared" si="125"/>
        <v>1.388888888888884E-3</v>
      </c>
      <c r="Q761" s="622" t="s">
        <v>420</v>
      </c>
      <c r="R761" s="37"/>
      <c r="S761" s="37" t="str">
        <f t="shared" si="123"/>
        <v>RandallF0</v>
      </c>
      <c r="T761" s="37" t="str">
        <f t="shared" si="126"/>
        <v>1997F0</v>
      </c>
      <c r="U761" s="429">
        <v>20</v>
      </c>
      <c r="V761" s="1029">
        <v>0.1</v>
      </c>
      <c r="W761" s="598">
        <v>1E-3</v>
      </c>
      <c r="X761" s="429"/>
      <c r="Y761" s="37" t="str">
        <f t="shared" si="127"/>
        <v>F020</v>
      </c>
      <c r="Z761" s="37" t="str">
        <f t="shared" si="128"/>
        <v>F00.1</v>
      </c>
      <c r="AA761" s="37" t="str">
        <f t="shared" si="130"/>
        <v>F00.001</v>
      </c>
      <c r="AB761" s="498" t="str">
        <f t="shared" si="124"/>
        <v>F020</v>
      </c>
      <c r="AC761" s="572"/>
      <c r="AD761" s="572"/>
      <c r="AE761" s="572"/>
      <c r="AF761" s="572"/>
    </row>
    <row r="762" spans="1:32">
      <c r="A762" s="947">
        <f t="shared" si="131"/>
        <v>755</v>
      </c>
      <c r="B762" s="948">
        <v>8</v>
      </c>
      <c r="C762" s="949">
        <v>35579</v>
      </c>
      <c r="D762" s="949" t="s">
        <v>177</v>
      </c>
      <c r="E762" s="904">
        <v>29</v>
      </c>
      <c r="F762" s="644">
        <v>1997</v>
      </c>
      <c r="G762" s="948" t="s">
        <v>141</v>
      </c>
      <c r="H762" s="645" t="s">
        <v>149</v>
      </c>
      <c r="I762" s="951">
        <v>50</v>
      </c>
      <c r="J762" s="951">
        <v>0.3</v>
      </c>
      <c r="K762" s="952">
        <f t="shared" si="129"/>
        <v>8.5227272727272721E-3</v>
      </c>
      <c r="L762" s="644">
        <f t="shared" si="132"/>
        <v>21</v>
      </c>
      <c r="M762" s="935">
        <v>0.87777777777777777</v>
      </c>
      <c r="N762" s="936">
        <f t="shared" si="122"/>
        <v>0.87777777777777777</v>
      </c>
      <c r="O762" s="725">
        <v>0.87916666666666676</v>
      </c>
      <c r="P762" s="725">
        <f t="shared" si="125"/>
        <v>1.388888888888995E-3</v>
      </c>
      <c r="Q762" s="622" t="s">
        <v>290</v>
      </c>
      <c r="R762" s="37"/>
      <c r="S762" s="37" t="str">
        <f t="shared" si="123"/>
        <v>CarsonF0</v>
      </c>
      <c r="T762" s="37" t="str">
        <f t="shared" si="126"/>
        <v>1997F0</v>
      </c>
      <c r="U762" s="429">
        <v>50</v>
      </c>
      <c r="V762" s="1029">
        <v>0.2</v>
      </c>
      <c r="W762" s="598">
        <v>5.0000000000000001E-3</v>
      </c>
      <c r="X762" s="429"/>
      <c r="Y762" s="37" t="str">
        <f t="shared" si="127"/>
        <v>F050</v>
      </c>
      <c r="Z762" s="37" t="str">
        <f t="shared" si="128"/>
        <v>F00.2</v>
      </c>
      <c r="AA762" s="37" t="str">
        <f t="shared" si="130"/>
        <v>F00.005</v>
      </c>
      <c r="AB762" s="498" t="str">
        <f t="shared" si="124"/>
        <v>F021</v>
      </c>
      <c r="AC762" s="572"/>
      <c r="AD762" s="572"/>
      <c r="AE762" s="572"/>
      <c r="AF762" s="572"/>
    </row>
    <row r="763" spans="1:32">
      <c r="A763" s="947">
        <f t="shared" si="131"/>
        <v>756</v>
      </c>
      <c r="B763" s="948">
        <v>9</v>
      </c>
      <c r="C763" s="949">
        <v>35579</v>
      </c>
      <c r="D763" s="949" t="s">
        <v>177</v>
      </c>
      <c r="E763" s="904">
        <v>29</v>
      </c>
      <c r="F763" s="644">
        <v>1997</v>
      </c>
      <c r="G763" s="948" t="s">
        <v>145</v>
      </c>
      <c r="H763" s="645" t="s">
        <v>149</v>
      </c>
      <c r="I763" s="951">
        <v>25</v>
      </c>
      <c r="J763" s="951">
        <v>0.1</v>
      </c>
      <c r="K763" s="952">
        <f t="shared" si="129"/>
        <v>1.4204545454545455E-3</v>
      </c>
      <c r="L763" s="644">
        <f t="shared" si="132"/>
        <v>21</v>
      </c>
      <c r="M763" s="935">
        <v>0.8833333333333333</v>
      </c>
      <c r="N763" s="936">
        <f t="shared" si="122"/>
        <v>0.8833333333333333</v>
      </c>
      <c r="O763" s="725">
        <v>0.8847222222222223</v>
      </c>
      <c r="P763" s="725">
        <f t="shared" si="125"/>
        <v>1.388888888888995E-3</v>
      </c>
      <c r="Q763" s="622" t="s">
        <v>421</v>
      </c>
      <c r="R763" s="37"/>
      <c r="S763" s="37" t="str">
        <f t="shared" si="123"/>
        <v>RandallF0</v>
      </c>
      <c r="T763" s="37" t="str">
        <f t="shared" si="126"/>
        <v>1997F0</v>
      </c>
      <c r="U763" s="429">
        <v>20</v>
      </c>
      <c r="V763" s="1029">
        <v>0.1</v>
      </c>
      <c r="W763" s="598">
        <v>1E-3</v>
      </c>
      <c r="X763" s="429"/>
      <c r="Y763" s="37" t="str">
        <f t="shared" si="127"/>
        <v>F020</v>
      </c>
      <c r="Z763" s="37" t="str">
        <f t="shared" si="128"/>
        <v>F00.1</v>
      </c>
      <c r="AA763" s="37" t="str">
        <f t="shared" si="130"/>
        <v>F00.001</v>
      </c>
      <c r="AB763" s="498" t="str">
        <f t="shared" si="124"/>
        <v>F021</v>
      </c>
      <c r="AC763" s="572"/>
      <c r="AD763" s="572"/>
      <c r="AE763" s="572"/>
      <c r="AF763" s="572"/>
    </row>
    <row r="764" spans="1:32">
      <c r="A764" s="947">
        <f t="shared" si="131"/>
        <v>757</v>
      </c>
      <c r="B764" s="948">
        <v>10</v>
      </c>
      <c r="C764" s="949">
        <v>35590</v>
      </c>
      <c r="D764" s="949" t="s">
        <v>178</v>
      </c>
      <c r="E764" s="904">
        <v>9</v>
      </c>
      <c r="F764" s="644">
        <v>1997</v>
      </c>
      <c r="G764" s="948" t="s">
        <v>141</v>
      </c>
      <c r="H764" s="645" t="s">
        <v>149</v>
      </c>
      <c r="I764" s="951">
        <v>25</v>
      </c>
      <c r="J764" s="951">
        <v>0.1</v>
      </c>
      <c r="K764" s="952">
        <f t="shared" si="129"/>
        <v>1.4204545454545455E-3</v>
      </c>
      <c r="L764" s="644">
        <f t="shared" si="132"/>
        <v>14</v>
      </c>
      <c r="M764" s="935">
        <v>0.60069444444444442</v>
      </c>
      <c r="N764" s="936">
        <f t="shared" si="122"/>
        <v>0.60069444444444442</v>
      </c>
      <c r="O764" s="725">
        <v>0.6020833333333333</v>
      </c>
      <c r="P764" s="725">
        <f t="shared" si="125"/>
        <v>1.388888888888884E-3</v>
      </c>
      <c r="Q764" s="622" t="s">
        <v>291</v>
      </c>
      <c r="R764" s="37"/>
      <c r="S764" s="37" t="str">
        <f t="shared" si="123"/>
        <v>CarsonF0</v>
      </c>
      <c r="T764" s="37" t="str">
        <f t="shared" si="126"/>
        <v>1997F0</v>
      </c>
      <c r="U764" s="429">
        <v>20</v>
      </c>
      <c r="V764" s="1029">
        <v>0.1</v>
      </c>
      <c r="W764" s="598">
        <v>1E-3</v>
      </c>
      <c r="X764" s="429"/>
      <c r="Y764" s="37" t="str">
        <f t="shared" si="127"/>
        <v>F020</v>
      </c>
      <c r="Z764" s="37" t="str">
        <f t="shared" si="128"/>
        <v>F00.1</v>
      </c>
      <c r="AA764" s="37" t="str">
        <f t="shared" si="130"/>
        <v>F00.001</v>
      </c>
      <c r="AB764" s="498" t="str">
        <f t="shared" si="124"/>
        <v>F014</v>
      </c>
      <c r="AC764" s="572"/>
      <c r="AD764" s="572"/>
      <c r="AE764" s="572"/>
      <c r="AF764" s="572"/>
    </row>
    <row r="765" spans="1:32">
      <c r="A765" s="947">
        <f t="shared" si="131"/>
        <v>758</v>
      </c>
      <c r="B765" s="948">
        <v>11</v>
      </c>
      <c r="C765" s="949">
        <v>35592</v>
      </c>
      <c r="D765" s="949" t="s">
        <v>178</v>
      </c>
      <c r="E765" s="904">
        <v>11</v>
      </c>
      <c r="F765" s="644">
        <v>1997</v>
      </c>
      <c r="G765" s="948" t="s">
        <v>143</v>
      </c>
      <c r="H765" s="645" t="s">
        <v>150</v>
      </c>
      <c r="I765" s="951">
        <v>100</v>
      </c>
      <c r="J765" s="951">
        <v>2</v>
      </c>
      <c r="K765" s="952">
        <f t="shared" si="129"/>
        <v>0.11363636363636363</v>
      </c>
      <c r="L765" s="644">
        <f t="shared" si="132"/>
        <v>17</v>
      </c>
      <c r="M765" s="935">
        <v>0.72222222222222221</v>
      </c>
      <c r="N765" s="936">
        <f t="shared" si="122"/>
        <v>0.72222222222222221</v>
      </c>
      <c r="O765" s="725">
        <v>0.72569444444444453</v>
      </c>
      <c r="P765" s="725">
        <f t="shared" si="125"/>
        <v>3.4722222222223209E-3</v>
      </c>
      <c r="Q765" s="622" t="s">
        <v>453</v>
      </c>
      <c r="R765" s="37"/>
      <c r="S765" s="37" t="str">
        <f t="shared" si="123"/>
        <v>WheelerF1</v>
      </c>
      <c r="T765" s="37" t="str">
        <f t="shared" si="126"/>
        <v>1997F1</v>
      </c>
      <c r="U765" s="429">
        <v>100</v>
      </c>
      <c r="V765" s="1029">
        <v>2</v>
      </c>
      <c r="W765" s="598">
        <v>0.1</v>
      </c>
      <c r="X765" s="429"/>
      <c r="Y765" s="37" t="str">
        <f t="shared" si="127"/>
        <v>F1100</v>
      </c>
      <c r="Z765" s="37" t="str">
        <f t="shared" si="128"/>
        <v>F12</v>
      </c>
      <c r="AA765" s="37" t="str">
        <f t="shared" si="130"/>
        <v>F10.1</v>
      </c>
      <c r="AB765" s="498" t="str">
        <f t="shared" si="124"/>
        <v>F117</v>
      </c>
      <c r="AC765" s="572"/>
      <c r="AD765" s="572"/>
      <c r="AE765" s="572"/>
      <c r="AF765" s="572"/>
    </row>
    <row r="766" spans="1:32">
      <c r="A766" s="947">
        <f t="shared" si="131"/>
        <v>759</v>
      </c>
      <c r="B766" s="948">
        <v>12</v>
      </c>
      <c r="C766" s="949">
        <v>35592</v>
      </c>
      <c r="D766" s="949" t="s">
        <v>178</v>
      </c>
      <c r="E766" s="904">
        <v>11</v>
      </c>
      <c r="F766" s="644">
        <v>1997</v>
      </c>
      <c r="G766" s="948" t="s">
        <v>143</v>
      </c>
      <c r="H766" s="645" t="s">
        <v>149</v>
      </c>
      <c r="I766" s="951">
        <v>25</v>
      </c>
      <c r="J766" s="951">
        <v>0.1</v>
      </c>
      <c r="K766" s="952">
        <f t="shared" si="129"/>
        <v>1.4204545454545455E-3</v>
      </c>
      <c r="L766" s="644">
        <f t="shared" si="132"/>
        <v>17</v>
      </c>
      <c r="M766" s="935">
        <v>0.73541666666666661</v>
      </c>
      <c r="N766" s="936">
        <f t="shared" si="122"/>
        <v>0.73541666666666661</v>
      </c>
      <c r="O766" s="725">
        <v>0.73611111111111116</v>
      </c>
      <c r="P766" s="725">
        <f t="shared" si="125"/>
        <v>6.94444444444553E-4</v>
      </c>
      <c r="Q766" s="622" t="s">
        <v>454</v>
      </c>
      <c r="R766" s="37"/>
      <c r="S766" s="37" t="str">
        <f t="shared" si="123"/>
        <v>WheelerF0</v>
      </c>
      <c r="T766" s="37" t="str">
        <f t="shared" si="126"/>
        <v>1997F0</v>
      </c>
      <c r="U766" s="429">
        <v>20</v>
      </c>
      <c r="V766" s="1029">
        <v>0.1</v>
      </c>
      <c r="W766" s="598">
        <v>1E-3</v>
      </c>
      <c r="X766" s="429"/>
      <c r="Y766" s="37" t="str">
        <f t="shared" si="127"/>
        <v>F020</v>
      </c>
      <c r="Z766" s="37" t="str">
        <f t="shared" si="128"/>
        <v>F00.1</v>
      </c>
      <c r="AA766" s="37" t="str">
        <f t="shared" si="130"/>
        <v>F00.001</v>
      </c>
      <c r="AB766" s="498" t="str">
        <f t="shared" si="124"/>
        <v>F017</v>
      </c>
      <c r="AC766" s="572"/>
      <c r="AD766" s="572"/>
      <c r="AE766" s="572"/>
      <c r="AF766" s="572"/>
    </row>
    <row r="767" spans="1:32">
      <c r="A767" s="947">
        <f t="shared" si="131"/>
        <v>760</v>
      </c>
      <c r="B767" s="948">
        <v>13</v>
      </c>
      <c r="C767" s="949">
        <v>35592</v>
      </c>
      <c r="D767" s="949" t="s">
        <v>178</v>
      </c>
      <c r="E767" s="904">
        <v>11</v>
      </c>
      <c r="F767" s="644">
        <v>1997</v>
      </c>
      <c r="G767" s="948" t="s">
        <v>143</v>
      </c>
      <c r="H767" s="645" t="s">
        <v>152</v>
      </c>
      <c r="I767" s="951">
        <v>600</v>
      </c>
      <c r="J767" s="951">
        <v>9</v>
      </c>
      <c r="K767" s="952">
        <f t="shared" si="129"/>
        <v>3.0681818181818179</v>
      </c>
      <c r="L767" s="644">
        <f t="shared" si="132"/>
        <v>17</v>
      </c>
      <c r="M767" s="935">
        <v>0.7402777777777777</v>
      </c>
      <c r="N767" s="936">
        <f t="shared" si="122"/>
        <v>0.7402777777777777</v>
      </c>
      <c r="O767" s="725">
        <v>0.77222222222222225</v>
      </c>
      <c r="P767" s="725">
        <f t="shared" si="125"/>
        <v>3.1944444444444553E-2</v>
      </c>
      <c r="Q767" s="622" t="s">
        <v>455</v>
      </c>
      <c r="R767" s="37"/>
      <c r="S767" s="37" t="str">
        <f t="shared" si="123"/>
        <v>WheelerF3</v>
      </c>
      <c r="T767" s="37" t="str">
        <f t="shared" si="126"/>
        <v>1997F3</v>
      </c>
      <c r="U767" s="429">
        <v>500</v>
      </c>
      <c r="V767" s="1029">
        <v>5</v>
      </c>
      <c r="W767" s="598">
        <v>2</v>
      </c>
      <c r="X767" s="429"/>
      <c r="Y767" s="37" t="str">
        <f t="shared" si="127"/>
        <v>F3500</v>
      </c>
      <c r="Z767" s="37" t="str">
        <f t="shared" si="128"/>
        <v>F35</v>
      </c>
      <c r="AA767" s="37" t="str">
        <f t="shared" si="130"/>
        <v>F32</v>
      </c>
      <c r="AB767" s="498" t="str">
        <f t="shared" si="124"/>
        <v>F317</v>
      </c>
      <c r="AC767" s="572"/>
      <c r="AD767" s="572"/>
      <c r="AE767" s="572"/>
      <c r="AF767" s="572"/>
    </row>
    <row r="768" spans="1:32">
      <c r="A768" s="947">
        <f t="shared" si="131"/>
        <v>761</v>
      </c>
      <c r="B768" s="948">
        <v>14</v>
      </c>
      <c r="C768" s="949">
        <v>35592</v>
      </c>
      <c r="D768" s="949" t="s">
        <v>178</v>
      </c>
      <c r="E768" s="904">
        <v>11</v>
      </c>
      <c r="F768" s="644">
        <v>1997</v>
      </c>
      <c r="G768" s="948" t="s">
        <v>148</v>
      </c>
      <c r="H768" s="645" t="s">
        <v>150</v>
      </c>
      <c r="I768" s="951">
        <v>200</v>
      </c>
      <c r="J768" s="951">
        <v>0.5</v>
      </c>
      <c r="K768" s="952">
        <f t="shared" si="129"/>
        <v>5.6818181818181816E-2</v>
      </c>
      <c r="L768" s="644">
        <f t="shared" si="132"/>
        <v>18</v>
      </c>
      <c r="M768" s="935">
        <v>0.78402777777777777</v>
      </c>
      <c r="N768" s="936">
        <f t="shared" si="122"/>
        <v>0.78402777777777777</v>
      </c>
      <c r="O768" s="725">
        <v>0.78819444444444453</v>
      </c>
      <c r="P768" s="725">
        <f t="shared" si="125"/>
        <v>4.1666666666667629E-3</v>
      </c>
      <c r="Q768" s="622" t="s">
        <v>307</v>
      </c>
      <c r="R768" s="37"/>
      <c r="S768" s="37" t="str">
        <f t="shared" si="123"/>
        <v>CollingsworthF1</v>
      </c>
      <c r="T768" s="37" t="str">
        <f t="shared" si="126"/>
        <v>1997F1</v>
      </c>
      <c r="U768" s="429">
        <v>200</v>
      </c>
      <c r="V768" s="1029">
        <v>0.5</v>
      </c>
      <c r="W768" s="598">
        <v>0.05</v>
      </c>
      <c r="X768" s="429"/>
      <c r="Y768" s="37" t="str">
        <f t="shared" si="127"/>
        <v>F1200</v>
      </c>
      <c r="Z768" s="37" t="str">
        <f t="shared" si="128"/>
        <v>F10.5</v>
      </c>
      <c r="AA768" s="37" t="str">
        <f t="shared" si="130"/>
        <v>F10.05</v>
      </c>
      <c r="AB768" s="498" t="str">
        <f t="shared" si="124"/>
        <v>F118</v>
      </c>
      <c r="AC768" s="572"/>
      <c r="AD768" s="572"/>
      <c r="AE768" s="572"/>
      <c r="AF768" s="572"/>
    </row>
    <row r="769" spans="1:32">
      <c r="A769" s="947">
        <f t="shared" si="131"/>
        <v>762</v>
      </c>
      <c r="B769" s="948">
        <v>15</v>
      </c>
      <c r="C769" s="949">
        <v>35592</v>
      </c>
      <c r="D769" s="949" t="s">
        <v>178</v>
      </c>
      <c r="E769" s="904">
        <v>11</v>
      </c>
      <c r="F769" s="644">
        <v>1997</v>
      </c>
      <c r="G769" s="948" t="s">
        <v>148</v>
      </c>
      <c r="H769" s="645" t="s">
        <v>149</v>
      </c>
      <c r="I769" s="951">
        <v>50</v>
      </c>
      <c r="J769" s="951">
        <v>0.5</v>
      </c>
      <c r="K769" s="952">
        <f t="shared" si="129"/>
        <v>1.4204545454545454E-2</v>
      </c>
      <c r="L769" s="644">
        <f t="shared" si="132"/>
        <v>19</v>
      </c>
      <c r="M769" s="935">
        <v>0.79791666666666661</v>
      </c>
      <c r="N769" s="936">
        <f t="shared" si="122"/>
        <v>0.79791666666666661</v>
      </c>
      <c r="O769" s="725">
        <v>0.7993055555555556</v>
      </c>
      <c r="P769" s="725">
        <f t="shared" si="125"/>
        <v>1.388888888888995E-3</v>
      </c>
      <c r="Q769" s="622" t="s">
        <v>308</v>
      </c>
      <c r="R769" s="37"/>
      <c r="S769" s="37" t="str">
        <f t="shared" si="123"/>
        <v>CollingsworthF0</v>
      </c>
      <c r="T769" s="37" t="str">
        <f t="shared" si="126"/>
        <v>1997F0</v>
      </c>
      <c r="U769" s="429">
        <v>50</v>
      </c>
      <c r="V769" s="1029">
        <v>0.5</v>
      </c>
      <c r="W769" s="598">
        <v>0.01</v>
      </c>
      <c r="X769" s="429"/>
      <c r="Y769" s="37" t="str">
        <f t="shared" si="127"/>
        <v>F050</v>
      </c>
      <c r="Z769" s="37" t="str">
        <f t="shared" si="128"/>
        <v>F00.5</v>
      </c>
      <c r="AA769" s="37" t="str">
        <f t="shared" si="130"/>
        <v>F00.01</v>
      </c>
      <c r="AB769" s="498" t="str">
        <f t="shared" si="124"/>
        <v>F019</v>
      </c>
      <c r="AC769" s="572"/>
      <c r="AD769" s="572"/>
      <c r="AE769" s="572"/>
      <c r="AF769" s="572"/>
    </row>
    <row r="770" spans="1:32">
      <c r="A770" s="947">
        <f t="shared" si="131"/>
        <v>763</v>
      </c>
      <c r="B770" s="948">
        <v>16</v>
      </c>
      <c r="C770" s="949">
        <v>35592</v>
      </c>
      <c r="D770" s="949" t="s">
        <v>178</v>
      </c>
      <c r="E770" s="904">
        <v>11</v>
      </c>
      <c r="F770" s="644">
        <v>1997</v>
      </c>
      <c r="G770" s="948" t="s">
        <v>148</v>
      </c>
      <c r="H770" s="645" t="s">
        <v>149</v>
      </c>
      <c r="I770" s="951">
        <v>25</v>
      </c>
      <c r="J770" s="951">
        <v>0.1</v>
      </c>
      <c r="K770" s="952">
        <f t="shared" si="129"/>
        <v>1.4204545454545455E-3</v>
      </c>
      <c r="L770" s="644">
        <f t="shared" si="132"/>
        <v>19</v>
      </c>
      <c r="M770" s="935">
        <v>0.80694444444444446</v>
      </c>
      <c r="N770" s="936">
        <f t="shared" si="122"/>
        <v>0.80694444444444446</v>
      </c>
      <c r="O770" s="725">
        <v>0.80763888888888891</v>
      </c>
      <c r="P770" s="725">
        <f t="shared" si="125"/>
        <v>6.9444444444444198E-4</v>
      </c>
      <c r="Q770" s="622" t="s">
        <v>309</v>
      </c>
      <c r="R770" s="37"/>
      <c r="S770" s="37" t="str">
        <f t="shared" si="123"/>
        <v>CollingsworthF0</v>
      </c>
      <c r="T770" s="37" t="str">
        <f t="shared" si="126"/>
        <v>1997F0</v>
      </c>
      <c r="U770" s="429">
        <v>20</v>
      </c>
      <c r="V770" s="1029">
        <v>0.1</v>
      </c>
      <c r="W770" s="598">
        <v>1E-3</v>
      </c>
      <c r="X770" s="429"/>
      <c r="Y770" s="37" t="str">
        <f t="shared" si="127"/>
        <v>F020</v>
      </c>
      <c r="Z770" s="37" t="str">
        <f t="shared" si="128"/>
        <v>F00.1</v>
      </c>
      <c r="AA770" s="37" t="str">
        <f t="shared" si="130"/>
        <v>F00.001</v>
      </c>
      <c r="AB770" s="498" t="str">
        <f t="shared" si="124"/>
        <v>F019</v>
      </c>
      <c r="AC770" s="572"/>
      <c r="AD770" s="572"/>
      <c r="AE770" s="572"/>
      <c r="AF770" s="572"/>
    </row>
    <row r="771" spans="1:32" ht="25.5">
      <c r="A771" s="947">
        <f t="shared" si="131"/>
        <v>764</v>
      </c>
      <c r="B771" s="948">
        <v>17</v>
      </c>
      <c r="C771" s="949">
        <v>35592</v>
      </c>
      <c r="D771" s="949" t="s">
        <v>178</v>
      </c>
      <c r="E771" s="904">
        <v>11</v>
      </c>
      <c r="F771" s="644">
        <v>1997</v>
      </c>
      <c r="G771" s="948" t="s">
        <v>142</v>
      </c>
      <c r="H771" s="645" t="s">
        <v>150</v>
      </c>
      <c r="I771" s="951">
        <v>200</v>
      </c>
      <c r="J771" s="951">
        <v>4</v>
      </c>
      <c r="K771" s="952">
        <f t="shared" si="129"/>
        <v>0.45454545454545453</v>
      </c>
      <c r="L771" s="644">
        <f t="shared" si="132"/>
        <v>19</v>
      </c>
      <c r="M771" s="935">
        <v>0.82430555555555562</v>
      </c>
      <c r="N771" s="936">
        <f t="shared" si="122"/>
        <v>0.82430555555555562</v>
      </c>
      <c r="O771" s="725">
        <v>0.83194444444444438</v>
      </c>
      <c r="P771" s="725">
        <f t="shared" si="125"/>
        <v>7.6388888888887507E-3</v>
      </c>
      <c r="Q771" s="622" t="s">
        <v>763</v>
      </c>
      <c r="R771" s="37"/>
      <c r="S771" s="37" t="str">
        <f t="shared" si="123"/>
        <v>GrayF1</v>
      </c>
      <c r="T771" s="37" t="str">
        <f t="shared" si="126"/>
        <v>1997F1</v>
      </c>
      <c r="U771" s="429">
        <v>200</v>
      </c>
      <c r="V771" s="1029">
        <v>2</v>
      </c>
      <c r="W771" s="598">
        <v>0.2</v>
      </c>
      <c r="X771" s="429"/>
      <c r="Y771" s="37" t="str">
        <f t="shared" si="127"/>
        <v>F1200</v>
      </c>
      <c r="Z771" s="37" t="str">
        <f t="shared" si="128"/>
        <v>F12</v>
      </c>
      <c r="AA771" s="37" t="str">
        <f t="shared" si="130"/>
        <v>F10.2</v>
      </c>
      <c r="AB771" s="498" t="str">
        <f t="shared" si="124"/>
        <v>F119</v>
      </c>
      <c r="AC771" s="572"/>
      <c r="AD771" s="572"/>
      <c r="AE771" s="572"/>
      <c r="AF771" s="572"/>
    </row>
    <row r="772" spans="1:32" ht="25.5">
      <c r="A772" s="947">
        <f t="shared" si="131"/>
        <v>765</v>
      </c>
      <c r="B772" s="948">
        <v>18</v>
      </c>
      <c r="C772" s="949">
        <v>35592</v>
      </c>
      <c r="D772" s="949" t="s">
        <v>178</v>
      </c>
      <c r="E772" s="904">
        <v>11</v>
      </c>
      <c r="F772" s="644">
        <v>1997</v>
      </c>
      <c r="G772" s="948" t="s">
        <v>147</v>
      </c>
      <c r="H772" s="645" t="s">
        <v>150</v>
      </c>
      <c r="I772" s="951">
        <v>200</v>
      </c>
      <c r="J772" s="951">
        <v>1</v>
      </c>
      <c r="K772" s="952">
        <f t="shared" si="129"/>
        <v>0.11363636363636363</v>
      </c>
      <c r="L772" s="644">
        <f t="shared" si="132"/>
        <v>19</v>
      </c>
      <c r="M772" s="935">
        <v>0.83194444444444438</v>
      </c>
      <c r="N772" s="936">
        <f t="shared" si="122"/>
        <v>0.83194444444444438</v>
      </c>
      <c r="O772" s="725">
        <v>0.83472222222222225</v>
      </c>
      <c r="P772" s="725">
        <f t="shared" si="125"/>
        <v>2.7777777777778789E-3</v>
      </c>
      <c r="Q772" s="622" t="s">
        <v>764</v>
      </c>
      <c r="R772" s="37"/>
      <c r="S772" s="37" t="str">
        <f t="shared" si="123"/>
        <v>DonleyF1</v>
      </c>
      <c r="T772" s="37" t="str">
        <f t="shared" si="126"/>
        <v>1997F1</v>
      </c>
      <c r="U772" s="429">
        <v>200</v>
      </c>
      <c r="V772" s="1029">
        <v>1</v>
      </c>
      <c r="W772" s="598">
        <v>0.1</v>
      </c>
      <c r="X772" s="429"/>
      <c r="Y772" s="37" t="str">
        <f t="shared" si="127"/>
        <v>F1200</v>
      </c>
      <c r="Z772" s="37" t="str">
        <f t="shared" si="128"/>
        <v>F11</v>
      </c>
      <c r="AA772" s="37" t="str">
        <f t="shared" si="130"/>
        <v>F10.1</v>
      </c>
      <c r="AB772" s="498" t="str">
        <f t="shared" si="124"/>
        <v>F119</v>
      </c>
      <c r="AC772" s="572"/>
      <c r="AD772" s="572"/>
      <c r="AE772" s="572"/>
      <c r="AF772" s="572"/>
    </row>
    <row r="773" spans="1:32">
      <c r="A773" s="947">
        <f t="shared" si="131"/>
        <v>766</v>
      </c>
      <c r="B773" s="948">
        <v>19</v>
      </c>
      <c r="C773" s="949">
        <v>35592</v>
      </c>
      <c r="D773" s="949" t="s">
        <v>178</v>
      </c>
      <c r="E773" s="904">
        <v>11</v>
      </c>
      <c r="F773" s="644">
        <v>1997</v>
      </c>
      <c r="G773" s="948" t="s">
        <v>148</v>
      </c>
      <c r="H773" s="645" t="s">
        <v>150</v>
      </c>
      <c r="I773" s="951">
        <v>100</v>
      </c>
      <c r="J773" s="951">
        <v>9</v>
      </c>
      <c r="K773" s="952">
        <f t="shared" si="129"/>
        <v>0.51136363636363635</v>
      </c>
      <c r="L773" s="644">
        <f t="shared" si="132"/>
        <v>21</v>
      </c>
      <c r="M773" s="935">
        <v>0.88194444444444453</v>
      </c>
      <c r="N773" s="936">
        <f t="shared" si="122"/>
        <v>0.88194444444444453</v>
      </c>
      <c r="O773" s="725">
        <v>0.89583333333333337</v>
      </c>
      <c r="P773" s="725">
        <f t="shared" si="125"/>
        <v>1.388888888888884E-2</v>
      </c>
      <c r="Q773" s="622" t="s">
        <v>310</v>
      </c>
      <c r="R773" s="37"/>
      <c r="S773" s="37" t="str">
        <f t="shared" si="123"/>
        <v>CollingsworthF1</v>
      </c>
      <c r="T773" s="37" t="str">
        <f t="shared" si="126"/>
        <v>1997F1</v>
      </c>
      <c r="U773" s="429">
        <v>100</v>
      </c>
      <c r="V773" s="1029">
        <v>5</v>
      </c>
      <c r="W773" s="598">
        <v>0.5</v>
      </c>
      <c r="X773" s="429"/>
      <c r="Y773" s="37" t="str">
        <f t="shared" si="127"/>
        <v>F1100</v>
      </c>
      <c r="Z773" s="37" t="str">
        <f t="shared" si="128"/>
        <v>F15</v>
      </c>
      <c r="AA773" s="37" t="str">
        <f t="shared" si="130"/>
        <v>F10.5</v>
      </c>
      <c r="AB773" s="498" t="str">
        <f t="shared" si="124"/>
        <v>F121</v>
      </c>
      <c r="AC773" s="572"/>
      <c r="AD773" s="572"/>
      <c r="AE773" s="572"/>
      <c r="AF773" s="572"/>
    </row>
    <row r="774" spans="1:32">
      <c r="A774" s="947">
        <f t="shared" si="131"/>
        <v>767</v>
      </c>
      <c r="B774" s="948">
        <v>20</v>
      </c>
      <c r="C774" s="949">
        <v>35593</v>
      </c>
      <c r="D774" s="949" t="s">
        <v>178</v>
      </c>
      <c r="E774" s="904">
        <v>12</v>
      </c>
      <c r="F774" s="644">
        <v>1997</v>
      </c>
      <c r="G774" s="948" t="s">
        <v>143</v>
      </c>
      <c r="H774" s="645" t="s">
        <v>149</v>
      </c>
      <c r="I774" s="951">
        <v>25</v>
      </c>
      <c r="J774" s="951">
        <v>0.1</v>
      </c>
      <c r="K774" s="952">
        <f t="shared" si="129"/>
        <v>1.4204545454545455E-3</v>
      </c>
      <c r="L774" s="644">
        <f t="shared" si="132"/>
        <v>19</v>
      </c>
      <c r="M774" s="935">
        <v>0.80069444444444438</v>
      </c>
      <c r="N774" s="936">
        <f t="shared" si="122"/>
        <v>0.80069444444444438</v>
      </c>
      <c r="O774" s="725">
        <v>0.80208333333333337</v>
      </c>
      <c r="P774" s="725">
        <f t="shared" si="125"/>
        <v>1.388888888888995E-3</v>
      </c>
      <c r="Q774" s="622" t="s">
        <v>456</v>
      </c>
      <c r="R774" s="37"/>
      <c r="S774" s="37" t="str">
        <f t="shared" si="123"/>
        <v>WheelerF0</v>
      </c>
      <c r="T774" s="37" t="str">
        <f t="shared" si="126"/>
        <v>1997F0</v>
      </c>
      <c r="U774" s="429">
        <v>20</v>
      </c>
      <c r="V774" s="1029">
        <v>0.1</v>
      </c>
      <c r="W774" s="598">
        <v>1E-3</v>
      </c>
      <c r="X774" s="429"/>
      <c r="Y774" s="37" t="str">
        <f t="shared" si="127"/>
        <v>F020</v>
      </c>
      <c r="Z774" s="37" t="str">
        <f t="shared" si="128"/>
        <v>F00.1</v>
      </c>
      <c r="AA774" s="37" t="str">
        <f t="shared" si="130"/>
        <v>F00.001</v>
      </c>
      <c r="AB774" s="498" t="str">
        <f t="shared" si="124"/>
        <v>F019</v>
      </c>
      <c r="AC774" s="572"/>
      <c r="AD774" s="572"/>
      <c r="AE774" s="572"/>
      <c r="AF774" s="572"/>
    </row>
    <row r="775" spans="1:32">
      <c r="A775" s="947">
        <f t="shared" si="131"/>
        <v>768</v>
      </c>
      <c r="B775" s="948">
        <v>21</v>
      </c>
      <c r="C775" s="949">
        <v>35593</v>
      </c>
      <c r="D775" s="949" t="s">
        <v>178</v>
      </c>
      <c r="E775" s="904">
        <v>12</v>
      </c>
      <c r="F775" s="644">
        <v>1997</v>
      </c>
      <c r="G775" s="948" t="s">
        <v>137</v>
      </c>
      <c r="H775" s="645" t="s">
        <v>149</v>
      </c>
      <c r="I775" s="951">
        <v>25</v>
      </c>
      <c r="J775" s="951">
        <v>0.1</v>
      </c>
      <c r="K775" s="952">
        <f t="shared" si="129"/>
        <v>1.4204545454545455E-3</v>
      </c>
      <c r="L775" s="644">
        <f t="shared" si="132"/>
        <v>20</v>
      </c>
      <c r="M775" s="935">
        <v>0.84027777777777779</v>
      </c>
      <c r="N775" s="936">
        <f t="shared" ref="N775:N838" si="133">+M775</f>
        <v>0.84027777777777779</v>
      </c>
      <c r="O775" s="725">
        <v>0.84166666666666667</v>
      </c>
      <c r="P775" s="725">
        <f t="shared" si="125"/>
        <v>1.388888888888884E-3</v>
      </c>
      <c r="Q775" s="622" t="s">
        <v>435</v>
      </c>
      <c r="R775" s="37"/>
      <c r="S775" s="37" t="str">
        <f t="shared" ref="S775:S838" si="134">CONCATENATE(G775,H775)</f>
        <v>RobertsF0</v>
      </c>
      <c r="T775" s="37" t="str">
        <f t="shared" si="126"/>
        <v>1997F0</v>
      </c>
      <c r="U775" s="429">
        <v>20</v>
      </c>
      <c r="V775" s="1029">
        <v>0.1</v>
      </c>
      <c r="W775" s="598">
        <v>1E-3</v>
      </c>
      <c r="X775" s="429"/>
      <c r="Y775" s="37" t="str">
        <f t="shared" si="127"/>
        <v>F020</v>
      </c>
      <c r="Z775" s="37" t="str">
        <f t="shared" si="128"/>
        <v>F00.1</v>
      </c>
      <c r="AA775" s="37" t="str">
        <f t="shared" si="130"/>
        <v>F00.001</v>
      </c>
      <c r="AB775" s="498" t="str">
        <f t="shared" ref="AB775:AB838" si="135">CONCATENATE(H775,L775)</f>
        <v>F020</v>
      </c>
      <c r="AC775" s="572"/>
      <c r="AD775" s="572"/>
      <c r="AE775" s="572"/>
      <c r="AF775" s="572"/>
    </row>
    <row r="776" spans="1:32">
      <c r="A776" s="947">
        <f t="shared" si="131"/>
        <v>769</v>
      </c>
      <c r="B776" s="948">
        <v>22</v>
      </c>
      <c r="C776" s="949">
        <v>35595</v>
      </c>
      <c r="D776" s="949" t="s">
        <v>178</v>
      </c>
      <c r="E776" s="904">
        <v>14</v>
      </c>
      <c r="F776" s="644">
        <v>1997</v>
      </c>
      <c r="G776" s="948" t="s">
        <v>135</v>
      </c>
      <c r="H776" s="645" t="s">
        <v>149</v>
      </c>
      <c r="I776" s="951">
        <v>50</v>
      </c>
      <c r="J776" s="951">
        <v>0.2</v>
      </c>
      <c r="K776" s="952">
        <f t="shared" si="129"/>
        <v>5.681818181818182E-3</v>
      </c>
      <c r="L776" s="644">
        <f t="shared" si="132"/>
        <v>14</v>
      </c>
      <c r="M776" s="935">
        <v>0.62430555555555556</v>
      </c>
      <c r="N776" s="936">
        <f t="shared" si="133"/>
        <v>0.62430555555555556</v>
      </c>
      <c r="O776" s="725">
        <v>0.62569444444444444</v>
      </c>
      <c r="P776" s="725">
        <f t="shared" ref="P776:P839" si="136">+O776-N776</f>
        <v>1.388888888888884E-3</v>
      </c>
      <c r="Q776" s="622" t="s">
        <v>395</v>
      </c>
      <c r="R776" s="37"/>
      <c r="S776" s="37" t="str">
        <f t="shared" si="134"/>
        <v>MooreF0</v>
      </c>
      <c r="T776" s="37" t="str">
        <f t="shared" ref="T776:T839" si="137">CONCATENATE(F776,H776)</f>
        <v>1997F0</v>
      </c>
      <c r="U776" s="429">
        <v>50</v>
      </c>
      <c r="V776" s="1029">
        <v>0.2</v>
      </c>
      <c r="W776" s="598">
        <v>5.0000000000000001E-3</v>
      </c>
      <c r="X776" s="429"/>
      <c r="Y776" s="37" t="str">
        <f t="shared" ref="Y776:Y839" si="138">CONCATENATE(H776,U776)</f>
        <v>F050</v>
      </c>
      <c r="Z776" s="37" t="str">
        <f t="shared" ref="Z776:Z839" si="139">CONCATENATE(H776,V776)</f>
        <v>F00.2</v>
      </c>
      <c r="AA776" s="37" t="str">
        <f t="shared" si="130"/>
        <v>F00.005</v>
      </c>
      <c r="AB776" s="498" t="str">
        <f t="shared" si="135"/>
        <v>F014</v>
      </c>
      <c r="AC776" s="572"/>
      <c r="AD776" s="572"/>
      <c r="AE776" s="572"/>
      <c r="AF776" s="572"/>
    </row>
    <row r="777" spans="1:32">
      <c r="A777" s="947">
        <f t="shared" si="131"/>
        <v>770</v>
      </c>
      <c r="B777" s="948">
        <v>23</v>
      </c>
      <c r="C777" s="949">
        <v>35595</v>
      </c>
      <c r="D777" s="949" t="s">
        <v>178</v>
      </c>
      <c r="E777" s="904">
        <v>14</v>
      </c>
      <c r="F777" s="644">
        <v>1997</v>
      </c>
      <c r="G777" s="948" t="s">
        <v>135</v>
      </c>
      <c r="H777" s="645" t="s">
        <v>149</v>
      </c>
      <c r="I777" s="951">
        <v>25</v>
      </c>
      <c r="J777" s="951">
        <v>0.1</v>
      </c>
      <c r="K777" s="952">
        <f t="shared" ref="K777:K840" si="140">+(I777/1760)*J777</f>
        <v>1.4204545454545455E-3</v>
      </c>
      <c r="L777" s="644">
        <f t="shared" si="132"/>
        <v>15</v>
      </c>
      <c r="M777" s="935">
        <v>0.64097222222222217</v>
      </c>
      <c r="N777" s="936">
        <f t="shared" si="133"/>
        <v>0.64097222222222217</v>
      </c>
      <c r="O777" s="725">
        <v>0.64236111111111105</v>
      </c>
      <c r="P777" s="725">
        <f t="shared" si="136"/>
        <v>1.388888888888884E-3</v>
      </c>
      <c r="Q777" s="622" t="s">
        <v>396</v>
      </c>
      <c r="R777" s="37"/>
      <c r="S777" s="37" t="str">
        <f t="shared" si="134"/>
        <v>MooreF0</v>
      </c>
      <c r="T777" s="37" t="str">
        <f t="shared" si="137"/>
        <v>1997F0</v>
      </c>
      <c r="U777" s="429">
        <v>20</v>
      </c>
      <c r="V777" s="1029">
        <v>0.1</v>
      </c>
      <c r="W777" s="598">
        <v>1E-3</v>
      </c>
      <c r="X777" s="429"/>
      <c r="Y777" s="37" t="str">
        <f t="shared" si="138"/>
        <v>F020</v>
      </c>
      <c r="Z777" s="37" t="str">
        <f t="shared" si="139"/>
        <v>F00.1</v>
      </c>
      <c r="AA777" s="37" t="str">
        <f t="shared" ref="AA777:AA840" si="141">CONCATENATE(H777,W777)</f>
        <v>F00.001</v>
      </c>
      <c r="AB777" s="498" t="str">
        <f t="shared" si="135"/>
        <v>F015</v>
      </c>
      <c r="AC777" s="572"/>
      <c r="AD777" s="572"/>
      <c r="AE777" s="572"/>
      <c r="AF777" s="572"/>
    </row>
    <row r="778" spans="1:32">
      <c r="A778" s="947">
        <f t="shared" ref="A778:A841" si="142">+A777+1</f>
        <v>771</v>
      </c>
      <c r="B778" s="948">
        <v>24</v>
      </c>
      <c r="C778" s="949">
        <v>35595</v>
      </c>
      <c r="D778" s="949" t="s">
        <v>178</v>
      </c>
      <c r="E778" s="904">
        <v>14</v>
      </c>
      <c r="F778" s="644">
        <v>1997</v>
      </c>
      <c r="G778" s="948" t="s">
        <v>145</v>
      </c>
      <c r="H778" s="645" t="s">
        <v>149</v>
      </c>
      <c r="I778" s="951">
        <v>25</v>
      </c>
      <c r="J778" s="951">
        <v>0.1</v>
      </c>
      <c r="K778" s="952">
        <f t="shared" si="140"/>
        <v>1.4204545454545455E-3</v>
      </c>
      <c r="L778" s="644">
        <f t="shared" si="132"/>
        <v>16</v>
      </c>
      <c r="M778" s="935">
        <v>0.68402777777777779</v>
      </c>
      <c r="N778" s="936">
        <f t="shared" si="133"/>
        <v>0.68402777777777779</v>
      </c>
      <c r="O778" s="725">
        <v>0.68541666666666667</v>
      </c>
      <c r="P778" s="725">
        <f t="shared" si="136"/>
        <v>1.388888888888884E-3</v>
      </c>
      <c r="Q778" s="622" t="s">
        <v>422</v>
      </c>
      <c r="R778" s="37"/>
      <c r="S778" s="37" t="str">
        <f t="shared" si="134"/>
        <v>RandallF0</v>
      </c>
      <c r="T778" s="37" t="str">
        <f t="shared" si="137"/>
        <v>1997F0</v>
      </c>
      <c r="U778" s="429">
        <v>20</v>
      </c>
      <c r="V778" s="1029">
        <v>0.1</v>
      </c>
      <c r="W778" s="598">
        <v>1E-3</v>
      </c>
      <c r="X778" s="429"/>
      <c r="Y778" s="37" t="str">
        <f t="shared" si="138"/>
        <v>F020</v>
      </c>
      <c r="Z778" s="37" t="str">
        <f t="shared" si="139"/>
        <v>F00.1</v>
      </c>
      <c r="AA778" s="37" t="str">
        <f t="shared" si="141"/>
        <v>F00.001</v>
      </c>
      <c r="AB778" s="498" t="str">
        <f t="shared" si="135"/>
        <v>F016</v>
      </c>
      <c r="AC778" s="572"/>
      <c r="AD778" s="572"/>
      <c r="AE778" s="572"/>
      <c r="AF778" s="572"/>
    </row>
    <row r="779" spans="1:32">
      <c r="A779" s="947">
        <f t="shared" si="142"/>
        <v>772</v>
      </c>
      <c r="B779" s="948">
        <v>25</v>
      </c>
      <c r="C779" s="949">
        <v>35595</v>
      </c>
      <c r="D779" s="949" t="s">
        <v>178</v>
      </c>
      <c r="E779" s="904">
        <v>14</v>
      </c>
      <c r="F779" s="644">
        <v>1997</v>
      </c>
      <c r="G779" s="948" t="s">
        <v>136</v>
      </c>
      <c r="H779" s="645" t="s">
        <v>149</v>
      </c>
      <c r="I779" s="951">
        <v>50</v>
      </c>
      <c r="J779" s="951">
        <v>0.2</v>
      </c>
      <c r="K779" s="952">
        <f t="shared" si="140"/>
        <v>5.681818181818182E-3</v>
      </c>
      <c r="L779" s="644">
        <f t="shared" si="132"/>
        <v>17</v>
      </c>
      <c r="M779" s="935">
        <v>0.7416666666666667</v>
      </c>
      <c r="N779" s="936">
        <f t="shared" si="133"/>
        <v>0.7416666666666667</v>
      </c>
      <c r="O779" s="725">
        <v>0.74375000000000002</v>
      </c>
      <c r="P779" s="725">
        <f t="shared" si="136"/>
        <v>2.0833333333333259E-3</v>
      </c>
      <c r="Q779" s="622" t="s">
        <v>380</v>
      </c>
      <c r="R779" s="37"/>
      <c r="S779" s="37" t="str">
        <f t="shared" si="134"/>
        <v>HutchinsonF0</v>
      </c>
      <c r="T779" s="37" t="str">
        <f t="shared" si="137"/>
        <v>1997F0</v>
      </c>
      <c r="U779" s="429">
        <v>50</v>
      </c>
      <c r="V779" s="1029">
        <v>0.2</v>
      </c>
      <c r="W779" s="598">
        <v>5.0000000000000001E-3</v>
      </c>
      <c r="X779" s="429"/>
      <c r="Y779" s="37" t="str">
        <f t="shared" si="138"/>
        <v>F050</v>
      </c>
      <c r="Z779" s="37" t="str">
        <f t="shared" si="139"/>
        <v>F00.2</v>
      </c>
      <c r="AA779" s="37" t="str">
        <f t="shared" si="141"/>
        <v>F00.005</v>
      </c>
      <c r="AB779" s="498" t="str">
        <f t="shared" si="135"/>
        <v>F017</v>
      </c>
      <c r="AC779" s="572"/>
      <c r="AD779" s="572"/>
      <c r="AE779" s="572"/>
      <c r="AF779" s="572"/>
    </row>
    <row r="780" spans="1:32">
      <c r="A780" s="947">
        <f t="shared" si="142"/>
        <v>773</v>
      </c>
      <c r="B780" s="948">
        <v>26</v>
      </c>
      <c r="C780" s="949">
        <v>35595</v>
      </c>
      <c r="D780" s="949" t="s">
        <v>178</v>
      </c>
      <c r="E780" s="904">
        <v>14</v>
      </c>
      <c r="F780" s="644">
        <v>1997</v>
      </c>
      <c r="G780" s="948" t="s">
        <v>141</v>
      </c>
      <c r="H780" s="645" t="s">
        <v>149</v>
      </c>
      <c r="I780" s="951">
        <v>50</v>
      </c>
      <c r="J780" s="951">
        <v>0.1</v>
      </c>
      <c r="K780" s="952">
        <f t="shared" si="140"/>
        <v>2.840909090909091E-3</v>
      </c>
      <c r="L780" s="644">
        <f t="shared" si="132"/>
        <v>18</v>
      </c>
      <c r="M780" s="935">
        <v>0.75694444444444453</v>
      </c>
      <c r="N780" s="936">
        <f t="shared" si="133"/>
        <v>0.75694444444444453</v>
      </c>
      <c r="O780" s="725">
        <v>0.75902777777777775</v>
      </c>
      <c r="P780" s="725">
        <f t="shared" si="136"/>
        <v>2.0833333333332149E-3</v>
      </c>
      <c r="Q780" s="622" t="s">
        <v>288</v>
      </c>
      <c r="R780" s="37"/>
      <c r="S780" s="37" t="str">
        <f t="shared" si="134"/>
        <v>CarsonF0</v>
      </c>
      <c r="T780" s="37" t="str">
        <f t="shared" si="137"/>
        <v>1997F0</v>
      </c>
      <c r="U780" s="429">
        <v>50</v>
      </c>
      <c r="V780" s="1029">
        <v>0.1</v>
      </c>
      <c r="W780" s="598">
        <v>2E-3</v>
      </c>
      <c r="X780" s="429"/>
      <c r="Y780" s="37" t="str">
        <f t="shared" si="138"/>
        <v>F050</v>
      </c>
      <c r="Z780" s="37" t="str">
        <f t="shared" si="139"/>
        <v>F00.1</v>
      </c>
      <c r="AA780" s="37" t="str">
        <f t="shared" si="141"/>
        <v>F00.002</v>
      </c>
      <c r="AB780" s="498" t="str">
        <f t="shared" si="135"/>
        <v>F018</v>
      </c>
      <c r="AC780" s="572"/>
      <c r="AD780" s="572"/>
      <c r="AE780" s="572"/>
      <c r="AF780" s="572"/>
    </row>
    <row r="781" spans="1:32">
      <c r="A781" s="947">
        <f t="shared" si="142"/>
        <v>774</v>
      </c>
      <c r="B781" s="948">
        <v>27</v>
      </c>
      <c r="C781" s="949">
        <v>35596</v>
      </c>
      <c r="D781" s="949" t="s">
        <v>178</v>
      </c>
      <c r="E781" s="904">
        <v>15</v>
      </c>
      <c r="F781" s="644">
        <v>1997</v>
      </c>
      <c r="G781" s="948" t="s">
        <v>128</v>
      </c>
      <c r="H781" s="645" t="s">
        <v>150</v>
      </c>
      <c r="I781" s="951">
        <v>100</v>
      </c>
      <c r="J781" s="951">
        <v>0.5</v>
      </c>
      <c r="K781" s="952">
        <f t="shared" si="140"/>
        <v>2.8409090909090908E-2</v>
      </c>
      <c r="L781" s="644">
        <f t="shared" si="132"/>
        <v>18</v>
      </c>
      <c r="M781" s="935">
        <v>0.75694444444444453</v>
      </c>
      <c r="N781" s="936">
        <f t="shared" si="133"/>
        <v>0.75694444444444453</v>
      </c>
      <c r="O781" s="725">
        <v>0.7597222222222223</v>
      </c>
      <c r="P781" s="725">
        <f t="shared" si="136"/>
        <v>2.7777777777777679E-3</v>
      </c>
      <c r="Q781" s="622" t="s">
        <v>268</v>
      </c>
      <c r="R781" s="37"/>
      <c r="S781" s="37" t="str">
        <f t="shared" si="134"/>
        <v>BeaverF1</v>
      </c>
      <c r="T781" s="37" t="str">
        <f t="shared" si="137"/>
        <v>1997F1</v>
      </c>
      <c r="U781" s="429">
        <v>100</v>
      </c>
      <c r="V781" s="1029">
        <v>0.5</v>
      </c>
      <c r="W781" s="598">
        <v>0.02</v>
      </c>
      <c r="X781" s="429"/>
      <c r="Y781" s="37" t="str">
        <f t="shared" si="138"/>
        <v>F1100</v>
      </c>
      <c r="Z781" s="37" t="str">
        <f t="shared" si="139"/>
        <v>F10.5</v>
      </c>
      <c r="AA781" s="37" t="str">
        <f t="shared" si="141"/>
        <v>F10.02</v>
      </c>
      <c r="AB781" s="498" t="str">
        <f t="shared" si="135"/>
        <v>F118</v>
      </c>
      <c r="AC781" s="572"/>
      <c r="AD781" s="572"/>
      <c r="AE781" s="572"/>
      <c r="AF781" s="572"/>
    </row>
    <row r="782" spans="1:32">
      <c r="A782" s="947">
        <f t="shared" si="142"/>
        <v>775</v>
      </c>
      <c r="B782" s="948">
        <v>28</v>
      </c>
      <c r="C782" s="949">
        <v>35597</v>
      </c>
      <c r="D782" s="949" t="s">
        <v>178</v>
      </c>
      <c r="E782" s="904">
        <v>16</v>
      </c>
      <c r="F782" s="644">
        <v>1997</v>
      </c>
      <c r="G782" s="948" t="s">
        <v>129</v>
      </c>
      <c r="H782" s="645" t="s">
        <v>149</v>
      </c>
      <c r="I782" s="951">
        <v>25</v>
      </c>
      <c r="J782" s="951">
        <v>0.2</v>
      </c>
      <c r="K782" s="952">
        <f t="shared" si="140"/>
        <v>2.840909090909091E-3</v>
      </c>
      <c r="L782" s="644">
        <f t="shared" si="132"/>
        <v>12</v>
      </c>
      <c r="M782" s="935">
        <v>0.51388888888888895</v>
      </c>
      <c r="N782" s="936">
        <f t="shared" si="133"/>
        <v>0.51388888888888895</v>
      </c>
      <c r="O782" s="725">
        <v>0.51527777777777783</v>
      </c>
      <c r="P782" s="725">
        <f t="shared" si="136"/>
        <v>1.388888888888884E-3</v>
      </c>
      <c r="Q782" s="622" t="s">
        <v>314</v>
      </c>
      <c r="R782" s="37"/>
      <c r="S782" s="37" t="str">
        <f t="shared" si="134"/>
        <v>DallamF0</v>
      </c>
      <c r="T782" s="37" t="str">
        <f t="shared" si="137"/>
        <v>1997F0</v>
      </c>
      <c r="U782" s="429">
        <v>20</v>
      </c>
      <c r="V782" s="1029">
        <v>0.2</v>
      </c>
      <c r="W782" s="598">
        <v>2E-3</v>
      </c>
      <c r="X782" s="429"/>
      <c r="Y782" s="37" t="str">
        <f t="shared" si="138"/>
        <v>F020</v>
      </c>
      <c r="Z782" s="37" t="str">
        <f t="shared" si="139"/>
        <v>F00.2</v>
      </c>
      <c r="AA782" s="37" t="str">
        <f t="shared" si="141"/>
        <v>F00.002</v>
      </c>
      <c r="AB782" s="498" t="str">
        <f t="shared" si="135"/>
        <v>F012</v>
      </c>
      <c r="AC782" s="572"/>
      <c r="AD782" s="572"/>
      <c r="AE782" s="572"/>
      <c r="AF782" s="572"/>
    </row>
    <row r="783" spans="1:32">
      <c r="A783" s="947">
        <f t="shared" si="142"/>
        <v>776</v>
      </c>
      <c r="B783" s="948">
        <v>29</v>
      </c>
      <c r="C783" s="949">
        <v>35597</v>
      </c>
      <c r="D783" s="949" t="s">
        <v>178</v>
      </c>
      <c r="E783" s="904">
        <v>16</v>
      </c>
      <c r="F783" s="644">
        <v>1997</v>
      </c>
      <c r="G783" s="948" t="s">
        <v>134</v>
      </c>
      <c r="H783" s="645" t="s">
        <v>149</v>
      </c>
      <c r="I783" s="951">
        <v>50</v>
      </c>
      <c r="J783" s="951">
        <v>0.1</v>
      </c>
      <c r="K783" s="952">
        <f t="shared" si="140"/>
        <v>2.840909090909091E-3</v>
      </c>
      <c r="L783" s="644">
        <f t="shared" si="132"/>
        <v>12</v>
      </c>
      <c r="M783" s="935">
        <v>0.52083333333333337</v>
      </c>
      <c r="N783" s="936">
        <f t="shared" si="133"/>
        <v>0.52083333333333337</v>
      </c>
      <c r="O783" s="725">
        <v>0.5229166666666667</v>
      </c>
      <c r="P783" s="725">
        <f t="shared" si="136"/>
        <v>2.0833333333333259E-3</v>
      </c>
      <c r="Q783" s="622" t="s">
        <v>369</v>
      </c>
      <c r="R783" s="37"/>
      <c r="S783" s="37" t="str">
        <f t="shared" si="134"/>
        <v>HartleyF0</v>
      </c>
      <c r="T783" s="37" t="str">
        <f t="shared" si="137"/>
        <v>1997F0</v>
      </c>
      <c r="U783" s="429">
        <v>50</v>
      </c>
      <c r="V783" s="1029">
        <v>0.1</v>
      </c>
      <c r="W783" s="598">
        <v>2E-3</v>
      </c>
      <c r="X783" s="429"/>
      <c r="Y783" s="37" t="str">
        <f t="shared" si="138"/>
        <v>F050</v>
      </c>
      <c r="Z783" s="37" t="str">
        <f t="shared" si="139"/>
        <v>F00.1</v>
      </c>
      <c r="AA783" s="37" t="str">
        <f t="shared" si="141"/>
        <v>F00.002</v>
      </c>
      <c r="AB783" s="498" t="str">
        <f t="shared" si="135"/>
        <v>F012</v>
      </c>
      <c r="AC783" s="572"/>
      <c r="AD783" s="572"/>
      <c r="AE783" s="572"/>
      <c r="AF783" s="572"/>
    </row>
    <row r="784" spans="1:32">
      <c r="A784" s="947">
        <f t="shared" si="142"/>
        <v>777</v>
      </c>
      <c r="B784" s="948">
        <v>1</v>
      </c>
      <c r="C784" s="949">
        <v>36014</v>
      </c>
      <c r="D784" s="949" t="s">
        <v>180</v>
      </c>
      <c r="E784" s="904">
        <v>7</v>
      </c>
      <c r="F784" s="644">
        <v>1998</v>
      </c>
      <c r="G784" s="948" t="s">
        <v>145</v>
      </c>
      <c r="H784" s="645" t="s">
        <v>149</v>
      </c>
      <c r="I784" s="951">
        <v>25</v>
      </c>
      <c r="J784" s="951">
        <v>0.5</v>
      </c>
      <c r="K784" s="952">
        <f t="shared" si="140"/>
        <v>7.102272727272727E-3</v>
      </c>
      <c r="L784" s="644">
        <f t="shared" si="132"/>
        <v>16</v>
      </c>
      <c r="M784" s="935">
        <v>0.67361111111111116</v>
      </c>
      <c r="N784" s="936">
        <f t="shared" si="133"/>
        <v>0.67361111111111116</v>
      </c>
      <c r="O784" s="725">
        <v>0.67708333333333337</v>
      </c>
      <c r="P784" s="725">
        <f t="shared" si="136"/>
        <v>3.4722222222222099E-3</v>
      </c>
      <c r="Q784" s="622" t="s">
        <v>423</v>
      </c>
      <c r="R784" s="37"/>
      <c r="S784" s="37" t="str">
        <f t="shared" si="134"/>
        <v>RandallF0</v>
      </c>
      <c r="T784" s="37" t="str">
        <f t="shared" si="137"/>
        <v>1998F0</v>
      </c>
      <c r="U784" s="429">
        <v>20</v>
      </c>
      <c r="V784" s="1029">
        <v>0.5</v>
      </c>
      <c r="W784" s="598">
        <v>5.0000000000000001E-3</v>
      </c>
      <c r="X784" s="429"/>
      <c r="Y784" s="37" t="str">
        <f t="shared" si="138"/>
        <v>F020</v>
      </c>
      <c r="Z784" s="37" t="str">
        <f t="shared" si="139"/>
        <v>F00.5</v>
      </c>
      <c r="AA784" s="37" t="str">
        <f t="shared" si="141"/>
        <v>F00.005</v>
      </c>
      <c r="AB784" s="498" t="str">
        <f t="shared" si="135"/>
        <v>F016</v>
      </c>
      <c r="AC784" s="572"/>
      <c r="AD784" s="572"/>
      <c r="AE784" s="572"/>
      <c r="AF784" s="572"/>
    </row>
    <row r="785" spans="1:32">
      <c r="A785" s="947">
        <f t="shared" si="142"/>
        <v>778</v>
      </c>
      <c r="B785" s="948">
        <v>2</v>
      </c>
      <c r="C785" s="949">
        <v>36095</v>
      </c>
      <c r="D785" s="949" t="s">
        <v>182</v>
      </c>
      <c r="E785" s="904">
        <v>27</v>
      </c>
      <c r="F785" s="644">
        <v>1998</v>
      </c>
      <c r="G785" s="948" t="s">
        <v>145</v>
      </c>
      <c r="H785" s="645" t="s">
        <v>150</v>
      </c>
      <c r="I785" s="951">
        <v>300</v>
      </c>
      <c r="J785" s="951">
        <v>1</v>
      </c>
      <c r="K785" s="952">
        <f t="shared" si="140"/>
        <v>0.17045454545454544</v>
      </c>
      <c r="L785" s="644">
        <f t="shared" si="132"/>
        <v>19</v>
      </c>
      <c r="M785" s="935">
        <v>0.80208333333333337</v>
      </c>
      <c r="N785" s="936">
        <f t="shared" si="133"/>
        <v>0.80208333333333337</v>
      </c>
      <c r="O785" s="725">
        <v>0.8041666666666667</v>
      </c>
      <c r="P785" s="725">
        <f t="shared" si="136"/>
        <v>2.0833333333333259E-3</v>
      </c>
      <c r="Q785" s="622" t="s">
        <v>424</v>
      </c>
      <c r="R785" s="37"/>
      <c r="S785" s="37" t="str">
        <f t="shared" si="134"/>
        <v>RandallF1</v>
      </c>
      <c r="T785" s="37" t="str">
        <f t="shared" si="137"/>
        <v>1998F1</v>
      </c>
      <c r="U785" s="429">
        <v>200</v>
      </c>
      <c r="V785" s="1029">
        <v>1</v>
      </c>
      <c r="W785" s="598">
        <v>0.1</v>
      </c>
      <c r="X785" s="429"/>
      <c r="Y785" s="37" t="str">
        <f t="shared" si="138"/>
        <v>F1200</v>
      </c>
      <c r="Z785" s="37" t="str">
        <f t="shared" si="139"/>
        <v>F11</v>
      </c>
      <c r="AA785" s="37" t="str">
        <f t="shared" si="141"/>
        <v>F10.1</v>
      </c>
      <c r="AB785" s="498" t="str">
        <f t="shared" si="135"/>
        <v>F119</v>
      </c>
      <c r="AC785" s="572"/>
      <c r="AD785" s="572"/>
      <c r="AE785" s="572"/>
      <c r="AF785" s="572"/>
    </row>
    <row r="786" spans="1:32" ht="39.950000000000003" customHeight="1">
      <c r="A786" s="947">
        <f t="shared" si="142"/>
        <v>779</v>
      </c>
      <c r="B786" s="948">
        <v>1</v>
      </c>
      <c r="C786" s="949">
        <v>36281</v>
      </c>
      <c r="D786" s="949" t="s">
        <v>177</v>
      </c>
      <c r="E786" s="904">
        <v>1</v>
      </c>
      <c r="F786" s="644">
        <v>1999</v>
      </c>
      <c r="G786" s="948" t="s">
        <v>134</v>
      </c>
      <c r="H786" s="645" t="s">
        <v>149</v>
      </c>
      <c r="I786" s="951">
        <v>50</v>
      </c>
      <c r="J786" s="951">
        <v>0.1</v>
      </c>
      <c r="K786" s="952">
        <f t="shared" si="140"/>
        <v>2.840909090909091E-3</v>
      </c>
      <c r="L786" s="644">
        <f t="shared" si="132"/>
        <v>19</v>
      </c>
      <c r="M786" s="935">
        <v>0.79652777777777783</v>
      </c>
      <c r="N786" s="936">
        <f t="shared" si="133"/>
        <v>0.79652777777777783</v>
      </c>
      <c r="O786" s="725">
        <v>0.79652777777777783</v>
      </c>
      <c r="P786" s="725">
        <f t="shared" si="136"/>
        <v>0</v>
      </c>
      <c r="Q786" s="622" t="s">
        <v>52</v>
      </c>
      <c r="R786" s="37"/>
      <c r="S786" s="37" t="str">
        <f t="shared" si="134"/>
        <v>HartleyF0</v>
      </c>
      <c r="T786" s="37" t="str">
        <f t="shared" si="137"/>
        <v>1999F0</v>
      </c>
      <c r="U786" s="429">
        <v>50</v>
      </c>
      <c r="V786" s="1029">
        <v>0.1</v>
      </c>
      <c r="W786" s="599">
        <v>2E-3</v>
      </c>
      <c r="X786" s="429"/>
      <c r="Y786" s="37" t="str">
        <f t="shared" si="138"/>
        <v>F050</v>
      </c>
      <c r="Z786" s="37" t="str">
        <f t="shared" si="139"/>
        <v>F00.1</v>
      </c>
      <c r="AA786" s="37" t="str">
        <f t="shared" si="141"/>
        <v>F00.002</v>
      </c>
      <c r="AB786" s="498" t="str">
        <f t="shared" si="135"/>
        <v>F019</v>
      </c>
      <c r="AC786" s="572"/>
      <c r="AD786" s="572"/>
      <c r="AE786" s="572"/>
      <c r="AF786" s="572"/>
    </row>
    <row r="787" spans="1:32">
      <c r="A787" s="947">
        <f t="shared" si="142"/>
        <v>780</v>
      </c>
      <c r="B787" s="948">
        <v>2</v>
      </c>
      <c r="C787" s="949">
        <v>36300</v>
      </c>
      <c r="D787" s="949" t="s">
        <v>177</v>
      </c>
      <c r="E787" s="904">
        <v>20</v>
      </c>
      <c r="F787" s="644">
        <v>1999</v>
      </c>
      <c r="G787" s="948" t="s">
        <v>142</v>
      </c>
      <c r="H787" s="645" t="s">
        <v>149</v>
      </c>
      <c r="I787" s="951">
        <v>25</v>
      </c>
      <c r="J787" s="951">
        <v>0.1</v>
      </c>
      <c r="K787" s="952">
        <f t="shared" si="140"/>
        <v>1.4204545454545455E-3</v>
      </c>
      <c r="L787" s="644">
        <f t="shared" si="132"/>
        <v>17</v>
      </c>
      <c r="M787" s="935">
        <v>0.71111111111111114</v>
      </c>
      <c r="N787" s="936">
        <f t="shared" si="133"/>
        <v>0.71111111111111114</v>
      </c>
      <c r="O787" s="725">
        <v>0.71250000000000002</v>
      </c>
      <c r="P787" s="725">
        <f t="shared" si="136"/>
        <v>1.388888888888884E-3</v>
      </c>
      <c r="Q787" s="622" t="s">
        <v>348</v>
      </c>
      <c r="R787" s="37"/>
      <c r="S787" s="37" t="str">
        <f t="shared" si="134"/>
        <v>GrayF0</v>
      </c>
      <c r="T787" s="37" t="str">
        <f t="shared" si="137"/>
        <v>1999F0</v>
      </c>
      <c r="U787" s="429">
        <v>20</v>
      </c>
      <c r="V787" s="1029">
        <v>0.1</v>
      </c>
      <c r="W787" s="598">
        <v>2</v>
      </c>
      <c r="X787" s="429"/>
      <c r="Y787" s="37" t="str">
        <f t="shared" si="138"/>
        <v>F020</v>
      </c>
      <c r="Z787" s="37" t="str">
        <f t="shared" si="139"/>
        <v>F00.1</v>
      </c>
      <c r="AA787" s="37" t="str">
        <f t="shared" si="141"/>
        <v>F02</v>
      </c>
      <c r="AB787" s="498" t="str">
        <f t="shared" si="135"/>
        <v>F017</v>
      </c>
      <c r="AC787" s="572"/>
      <c r="AD787" s="572"/>
      <c r="AE787" s="572"/>
      <c r="AF787" s="572"/>
    </row>
    <row r="788" spans="1:32">
      <c r="A788" s="947">
        <f t="shared" si="142"/>
        <v>781</v>
      </c>
      <c r="B788" s="948">
        <v>3</v>
      </c>
      <c r="C788" s="949">
        <v>36300</v>
      </c>
      <c r="D788" s="949" t="s">
        <v>177</v>
      </c>
      <c r="E788" s="904">
        <v>20</v>
      </c>
      <c r="F788" s="644">
        <v>1999</v>
      </c>
      <c r="G788" s="948" t="s">
        <v>142</v>
      </c>
      <c r="H788" s="645" t="s">
        <v>149</v>
      </c>
      <c r="I788" s="951">
        <v>25</v>
      </c>
      <c r="J788" s="951">
        <v>0.1</v>
      </c>
      <c r="K788" s="952">
        <f t="shared" si="140"/>
        <v>1.4204545454545455E-3</v>
      </c>
      <c r="L788" s="644">
        <f t="shared" si="132"/>
        <v>17</v>
      </c>
      <c r="M788" s="935">
        <v>0.72152777777777777</v>
      </c>
      <c r="N788" s="936">
        <f t="shared" si="133"/>
        <v>0.72152777777777777</v>
      </c>
      <c r="O788" s="725">
        <v>0.72222222222222221</v>
      </c>
      <c r="P788" s="725">
        <f t="shared" si="136"/>
        <v>6.9444444444444198E-4</v>
      </c>
      <c r="Q788" s="622" t="s">
        <v>349</v>
      </c>
      <c r="R788" s="37"/>
      <c r="S788" s="37" t="str">
        <f t="shared" si="134"/>
        <v>GrayF0</v>
      </c>
      <c r="T788" s="37" t="str">
        <f t="shared" si="137"/>
        <v>1999F0</v>
      </c>
      <c r="U788" s="429">
        <v>20</v>
      </c>
      <c r="V788" s="1029">
        <v>0.1</v>
      </c>
      <c r="W788" s="598">
        <v>1E-3</v>
      </c>
      <c r="X788" s="429"/>
      <c r="Y788" s="37" t="str">
        <f t="shared" si="138"/>
        <v>F020</v>
      </c>
      <c r="Z788" s="37" t="str">
        <f t="shared" si="139"/>
        <v>F00.1</v>
      </c>
      <c r="AA788" s="37" t="str">
        <f t="shared" si="141"/>
        <v>F00.001</v>
      </c>
      <c r="AB788" s="498" t="str">
        <f t="shared" si="135"/>
        <v>F017</v>
      </c>
      <c r="AC788" s="572"/>
      <c r="AD788" s="572"/>
      <c r="AE788" s="572"/>
      <c r="AF788" s="572"/>
    </row>
    <row r="789" spans="1:32">
      <c r="A789" s="947">
        <f t="shared" si="142"/>
        <v>782</v>
      </c>
      <c r="B789" s="948">
        <v>4</v>
      </c>
      <c r="C789" s="949">
        <v>36300</v>
      </c>
      <c r="D789" s="949" t="s">
        <v>177</v>
      </c>
      <c r="E789" s="904">
        <v>20</v>
      </c>
      <c r="F789" s="644">
        <v>1999</v>
      </c>
      <c r="G789" s="948" t="s">
        <v>147</v>
      </c>
      <c r="H789" s="645" t="s">
        <v>149</v>
      </c>
      <c r="I789" s="951">
        <v>50</v>
      </c>
      <c r="J789" s="951">
        <v>0.5</v>
      </c>
      <c r="K789" s="952">
        <f t="shared" si="140"/>
        <v>1.4204545454545454E-2</v>
      </c>
      <c r="L789" s="644">
        <f t="shared" si="132"/>
        <v>17</v>
      </c>
      <c r="M789" s="935">
        <v>0.73888888888888893</v>
      </c>
      <c r="N789" s="936">
        <f t="shared" si="133"/>
        <v>0.73888888888888893</v>
      </c>
      <c r="O789" s="725">
        <v>0.7416666666666667</v>
      </c>
      <c r="P789" s="725">
        <f t="shared" si="136"/>
        <v>2.7777777777777679E-3</v>
      </c>
      <c r="Q789" s="622" t="s">
        <v>329</v>
      </c>
      <c r="R789" s="36"/>
      <c r="S789" s="37" t="str">
        <f t="shared" si="134"/>
        <v>DonleyF0</v>
      </c>
      <c r="T789" s="37" t="str">
        <f t="shared" si="137"/>
        <v>1999F0</v>
      </c>
      <c r="U789" s="429">
        <v>50</v>
      </c>
      <c r="V789" s="1029">
        <v>0.5</v>
      </c>
      <c r="W789" s="598">
        <v>0.01</v>
      </c>
      <c r="X789" s="429"/>
      <c r="Y789" s="37" t="str">
        <f t="shared" si="138"/>
        <v>F050</v>
      </c>
      <c r="Z789" s="37" t="str">
        <f t="shared" si="139"/>
        <v>F00.5</v>
      </c>
      <c r="AA789" s="37" t="str">
        <f t="shared" si="141"/>
        <v>F00.01</v>
      </c>
      <c r="AB789" s="498" t="str">
        <f t="shared" si="135"/>
        <v>F017</v>
      </c>
      <c r="AC789" s="572"/>
      <c r="AD789" s="572"/>
      <c r="AE789" s="572"/>
      <c r="AF789" s="572"/>
    </row>
    <row r="790" spans="1:32">
      <c r="A790" s="947">
        <f t="shared" si="142"/>
        <v>783</v>
      </c>
      <c r="B790" s="948">
        <v>5</v>
      </c>
      <c r="C790" s="949">
        <v>36300</v>
      </c>
      <c r="D790" s="949" t="s">
        <v>177</v>
      </c>
      <c r="E790" s="904">
        <v>20</v>
      </c>
      <c r="F790" s="644">
        <v>1999</v>
      </c>
      <c r="G790" s="948" t="s">
        <v>147</v>
      </c>
      <c r="H790" s="645" t="s">
        <v>149</v>
      </c>
      <c r="I790" s="951">
        <v>25</v>
      </c>
      <c r="J790" s="951">
        <v>0.1</v>
      </c>
      <c r="K790" s="952">
        <f t="shared" si="140"/>
        <v>1.4204545454545455E-3</v>
      </c>
      <c r="L790" s="644">
        <f t="shared" si="132"/>
        <v>19</v>
      </c>
      <c r="M790" s="935">
        <v>0.79305555555555562</v>
      </c>
      <c r="N790" s="936">
        <f t="shared" si="133"/>
        <v>0.79305555555555562</v>
      </c>
      <c r="O790" s="725">
        <v>0.79374999999999996</v>
      </c>
      <c r="P790" s="725">
        <f t="shared" si="136"/>
        <v>6.9444444444433095E-4</v>
      </c>
      <c r="Q790" s="622" t="s">
        <v>330</v>
      </c>
      <c r="R790" s="36"/>
      <c r="S790" s="37" t="str">
        <f t="shared" si="134"/>
        <v>DonleyF0</v>
      </c>
      <c r="T790" s="37" t="str">
        <f t="shared" si="137"/>
        <v>1999F0</v>
      </c>
      <c r="U790" s="429">
        <v>20</v>
      </c>
      <c r="V790" s="1029">
        <v>0.1</v>
      </c>
      <c r="W790" s="598">
        <v>1E-3</v>
      </c>
      <c r="X790" s="429"/>
      <c r="Y790" s="37" t="str">
        <f t="shared" si="138"/>
        <v>F020</v>
      </c>
      <c r="Z790" s="37" t="str">
        <f t="shared" si="139"/>
        <v>F00.1</v>
      </c>
      <c r="AA790" s="37" t="str">
        <f t="shared" si="141"/>
        <v>F00.001</v>
      </c>
      <c r="AB790" s="498" t="str">
        <f t="shared" si="135"/>
        <v>F019</v>
      </c>
      <c r="AC790" s="572"/>
      <c r="AD790" s="572"/>
      <c r="AE790" s="572"/>
      <c r="AF790" s="572"/>
    </row>
    <row r="791" spans="1:32" ht="54.95" customHeight="1">
      <c r="A791" s="947">
        <f t="shared" si="142"/>
        <v>784</v>
      </c>
      <c r="B791" s="948">
        <v>6</v>
      </c>
      <c r="C791" s="949">
        <v>36305</v>
      </c>
      <c r="D791" s="949" t="s">
        <v>177</v>
      </c>
      <c r="E791" s="904">
        <v>25</v>
      </c>
      <c r="F791" s="644">
        <v>1999</v>
      </c>
      <c r="G791" s="948" t="s">
        <v>145</v>
      </c>
      <c r="H791" s="645" t="s">
        <v>149</v>
      </c>
      <c r="I791" s="951">
        <v>25</v>
      </c>
      <c r="J791" s="951">
        <v>0.3</v>
      </c>
      <c r="K791" s="952">
        <f t="shared" si="140"/>
        <v>4.261363636363636E-3</v>
      </c>
      <c r="L791" s="644">
        <f t="shared" si="132"/>
        <v>16</v>
      </c>
      <c r="M791" s="935">
        <v>0.70694444444444438</v>
      </c>
      <c r="N791" s="936">
        <f t="shared" si="133"/>
        <v>0.70694444444444438</v>
      </c>
      <c r="O791" s="725">
        <v>0.70694444444444438</v>
      </c>
      <c r="P791" s="725">
        <f t="shared" si="136"/>
        <v>0</v>
      </c>
      <c r="Q791" s="622" t="s">
        <v>53</v>
      </c>
      <c r="R791" s="36"/>
      <c r="S791" s="37" t="str">
        <f t="shared" si="134"/>
        <v>RandallF0</v>
      </c>
      <c r="T791" s="37" t="str">
        <f t="shared" si="137"/>
        <v>1999F0</v>
      </c>
      <c r="U791" s="429">
        <v>20</v>
      </c>
      <c r="V791" s="1029">
        <v>0.2</v>
      </c>
      <c r="W791" s="598">
        <v>2E-3</v>
      </c>
      <c r="X791" s="429"/>
      <c r="Y791" s="37" t="str">
        <f t="shared" si="138"/>
        <v>F020</v>
      </c>
      <c r="Z791" s="37" t="str">
        <f t="shared" si="139"/>
        <v>F00.2</v>
      </c>
      <c r="AA791" s="37" t="str">
        <f t="shared" si="141"/>
        <v>F00.002</v>
      </c>
      <c r="AB791" s="498" t="str">
        <f t="shared" si="135"/>
        <v>F016</v>
      </c>
      <c r="AC791" s="572"/>
      <c r="AD791" s="572"/>
      <c r="AE791" s="572"/>
      <c r="AF791" s="572"/>
    </row>
    <row r="792" spans="1:32">
      <c r="A792" s="947">
        <f t="shared" si="142"/>
        <v>785</v>
      </c>
      <c r="B792" s="948">
        <v>7</v>
      </c>
      <c r="C792" s="949">
        <v>36305</v>
      </c>
      <c r="D792" s="949" t="s">
        <v>177</v>
      </c>
      <c r="E792" s="904">
        <v>25</v>
      </c>
      <c r="F792" s="644">
        <v>1999</v>
      </c>
      <c r="G792" s="948" t="s">
        <v>145</v>
      </c>
      <c r="H792" s="645" t="s">
        <v>149</v>
      </c>
      <c r="I792" s="951">
        <v>25</v>
      </c>
      <c r="J792" s="951">
        <v>1</v>
      </c>
      <c r="K792" s="952">
        <f t="shared" si="140"/>
        <v>1.4204545454545454E-2</v>
      </c>
      <c r="L792" s="644">
        <f t="shared" si="132"/>
        <v>17</v>
      </c>
      <c r="M792" s="935">
        <v>0.71180555555555547</v>
      </c>
      <c r="N792" s="936">
        <f t="shared" si="133"/>
        <v>0.71180555555555547</v>
      </c>
      <c r="O792" s="725">
        <v>0.71388888888888891</v>
      </c>
      <c r="P792" s="725">
        <f t="shared" si="136"/>
        <v>2.083333333333437E-3</v>
      </c>
      <c r="Q792" s="622" t="s">
        <v>54</v>
      </c>
      <c r="R792" s="36"/>
      <c r="S792" s="37" t="str">
        <f t="shared" si="134"/>
        <v>RandallF0</v>
      </c>
      <c r="T792" s="37" t="str">
        <f t="shared" si="137"/>
        <v>1999F0</v>
      </c>
      <c r="U792" s="429">
        <v>20</v>
      </c>
      <c r="V792" s="1029">
        <v>1</v>
      </c>
      <c r="W792" s="598">
        <v>0.01</v>
      </c>
      <c r="X792" s="429"/>
      <c r="Y792" s="37" t="str">
        <f t="shared" si="138"/>
        <v>F020</v>
      </c>
      <c r="Z792" s="37" t="str">
        <f t="shared" si="139"/>
        <v>F01</v>
      </c>
      <c r="AA792" s="37" t="str">
        <f t="shared" si="141"/>
        <v>F00.01</v>
      </c>
      <c r="AB792" s="498" t="str">
        <f t="shared" si="135"/>
        <v>F017</v>
      </c>
      <c r="AC792" s="572"/>
      <c r="AD792" s="572"/>
      <c r="AE792" s="572"/>
      <c r="AF792" s="572"/>
    </row>
    <row r="793" spans="1:32">
      <c r="A793" s="947">
        <f t="shared" si="142"/>
        <v>786</v>
      </c>
      <c r="B793" s="948">
        <v>8</v>
      </c>
      <c r="C793" s="949">
        <v>36305</v>
      </c>
      <c r="D793" s="949" t="s">
        <v>177</v>
      </c>
      <c r="E793" s="904">
        <v>25</v>
      </c>
      <c r="F793" s="644">
        <v>1999</v>
      </c>
      <c r="G793" s="948" t="s">
        <v>145</v>
      </c>
      <c r="H793" s="645" t="s">
        <v>149</v>
      </c>
      <c r="I793" s="951">
        <v>25</v>
      </c>
      <c r="J793" s="951">
        <v>0.1</v>
      </c>
      <c r="K793" s="952">
        <f t="shared" si="140"/>
        <v>1.4204545454545455E-3</v>
      </c>
      <c r="L793" s="644">
        <f t="shared" si="132"/>
        <v>19</v>
      </c>
      <c r="M793" s="935">
        <v>0.82986111111111116</v>
      </c>
      <c r="N793" s="936">
        <f t="shared" si="133"/>
        <v>0.82986111111111116</v>
      </c>
      <c r="O793" s="725">
        <v>0.83125000000000004</v>
      </c>
      <c r="P793" s="725">
        <f t="shared" si="136"/>
        <v>1.388888888888884E-3</v>
      </c>
      <c r="Q793" s="622" t="s">
        <v>425</v>
      </c>
      <c r="R793" s="36"/>
      <c r="S793" s="37" t="str">
        <f t="shared" si="134"/>
        <v>RandallF0</v>
      </c>
      <c r="T793" s="37" t="str">
        <f t="shared" si="137"/>
        <v>1999F0</v>
      </c>
      <c r="U793" s="429">
        <v>20</v>
      </c>
      <c r="V793" s="1029">
        <v>0.1</v>
      </c>
      <c r="W793" s="598">
        <v>1E-3</v>
      </c>
      <c r="X793" s="429"/>
      <c r="Y793" s="37" t="str">
        <f t="shared" si="138"/>
        <v>F020</v>
      </c>
      <c r="Z793" s="37" t="str">
        <f t="shared" si="139"/>
        <v>F00.1</v>
      </c>
      <c r="AA793" s="37" t="str">
        <f t="shared" si="141"/>
        <v>F00.001</v>
      </c>
      <c r="AB793" s="498" t="str">
        <f t="shared" si="135"/>
        <v>F019</v>
      </c>
      <c r="AC793" s="572"/>
      <c r="AD793" s="572"/>
      <c r="AE793" s="572"/>
      <c r="AF793" s="572"/>
    </row>
    <row r="794" spans="1:32" ht="54.95" customHeight="1">
      <c r="A794" s="947">
        <f t="shared" si="142"/>
        <v>787</v>
      </c>
      <c r="B794" s="948">
        <v>9</v>
      </c>
      <c r="C794" s="949">
        <v>36313</v>
      </c>
      <c r="D794" s="949" t="s">
        <v>178</v>
      </c>
      <c r="E794" s="904">
        <v>2</v>
      </c>
      <c r="F794" s="644">
        <v>1999</v>
      </c>
      <c r="G794" s="948" t="s">
        <v>137</v>
      </c>
      <c r="H794" s="645" t="s">
        <v>149</v>
      </c>
      <c r="I794" s="951">
        <v>25</v>
      </c>
      <c r="J794" s="951">
        <v>0.1</v>
      </c>
      <c r="K794" s="952">
        <f t="shared" si="140"/>
        <v>1.4204545454545455E-3</v>
      </c>
      <c r="L794" s="644">
        <f t="shared" si="132"/>
        <v>19</v>
      </c>
      <c r="M794" s="935">
        <v>0.81111111111111101</v>
      </c>
      <c r="N794" s="936">
        <f t="shared" si="133"/>
        <v>0.81111111111111101</v>
      </c>
      <c r="O794" s="725">
        <v>0.81111111111111101</v>
      </c>
      <c r="P794" s="725">
        <f t="shared" si="136"/>
        <v>0</v>
      </c>
      <c r="Q794" s="622" t="s">
        <v>55</v>
      </c>
      <c r="R794" s="37"/>
      <c r="S794" s="37" t="str">
        <f t="shared" si="134"/>
        <v>RobertsF0</v>
      </c>
      <c r="T794" s="37" t="str">
        <f t="shared" si="137"/>
        <v>1999F0</v>
      </c>
      <c r="U794" s="429">
        <v>20</v>
      </c>
      <c r="V794" s="1029">
        <v>0.1</v>
      </c>
      <c r="W794" s="598">
        <v>1E-3</v>
      </c>
      <c r="X794" s="429"/>
      <c r="Y794" s="37" t="str">
        <f t="shared" si="138"/>
        <v>F020</v>
      </c>
      <c r="Z794" s="37" t="str">
        <f t="shared" si="139"/>
        <v>F00.1</v>
      </c>
      <c r="AA794" s="37" t="str">
        <f t="shared" si="141"/>
        <v>F00.001</v>
      </c>
      <c r="AB794" s="498" t="str">
        <f t="shared" si="135"/>
        <v>F019</v>
      </c>
      <c r="AC794" s="572"/>
      <c r="AD794" s="572"/>
      <c r="AE794" s="572"/>
      <c r="AF794" s="572"/>
    </row>
    <row r="795" spans="1:32">
      <c r="A795" s="947">
        <f t="shared" si="142"/>
        <v>788</v>
      </c>
      <c r="B795" s="948">
        <v>10</v>
      </c>
      <c r="C795" s="949">
        <v>36315</v>
      </c>
      <c r="D795" s="949" t="s">
        <v>178</v>
      </c>
      <c r="E795" s="904">
        <v>4</v>
      </c>
      <c r="F795" s="644">
        <v>1999</v>
      </c>
      <c r="G795" s="948" t="s">
        <v>127</v>
      </c>
      <c r="H795" s="645" t="s">
        <v>149</v>
      </c>
      <c r="I795" s="951">
        <v>15</v>
      </c>
      <c r="J795" s="951">
        <v>0.1</v>
      </c>
      <c r="K795" s="952">
        <f t="shared" si="140"/>
        <v>8.5227272727272723E-4</v>
      </c>
      <c r="L795" s="644">
        <f t="shared" si="132"/>
        <v>20</v>
      </c>
      <c r="M795" s="935">
        <v>0.85902777777777783</v>
      </c>
      <c r="N795" s="936">
        <f t="shared" si="133"/>
        <v>0.85902777777777783</v>
      </c>
      <c r="O795" s="725">
        <v>0.86041666666666661</v>
      </c>
      <c r="P795" s="725">
        <f t="shared" si="136"/>
        <v>1.3888888888887729E-3</v>
      </c>
      <c r="Q795" s="622" t="s">
        <v>252</v>
      </c>
      <c r="R795" s="37"/>
      <c r="S795" s="37" t="str">
        <f t="shared" si="134"/>
        <v>TexasF0</v>
      </c>
      <c r="T795" s="37" t="str">
        <f t="shared" si="137"/>
        <v>1999F0</v>
      </c>
      <c r="U795" s="429">
        <v>10</v>
      </c>
      <c r="V795" s="1029">
        <v>0.1</v>
      </c>
      <c r="W795" s="598">
        <v>1E-3</v>
      </c>
      <c r="X795" s="429"/>
      <c r="Y795" s="37" t="str">
        <f t="shared" si="138"/>
        <v>F010</v>
      </c>
      <c r="Z795" s="37" t="str">
        <f t="shared" si="139"/>
        <v>F00.1</v>
      </c>
      <c r="AA795" s="37" t="str">
        <f t="shared" si="141"/>
        <v>F00.001</v>
      </c>
      <c r="AB795" s="498" t="str">
        <f t="shared" si="135"/>
        <v>F020</v>
      </c>
      <c r="AC795" s="572"/>
      <c r="AD795" s="572"/>
      <c r="AE795" s="572"/>
      <c r="AF795" s="572"/>
    </row>
    <row r="796" spans="1:32">
      <c r="A796" s="947">
        <f t="shared" si="142"/>
        <v>789</v>
      </c>
      <c r="B796" s="948">
        <v>11</v>
      </c>
      <c r="C796" s="949">
        <v>36335</v>
      </c>
      <c r="D796" s="949" t="s">
        <v>178</v>
      </c>
      <c r="E796" s="904">
        <v>24</v>
      </c>
      <c r="F796" s="644">
        <v>1999</v>
      </c>
      <c r="G796" s="948" t="s">
        <v>136</v>
      </c>
      <c r="H796" s="645" t="s">
        <v>149</v>
      </c>
      <c r="I796" s="951">
        <v>25</v>
      </c>
      <c r="J796" s="951">
        <v>0.1</v>
      </c>
      <c r="K796" s="952">
        <f t="shared" si="140"/>
        <v>1.4204545454545455E-3</v>
      </c>
      <c r="L796" s="644">
        <f t="shared" si="132"/>
        <v>15</v>
      </c>
      <c r="M796" s="935">
        <v>0.66388888888888886</v>
      </c>
      <c r="N796" s="936">
        <f t="shared" si="133"/>
        <v>0.66388888888888886</v>
      </c>
      <c r="O796" s="725">
        <v>0.6645833333333333</v>
      </c>
      <c r="P796" s="725">
        <f t="shared" si="136"/>
        <v>6.9444444444444198E-4</v>
      </c>
      <c r="Q796" s="622" t="s">
        <v>381</v>
      </c>
      <c r="R796" s="37"/>
      <c r="S796" s="37" t="str">
        <f t="shared" si="134"/>
        <v>HutchinsonF0</v>
      </c>
      <c r="T796" s="37" t="str">
        <f t="shared" si="137"/>
        <v>1999F0</v>
      </c>
      <c r="U796" s="429">
        <v>20</v>
      </c>
      <c r="V796" s="1029">
        <v>0.1</v>
      </c>
      <c r="W796" s="598">
        <v>1E-3</v>
      </c>
      <c r="X796" s="429"/>
      <c r="Y796" s="37" t="str">
        <f t="shared" si="138"/>
        <v>F020</v>
      </c>
      <c r="Z796" s="37" t="str">
        <f t="shared" si="139"/>
        <v>F00.1</v>
      </c>
      <c r="AA796" s="37" t="str">
        <f t="shared" si="141"/>
        <v>F00.001</v>
      </c>
      <c r="AB796" s="498" t="str">
        <f t="shared" si="135"/>
        <v>F015</v>
      </c>
      <c r="AC796" s="572"/>
      <c r="AD796" s="572"/>
      <c r="AE796" s="572"/>
      <c r="AF796" s="572"/>
    </row>
    <row r="797" spans="1:32">
      <c r="A797" s="947">
        <f t="shared" si="142"/>
        <v>790</v>
      </c>
      <c r="B797" s="948">
        <v>12</v>
      </c>
      <c r="C797" s="949">
        <v>36335</v>
      </c>
      <c r="D797" s="949" t="s">
        <v>178</v>
      </c>
      <c r="E797" s="904">
        <v>24</v>
      </c>
      <c r="F797" s="644">
        <v>1999</v>
      </c>
      <c r="G797" s="948" t="s">
        <v>140</v>
      </c>
      <c r="H797" s="645" t="s">
        <v>149</v>
      </c>
      <c r="I797" s="951">
        <v>50</v>
      </c>
      <c r="J797" s="951">
        <v>0.2</v>
      </c>
      <c r="K797" s="952">
        <f t="shared" si="140"/>
        <v>5.681818181818182E-3</v>
      </c>
      <c r="L797" s="644">
        <f t="shared" si="132"/>
        <v>18</v>
      </c>
      <c r="M797" s="935">
        <v>0.75</v>
      </c>
      <c r="N797" s="936">
        <f t="shared" si="133"/>
        <v>0.75</v>
      </c>
      <c r="O797" s="725">
        <v>0.75694444444444453</v>
      </c>
      <c r="P797" s="725">
        <f t="shared" si="136"/>
        <v>6.9444444444445308E-3</v>
      </c>
      <c r="Q797" s="622" t="s">
        <v>417</v>
      </c>
      <c r="R797" s="37"/>
      <c r="S797" s="37" t="str">
        <f t="shared" si="134"/>
        <v>PotterF0</v>
      </c>
      <c r="T797" s="37" t="str">
        <f t="shared" si="137"/>
        <v>1999F0</v>
      </c>
      <c r="U797" s="429">
        <v>50</v>
      </c>
      <c r="V797" s="1029">
        <v>0.2</v>
      </c>
      <c r="W797" s="598">
        <v>5.0000000000000001E-3</v>
      </c>
      <c r="X797" s="429"/>
      <c r="Y797" s="37" t="str">
        <f t="shared" si="138"/>
        <v>F050</v>
      </c>
      <c r="Z797" s="37" t="str">
        <f t="shared" si="139"/>
        <v>F00.2</v>
      </c>
      <c r="AA797" s="37" t="str">
        <f t="shared" si="141"/>
        <v>F00.005</v>
      </c>
      <c r="AB797" s="498" t="str">
        <f t="shared" si="135"/>
        <v>F018</v>
      </c>
      <c r="AC797" s="572"/>
      <c r="AD797" s="572"/>
      <c r="AE797" s="572"/>
      <c r="AF797" s="572"/>
    </row>
    <row r="798" spans="1:32">
      <c r="A798" s="947">
        <f t="shared" si="142"/>
        <v>791</v>
      </c>
      <c r="B798" s="948">
        <v>13</v>
      </c>
      <c r="C798" s="949">
        <v>36340</v>
      </c>
      <c r="D798" s="949" t="s">
        <v>178</v>
      </c>
      <c r="E798" s="904">
        <v>29</v>
      </c>
      <c r="F798" s="644">
        <v>1999</v>
      </c>
      <c r="G798" s="948" t="s">
        <v>127</v>
      </c>
      <c r="H798" s="645" t="s">
        <v>149</v>
      </c>
      <c r="I798" s="951">
        <v>25</v>
      </c>
      <c r="J798" s="951">
        <v>0.1</v>
      </c>
      <c r="K798" s="952">
        <f t="shared" si="140"/>
        <v>1.4204545454545455E-3</v>
      </c>
      <c r="L798" s="644">
        <f t="shared" ref="L798:L861" si="143">HOUR(N798)</f>
        <v>15</v>
      </c>
      <c r="M798" s="935">
        <v>0.65555555555555556</v>
      </c>
      <c r="N798" s="936">
        <f t="shared" si="133"/>
        <v>0.65555555555555556</v>
      </c>
      <c r="O798" s="725">
        <v>0.65625</v>
      </c>
      <c r="P798" s="725">
        <f t="shared" si="136"/>
        <v>6.9444444444444198E-4</v>
      </c>
      <c r="Q798" s="622" t="s">
        <v>253</v>
      </c>
      <c r="R798" s="37"/>
      <c r="S798" s="37" t="str">
        <f t="shared" si="134"/>
        <v>TexasF0</v>
      </c>
      <c r="T798" s="37" t="str">
        <f t="shared" si="137"/>
        <v>1999F0</v>
      </c>
      <c r="U798" s="429">
        <v>20</v>
      </c>
      <c r="V798" s="1029">
        <v>0.1</v>
      </c>
      <c r="W798" s="598">
        <v>1E-3</v>
      </c>
      <c r="X798" s="429"/>
      <c r="Y798" s="37" t="str">
        <f t="shared" si="138"/>
        <v>F020</v>
      </c>
      <c r="Z798" s="37" t="str">
        <f t="shared" si="139"/>
        <v>F00.1</v>
      </c>
      <c r="AA798" s="37" t="str">
        <f t="shared" si="141"/>
        <v>F00.001</v>
      </c>
      <c r="AB798" s="498" t="str">
        <f t="shared" si="135"/>
        <v>F015</v>
      </c>
      <c r="AC798" s="572"/>
      <c r="AD798" s="572"/>
      <c r="AE798" s="572"/>
      <c r="AF798" s="572"/>
    </row>
    <row r="799" spans="1:32">
      <c r="A799" s="947">
        <f t="shared" si="142"/>
        <v>792</v>
      </c>
      <c r="B799" s="948">
        <v>14</v>
      </c>
      <c r="C799" s="949">
        <v>36340</v>
      </c>
      <c r="D799" s="949" t="s">
        <v>178</v>
      </c>
      <c r="E799" s="904">
        <v>29</v>
      </c>
      <c r="F799" s="644">
        <v>1999</v>
      </c>
      <c r="G799" s="948" t="s">
        <v>127</v>
      </c>
      <c r="H799" s="645" t="s">
        <v>149</v>
      </c>
      <c r="I799" s="951">
        <v>25</v>
      </c>
      <c r="J799" s="951">
        <v>0.1</v>
      </c>
      <c r="K799" s="952">
        <f t="shared" si="140"/>
        <v>1.4204545454545455E-3</v>
      </c>
      <c r="L799" s="644">
        <f t="shared" si="143"/>
        <v>16</v>
      </c>
      <c r="M799" s="935">
        <v>0.69097222222222221</v>
      </c>
      <c r="N799" s="936">
        <f t="shared" si="133"/>
        <v>0.69097222222222221</v>
      </c>
      <c r="O799" s="725">
        <v>0.69166666666666676</v>
      </c>
      <c r="P799" s="725">
        <f t="shared" si="136"/>
        <v>6.94444444444553E-4</v>
      </c>
      <c r="Q799" s="622" t="s">
        <v>254</v>
      </c>
      <c r="R799" s="37"/>
      <c r="S799" s="37" t="str">
        <f t="shared" si="134"/>
        <v>TexasF0</v>
      </c>
      <c r="T799" s="37" t="str">
        <f t="shared" si="137"/>
        <v>1999F0</v>
      </c>
      <c r="U799" s="429">
        <v>20</v>
      </c>
      <c r="V799" s="1029">
        <v>0.1</v>
      </c>
      <c r="W799" s="598">
        <v>1E-3</v>
      </c>
      <c r="X799" s="429"/>
      <c r="Y799" s="37" t="str">
        <f t="shared" si="138"/>
        <v>F020</v>
      </c>
      <c r="Z799" s="37" t="str">
        <f t="shared" si="139"/>
        <v>F00.1</v>
      </c>
      <c r="AA799" s="37" t="str">
        <f t="shared" si="141"/>
        <v>F00.001</v>
      </c>
      <c r="AB799" s="498" t="str">
        <f t="shared" si="135"/>
        <v>F016</v>
      </c>
      <c r="AC799" s="572"/>
      <c r="AD799" s="572"/>
      <c r="AE799" s="572"/>
      <c r="AF799" s="572"/>
    </row>
    <row r="800" spans="1:32" ht="54.95" customHeight="1">
      <c r="A800" s="947">
        <f t="shared" si="142"/>
        <v>793</v>
      </c>
      <c r="B800" s="948">
        <v>15</v>
      </c>
      <c r="C800" s="949">
        <v>36340</v>
      </c>
      <c r="D800" s="949" t="s">
        <v>178</v>
      </c>
      <c r="E800" s="904">
        <v>29</v>
      </c>
      <c r="F800" s="644">
        <v>1999</v>
      </c>
      <c r="G800" s="948" t="s">
        <v>131</v>
      </c>
      <c r="H800" s="645" t="s">
        <v>149</v>
      </c>
      <c r="I800" s="951">
        <v>25</v>
      </c>
      <c r="J800" s="951">
        <v>0.1</v>
      </c>
      <c r="K800" s="952">
        <f t="shared" si="140"/>
        <v>1.4204545454545455E-3</v>
      </c>
      <c r="L800" s="644">
        <f t="shared" si="143"/>
        <v>18</v>
      </c>
      <c r="M800" s="935">
        <v>0.75347222222222221</v>
      </c>
      <c r="N800" s="936">
        <f t="shared" si="133"/>
        <v>0.75347222222222221</v>
      </c>
      <c r="O800" s="725">
        <v>0.75416666666666676</v>
      </c>
      <c r="P800" s="725">
        <f t="shared" si="136"/>
        <v>6.94444444444553E-4</v>
      </c>
      <c r="Q800" s="622" t="s">
        <v>471</v>
      </c>
      <c r="R800" s="37"/>
      <c r="S800" s="37" t="str">
        <f t="shared" si="134"/>
        <v>HansfordF0</v>
      </c>
      <c r="T800" s="37" t="str">
        <f t="shared" si="137"/>
        <v>1999F0</v>
      </c>
      <c r="U800" s="429">
        <v>20</v>
      </c>
      <c r="V800" s="1029">
        <v>0.1</v>
      </c>
      <c r="W800" s="598">
        <v>1E-3</v>
      </c>
      <c r="X800" s="429"/>
      <c r="Y800" s="37" t="str">
        <f t="shared" si="138"/>
        <v>F020</v>
      </c>
      <c r="Z800" s="37" t="str">
        <f t="shared" si="139"/>
        <v>F00.1</v>
      </c>
      <c r="AA800" s="37" t="str">
        <f t="shared" si="141"/>
        <v>F00.001</v>
      </c>
      <c r="AB800" s="498" t="str">
        <f t="shared" si="135"/>
        <v>F018</v>
      </c>
      <c r="AC800" s="572"/>
      <c r="AD800" s="572"/>
      <c r="AE800" s="572"/>
      <c r="AF800" s="572"/>
    </row>
    <row r="801" spans="1:32">
      <c r="A801" s="947">
        <f t="shared" si="142"/>
        <v>794</v>
      </c>
      <c r="B801" s="948">
        <v>16</v>
      </c>
      <c r="C801" s="949">
        <v>36340</v>
      </c>
      <c r="D801" s="949" t="s">
        <v>178</v>
      </c>
      <c r="E801" s="904">
        <v>29</v>
      </c>
      <c r="F801" s="644">
        <v>1999</v>
      </c>
      <c r="G801" s="948" t="s">
        <v>131</v>
      </c>
      <c r="H801" s="645" t="s">
        <v>149</v>
      </c>
      <c r="I801" s="951">
        <v>50</v>
      </c>
      <c r="J801" s="951">
        <v>1</v>
      </c>
      <c r="K801" s="952">
        <f t="shared" si="140"/>
        <v>2.8409090909090908E-2</v>
      </c>
      <c r="L801" s="644">
        <f t="shared" si="143"/>
        <v>18</v>
      </c>
      <c r="M801" s="935">
        <v>0.7583333333333333</v>
      </c>
      <c r="N801" s="936">
        <f t="shared" si="133"/>
        <v>0.7583333333333333</v>
      </c>
      <c r="O801" s="725">
        <v>0.76388888888888884</v>
      </c>
      <c r="P801" s="725">
        <f t="shared" si="136"/>
        <v>5.5555555555555358E-3</v>
      </c>
      <c r="Q801" s="622" t="s">
        <v>360</v>
      </c>
      <c r="R801" s="37"/>
      <c r="S801" s="37" t="str">
        <f t="shared" si="134"/>
        <v>HansfordF0</v>
      </c>
      <c r="T801" s="37" t="str">
        <f t="shared" si="137"/>
        <v>1999F0</v>
      </c>
      <c r="U801" s="429">
        <v>50</v>
      </c>
      <c r="V801" s="1029">
        <v>1</v>
      </c>
      <c r="W801" s="598">
        <v>0.02</v>
      </c>
      <c r="X801" s="429"/>
      <c r="Y801" s="37" t="str">
        <f t="shared" si="138"/>
        <v>F050</v>
      </c>
      <c r="Z801" s="37" t="str">
        <f t="shared" si="139"/>
        <v>F01</v>
      </c>
      <c r="AA801" s="37" t="str">
        <f t="shared" si="141"/>
        <v>F00.02</v>
      </c>
      <c r="AB801" s="498" t="str">
        <f t="shared" si="135"/>
        <v>F018</v>
      </c>
      <c r="AC801" s="572"/>
      <c r="AD801" s="572"/>
      <c r="AE801" s="572"/>
      <c r="AF801" s="572"/>
    </row>
    <row r="802" spans="1:32">
      <c r="A802" s="947">
        <f t="shared" si="142"/>
        <v>795</v>
      </c>
      <c r="B802" s="948">
        <v>17</v>
      </c>
      <c r="C802" s="949">
        <v>36340</v>
      </c>
      <c r="D802" s="949" t="s">
        <v>178</v>
      </c>
      <c r="E802" s="904">
        <v>29</v>
      </c>
      <c r="F802" s="644">
        <v>1999</v>
      </c>
      <c r="G802" s="948" t="s">
        <v>131</v>
      </c>
      <c r="H802" s="645" t="s">
        <v>149</v>
      </c>
      <c r="I802" s="951">
        <v>25</v>
      </c>
      <c r="J802" s="951">
        <v>0.1</v>
      </c>
      <c r="K802" s="952">
        <f t="shared" si="140"/>
        <v>1.4204545454545455E-3</v>
      </c>
      <c r="L802" s="644">
        <f t="shared" si="143"/>
        <v>18</v>
      </c>
      <c r="M802" s="935">
        <v>0.76458333333333339</v>
      </c>
      <c r="N802" s="936">
        <f t="shared" si="133"/>
        <v>0.76458333333333339</v>
      </c>
      <c r="O802" s="725">
        <v>0.76527777777777783</v>
      </c>
      <c r="P802" s="725">
        <f t="shared" si="136"/>
        <v>6.9444444444444198E-4</v>
      </c>
      <c r="Q802" s="622" t="s">
        <v>361</v>
      </c>
      <c r="R802" s="37"/>
      <c r="S802" s="37" t="str">
        <f t="shared" si="134"/>
        <v>HansfordF0</v>
      </c>
      <c r="T802" s="37" t="str">
        <f t="shared" si="137"/>
        <v>1999F0</v>
      </c>
      <c r="U802" s="429">
        <v>20</v>
      </c>
      <c r="V802" s="1029">
        <v>0.1</v>
      </c>
      <c r="W802" s="598">
        <v>1E-3</v>
      </c>
      <c r="X802" s="429"/>
      <c r="Y802" s="37" t="str">
        <f t="shared" si="138"/>
        <v>F020</v>
      </c>
      <c r="Z802" s="37" t="str">
        <f t="shared" si="139"/>
        <v>F00.1</v>
      </c>
      <c r="AA802" s="37" t="str">
        <f t="shared" si="141"/>
        <v>F00.001</v>
      </c>
      <c r="AB802" s="498" t="str">
        <f t="shared" si="135"/>
        <v>F018</v>
      </c>
      <c r="AC802" s="572"/>
      <c r="AD802" s="572"/>
      <c r="AE802" s="572"/>
      <c r="AF802" s="572"/>
    </row>
    <row r="803" spans="1:32">
      <c r="A803" s="947">
        <f t="shared" si="142"/>
        <v>796</v>
      </c>
      <c r="B803" s="948">
        <v>18</v>
      </c>
      <c r="C803" s="949">
        <v>36340</v>
      </c>
      <c r="D803" s="949" t="s">
        <v>178</v>
      </c>
      <c r="E803" s="904">
        <v>29</v>
      </c>
      <c r="F803" s="644">
        <v>1999</v>
      </c>
      <c r="G803" s="948" t="s">
        <v>131</v>
      </c>
      <c r="H803" s="645" t="s">
        <v>149</v>
      </c>
      <c r="I803" s="951">
        <v>25</v>
      </c>
      <c r="J803" s="951">
        <v>0.1</v>
      </c>
      <c r="K803" s="952">
        <f t="shared" si="140"/>
        <v>1.4204545454545455E-3</v>
      </c>
      <c r="L803" s="644">
        <f t="shared" si="143"/>
        <v>18</v>
      </c>
      <c r="M803" s="935">
        <v>0.77708333333333324</v>
      </c>
      <c r="N803" s="936">
        <f t="shared" si="133"/>
        <v>0.77708333333333324</v>
      </c>
      <c r="O803" s="725">
        <v>0.77847222222222223</v>
      </c>
      <c r="P803" s="725">
        <f t="shared" si="136"/>
        <v>1.388888888888995E-3</v>
      </c>
      <c r="Q803" s="622" t="s">
        <v>362</v>
      </c>
      <c r="R803" s="37"/>
      <c r="S803" s="37" t="str">
        <f t="shared" si="134"/>
        <v>HansfordF0</v>
      </c>
      <c r="T803" s="37" t="str">
        <f t="shared" si="137"/>
        <v>1999F0</v>
      </c>
      <c r="U803" s="429">
        <v>20</v>
      </c>
      <c r="V803" s="1029">
        <v>0.1</v>
      </c>
      <c r="W803" s="598">
        <v>1E-3</v>
      </c>
      <c r="X803" s="429"/>
      <c r="Y803" s="37" t="str">
        <f t="shared" si="138"/>
        <v>F020</v>
      </c>
      <c r="Z803" s="37" t="str">
        <f t="shared" si="139"/>
        <v>F00.1</v>
      </c>
      <c r="AA803" s="37" t="str">
        <f t="shared" si="141"/>
        <v>F00.001</v>
      </c>
      <c r="AB803" s="498" t="str">
        <f t="shared" si="135"/>
        <v>F018</v>
      </c>
      <c r="AC803" s="572"/>
      <c r="AD803" s="572"/>
      <c r="AE803" s="572"/>
      <c r="AF803" s="572"/>
    </row>
    <row r="804" spans="1:32">
      <c r="A804" s="947">
        <f t="shared" si="142"/>
        <v>797</v>
      </c>
      <c r="B804" s="948">
        <v>19</v>
      </c>
      <c r="C804" s="949">
        <v>36340</v>
      </c>
      <c r="D804" s="949" t="s">
        <v>178</v>
      </c>
      <c r="E804" s="904">
        <v>29</v>
      </c>
      <c r="F804" s="644">
        <v>1999</v>
      </c>
      <c r="G804" s="948" t="s">
        <v>141</v>
      </c>
      <c r="H804" s="645" t="s">
        <v>149</v>
      </c>
      <c r="I804" s="951">
        <v>25</v>
      </c>
      <c r="J804" s="951">
        <v>0.1</v>
      </c>
      <c r="K804" s="952">
        <f t="shared" si="140"/>
        <v>1.4204545454545455E-3</v>
      </c>
      <c r="L804" s="644">
        <f t="shared" si="143"/>
        <v>18</v>
      </c>
      <c r="M804" s="935">
        <v>0.77916666666666667</v>
      </c>
      <c r="N804" s="936">
        <f t="shared" si="133"/>
        <v>0.77916666666666667</v>
      </c>
      <c r="O804" s="725">
        <v>0.78125</v>
      </c>
      <c r="P804" s="725">
        <f t="shared" si="136"/>
        <v>2.0833333333333259E-3</v>
      </c>
      <c r="Q804" s="622" t="s">
        <v>292</v>
      </c>
      <c r="R804" s="37"/>
      <c r="S804" s="37" t="str">
        <f t="shared" si="134"/>
        <v>CarsonF0</v>
      </c>
      <c r="T804" s="37" t="str">
        <f t="shared" si="137"/>
        <v>1999F0</v>
      </c>
      <c r="U804" s="429">
        <v>20</v>
      </c>
      <c r="V804" s="1029">
        <v>0.1</v>
      </c>
      <c r="W804" s="598">
        <v>1E-3</v>
      </c>
      <c r="X804" s="429"/>
      <c r="Y804" s="37" t="str">
        <f t="shared" si="138"/>
        <v>F020</v>
      </c>
      <c r="Z804" s="37" t="str">
        <f t="shared" si="139"/>
        <v>F00.1</v>
      </c>
      <c r="AA804" s="37" t="str">
        <f t="shared" si="141"/>
        <v>F00.001</v>
      </c>
      <c r="AB804" s="498" t="str">
        <f t="shared" si="135"/>
        <v>F018</v>
      </c>
      <c r="AC804" s="572"/>
      <c r="AD804" s="572"/>
      <c r="AE804" s="572"/>
      <c r="AF804" s="572"/>
    </row>
    <row r="805" spans="1:32">
      <c r="A805" s="947">
        <f t="shared" si="142"/>
        <v>798</v>
      </c>
      <c r="B805" s="948">
        <v>20</v>
      </c>
      <c r="C805" s="949">
        <v>36340</v>
      </c>
      <c r="D805" s="949" t="s">
        <v>178</v>
      </c>
      <c r="E805" s="904">
        <v>29</v>
      </c>
      <c r="F805" s="644">
        <v>1999</v>
      </c>
      <c r="G805" s="948" t="s">
        <v>131</v>
      </c>
      <c r="H805" s="645" t="s">
        <v>149</v>
      </c>
      <c r="I805" s="951">
        <v>25</v>
      </c>
      <c r="J805" s="951">
        <v>0.1</v>
      </c>
      <c r="K805" s="952">
        <f t="shared" si="140"/>
        <v>1.4204545454545455E-3</v>
      </c>
      <c r="L805" s="644">
        <f t="shared" si="143"/>
        <v>18</v>
      </c>
      <c r="M805" s="935">
        <v>0.78472222222222221</v>
      </c>
      <c r="N805" s="936">
        <f t="shared" si="133"/>
        <v>0.78472222222222221</v>
      </c>
      <c r="O805" s="725">
        <v>0.78611111111111109</v>
      </c>
      <c r="P805" s="725">
        <f t="shared" si="136"/>
        <v>1.388888888888884E-3</v>
      </c>
      <c r="Q805" s="622" t="s">
        <v>363</v>
      </c>
      <c r="R805" s="37"/>
      <c r="S805" s="37" t="str">
        <f t="shared" si="134"/>
        <v>HansfordF0</v>
      </c>
      <c r="T805" s="37" t="str">
        <f t="shared" si="137"/>
        <v>1999F0</v>
      </c>
      <c r="U805" s="429">
        <v>20</v>
      </c>
      <c r="V805" s="1029">
        <v>0.1</v>
      </c>
      <c r="W805" s="598">
        <v>1E-3</v>
      </c>
      <c r="X805" s="429"/>
      <c r="Y805" s="37" t="str">
        <f t="shared" si="138"/>
        <v>F020</v>
      </c>
      <c r="Z805" s="37" t="str">
        <f t="shared" si="139"/>
        <v>F00.1</v>
      </c>
      <c r="AA805" s="37" t="str">
        <f t="shared" si="141"/>
        <v>F00.001</v>
      </c>
      <c r="AB805" s="498" t="str">
        <f t="shared" si="135"/>
        <v>F018</v>
      </c>
      <c r="AC805" s="572"/>
      <c r="AD805" s="572"/>
      <c r="AE805" s="572"/>
      <c r="AF805" s="572"/>
    </row>
    <row r="806" spans="1:32">
      <c r="A806" s="947">
        <f t="shared" si="142"/>
        <v>799</v>
      </c>
      <c r="B806" s="948">
        <v>21</v>
      </c>
      <c r="C806" s="949">
        <v>36340</v>
      </c>
      <c r="D806" s="949" t="s">
        <v>178</v>
      </c>
      <c r="E806" s="904">
        <v>29</v>
      </c>
      <c r="F806" s="644">
        <v>1999</v>
      </c>
      <c r="G806" s="948" t="s">
        <v>131</v>
      </c>
      <c r="H806" s="645" t="s">
        <v>149</v>
      </c>
      <c r="I806" s="951">
        <v>25</v>
      </c>
      <c r="J806" s="951">
        <v>0.1</v>
      </c>
      <c r="K806" s="952">
        <f t="shared" si="140"/>
        <v>1.4204545454545455E-3</v>
      </c>
      <c r="L806" s="644">
        <f t="shared" si="143"/>
        <v>18</v>
      </c>
      <c r="M806" s="935">
        <v>0.78888888888888886</v>
      </c>
      <c r="N806" s="936">
        <f t="shared" si="133"/>
        <v>0.78888888888888886</v>
      </c>
      <c r="O806" s="725">
        <v>0.7909722222222223</v>
      </c>
      <c r="P806" s="725">
        <f t="shared" si="136"/>
        <v>2.083333333333437E-3</v>
      </c>
      <c r="Q806" s="622" t="s">
        <v>364</v>
      </c>
      <c r="R806" s="37"/>
      <c r="S806" s="37" t="str">
        <f t="shared" si="134"/>
        <v>HansfordF0</v>
      </c>
      <c r="T806" s="37" t="str">
        <f t="shared" si="137"/>
        <v>1999F0</v>
      </c>
      <c r="U806" s="429">
        <v>20</v>
      </c>
      <c r="V806" s="1029">
        <v>0.1</v>
      </c>
      <c r="W806" s="598">
        <v>1E-3</v>
      </c>
      <c r="X806" s="429"/>
      <c r="Y806" s="37" t="str">
        <f t="shared" si="138"/>
        <v>F020</v>
      </c>
      <c r="Z806" s="37" t="str">
        <f t="shared" si="139"/>
        <v>F00.1</v>
      </c>
      <c r="AA806" s="37" t="str">
        <f t="shared" si="141"/>
        <v>F00.001</v>
      </c>
      <c r="AB806" s="498" t="str">
        <f t="shared" si="135"/>
        <v>F018</v>
      </c>
      <c r="AC806" s="572"/>
      <c r="AD806" s="572"/>
      <c r="AE806" s="572"/>
      <c r="AF806" s="572"/>
    </row>
    <row r="807" spans="1:32">
      <c r="A807" s="947">
        <f t="shared" si="142"/>
        <v>800</v>
      </c>
      <c r="B807" s="948">
        <v>22</v>
      </c>
      <c r="C807" s="949">
        <v>36340</v>
      </c>
      <c r="D807" s="949" t="s">
        <v>178</v>
      </c>
      <c r="E807" s="904">
        <v>29</v>
      </c>
      <c r="F807" s="644">
        <v>1999</v>
      </c>
      <c r="G807" s="948" t="s">
        <v>141</v>
      </c>
      <c r="H807" s="645" t="s">
        <v>149</v>
      </c>
      <c r="I807" s="951">
        <v>50</v>
      </c>
      <c r="J807" s="951">
        <v>0.8</v>
      </c>
      <c r="K807" s="952">
        <f t="shared" si="140"/>
        <v>2.2727272727272728E-2</v>
      </c>
      <c r="L807" s="644">
        <f t="shared" si="143"/>
        <v>18</v>
      </c>
      <c r="M807" s="935">
        <v>0.79027777777777775</v>
      </c>
      <c r="N807" s="936">
        <f t="shared" si="133"/>
        <v>0.79027777777777775</v>
      </c>
      <c r="O807" s="725">
        <v>0.79374999999999996</v>
      </c>
      <c r="P807" s="725">
        <f t="shared" si="136"/>
        <v>3.4722222222222099E-3</v>
      </c>
      <c r="Q807" s="622" t="s">
        <v>293</v>
      </c>
      <c r="R807" s="37"/>
      <c r="S807" s="37" t="str">
        <f t="shared" si="134"/>
        <v>CarsonF0</v>
      </c>
      <c r="T807" s="37" t="str">
        <f t="shared" si="137"/>
        <v>1999F0</v>
      </c>
      <c r="U807" s="429">
        <v>50</v>
      </c>
      <c r="V807" s="1029">
        <v>0.5</v>
      </c>
      <c r="W807" s="598">
        <v>0.02</v>
      </c>
      <c r="X807" s="429"/>
      <c r="Y807" s="37" t="str">
        <f t="shared" si="138"/>
        <v>F050</v>
      </c>
      <c r="Z807" s="37" t="str">
        <f t="shared" si="139"/>
        <v>F00.5</v>
      </c>
      <c r="AA807" s="37" t="str">
        <f t="shared" si="141"/>
        <v>F00.02</v>
      </c>
      <c r="AB807" s="498" t="str">
        <f t="shared" si="135"/>
        <v>F018</v>
      </c>
      <c r="AC807" s="572"/>
      <c r="AD807" s="572"/>
      <c r="AE807" s="572"/>
      <c r="AF807" s="572"/>
    </row>
    <row r="808" spans="1:32">
      <c r="A808" s="947">
        <f t="shared" si="142"/>
        <v>801</v>
      </c>
      <c r="B808" s="948">
        <v>23</v>
      </c>
      <c r="C808" s="949">
        <v>36340</v>
      </c>
      <c r="D808" s="949" t="s">
        <v>178</v>
      </c>
      <c r="E808" s="904">
        <v>29</v>
      </c>
      <c r="F808" s="644">
        <v>1999</v>
      </c>
      <c r="G808" s="948" t="s">
        <v>141</v>
      </c>
      <c r="H808" s="645" t="s">
        <v>149</v>
      </c>
      <c r="I808" s="951">
        <v>25</v>
      </c>
      <c r="J808" s="951">
        <v>0.3</v>
      </c>
      <c r="K808" s="952">
        <f t="shared" si="140"/>
        <v>4.261363636363636E-3</v>
      </c>
      <c r="L808" s="644">
        <f t="shared" si="143"/>
        <v>19</v>
      </c>
      <c r="M808" s="935">
        <v>0.80069444444444438</v>
      </c>
      <c r="N808" s="936">
        <f t="shared" si="133"/>
        <v>0.80069444444444438</v>
      </c>
      <c r="O808" s="725">
        <v>0.80486111111111114</v>
      </c>
      <c r="P808" s="725">
        <f t="shared" si="136"/>
        <v>4.1666666666667629E-3</v>
      </c>
      <c r="Q808" s="622" t="s">
        <v>294</v>
      </c>
      <c r="R808" s="37"/>
      <c r="S808" s="37" t="str">
        <f t="shared" si="134"/>
        <v>CarsonF0</v>
      </c>
      <c r="T808" s="37" t="str">
        <f t="shared" si="137"/>
        <v>1999F0</v>
      </c>
      <c r="U808" s="429">
        <v>20</v>
      </c>
      <c r="V808" s="1029">
        <v>0.2</v>
      </c>
      <c r="W808" s="598">
        <v>2E-3</v>
      </c>
      <c r="X808" s="429"/>
      <c r="Y808" s="37" t="str">
        <f t="shared" si="138"/>
        <v>F020</v>
      </c>
      <c r="Z808" s="37" t="str">
        <f t="shared" si="139"/>
        <v>F00.2</v>
      </c>
      <c r="AA808" s="37" t="str">
        <f t="shared" si="141"/>
        <v>F00.002</v>
      </c>
      <c r="AB808" s="498" t="str">
        <f t="shared" si="135"/>
        <v>F019</v>
      </c>
      <c r="AC808" s="572"/>
      <c r="AD808" s="572"/>
      <c r="AE808" s="572"/>
      <c r="AF808" s="572"/>
    </row>
    <row r="809" spans="1:32">
      <c r="A809" s="947">
        <f t="shared" si="142"/>
        <v>802</v>
      </c>
      <c r="B809" s="948">
        <v>24</v>
      </c>
      <c r="C809" s="949">
        <v>36340</v>
      </c>
      <c r="D809" s="949" t="s">
        <v>178</v>
      </c>
      <c r="E809" s="904">
        <v>29</v>
      </c>
      <c r="F809" s="644">
        <v>1999</v>
      </c>
      <c r="G809" s="948" t="s">
        <v>141</v>
      </c>
      <c r="H809" s="645" t="s">
        <v>149</v>
      </c>
      <c r="I809" s="951">
        <v>25</v>
      </c>
      <c r="J809" s="951">
        <v>0.1</v>
      </c>
      <c r="K809" s="952">
        <f t="shared" si="140"/>
        <v>1.4204545454545455E-3</v>
      </c>
      <c r="L809" s="644">
        <f t="shared" si="143"/>
        <v>19</v>
      </c>
      <c r="M809" s="935">
        <v>0.80208333333333337</v>
      </c>
      <c r="N809" s="936">
        <f t="shared" si="133"/>
        <v>0.80208333333333337</v>
      </c>
      <c r="O809" s="725">
        <v>0.80347222222222225</v>
      </c>
      <c r="P809" s="725">
        <f t="shared" si="136"/>
        <v>1.388888888888884E-3</v>
      </c>
      <c r="Q809" s="622" t="s">
        <v>295</v>
      </c>
      <c r="R809" s="37"/>
      <c r="S809" s="37" t="str">
        <f t="shared" si="134"/>
        <v>CarsonF0</v>
      </c>
      <c r="T809" s="37" t="str">
        <f t="shared" si="137"/>
        <v>1999F0</v>
      </c>
      <c r="U809" s="429">
        <v>20</v>
      </c>
      <c r="V809" s="1029">
        <v>0.1</v>
      </c>
      <c r="W809" s="598">
        <v>1E-3</v>
      </c>
      <c r="X809" s="429"/>
      <c r="Y809" s="37" t="str">
        <f t="shared" si="138"/>
        <v>F020</v>
      </c>
      <c r="Z809" s="37" t="str">
        <f t="shared" si="139"/>
        <v>F00.1</v>
      </c>
      <c r="AA809" s="37" t="str">
        <f t="shared" si="141"/>
        <v>F00.001</v>
      </c>
      <c r="AB809" s="498" t="str">
        <f t="shared" si="135"/>
        <v>F019</v>
      </c>
      <c r="AC809" s="572"/>
      <c r="AD809" s="572"/>
      <c r="AE809" s="572"/>
      <c r="AF809" s="572"/>
    </row>
    <row r="810" spans="1:32">
      <c r="A810" s="947">
        <f t="shared" si="142"/>
        <v>803</v>
      </c>
      <c r="B810" s="948">
        <v>25</v>
      </c>
      <c r="C810" s="949">
        <v>36340</v>
      </c>
      <c r="D810" s="949" t="s">
        <v>178</v>
      </c>
      <c r="E810" s="904">
        <v>29</v>
      </c>
      <c r="F810" s="644">
        <v>1999</v>
      </c>
      <c r="G810" s="948" t="s">
        <v>131</v>
      </c>
      <c r="H810" s="645" t="s">
        <v>149</v>
      </c>
      <c r="I810" s="951">
        <v>25</v>
      </c>
      <c r="J810" s="951">
        <v>0.2</v>
      </c>
      <c r="K810" s="952">
        <f t="shared" si="140"/>
        <v>2.840909090909091E-3</v>
      </c>
      <c r="L810" s="644">
        <f t="shared" si="143"/>
        <v>23</v>
      </c>
      <c r="M810" s="935">
        <v>0.99305555555555547</v>
      </c>
      <c r="N810" s="936">
        <f t="shared" si="133"/>
        <v>0.99305555555555547</v>
      </c>
      <c r="O810" s="725">
        <v>0.99513888888888891</v>
      </c>
      <c r="P810" s="725">
        <f t="shared" si="136"/>
        <v>2.083333333333437E-3</v>
      </c>
      <c r="Q810" s="622" t="s">
        <v>365</v>
      </c>
      <c r="R810" s="37"/>
      <c r="S810" s="37" t="str">
        <f t="shared" si="134"/>
        <v>HansfordF0</v>
      </c>
      <c r="T810" s="37" t="str">
        <f t="shared" si="137"/>
        <v>1999F0</v>
      </c>
      <c r="U810" s="429">
        <v>20</v>
      </c>
      <c r="V810" s="1029">
        <v>0.2</v>
      </c>
      <c r="W810" s="598">
        <v>2E-3</v>
      </c>
      <c r="X810" s="429"/>
      <c r="Y810" s="37" t="str">
        <f t="shared" si="138"/>
        <v>F020</v>
      </c>
      <c r="Z810" s="37" t="str">
        <f t="shared" si="139"/>
        <v>F00.2</v>
      </c>
      <c r="AA810" s="37" t="str">
        <f t="shared" si="141"/>
        <v>F00.002</v>
      </c>
      <c r="AB810" s="498" t="str">
        <f t="shared" si="135"/>
        <v>F023</v>
      </c>
      <c r="AC810" s="572"/>
      <c r="AD810" s="572"/>
      <c r="AE810" s="572"/>
      <c r="AF810" s="572"/>
    </row>
    <row r="811" spans="1:32">
      <c r="A811" s="947">
        <f t="shared" si="142"/>
        <v>804</v>
      </c>
      <c r="B811" s="948">
        <v>1</v>
      </c>
      <c r="C811" s="970">
        <v>36580</v>
      </c>
      <c r="D811" s="963" t="s">
        <v>174</v>
      </c>
      <c r="E811" s="904">
        <v>24</v>
      </c>
      <c r="F811" s="644">
        <v>2000</v>
      </c>
      <c r="G811" s="948" t="s">
        <v>137</v>
      </c>
      <c r="H811" s="645" t="s">
        <v>149</v>
      </c>
      <c r="I811" s="951">
        <v>25</v>
      </c>
      <c r="J811" s="951">
        <v>2</v>
      </c>
      <c r="K811" s="952">
        <f t="shared" si="140"/>
        <v>2.8409090909090908E-2</v>
      </c>
      <c r="L811" s="644">
        <f t="shared" si="143"/>
        <v>18</v>
      </c>
      <c r="M811" s="935">
        <v>0.77916666666666667</v>
      </c>
      <c r="N811" s="936">
        <f t="shared" si="133"/>
        <v>0.77916666666666667</v>
      </c>
      <c r="O811" s="725">
        <v>0.78333333333333333</v>
      </c>
      <c r="P811" s="725">
        <f t="shared" si="136"/>
        <v>4.1666666666666519E-3</v>
      </c>
      <c r="Q811" s="622" t="s">
        <v>435</v>
      </c>
      <c r="R811" s="37"/>
      <c r="S811" s="37" t="str">
        <f t="shared" si="134"/>
        <v>RobertsF0</v>
      </c>
      <c r="T811" s="37" t="str">
        <f t="shared" si="137"/>
        <v>2000F0</v>
      </c>
      <c r="U811" s="429">
        <v>20</v>
      </c>
      <c r="V811" s="1029">
        <v>2</v>
      </c>
      <c r="W811" s="598">
        <v>0.02</v>
      </c>
      <c r="X811" s="429"/>
      <c r="Y811" s="37" t="str">
        <f t="shared" si="138"/>
        <v>F020</v>
      </c>
      <c r="Z811" s="37" t="str">
        <f t="shared" si="139"/>
        <v>F02</v>
      </c>
      <c r="AA811" s="37" t="str">
        <f t="shared" si="141"/>
        <v>F00.02</v>
      </c>
      <c r="AB811" s="498" t="str">
        <f t="shared" si="135"/>
        <v>F018</v>
      </c>
      <c r="AC811" s="572"/>
      <c r="AD811" s="572"/>
      <c r="AE811" s="572"/>
      <c r="AF811" s="572"/>
    </row>
    <row r="812" spans="1:32" ht="55.5" customHeight="1">
      <c r="A812" s="947">
        <f t="shared" si="142"/>
        <v>805</v>
      </c>
      <c r="B812" s="948">
        <v>2</v>
      </c>
      <c r="C812" s="970">
        <v>36580</v>
      </c>
      <c r="D812" s="963" t="s">
        <v>174</v>
      </c>
      <c r="E812" s="904">
        <v>24</v>
      </c>
      <c r="F812" s="644">
        <v>2000</v>
      </c>
      <c r="G812" s="948" t="s">
        <v>133</v>
      </c>
      <c r="H812" s="645" t="s">
        <v>150</v>
      </c>
      <c r="I812" s="951">
        <v>150</v>
      </c>
      <c r="J812" s="951">
        <v>14</v>
      </c>
      <c r="K812" s="952">
        <f t="shared" si="140"/>
        <v>1.1931818181818181</v>
      </c>
      <c r="L812" s="644">
        <f t="shared" si="143"/>
        <v>20</v>
      </c>
      <c r="M812" s="935">
        <v>0.84236111111111101</v>
      </c>
      <c r="N812" s="936">
        <f t="shared" si="133"/>
        <v>0.84236111111111101</v>
      </c>
      <c r="O812" s="725">
        <v>0.8534722222222223</v>
      </c>
      <c r="P812" s="725">
        <f t="shared" si="136"/>
        <v>1.1111111111111294E-2</v>
      </c>
      <c r="Q812" s="106" t="s">
        <v>765</v>
      </c>
      <c r="R812" s="37"/>
      <c r="S812" s="37" t="str">
        <f t="shared" si="134"/>
        <v>LipscombF1</v>
      </c>
      <c r="T812" s="37" t="str">
        <f t="shared" si="137"/>
        <v>2000F1</v>
      </c>
      <c r="U812" s="429">
        <v>100</v>
      </c>
      <c r="V812" s="1029">
        <v>10</v>
      </c>
      <c r="W812" s="598">
        <v>1</v>
      </c>
      <c r="X812" s="429"/>
      <c r="Y812" s="37" t="str">
        <f t="shared" si="138"/>
        <v>F1100</v>
      </c>
      <c r="Z812" s="37" t="str">
        <f t="shared" si="139"/>
        <v>F110</v>
      </c>
      <c r="AA812" s="37" t="str">
        <f t="shared" si="141"/>
        <v>F11</v>
      </c>
      <c r="AB812" s="498" t="str">
        <f t="shared" si="135"/>
        <v>F120</v>
      </c>
      <c r="AC812" s="572"/>
      <c r="AD812" s="572"/>
      <c r="AE812" s="572"/>
      <c r="AF812" s="572"/>
    </row>
    <row r="813" spans="1:32">
      <c r="A813" s="947">
        <f t="shared" si="142"/>
        <v>806</v>
      </c>
      <c r="B813" s="948">
        <v>3</v>
      </c>
      <c r="C813" s="970">
        <v>36671</v>
      </c>
      <c r="D813" s="949" t="s">
        <v>177</v>
      </c>
      <c r="E813" s="904">
        <v>25</v>
      </c>
      <c r="F813" s="644">
        <v>2000</v>
      </c>
      <c r="G813" s="948" t="s">
        <v>144</v>
      </c>
      <c r="H813" s="645" t="s">
        <v>149</v>
      </c>
      <c r="I813" s="951">
        <v>25</v>
      </c>
      <c r="J813" s="951">
        <v>0.5</v>
      </c>
      <c r="K813" s="952">
        <f t="shared" si="140"/>
        <v>7.102272727272727E-3</v>
      </c>
      <c r="L813" s="644">
        <f t="shared" si="143"/>
        <v>19</v>
      </c>
      <c r="M813" s="935">
        <v>0.82708333333333339</v>
      </c>
      <c r="N813" s="936">
        <f t="shared" si="133"/>
        <v>0.82708333333333339</v>
      </c>
      <c r="O813" s="725">
        <v>0.82916666666666661</v>
      </c>
      <c r="P813" s="725">
        <f t="shared" si="136"/>
        <v>2.0833333333332149E-3</v>
      </c>
      <c r="Q813" s="622" t="s">
        <v>319</v>
      </c>
      <c r="R813" s="37"/>
      <c r="S813" s="37" t="str">
        <f t="shared" si="134"/>
        <v>Deaf SmithF0</v>
      </c>
      <c r="T813" s="37" t="str">
        <f t="shared" si="137"/>
        <v>2000F0</v>
      </c>
      <c r="U813" s="429">
        <v>20</v>
      </c>
      <c r="V813" s="1029">
        <v>0.5</v>
      </c>
      <c r="W813" s="598">
        <v>5.0000000000000001E-3</v>
      </c>
      <c r="X813" s="429"/>
      <c r="Y813" s="37" t="str">
        <f t="shared" si="138"/>
        <v>F020</v>
      </c>
      <c r="Z813" s="37" t="str">
        <f t="shared" si="139"/>
        <v>F00.5</v>
      </c>
      <c r="AA813" s="37" t="str">
        <f t="shared" si="141"/>
        <v>F00.005</v>
      </c>
      <c r="AB813" s="498" t="str">
        <f t="shared" si="135"/>
        <v>F019</v>
      </c>
      <c r="AC813" s="572"/>
      <c r="AD813" s="572"/>
      <c r="AE813" s="572"/>
      <c r="AF813" s="572"/>
    </row>
    <row r="814" spans="1:32">
      <c r="A814" s="947">
        <f t="shared" si="142"/>
        <v>807</v>
      </c>
      <c r="B814" s="948">
        <v>4</v>
      </c>
      <c r="C814" s="970">
        <v>36690</v>
      </c>
      <c r="D814" s="949" t="s">
        <v>178</v>
      </c>
      <c r="E814" s="904">
        <v>13</v>
      </c>
      <c r="F814" s="644">
        <v>2000</v>
      </c>
      <c r="G814" s="948" t="s">
        <v>132</v>
      </c>
      <c r="H814" s="645" t="s">
        <v>149</v>
      </c>
      <c r="I814" s="951">
        <v>25</v>
      </c>
      <c r="J814" s="951">
        <v>0.1</v>
      </c>
      <c r="K814" s="952">
        <f t="shared" si="140"/>
        <v>1.4204545454545455E-3</v>
      </c>
      <c r="L814" s="644">
        <f t="shared" si="143"/>
        <v>15</v>
      </c>
      <c r="M814" s="935">
        <v>0.66249999999999998</v>
      </c>
      <c r="N814" s="936">
        <f t="shared" si="133"/>
        <v>0.66249999999999998</v>
      </c>
      <c r="O814" s="725">
        <v>0.67013888888888884</v>
      </c>
      <c r="P814" s="725">
        <f t="shared" si="136"/>
        <v>7.6388888888888618E-3</v>
      </c>
      <c r="Q814" s="622" t="s">
        <v>407</v>
      </c>
      <c r="R814" s="37"/>
      <c r="S814" s="37" t="str">
        <f t="shared" si="134"/>
        <v>OchiltreeF0</v>
      </c>
      <c r="T814" s="37" t="str">
        <f t="shared" si="137"/>
        <v>2000F0</v>
      </c>
      <c r="U814" s="429">
        <v>20</v>
      </c>
      <c r="V814" s="1029">
        <v>0.1</v>
      </c>
      <c r="W814" s="598">
        <v>1E-3</v>
      </c>
      <c r="X814" s="429"/>
      <c r="Y814" s="37" t="str">
        <f t="shared" si="138"/>
        <v>F020</v>
      </c>
      <c r="Z814" s="37" t="str">
        <f t="shared" si="139"/>
        <v>F00.1</v>
      </c>
      <c r="AA814" s="37" t="str">
        <f t="shared" si="141"/>
        <v>F00.001</v>
      </c>
      <c r="AB814" s="498" t="str">
        <f t="shared" si="135"/>
        <v>F015</v>
      </c>
      <c r="AC814" s="572"/>
      <c r="AD814" s="572"/>
      <c r="AE814" s="572"/>
      <c r="AF814" s="572"/>
    </row>
    <row r="815" spans="1:32">
      <c r="A815" s="947">
        <f t="shared" si="142"/>
        <v>808</v>
      </c>
      <c r="B815" s="948">
        <v>5</v>
      </c>
      <c r="C815" s="970">
        <v>36690</v>
      </c>
      <c r="D815" s="949" t="s">
        <v>178</v>
      </c>
      <c r="E815" s="904">
        <v>13</v>
      </c>
      <c r="F815" s="644">
        <v>2000</v>
      </c>
      <c r="G815" s="948" t="s">
        <v>138</v>
      </c>
      <c r="H815" s="645" t="s">
        <v>149</v>
      </c>
      <c r="I815" s="951">
        <v>25</v>
      </c>
      <c r="J815" s="951">
        <v>0.1</v>
      </c>
      <c r="K815" s="952">
        <f t="shared" si="140"/>
        <v>1.4204545454545455E-3</v>
      </c>
      <c r="L815" s="644">
        <f t="shared" si="143"/>
        <v>19</v>
      </c>
      <c r="M815" s="935">
        <v>0.82361111111111107</v>
      </c>
      <c r="N815" s="936">
        <f t="shared" si="133"/>
        <v>0.82361111111111107</v>
      </c>
      <c r="O815" s="725">
        <v>0.82499999999999996</v>
      </c>
      <c r="P815" s="725">
        <f t="shared" si="136"/>
        <v>1.388888888888884E-3</v>
      </c>
      <c r="Q815" s="622" t="s">
        <v>375</v>
      </c>
      <c r="R815" s="37"/>
      <c r="S815" s="37" t="str">
        <f t="shared" si="134"/>
        <v>HemphillF0</v>
      </c>
      <c r="T815" s="37" t="str">
        <f t="shared" si="137"/>
        <v>2000F0</v>
      </c>
      <c r="U815" s="429">
        <v>20</v>
      </c>
      <c r="V815" s="1029">
        <v>0.1</v>
      </c>
      <c r="W815" s="598">
        <v>1E-3</v>
      </c>
      <c r="X815" s="429"/>
      <c r="Y815" s="37" t="str">
        <f t="shared" si="138"/>
        <v>F020</v>
      </c>
      <c r="Z815" s="37" t="str">
        <f t="shared" si="139"/>
        <v>F00.1</v>
      </c>
      <c r="AA815" s="37" t="str">
        <f t="shared" si="141"/>
        <v>F00.001</v>
      </c>
      <c r="AB815" s="498" t="str">
        <f t="shared" si="135"/>
        <v>F019</v>
      </c>
      <c r="AC815" s="572"/>
      <c r="AD815" s="572"/>
      <c r="AE815" s="572"/>
      <c r="AF815" s="572"/>
    </row>
    <row r="816" spans="1:32">
      <c r="A816" s="947">
        <f t="shared" si="142"/>
        <v>809</v>
      </c>
      <c r="B816" s="948">
        <v>6</v>
      </c>
      <c r="C816" s="970">
        <v>36702</v>
      </c>
      <c r="D816" s="949" t="s">
        <v>178</v>
      </c>
      <c r="E816" s="904">
        <v>25</v>
      </c>
      <c r="F816" s="644">
        <v>2000</v>
      </c>
      <c r="G816" s="948" t="s">
        <v>141</v>
      </c>
      <c r="H816" s="645" t="s">
        <v>149</v>
      </c>
      <c r="I816" s="951">
        <v>25</v>
      </c>
      <c r="J816" s="951">
        <v>1.5</v>
      </c>
      <c r="K816" s="952">
        <f t="shared" si="140"/>
        <v>2.130681818181818E-2</v>
      </c>
      <c r="L816" s="644">
        <f t="shared" si="143"/>
        <v>15</v>
      </c>
      <c r="M816" s="935">
        <v>0.66180555555555554</v>
      </c>
      <c r="N816" s="936">
        <f t="shared" si="133"/>
        <v>0.66180555555555554</v>
      </c>
      <c r="O816" s="725">
        <v>0.66736111111111107</v>
      </c>
      <c r="P816" s="725">
        <f t="shared" si="136"/>
        <v>5.5555555555555358E-3</v>
      </c>
      <c r="Q816" s="622" t="s">
        <v>296</v>
      </c>
      <c r="R816" s="37"/>
      <c r="S816" s="37" t="str">
        <f t="shared" si="134"/>
        <v>CarsonF0</v>
      </c>
      <c r="T816" s="37" t="str">
        <f t="shared" si="137"/>
        <v>2000F0</v>
      </c>
      <c r="U816" s="429">
        <v>20</v>
      </c>
      <c r="V816" s="1029">
        <v>1</v>
      </c>
      <c r="W816" s="598">
        <v>0.02</v>
      </c>
      <c r="X816" s="429"/>
      <c r="Y816" s="37" t="str">
        <f t="shared" si="138"/>
        <v>F020</v>
      </c>
      <c r="Z816" s="37" t="str">
        <f t="shared" si="139"/>
        <v>F01</v>
      </c>
      <c r="AA816" s="37" t="str">
        <f t="shared" si="141"/>
        <v>F00.02</v>
      </c>
      <c r="AB816" s="498" t="str">
        <f t="shared" si="135"/>
        <v>F015</v>
      </c>
      <c r="AC816" s="572"/>
      <c r="AD816" s="572"/>
      <c r="AE816" s="572"/>
      <c r="AF816" s="572"/>
    </row>
    <row r="817" spans="1:32" ht="30" customHeight="1">
      <c r="A817" s="947">
        <f t="shared" si="142"/>
        <v>810</v>
      </c>
      <c r="B817" s="948">
        <v>7</v>
      </c>
      <c r="C817" s="970">
        <v>36702</v>
      </c>
      <c r="D817" s="949" t="s">
        <v>178</v>
      </c>
      <c r="E817" s="904">
        <v>25</v>
      </c>
      <c r="F817" s="644">
        <v>2000</v>
      </c>
      <c r="G817" s="948" t="s">
        <v>141</v>
      </c>
      <c r="H817" s="645" t="s">
        <v>149</v>
      </c>
      <c r="I817" s="951">
        <v>25</v>
      </c>
      <c r="J817" s="951">
        <v>0.1</v>
      </c>
      <c r="K817" s="952">
        <f t="shared" si="140"/>
        <v>1.4204545454545455E-3</v>
      </c>
      <c r="L817" s="644">
        <f t="shared" si="143"/>
        <v>16</v>
      </c>
      <c r="M817" s="935">
        <v>0.68263888888888891</v>
      </c>
      <c r="N817" s="936">
        <f t="shared" si="133"/>
        <v>0.68263888888888891</v>
      </c>
      <c r="O817" s="725">
        <v>0.68402777777777779</v>
      </c>
      <c r="P817" s="725">
        <f t="shared" si="136"/>
        <v>1.388888888888884E-3</v>
      </c>
      <c r="Q817" s="106" t="s">
        <v>488</v>
      </c>
      <c r="R817" s="37"/>
      <c r="S817" s="37" t="str">
        <f t="shared" si="134"/>
        <v>CarsonF0</v>
      </c>
      <c r="T817" s="37" t="str">
        <f t="shared" si="137"/>
        <v>2000F0</v>
      </c>
      <c r="U817" s="429">
        <v>20</v>
      </c>
      <c r="V817" s="1029">
        <v>0.1</v>
      </c>
      <c r="W817" s="598">
        <v>1E-3</v>
      </c>
      <c r="X817" s="429"/>
      <c r="Y817" s="37" t="str">
        <f t="shared" si="138"/>
        <v>F020</v>
      </c>
      <c r="Z817" s="37" t="str">
        <f t="shared" si="139"/>
        <v>F00.1</v>
      </c>
      <c r="AA817" s="37" t="str">
        <f t="shared" si="141"/>
        <v>F00.001</v>
      </c>
      <c r="AB817" s="498" t="str">
        <f t="shared" si="135"/>
        <v>F016</v>
      </c>
      <c r="AC817" s="572"/>
      <c r="AD817" s="572"/>
      <c r="AE817" s="572"/>
      <c r="AF817" s="572"/>
    </row>
    <row r="818" spans="1:32" ht="15" customHeight="1">
      <c r="A818" s="947">
        <f t="shared" si="142"/>
        <v>811</v>
      </c>
      <c r="B818" s="948">
        <v>8</v>
      </c>
      <c r="C818" s="970">
        <v>36822</v>
      </c>
      <c r="D818" s="949" t="s">
        <v>182</v>
      </c>
      <c r="E818" s="904">
        <v>23</v>
      </c>
      <c r="F818" s="644">
        <v>2000</v>
      </c>
      <c r="G818" s="948" t="s">
        <v>145</v>
      </c>
      <c r="H818" s="645" t="s">
        <v>149</v>
      </c>
      <c r="I818" s="951">
        <v>50</v>
      </c>
      <c r="J818" s="951">
        <v>0.4</v>
      </c>
      <c r="K818" s="952">
        <f t="shared" si="140"/>
        <v>1.1363636363636364E-2</v>
      </c>
      <c r="L818" s="644">
        <f t="shared" si="143"/>
        <v>13</v>
      </c>
      <c r="M818" s="935">
        <v>0.54861111111111105</v>
      </c>
      <c r="N818" s="936">
        <f t="shared" si="133"/>
        <v>0.54861111111111105</v>
      </c>
      <c r="O818" s="725">
        <v>0.55208333333333337</v>
      </c>
      <c r="P818" s="725">
        <f t="shared" si="136"/>
        <v>3.4722222222223209E-3</v>
      </c>
      <c r="Q818" s="622" t="s">
        <v>465</v>
      </c>
      <c r="R818" s="37"/>
      <c r="S818" s="37" t="str">
        <f t="shared" si="134"/>
        <v>RandallF0</v>
      </c>
      <c r="T818" s="37" t="str">
        <f t="shared" si="137"/>
        <v>2000F0</v>
      </c>
      <c r="U818" s="429">
        <v>50</v>
      </c>
      <c r="V818" s="1029">
        <v>0.2</v>
      </c>
      <c r="W818" s="598">
        <v>0.01</v>
      </c>
      <c r="X818" s="429"/>
      <c r="Y818" s="37" t="str">
        <f t="shared" si="138"/>
        <v>F050</v>
      </c>
      <c r="Z818" s="37" t="str">
        <f t="shared" si="139"/>
        <v>F00.2</v>
      </c>
      <c r="AA818" s="37" t="str">
        <f t="shared" si="141"/>
        <v>F00.01</v>
      </c>
      <c r="AB818" s="498" t="str">
        <f t="shared" si="135"/>
        <v>F013</v>
      </c>
      <c r="AC818" s="572"/>
      <c r="AD818" s="572"/>
      <c r="AE818" s="572"/>
      <c r="AF818" s="572"/>
    </row>
    <row r="819" spans="1:32" ht="39.950000000000003" customHeight="1">
      <c r="A819" s="947">
        <f t="shared" si="142"/>
        <v>812</v>
      </c>
      <c r="B819" s="948">
        <v>9</v>
      </c>
      <c r="C819" s="970">
        <v>36822</v>
      </c>
      <c r="D819" s="949" t="s">
        <v>182</v>
      </c>
      <c r="E819" s="904">
        <v>23</v>
      </c>
      <c r="F819" s="644">
        <v>2000</v>
      </c>
      <c r="G819" s="948" t="s">
        <v>140</v>
      </c>
      <c r="H819" s="645" t="s">
        <v>149</v>
      </c>
      <c r="I819" s="951">
        <v>50</v>
      </c>
      <c r="J819" s="951">
        <v>0.1</v>
      </c>
      <c r="K819" s="952">
        <f t="shared" si="140"/>
        <v>2.840909090909091E-3</v>
      </c>
      <c r="L819" s="644">
        <f t="shared" si="143"/>
        <v>13</v>
      </c>
      <c r="M819" s="935">
        <v>0.55208333333333337</v>
      </c>
      <c r="N819" s="936">
        <f t="shared" si="133"/>
        <v>0.55208333333333337</v>
      </c>
      <c r="O819" s="725">
        <v>0.56944444444444442</v>
      </c>
      <c r="P819" s="725">
        <f t="shared" si="136"/>
        <v>1.7361111111111049E-2</v>
      </c>
      <c r="Q819" s="622" t="s">
        <v>472</v>
      </c>
      <c r="R819" s="37"/>
      <c r="S819" s="37" t="str">
        <f t="shared" si="134"/>
        <v>PotterF0</v>
      </c>
      <c r="T819" s="37" t="str">
        <f t="shared" si="137"/>
        <v>2000F0</v>
      </c>
      <c r="U819" s="429">
        <v>50</v>
      </c>
      <c r="V819" s="1029">
        <v>0.1</v>
      </c>
      <c r="W819" s="598">
        <v>2E-3</v>
      </c>
      <c r="X819" s="429"/>
      <c r="Y819" s="37" t="str">
        <f t="shared" si="138"/>
        <v>F050</v>
      </c>
      <c r="Z819" s="37" t="str">
        <f t="shared" si="139"/>
        <v>F00.1</v>
      </c>
      <c r="AA819" s="37" t="str">
        <f t="shared" si="141"/>
        <v>F00.002</v>
      </c>
      <c r="AB819" s="498" t="str">
        <f t="shared" si="135"/>
        <v>F013</v>
      </c>
      <c r="AC819" s="572"/>
      <c r="AD819" s="572"/>
      <c r="AE819" s="572"/>
      <c r="AF819" s="572"/>
    </row>
    <row r="820" spans="1:32">
      <c r="A820" s="947">
        <f t="shared" si="142"/>
        <v>813</v>
      </c>
      <c r="B820" s="948">
        <v>1</v>
      </c>
      <c r="C820" s="970">
        <v>36973</v>
      </c>
      <c r="D820" s="963" t="s">
        <v>175</v>
      </c>
      <c r="E820" s="904">
        <v>23</v>
      </c>
      <c r="F820" s="644">
        <v>2001</v>
      </c>
      <c r="G820" s="948" t="s">
        <v>129</v>
      </c>
      <c r="H820" s="645" t="s">
        <v>149</v>
      </c>
      <c r="I820" s="951">
        <v>25</v>
      </c>
      <c r="J820" s="951">
        <v>0.1</v>
      </c>
      <c r="K820" s="952">
        <f t="shared" si="140"/>
        <v>1.4204545454545455E-3</v>
      </c>
      <c r="L820" s="644">
        <f t="shared" si="143"/>
        <v>15</v>
      </c>
      <c r="M820" s="935">
        <v>0.625</v>
      </c>
      <c r="N820" s="936">
        <f t="shared" si="133"/>
        <v>0.625</v>
      </c>
      <c r="O820" s="725">
        <v>0.63194444444444442</v>
      </c>
      <c r="P820" s="725">
        <f t="shared" si="136"/>
        <v>6.9444444444444198E-3</v>
      </c>
      <c r="Q820" s="622" t="s">
        <v>315</v>
      </c>
      <c r="R820" s="36"/>
      <c r="S820" s="37" t="str">
        <f t="shared" si="134"/>
        <v>DallamF0</v>
      </c>
      <c r="T820" s="37" t="str">
        <f t="shared" si="137"/>
        <v>2001F0</v>
      </c>
      <c r="U820" s="429">
        <v>20</v>
      </c>
      <c r="V820" s="1029">
        <v>0.1</v>
      </c>
      <c r="W820" s="598">
        <v>1E-3</v>
      </c>
      <c r="X820" s="429"/>
      <c r="Y820" s="37" t="str">
        <f t="shared" si="138"/>
        <v>F020</v>
      </c>
      <c r="Z820" s="37" t="str">
        <f t="shared" si="139"/>
        <v>F00.1</v>
      </c>
      <c r="AA820" s="37" t="str">
        <f t="shared" si="141"/>
        <v>F00.001</v>
      </c>
      <c r="AB820" s="498" t="str">
        <f t="shared" si="135"/>
        <v>F015</v>
      </c>
      <c r="AC820" s="572"/>
      <c r="AD820" s="572"/>
      <c r="AE820" s="572"/>
      <c r="AF820" s="572"/>
    </row>
    <row r="821" spans="1:32">
      <c r="A821" s="947">
        <f t="shared" si="142"/>
        <v>814</v>
      </c>
      <c r="B821" s="948">
        <v>2</v>
      </c>
      <c r="C821" s="949">
        <v>36987</v>
      </c>
      <c r="D821" s="949" t="s">
        <v>176</v>
      </c>
      <c r="E821" s="904">
        <v>6</v>
      </c>
      <c r="F821" s="644">
        <v>2001</v>
      </c>
      <c r="G821" s="948" t="s">
        <v>132</v>
      </c>
      <c r="H821" s="645" t="s">
        <v>150</v>
      </c>
      <c r="I821" s="951">
        <v>100</v>
      </c>
      <c r="J821" s="951">
        <v>10</v>
      </c>
      <c r="K821" s="952">
        <f t="shared" si="140"/>
        <v>0.56818181818181812</v>
      </c>
      <c r="L821" s="644">
        <f t="shared" si="143"/>
        <v>17</v>
      </c>
      <c r="M821" s="935">
        <v>0.70833333333333337</v>
      </c>
      <c r="N821" s="936">
        <f t="shared" si="133"/>
        <v>0.70833333333333337</v>
      </c>
      <c r="O821" s="725">
        <v>0.71180555555555547</v>
      </c>
      <c r="P821" s="725">
        <f t="shared" si="136"/>
        <v>3.4722222222220989E-3</v>
      </c>
      <c r="Q821" s="622" t="s">
        <v>56</v>
      </c>
      <c r="R821" s="36"/>
      <c r="S821" s="37" t="str">
        <f t="shared" si="134"/>
        <v>OchiltreeF1</v>
      </c>
      <c r="T821" s="37" t="str">
        <f t="shared" si="137"/>
        <v>2001F1</v>
      </c>
      <c r="U821" s="429">
        <v>100</v>
      </c>
      <c r="V821" s="1029">
        <v>10</v>
      </c>
      <c r="W821" s="598">
        <v>0.5</v>
      </c>
      <c r="X821" s="429"/>
      <c r="Y821" s="37" t="str">
        <f t="shared" si="138"/>
        <v>F1100</v>
      </c>
      <c r="Z821" s="37" t="str">
        <f t="shared" si="139"/>
        <v>F110</v>
      </c>
      <c r="AA821" s="37" t="str">
        <f t="shared" si="141"/>
        <v>F10.5</v>
      </c>
      <c r="AB821" s="498" t="str">
        <f t="shared" si="135"/>
        <v>F117</v>
      </c>
      <c r="AC821" s="572"/>
      <c r="AD821" s="572"/>
      <c r="AE821" s="572"/>
      <c r="AF821" s="572"/>
    </row>
    <row r="822" spans="1:32" ht="25.5">
      <c r="A822" s="947">
        <f t="shared" si="142"/>
        <v>815</v>
      </c>
      <c r="B822" s="948">
        <v>3</v>
      </c>
      <c r="C822" s="949">
        <v>36991</v>
      </c>
      <c r="D822" s="949" t="s">
        <v>176</v>
      </c>
      <c r="E822" s="904">
        <v>10</v>
      </c>
      <c r="F822" s="644">
        <v>2001</v>
      </c>
      <c r="G822" s="948" t="s">
        <v>141</v>
      </c>
      <c r="H822" s="645" t="s">
        <v>150</v>
      </c>
      <c r="I822" s="951">
        <v>100</v>
      </c>
      <c r="J822" s="951">
        <v>1.5</v>
      </c>
      <c r="K822" s="952">
        <f t="shared" si="140"/>
        <v>8.5227272727272721E-2</v>
      </c>
      <c r="L822" s="644">
        <f t="shared" si="143"/>
        <v>21</v>
      </c>
      <c r="M822" s="935">
        <v>0.89027777777777783</v>
      </c>
      <c r="N822" s="936">
        <f t="shared" si="133"/>
        <v>0.89027777777777783</v>
      </c>
      <c r="O822" s="725">
        <v>0.89236111111111116</v>
      </c>
      <c r="P822" s="725">
        <f t="shared" si="136"/>
        <v>2.0833333333333259E-3</v>
      </c>
      <c r="Q822" s="622" t="s">
        <v>766</v>
      </c>
      <c r="R822" s="36"/>
      <c r="S822" s="37" t="str">
        <f t="shared" si="134"/>
        <v>CarsonF1</v>
      </c>
      <c r="T822" s="37" t="str">
        <f t="shared" si="137"/>
        <v>2001F1</v>
      </c>
      <c r="U822" s="429">
        <v>100</v>
      </c>
      <c r="V822" s="1029">
        <v>1</v>
      </c>
      <c r="W822" s="598">
        <v>0.05</v>
      </c>
      <c r="X822" s="429"/>
      <c r="Y822" s="37" t="str">
        <f t="shared" si="138"/>
        <v>F1100</v>
      </c>
      <c r="Z822" s="37" t="str">
        <f t="shared" si="139"/>
        <v>F11</v>
      </c>
      <c r="AA822" s="37" t="str">
        <f t="shared" si="141"/>
        <v>F10.05</v>
      </c>
      <c r="AB822" s="498" t="str">
        <f t="shared" si="135"/>
        <v>F121</v>
      </c>
      <c r="AC822" s="572"/>
      <c r="AD822" s="572"/>
      <c r="AE822" s="572"/>
      <c r="AF822" s="572"/>
    </row>
    <row r="823" spans="1:32" ht="25.5">
      <c r="A823" s="947">
        <f t="shared" si="142"/>
        <v>816</v>
      </c>
      <c r="B823" s="948">
        <v>4</v>
      </c>
      <c r="C823" s="949">
        <v>36991</v>
      </c>
      <c r="D823" s="949" t="s">
        <v>176</v>
      </c>
      <c r="E823" s="904">
        <v>10</v>
      </c>
      <c r="F823" s="644">
        <v>2001</v>
      </c>
      <c r="G823" s="948" t="s">
        <v>136</v>
      </c>
      <c r="H823" s="645" t="s">
        <v>150</v>
      </c>
      <c r="I823" s="951">
        <v>100</v>
      </c>
      <c r="J823" s="951">
        <v>0.5</v>
      </c>
      <c r="K823" s="952">
        <f t="shared" si="140"/>
        <v>2.8409090909090908E-2</v>
      </c>
      <c r="L823" s="644">
        <f t="shared" si="143"/>
        <v>21</v>
      </c>
      <c r="M823" s="935">
        <v>0.89236111111111116</v>
      </c>
      <c r="N823" s="936">
        <f t="shared" si="133"/>
        <v>0.89236111111111116</v>
      </c>
      <c r="O823" s="725">
        <v>0.89375000000000004</v>
      </c>
      <c r="P823" s="725">
        <f t="shared" si="136"/>
        <v>1.388888888888884E-3</v>
      </c>
      <c r="Q823" s="622" t="s">
        <v>473</v>
      </c>
      <c r="R823" s="36"/>
      <c r="S823" s="37" t="str">
        <f t="shared" si="134"/>
        <v>HutchinsonF1</v>
      </c>
      <c r="T823" s="37" t="str">
        <f t="shared" si="137"/>
        <v>2001F1</v>
      </c>
      <c r="U823" s="429">
        <v>100</v>
      </c>
      <c r="V823" s="1029">
        <v>0.5</v>
      </c>
      <c r="W823" s="598">
        <v>0.02</v>
      </c>
      <c r="X823" s="429"/>
      <c r="Y823" s="37" t="str">
        <f t="shared" si="138"/>
        <v>F1100</v>
      </c>
      <c r="Z823" s="37" t="str">
        <f t="shared" si="139"/>
        <v>F10.5</v>
      </c>
      <c r="AA823" s="37" t="str">
        <f t="shared" si="141"/>
        <v>F10.02</v>
      </c>
      <c r="AB823" s="498" t="str">
        <f t="shared" si="135"/>
        <v>F121</v>
      </c>
      <c r="AC823" s="572"/>
      <c r="AD823" s="572"/>
      <c r="AE823" s="572"/>
      <c r="AF823" s="572"/>
    </row>
    <row r="824" spans="1:32">
      <c r="A824" s="947">
        <f t="shared" si="142"/>
        <v>817</v>
      </c>
      <c r="B824" s="948">
        <v>5</v>
      </c>
      <c r="C824" s="949">
        <v>36991</v>
      </c>
      <c r="D824" s="949" t="s">
        <v>176</v>
      </c>
      <c r="E824" s="904">
        <v>10</v>
      </c>
      <c r="F824" s="644">
        <v>2001</v>
      </c>
      <c r="G824" s="948" t="s">
        <v>131</v>
      </c>
      <c r="H824" s="645" t="s">
        <v>151</v>
      </c>
      <c r="I824" s="951">
        <v>200</v>
      </c>
      <c r="J824" s="951">
        <v>4</v>
      </c>
      <c r="K824" s="952">
        <f t="shared" si="140"/>
        <v>0.45454545454545453</v>
      </c>
      <c r="L824" s="644">
        <f t="shared" si="143"/>
        <v>22</v>
      </c>
      <c r="M824" s="935">
        <v>0.92083333333333339</v>
      </c>
      <c r="N824" s="936">
        <f t="shared" si="133"/>
        <v>0.92083333333333339</v>
      </c>
      <c r="O824" s="725">
        <v>0.9243055555555556</v>
      </c>
      <c r="P824" s="725">
        <f t="shared" si="136"/>
        <v>3.4722222222222099E-3</v>
      </c>
      <c r="Q824" s="622" t="s">
        <v>366</v>
      </c>
      <c r="R824" s="37"/>
      <c r="S824" s="37" t="str">
        <f t="shared" si="134"/>
        <v>HansfordF2</v>
      </c>
      <c r="T824" s="37" t="str">
        <f t="shared" si="137"/>
        <v>2001F2</v>
      </c>
      <c r="U824" s="429">
        <v>200</v>
      </c>
      <c r="V824" s="1029">
        <v>2</v>
      </c>
      <c r="W824" s="598">
        <v>0.2</v>
      </c>
      <c r="X824" s="429"/>
      <c r="Y824" s="37" t="str">
        <f t="shared" si="138"/>
        <v>F2200</v>
      </c>
      <c r="Z824" s="37" t="str">
        <f t="shared" si="139"/>
        <v>F22</v>
      </c>
      <c r="AA824" s="37" t="str">
        <f t="shared" si="141"/>
        <v>F20.2</v>
      </c>
      <c r="AB824" s="498" t="str">
        <f t="shared" si="135"/>
        <v>F222</v>
      </c>
      <c r="AC824" s="572"/>
      <c r="AD824" s="572"/>
      <c r="AE824" s="572"/>
      <c r="AF824" s="572"/>
    </row>
    <row r="825" spans="1:32">
      <c r="A825" s="947">
        <f t="shared" si="142"/>
        <v>818</v>
      </c>
      <c r="B825" s="948">
        <v>6</v>
      </c>
      <c r="C825" s="949">
        <v>36991</v>
      </c>
      <c r="D825" s="949" t="s">
        <v>176</v>
      </c>
      <c r="E825" s="904">
        <v>10</v>
      </c>
      <c r="F825" s="644">
        <v>2001</v>
      </c>
      <c r="G825" s="948" t="s">
        <v>128</v>
      </c>
      <c r="H825" s="645" t="s">
        <v>151</v>
      </c>
      <c r="I825" s="951">
        <v>200</v>
      </c>
      <c r="J825" s="951">
        <v>12</v>
      </c>
      <c r="K825" s="952">
        <f t="shared" si="140"/>
        <v>1.3636363636363635</v>
      </c>
      <c r="L825" s="644">
        <f t="shared" si="143"/>
        <v>22</v>
      </c>
      <c r="M825" s="935">
        <v>0.94444444444444453</v>
      </c>
      <c r="N825" s="936">
        <f t="shared" si="133"/>
        <v>0.94444444444444453</v>
      </c>
      <c r="O825" s="725">
        <v>0.96527777777777779</v>
      </c>
      <c r="P825" s="725">
        <f t="shared" si="136"/>
        <v>2.0833333333333259E-2</v>
      </c>
      <c r="Q825" s="622" t="s">
        <v>269</v>
      </c>
      <c r="R825" s="37"/>
      <c r="S825" s="37" t="str">
        <f t="shared" si="134"/>
        <v>BeaverF2</v>
      </c>
      <c r="T825" s="37" t="str">
        <f t="shared" si="137"/>
        <v>2001F2</v>
      </c>
      <c r="U825" s="429">
        <v>200</v>
      </c>
      <c r="V825" s="1029">
        <v>10</v>
      </c>
      <c r="W825" s="598">
        <v>1</v>
      </c>
      <c r="X825" s="429"/>
      <c r="Y825" s="37" t="str">
        <f t="shared" si="138"/>
        <v>F2200</v>
      </c>
      <c r="Z825" s="37" t="str">
        <f t="shared" si="139"/>
        <v>F210</v>
      </c>
      <c r="AA825" s="37" t="str">
        <f t="shared" si="141"/>
        <v>F21</v>
      </c>
      <c r="AB825" s="498" t="str">
        <f t="shared" si="135"/>
        <v>F222</v>
      </c>
      <c r="AC825" s="572"/>
      <c r="AD825" s="572"/>
      <c r="AE825" s="572"/>
      <c r="AF825" s="572"/>
    </row>
    <row r="826" spans="1:32">
      <c r="A826" s="947">
        <f t="shared" si="142"/>
        <v>819</v>
      </c>
      <c r="B826" s="948">
        <v>7</v>
      </c>
      <c r="C826" s="949">
        <v>36991</v>
      </c>
      <c r="D826" s="949" t="s">
        <v>176</v>
      </c>
      <c r="E826" s="904">
        <v>10</v>
      </c>
      <c r="F826" s="644">
        <v>2001</v>
      </c>
      <c r="G826" s="948" t="s">
        <v>128</v>
      </c>
      <c r="H826" s="645" t="s">
        <v>150</v>
      </c>
      <c r="I826" s="951">
        <v>100</v>
      </c>
      <c r="J826" s="951">
        <v>6</v>
      </c>
      <c r="K826" s="952">
        <f t="shared" si="140"/>
        <v>0.34090909090909088</v>
      </c>
      <c r="L826" s="644">
        <f t="shared" si="143"/>
        <v>23</v>
      </c>
      <c r="M826" s="935">
        <v>0.95833333333333337</v>
      </c>
      <c r="N826" s="936">
        <f t="shared" si="133"/>
        <v>0.95833333333333337</v>
      </c>
      <c r="O826" s="725">
        <v>0.96875</v>
      </c>
      <c r="P826" s="725">
        <f t="shared" si="136"/>
        <v>1.041666666666663E-2</v>
      </c>
      <c r="Q826" s="622" t="s">
        <v>270</v>
      </c>
      <c r="R826" s="37"/>
      <c r="S826" s="37" t="str">
        <f t="shared" si="134"/>
        <v>BeaverF1</v>
      </c>
      <c r="T826" s="37" t="str">
        <f t="shared" si="137"/>
        <v>2001F1</v>
      </c>
      <c r="U826" s="429">
        <v>100</v>
      </c>
      <c r="V826" s="1029">
        <v>5</v>
      </c>
      <c r="W826" s="598">
        <v>0.2</v>
      </c>
      <c r="X826" s="429"/>
      <c r="Y826" s="37" t="str">
        <f t="shared" si="138"/>
        <v>F1100</v>
      </c>
      <c r="Z826" s="37" t="str">
        <f t="shared" si="139"/>
        <v>F15</v>
      </c>
      <c r="AA826" s="37" t="str">
        <f t="shared" si="141"/>
        <v>F10.2</v>
      </c>
      <c r="AB826" s="498" t="str">
        <f t="shared" si="135"/>
        <v>F123</v>
      </c>
      <c r="AC826" s="572"/>
      <c r="AD826" s="572"/>
      <c r="AE826" s="572"/>
      <c r="AF826" s="572"/>
    </row>
    <row r="827" spans="1:32">
      <c r="A827" s="947">
        <f t="shared" si="142"/>
        <v>820</v>
      </c>
      <c r="B827" s="948">
        <v>8</v>
      </c>
      <c r="C827" s="949">
        <v>36991</v>
      </c>
      <c r="D827" s="949" t="s">
        <v>176</v>
      </c>
      <c r="E827" s="904">
        <v>10</v>
      </c>
      <c r="F827" s="644">
        <v>2001</v>
      </c>
      <c r="G827" s="948" t="s">
        <v>128</v>
      </c>
      <c r="H827" s="645" t="s">
        <v>149</v>
      </c>
      <c r="I827" s="951">
        <v>50</v>
      </c>
      <c r="J827" s="951">
        <v>2</v>
      </c>
      <c r="K827" s="952">
        <f t="shared" si="140"/>
        <v>5.6818181818181816E-2</v>
      </c>
      <c r="L827" s="644">
        <f t="shared" si="143"/>
        <v>23</v>
      </c>
      <c r="M827" s="935">
        <v>0.96527777777777779</v>
      </c>
      <c r="N827" s="936">
        <f t="shared" si="133"/>
        <v>0.96527777777777779</v>
      </c>
      <c r="O827" s="725">
        <v>0.97222222222222221</v>
      </c>
      <c r="P827" s="725">
        <f t="shared" si="136"/>
        <v>6.9444444444444198E-3</v>
      </c>
      <c r="Q827" s="622" t="s">
        <v>271</v>
      </c>
      <c r="R827" s="37"/>
      <c r="S827" s="37" t="str">
        <f t="shared" si="134"/>
        <v>BeaverF0</v>
      </c>
      <c r="T827" s="37" t="str">
        <f t="shared" si="137"/>
        <v>2001F0</v>
      </c>
      <c r="U827" s="429">
        <v>50</v>
      </c>
      <c r="V827" s="1029">
        <v>2</v>
      </c>
      <c r="W827" s="598">
        <v>0.05</v>
      </c>
      <c r="X827" s="429"/>
      <c r="Y827" s="37" t="str">
        <f t="shared" si="138"/>
        <v>F050</v>
      </c>
      <c r="Z827" s="37" t="str">
        <f t="shared" si="139"/>
        <v>F02</v>
      </c>
      <c r="AA827" s="37" t="str">
        <f t="shared" si="141"/>
        <v>F00.05</v>
      </c>
      <c r="AB827" s="498" t="str">
        <f t="shared" si="135"/>
        <v>F023</v>
      </c>
      <c r="AC827" s="572"/>
      <c r="AD827" s="572"/>
      <c r="AE827" s="572"/>
      <c r="AF827" s="572"/>
    </row>
    <row r="828" spans="1:32">
      <c r="A828" s="947">
        <f t="shared" si="142"/>
        <v>821</v>
      </c>
      <c r="B828" s="948">
        <v>9</v>
      </c>
      <c r="C828" s="949">
        <v>36991</v>
      </c>
      <c r="D828" s="949" t="s">
        <v>176</v>
      </c>
      <c r="E828" s="904">
        <v>10</v>
      </c>
      <c r="F828" s="644">
        <v>2001</v>
      </c>
      <c r="G828" s="948" t="s">
        <v>143</v>
      </c>
      <c r="H828" s="645" t="s">
        <v>151</v>
      </c>
      <c r="I828" s="951">
        <v>200</v>
      </c>
      <c r="J828" s="951">
        <v>6</v>
      </c>
      <c r="K828" s="952">
        <f t="shared" si="140"/>
        <v>0.68181818181818177</v>
      </c>
      <c r="L828" s="644">
        <f t="shared" si="143"/>
        <v>23</v>
      </c>
      <c r="M828" s="935">
        <v>0.97013888888888899</v>
      </c>
      <c r="N828" s="936">
        <f t="shared" si="133"/>
        <v>0.97013888888888899</v>
      </c>
      <c r="O828" s="725">
        <v>0.98055555555555562</v>
      </c>
      <c r="P828" s="725">
        <f t="shared" si="136"/>
        <v>1.041666666666663E-2</v>
      </c>
      <c r="Q828" s="622" t="s">
        <v>457</v>
      </c>
      <c r="R828" s="37"/>
      <c r="S828" s="37" t="str">
        <f t="shared" si="134"/>
        <v>WheelerF2</v>
      </c>
      <c r="T828" s="37" t="str">
        <f t="shared" si="137"/>
        <v>2001F2</v>
      </c>
      <c r="U828" s="429">
        <v>200</v>
      </c>
      <c r="V828" s="1029">
        <v>5</v>
      </c>
      <c r="W828" s="598">
        <v>0.5</v>
      </c>
      <c r="X828" s="429"/>
      <c r="Y828" s="37" t="str">
        <f t="shared" si="138"/>
        <v>F2200</v>
      </c>
      <c r="Z828" s="37" t="str">
        <f t="shared" si="139"/>
        <v>F25</v>
      </c>
      <c r="AA828" s="37" t="str">
        <f t="shared" si="141"/>
        <v>F20.5</v>
      </c>
      <c r="AB828" s="498" t="str">
        <f t="shared" si="135"/>
        <v>F223</v>
      </c>
      <c r="AC828" s="572"/>
      <c r="AD828" s="572"/>
      <c r="AE828" s="572"/>
      <c r="AF828" s="572"/>
    </row>
    <row r="829" spans="1:32">
      <c r="A829" s="947">
        <f t="shared" si="142"/>
        <v>822</v>
      </c>
      <c r="B829" s="948">
        <v>10</v>
      </c>
      <c r="C829" s="949">
        <v>37011</v>
      </c>
      <c r="D829" s="949" t="s">
        <v>176</v>
      </c>
      <c r="E829" s="904">
        <v>30</v>
      </c>
      <c r="F829" s="644">
        <v>2001</v>
      </c>
      <c r="G829" s="948" t="s">
        <v>141</v>
      </c>
      <c r="H829" s="645" t="s">
        <v>149</v>
      </c>
      <c r="I829" s="951">
        <v>10</v>
      </c>
      <c r="J829" s="951">
        <v>0.1</v>
      </c>
      <c r="K829" s="952">
        <f t="shared" si="140"/>
        <v>5.6818181818181826E-4</v>
      </c>
      <c r="L829" s="644">
        <f t="shared" si="143"/>
        <v>19</v>
      </c>
      <c r="M829" s="935">
        <v>0.8208333333333333</v>
      </c>
      <c r="N829" s="936">
        <f t="shared" si="133"/>
        <v>0.8208333333333333</v>
      </c>
      <c r="O829" s="725">
        <v>0.82152777777777775</v>
      </c>
      <c r="P829" s="725">
        <f t="shared" si="136"/>
        <v>6.9444444444444198E-4</v>
      </c>
      <c r="Q829" s="622" t="s">
        <v>297</v>
      </c>
      <c r="R829" s="37"/>
      <c r="S829" s="37" t="str">
        <f t="shared" si="134"/>
        <v>CarsonF0</v>
      </c>
      <c r="T829" s="37" t="str">
        <f t="shared" si="137"/>
        <v>2001F0</v>
      </c>
      <c r="U829" s="429">
        <v>10</v>
      </c>
      <c r="V829" s="1029">
        <v>0.1</v>
      </c>
      <c r="W829" s="598">
        <v>1E-3</v>
      </c>
      <c r="X829" s="429"/>
      <c r="Y829" s="37" t="str">
        <f t="shared" si="138"/>
        <v>F010</v>
      </c>
      <c r="Z829" s="37" t="str">
        <f t="shared" si="139"/>
        <v>F00.1</v>
      </c>
      <c r="AA829" s="37" t="str">
        <f t="shared" si="141"/>
        <v>F00.001</v>
      </c>
      <c r="AB829" s="498" t="str">
        <f t="shared" si="135"/>
        <v>F019</v>
      </c>
      <c r="AC829" s="572"/>
      <c r="AD829" s="572"/>
      <c r="AE829" s="572"/>
      <c r="AF829" s="572"/>
    </row>
    <row r="830" spans="1:32">
      <c r="A830" s="947">
        <f t="shared" si="142"/>
        <v>823</v>
      </c>
      <c r="B830" s="948">
        <v>11</v>
      </c>
      <c r="C830" s="949">
        <v>37030</v>
      </c>
      <c r="D830" s="949" t="s">
        <v>177</v>
      </c>
      <c r="E830" s="904">
        <v>19</v>
      </c>
      <c r="F830" s="644">
        <v>2001</v>
      </c>
      <c r="G830" s="948" t="s">
        <v>137</v>
      </c>
      <c r="H830" s="645" t="s">
        <v>149</v>
      </c>
      <c r="I830" s="951">
        <v>25</v>
      </c>
      <c r="J830" s="951">
        <v>0.2</v>
      </c>
      <c r="K830" s="952">
        <f t="shared" si="140"/>
        <v>2.840909090909091E-3</v>
      </c>
      <c r="L830" s="644">
        <f t="shared" si="143"/>
        <v>9</v>
      </c>
      <c r="M830" s="935">
        <v>0.40625</v>
      </c>
      <c r="N830" s="936">
        <f t="shared" si="133"/>
        <v>0.40625</v>
      </c>
      <c r="O830" s="725">
        <v>0.40763888888888888</v>
      </c>
      <c r="P830" s="725">
        <f t="shared" si="136"/>
        <v>1.388888888888884E-3</v>
      </c>
      <c r="Q830" s="622" t="s">
        <v>436</v>
      </c>
      <c r="R830" s="37"/>
      <c r="S830" s="37" t="str">
        <f t="shared" si="134"/>
        <v>RobertsF0</v>
      </c>
      <c r="T830" s="37" t="str">
        <f t="shared" si="137"/>
        <v>2001F0</v>
      </c>
      <c r="U830" s="429">
        <v>20</v>
      </c>
      <c r="V830" s="1029">
        <v>0.2</v>
      </c>
      <c r="W830" s="598">
        <v>2E-3</v>
      </c>
      <c r="X830" s="429"/>
      <c r="Y830" s="37" t="str">
        <f t="shared" si="138"/>
        <v>F020</v>
      </c>
      <c r="Z830" s="37" t="str">
        <f t="shared" si="139"/>
        <v>F00.2</v>
      </c>
      <c r="AA830" s="37" t="str">
        <f t="shared" si="141"/>
        <v>F00.002</v>
      </c>
      <c r="AB830" s="498" t="str">
        <f t="shared" si="135"/>
        <v>F09</v>
      </c>
      <c r="AC830" s="572"/>
      <c r="AD830" s="572"/>
      <c r="AE830" s="572"/>
      <c r="AF830" s="572"/>
    </row>
    <row r="831" spans="1:32">
      <c r="A831" s="947">
        <f t="shared" si="142"/>
        <v>824</v>
      </c>
      <c r="B831" s="948">
        <v>12</v>
      </c>
      <c r="C831" s="949">
        <v>37040</v>
      </c>
      <c r="D831" s="949" t="s">
        <v>177</v>
      </c>
      <c r="E831" s="904">
        <v>29</v>
      </c>
      <c r="F831" s="644">
        <v>2001</v>
      </c>
      <c r="G831" s="948" t="s">
        <v>145</v>
      </c>
      <c r="H831" s="645" t="s">
        <v>149</v>
      </c>
      <c r="I831" s="951">
        <v>25</v>
      </c>
      <c r="J831" s="951">
        <v>0.1</v>
      </c>
      <c r="K831" s="952">
        <f t="shared" si="140"/>
        <v>1.4204545454545455E-3</v>
      </c>
      <c r="L831" s="644">
        <f t="shared" si="143"/>
        <v>16</v>
      </c>
      <c r="M831" s="935">
        <v>0.69791666666666663</v>
      </c>
      <c r="N831" s="936">
        <f t="shared" si="133"/>
        <v>0.69791666666666663</v>
      </c>
      <c r="O831" s="725">
        <v>0.69861111111111107</v>
      </c>
      <c r="P831" s="725">
        <f t="shared" si="136"/>
        <v>6.9444444444444198E-4</v>
      </c>
      <c r="Q831" s="622" t="s">
        <v>419</v>
      </c>
      <c r="R831" s="37"/>
      <c r="S831" s="37" t="str">
        <f t="shared" si="134"/>
        <v>RandallF0</v>
      </c>
      <c r="T831" s="37" t="str">
        <f t="shared" si="137"/>
        <v>2001F0</v>
      </c>
      <c r="U831" s="429">
        <v>20</v>
      </c>
      <c r="V831" s="1029">
        <v>0.1</v>
      </c>
      <c r="W831" s="598">
        <v>1E-3</v>
      </c>
      <c r="X831" s="429"/>
      <c r="Y831" s="37" t="str">
        <f t="shared" si="138"/>
        <v>F020</v>
      </c>
      <c r="Z831" s="37" t="str">
        <f t="shared" si="139"/>
        <v>F00.1</v>
      </c>
      <c r="AA831" s="37" t="str">
        <f t="shared" si="141"/>
        <v>F00.001</v>
      </c>
      <c r="AB831" s="498" t="str">
        <f t="shared" si="135"/>
        <v>F016</v>
      </c>
      <c r="AC831" s="572"/>
      <c r="AD831" s="572"/>
      <c r="AE831" s="572"/>
      <c r="AF831" s="572"/>
    </row>
    <row r="832" spans="1:32">
      <c r="A832" s="947">
        <f t="shared" si="142"/>
        <v>825</v>
      </c>
      <c r="B832" s="948">
        <v>13</v>
      </c>
      <c r="C832" s="949">
        <v>37040</v>
      </c>
      <c r="D832" s="949" t="s">
        <v>177</v>
      </c>
      <c r="E832" s="904">
        <v>29</v>
      </c>
      <c r="F832" s="644">
        <v>2001</v>
      </c>
      <c r="G832" s="948" t="s">
        <v>141</v>
      </c>
      <c r="H832" s="645" t="s">
        <v>149</v>
      </c>
      <c r="I832" s="951">
        <v>25</v>
      </c>
      <c r="J832" s="951">
        <v>0.2</v>
      </c>
      <c r="K832" s="952">
        <f t="shared" si="140"/>
        <v>2.840909090909091E-3</v>
      </c>
      <c r="L832" s="644">
        <f t="shared" si="143"/>
        <v>17</v>
      </c>
      <c r="M832" s="935">
        <v>0.74652777777777779</v>
      </c>
      <c r="N832" s="936">
        <f t="shared" si="133"/>
        <v>0.74652777777777779</v>
      </c>
      <c r="O832" s="725">
        <v>0.74791666666666667</v>
      </c>
      <c r="P832" s="725">
        <f t="shared" si="136"/>
        <v>1.388888888888884E-3</v>
      </c>
      <c r="Q832" s="622" t="s">
        <v>298</v>
      </c>
      <c r="R832" s="37"/>
      <c r="S832" s="37" t="str">
        <f t="shared" si="134"/>
        <v>CarsonF0</v>
      </c>
      <c r="T832" s="37" t="str">
        <f t="shared" si="137"/>
        <v>2001F0</v>
      </c>
      <c r="U832" s="429">
        <v>20</v>
      </c>
      <c r="V832" s="1029">
        <v>0.2</v>
      </c>
      <c r="W832" s="598">
        <v>2E-3</v>
      </c>
      <c r="X832" s="429"/>
      <c r="Y832" s="37" t="str">
        <f t="shared" si="138"/>
        <v>F020</v>
      </c>
      <c r="Z832" s="37" t="str">
        <f t="shared" si="139"/>
        <v>F00.2</v>
      </c>
      <c r="AA832" s="37" t="str">
        <f t="shared" si="141"/>
        <v>F00.002</v>
      </c>
      <c r="AB832" s="498" t="str">
        <f t="shared" si="135"/>
        <v>F017</v>
      </c>
      <c r="AC832" s="572"/>
      <c r="AD832" s="572"/>
      <c r="AE832" s="572"/>
      <c r="AF832" s="572"/>
    </row>
    <row r="833" spans="1:32">
      <c r="A833" s="947">
        <f t="shared" si="142"/>
        <v>826</v>
      </c>
      <c r="B833" s="948">
        <v>14</v>
      </c>
      <c r="C833" s="949">
        <v>37040</v>
      </c>
      <c r="D833" s="949" t="s">
        <v>177</v>
      </c>
      <c r="E833" s="904">
        <v>29</v>
      </c>
      <c r="F833" s="644">
        <v>2001</v>
      </c>
      <c r="G833" s="948" t="s">
        <v>141</v>
      </c>
      <c r="H833" s="645" t="s">
        <v>149</v>
      </c>
      <c r="I833" s="951">
        <v>25</v>
      </c>
      <c r="J833" s="951">
        <v>0.1</v>
      </c>
      <c r="K833" s="952">
        <f t="shared" si="140"/>
        <v>1.4204545454545455E-3</v>
      </c>
      <c r="L833" s="644">
        <f t="shared" si="143"/>
        <v>18</v>
      </c>
      <c r="M833" s="935">
        <v>0.75138888888888899</v>
      </c>
      <c r="N833" s="936">
        <f t="shared" si="133"/>
        <v>0.75138888888888899</v>
      </c>
      <c r="O833" s="725">
        <v>0.75208333333333333</v>
      </c>
      <c r="P833" s="725">
        <f t="shared" si="136"/>
        <v>6.9444444444433095E-4</v>
      </c>
      <c r="Q833" s="622" t="s">
        <v>299</v>
      </c>
      <c r="R833" s="37"/>
      <c r="S833" s="37" t="str">
        <f t="shared" si="134"/>
        <v>CarsonF0</v>
      </c>
      <c r="T833" s="37" t="str">
        <f t="shared" si="137"/>
        <v>2001F0</v>
      </c>
      <c r="U833" s="429">
        <v>20</v>
      </c>
      <c r="V833" s="1029">
        <v>0.1</v>
      </c>
      <c r="W833" s="598">
        <v>1E-3</v>
      </c>
      <c r="X833" s="429"/>
      <c r="Y833" s="37" t="str">
        <f t="shared" si="138"/>
        <v>F020</v>
      </c>
      <c r="Z833" s="37" t="str">
        <f t="shared" si="139"/>
        <v>F00.1</v>
      </c>
      <c r="AA833" s="37" t="str">
        <f t="shared" si="141"/>
        <v>F00.001</v>
      </c>
      <c r="AB833" s="498" t="str">
        <f t="shared" si="135"/>
        <v>F018</v>
      </c>
      <c r="AC833" s="572"/>
      <c r="AD833" s="572"/>
      <c r="AE833" s="572"/>
      <c r="AF833" s="572"/>
    </row>
    <row r="834" spans="1:32">
      <c r="A834" s="947">
        <f t="shared" si="142"/>
        <v>827</v>
      </c>
      <c r="B834" s="948">
        <v>15</v>
      </c>
      <c r="C834" s="949">
        <v>37040</v>
      </c>
      <c r="D834" s="949" t="s">
        <v>177</v>
      </c>
      <c r="E834" s="904">
        <v>29</v>
      </c>
      <c r="F834" s="644">
        <v>2001</v>
      </c>
      <c r="G834" s="948" t="s">
        <v>141</v>
      </c>
      <c r="H834" s="645" t="s">
        <v>149</v>
      </c>
      <c r="I834" s="951">
        <v>25</v>
      </c>
      <c r="J834" s="951">
        <v>0.1</v>
      </c>
      <c r="K834" s="952">
        <f t="shared" si="140"/>
        <v>1.4204545454545455E-3</v>
      </c>
      <c r="L834" s="644">
        <f t="shared" si="143"/>
        <v>18</v>
      </c>
      <c r="M834" s="935">
        <v>0.75347222222222221</v>
      </c>
      <c r="N834" s="936">
        <f t="shared" si="133"/>
        <v>0.75347222222222221</v>
      </c>
      <c r="O834" s="725">
        <v>0.75486111111111109</v>
      </c>
      <c r="P834" s="725">
        <f t="shared" si="136"/>
        <v>1.388888888888884E-3</v>
      </c>
      <c r="Q834" s="622" t="s">
        <v>300</v>
      </c>
      <c r="R834" s="37"/>
      <c r="S834" s="37" t="str">
        <f t="shared" si="134"/>
        <v>CarsonF0</v>
      </c>
      <c r="T834" s="37" t="str">
        <f t="shared" si="137"/>
        <v>2001F0</v>
      </c>
      <c r="U834" s="429">
        <v>20</v>
      </c>
      <c r="V834" s="1029">
        <v>0.1</v>
      </c>
      <c r="W834" s="598">
        <v>1E-3</v>
      </c>
      <c r="X834" s="429"/>
      <c r="Y834" s="37" t="str">
        <f t="shared" si="138"/>
        <v>F020</v>
      </c>
      <c r="Z834" s="37" t="str">
        <f t="shared" si="139"/>
        <v>F00.1</v>
      </c>
      <c r="AA834" s="37" t="str">
        <f t="shared" si="141"/>
        <v>F00.001</v>
      </c>
      <c r="AB834" s="498" t="str">
        <f t="shared" si="135"/>
        <v>F018</v>
      </c>
      <c r="AC834" s="572"/>
      <c r="AD834" s="572"/>
      <c r="AE834" s="572"/>
      <c r="AF834" s="572"/>
    </row>
    <row r="835" spans="1:32">
      <c r="A835" s="947">
        <f t="shared" si="142"/>
        <v>828</v>
      </c>
      <c r="B835" s="948">
        <v>16</v>
      </c>
      <c r="C835" s="949">
        <v>37040</v>
      </c>
      <c r="D835" s="949" t="s">
        <v>177</v>
      </c>
      <c r="E835" s="904">
        <v>29</v>
      </c>
      <c r="F835" s="644">
        <v>2001</v>
      </c>
      <c r="G835" s="948" t="s">
        <v>141</v>
      </c>
      <c r="H835" s="645" t="s">
        <v>149</v>
      </c>
      <c r="I835" s="951">
        <v>20</v>
      </c>
      <c r="J835" s="951">
        <v>0.1</v>
      </c>
      <c r="K835" s="952">
        <f t="shared" si="140"/>
        <v>1.1363636363636365E-3</v>
      </c>
      <c r="L835" s="644">
        <f t="shared" si="143"/>
        <v>18</v>
      </c>
      <c r="M835" s="935">
        <v>0.75486111111111109</v>
      </c>
      <c r="N835" s="936">
        <f t="shared" si="133"/>
        <v>0.75486111111111109</v>
      </c>
      <c r="O835" s="725">
        <v>0.75555555555555554</v>
      </c>
      <c r="P835" s="725">
        <f t="shared" si="136"/>
        <v>6.9444444444444198E-4</v>
      </c>
      <c r="Q835" s="622" t="s">
        <v>301</v>
      </c>
      <c r="R835" s="37"/>
      <c r="S835" s="37" t="str">
        <f t="shared" si="134"/>
        <v>CarsonF0</v>
      </c>
      <c r="T835" s="37" t="str">
        <f t="shared" si="137"/>
        <v>2001F0</v>
      </c>
      <c r="U835" s="429">
        <v>20</v>
      </c>
      <c r="V835" s="1029">
        <v>0.1</v>
      </c>
      <c r="W835" s="598">
        <v>1E-3</v>
      </c>
      <c r="X835" s="429"/>
      <c r="Y835" s="37" t="str">
        <f t="shared" si="138"/>
        <v>F020</v>
      </c>
      <c r="Z835" s="37" t="str">
        <f t="shared" si="139"/>
        <v>F00.1</v>
      </c>
      <c r="AA835" s="37" t="str">
        <f t="shared" si="141"/>
        <v>F00.001</v>
      </c>
      <c r="AB835" s="498" t="str">
        <f t="shared" si="135"/>
        <v>F018</v>
      </c>
      <c r="AC835" s="572"/>
      <c r="AD835" s="572"/>
      <c r="AE835" s="572"/>
      <c r="AF835" s="572"/>
    </row>
    <row r="836" spans="1:32" ht="25.5">
      <c r="A836" s="947">
        <f t="shared" si="142"/>
        <v>829</v>
      </c>
      <c r="B836" s="948">
        <v>17</v>
      </c>
      <c r="C836" s="949">
        <v>37040</v>
      </c>
      <c r="D836" s="949" t="s">
        <v>177</v>
      </c>
      <c r="E836" s="904">
        <v>29</v>
      </c>
      <c r="F836" s="644">
        <v>2001</v>
      </c>
      <c r="G836" s="948" t="s">
        <v>141</v>
      </c>
      <c r="H836" s="645" t="s">
        <v>152</v>
      </c>
      <c r="I836" s="951">
        <v>440</v>
      </c>
      <c r="J836" s="951">
        <v>10</v>
      </c>
      <c r="K836" s="952">
        <f t="shared" si="140"/>
        <v>2.5</v>
      </c>
      <c r="L836" s="644">
        <f t="shared" si="143"/>
        <v>18</v>
      </c>
      <c r="M836" s="935">
        <v>0.76041666666666663</v>
      </c>
      <c r="N836" s="936">
        <f t="shared" si="133"/>
        <v>0.76041666666666663</v>
      </c>
      <c r="O836" s="725">
        <v>0.78125</v>
      </c>
      <c r="P836" s="725">
        <f t="shared" si="136"/>
        <v>2.083333333333337E-2</v>
      </c>
      <c r="Q836" s="622" t="s">
        <v>97</v>
      </c>
      <c r="R836" s="37"/>
      <c r="S836" s="37" t="str">
        <f t="shared" si="134"/>
        <v>CarsonF3</v>
      </c>
      <c r="T836" s="37" t="str">
        <f t="shared" si="137"/>
        <v>2001F3</v>
      </c>
      <c r="U836" s="429">
        <v>200</v>
      </c>
      <c r="V836" s="1029">
        <v>10</v>
      </c>
      <c r="W836" s="598">
        <v>2</v>
      </c>
      <c r="X836" s="429"/>
      <c r="Y836" s="37" t="str">
        <f t="shared" si="138"/>
        <v>F3200</v>
      </c>
      <c r="Z836" s="37" t="str">
        <f t="shared" si="139"/>
        <v>F310</v>
      </c>
      <c r="AA836" s="37" t="str">
        <f t="shared" si="141"/>
        <v>F32</v>
      </c>
      <c r="AB836" s="498" t="str">
        <f t="shared" si="135"/>
        <v>F318</v>
      </c>
      <c r="AC836" s="572"/>
      <c r="AD836" s="572"/>
      <c r="AE836" s="572"/>
      <c r="AF836" s="572"/>
    </row>
    <row r="837" spans="1:32">
      <c r="A837" s="947">
        <f t="shared" si="142"/>
        <v>830</v>
      </c>
      <c r="B837" s="948">
        <v>18</v>
      </c>
      <c r="C837" s="949">
        <v>37040</v>
      </c>
      <c r="D837" s="949" t="s">
        <v>177</v>
      </c>
      <c r="E837" s="904">
        <v>29</v>
      </c>
      <c r="F837" s="644">
        <v>2001</v>
      </c>
      <c r="G837" s="948" t="s">
        <v>141</v>
      </c>
      <c r="H837" s="645" t="s">
        <v>149</v>
      </c>
      <c r="I837" s="951">
        <v>20</v>
      </c>
      <c r="J837" s="951">
        <v>0.1</v>
      </c>
      <c r="K837" s="952">
        <f t="shared" si="140"/>
        <v>1.1363636363636365E-3</v>
      </c>
      <c r="L837" s="644">
        <f t="shared" si="143"/>
        <v>18</v>
      </c>
      <c r="M837" s="935">
        <v>0.76666666666666661</v>
      </c>
      <c r="N837" s="936">
        <f t="shared" si="133"/>
        <v>0.76666666666666661</v>
      </c>
      <c r="O837" s="725">
        <v>0.7680555555555556</v>
      </c>
      <c r="P837" s="725">
        <f t="shared" si="136"/>
        <v>1.388888888888995E-3</v>
      </c>
      <c r="Q837" s="622" t="s">
        <v>302</v>
      </c>
      <c r="R837" s="37"/>
      <c r="S837" s="37" t="str">
        <f t="shared" si="134"/>
        <v>CarsonF0</v>
      </c>
      <c r="T837" s="37" t="str">
        <f t="shared" si="137"/>
        <v>2001F0</v>
      </c>
      <c r="U837" s="429">
        <v>20</v>
      </c>
      <c r="V837" s="1029">
        <v>0.1</v>
      </c>
      <c r="W837" s="598">
        <v>1E-3</v>
      </c>
      <c r="X837" s="429"/>
      <c r="Y837" s="37" t="str">
        <f t="shared" si="138"/>
        <v>F020</v>
      </c>
      <c r="Z837" s="37" t="str">
        <f t="shared" si="139"/>
        <v>F00.1</v>
      </c>
      <c r="AA837" s="37" t="str">
        <f t="shared" si="141"/>
        <v>F00.001</v>
      </c>
      <c r="AB837" s="498" t="str">
        <f t="shared" si="135"/>
        <v>F018</v>
      </c>
      <c r="AC837" s="572"/>
      <c r="AD837" s="572"/>
      <c r="AE837" s="572"/>
      <c r="AF837" s="572"/>
    </row>
    <row r="838" spans="1:32">
      <c r="A838" s="947">
        <f t="shared" si="142"/>
        <v>831</v>
      </c>
      <c r="B838" s="948">
        <v>19</v>
      </c>
      <c r="C838" s="949">
        <v>37151</v>
      </c>
      <c r="D838" s="949" t="s">
        <v>181</v>
      </c>
      <c r="E838" s="904">
        <v>17</v>
      </c>
      <c r="F838" s="644">
        <v>2001</v>
      </c>
      <c r="G838" s="948" t="s">
        <v>126</v>
      </c>
      <c r="H838" s="645" t="s">
        <v>149</v>
      </c>
      <c r="I838" s="951">
        <v>25</v>
      </c>
      <c r="J838" s="951">
        <v>0.1</v>
      </c>
      <c r="K838" s="952">
        <f t="shared" si="140"/>
        <v>1.4204545454545455E-3</v>
      </c>
      <c r="L838" s="644">
        <f t="shared" si="143"/>
        <v>15</v>
      </c>
      <c r="M838" s="935">
        <v>0.66180555555555554</v>
      </c>
      <c r="N838" s="936">
        <f t="shared" si="133"/>
        <v>0.66180555555555554</v>
      </c>
      <c r="O838" s="725">
        <v>0.66249999999999998</v>
      </c>
      <c r="P838" s="725">
        <f t="shared" si="136"/>
        <v>6.9444444444444198E-4</v>
      </c>
      <c r="Q838" s="622" t="s">
        <v>239</v>
      </c>
      <c r="R838" s="37"/>
      <c r="S838" s="37" t="str">
        <f t="shared" si="134"/>
        <v>CimarronF0</v>
      </c>
      <c r="T838" s="37" t="str">
        <f t="shared" si="137"/>
        <v>2001F0</v>
      </c>
      <c r="U838" s="429">
        <v>20</v>
      </c>
      <c r="V838" s="1029">
        <v>0.1</v>
      </c>
      <c r="W838" s="598">
        <v>1E-3</v>
      </c>
      <c r="X838" s="429"/>
      <c r="Y838" s="37" t="str">
        <f t="shared" si="138"/>
        <v>F020</v>
      </c>
      <c r="Z838" s="37" t="str">
        <f t="shared" si="139"/>
        <v>F00.1</v>
      </c>
      <c r="AA838" s="37" t="str">
        <f t="shared" si="141"/>
        <v>F00.001</v>
      </c>
      <c r="AB838" s="498" t="str">
        <f t="shared" si="135"/>
        <v>F015</v>
      </c>
      <c r="AC838" s="572"/>
      <c r="AD838" s="572"/>
      <c r="AE838" s="572"/>
      <c r="AF838" s="572"/>
    </row>
    <row r="839" spans="1:32" ht="25.5">
      <c r="A839" s="947">
        <f t="shared" si="142"/>
        <v>832</v>
      </c>
      <c r="B839" s="948">
        <v>20</v>
      </c>
      <c r="C839" s="949">
        <v>37153</v>
      </c>
      <c r="D839" s="949" t="s">
        <v>181</v>
      </c>
      <c r="E839" s="904">
        <v>19</v>
      </c>
      <c r="F839" s="644">
        <v>2001</v>
      </c>
      <c r="G839" s="948" t="s">
        <v>140</v>
      </c>
      <c r="H839" s="645" t="s">
        <v>149</v>
      </c>
      <c r="I839" s="951">
        <v>25</v>
      </c>
      <c r="J839" s="951">
        <v>0.1</v>
      </c>
      <c r="K839" s="952">
        <f t="shared" si="140"/>
        <v>1.4204545454545455E-3</v>
      </c>
      <c r="L839" s="644">
        <f t="shared" si="143"/>
        <v>17</v>
      </c>
      <c r="M839" s="935">
        <v>0.74652777777777779</v>
      </c>
      <c r="N839" s="936">
        <f t="shared" ref="N839:N902" si="144">+M839</f>
        <v>0.74652777777777779</v>
      </c>
      <c r="O839" s="725">
        <v>0.74722222222222223</v>
      </c>
      <c r="P839" s="725">
        <f t="shared" si="136"/>
        <v>6.9444444444444198E-4</v>
      </c>
      <c r="Q839" s="622" t="s">
        <v>767</v>
      </c>
      <c r="R839" s="37"/>
      <c r="S839" s="37" t="str">
        <f t="shared" ref="S839:S902" si="145">CONCATENATE(G839,H839)</f>
        <v>PotterF0</v>
      </c>
      <c r="T839" s="37" t="str">
        <f t="shared" si="137"/>
        <v>2001F0</v>
      </c>
      <c r="U839" s="429">
        <v>20</v>
      </c>
      <c r="V839" s="1029">
        <v>0.1</v>
      </c>
      <c r="W839" s="598">
        <v>1E-3</v>
      </c>
      <c r="X839" s="429"/>
      <c r="Y839" s="37" t="str">
        <f t="shared" si="138"/>
        <v>F020</v>
      </c>
      <c r="Z839" s="37" t="str">
        <f t="shared" si="139"/>
        <v>F00.1</v>
      </c>
      <c r="AA839" s="37" t="str">
        <f t="shared" si="141"/>
        <v>F00.001</v>
      </c>
      <c r="AB839" s="498" t="str">
        <f t="shared" ref="AB839:AB902" si="146">CONCATENATE(H839,L839)</f>
        <v>F017</v>
      </c>
      <c r="AC839" s="572"/>
      <c r="AD839" s="572"/>
      <c r="AE839" s="572"/>
      <c r="AF839" s="572"/>
    </row>
    <row r="840" spans="1:32" ht="25.5">
      <c r="A840" s="947">
        <f t="shared" si="142"/>
        <v>833</v>
      </c>
      <c r="B840" s="948">
        <v>21</v>
      </c>
      <c r="C840" s="949">
        <v>37153</v>
      </c>
      <c r="D840" s="949" t="s">
        <v>181</v>
      </c>
      <c r="E840" s="904">
        <v>19</v>
      </c>
      <c r="F840" s="644">
        <v>2001</v>
      </c>
      <c r="G840" s="948" t="s">
        <v>141</v>
      </c>
      <c r="H840" s="645" t="s">
        <v>149</v>
      </c>
      <c r="I840" s="951">
        <v>25</v>
      </c>
      <c r="J840" s="951">
        <v>0.1</v>
      </c>
      <c r="K840" s="952">
        <f t="shared" si="140"/>
        <v>1.4204545454545455E-3</v>
      </c>
      <c r="L840" s="644">
        <f t="shared" si="143"/>
        <v>17</v>
      </c>
      <c r="M840" s="935">
        <v>0.74722222222222223</v>
      </c>
      <c r="N840" s="936">
        <f t="shared" si="144"/>
        <v>0.74722222222222223</v>
      </c>
      <c r="O840" s="725">
        <v>0.74791666666666667</v>
      </c>
      <c r="P840" s="725">
        <f t="shared" ref="P840:P903" si="147">+O840-N840</f>
        <v>6.9444444444444198E-4</v>
      </c>
      <c r="Q840" s="622" t="s">
        <v>768</v>
      </c>
      <c r="R840" s="37"/>
      <c r="S840" s="37" t="str">
        <f t="shared" si="145"/>
        <v>CarsonF0</v>
      </c>
      <c r="T840" s="37" t="str">
        <f t="shared" ref="T840:T903" si="148">CONCATENATE(F840,H840)</f>
        <v>2001F0</v>
      </c>
      <c r="U840" s="429">
        <v>20</v>
      </c>
      <c r="V840" s="1029">
        <v>0.1</v>
      </c>
      <c r="W840" s="598">
        <v>1E-3</v>
      </c>
      <c r="X840" s="429"/>
      <c r="Y840" s="37" t="str">
        <f t="shared" ref="Y840:Y903" si="149">CONCATENATE(H840,U840)</f>
        <v>F020</v>
      </c>
      <c r="Z840" s="37" t="str">
        <f t="shared" ref="Z840:Z903" si="150">CONCATENATE(H840,V840)</f>
        <v>F00.1</v>
      </c>
      <c r="AA840" s="37" t="str">
        <f t="shared" si="141"/>
        <v>F00.001</v>
      </c>
      <c r="AB840" s="498" t="str">
        <f t="shared" si="146"/>
        <v>F017</v>
      </c>
      <c r="AC840" s="572"/>
      <c r="AD840" s="572"/>
      <c r="AE840" s="572"/>
      <c r="AF840" s="572"/>
    </row>
    <row r="841" spans="1:32">
      <c r="A841" s="947">
        <f t="shared" si="142"/>
        <v>834</v>
      </c>
      <c r="B841" s="948">
        <v>22</v>
      </c>
      <c r="C841" s="949">
        <v>37153</v>
      </c>
      <c r="D841" s="949" t="s">
        <v>181</v>
      </c>
      <c r="E841" s="904">
        <v>19</v>
      </c>
      <c r="F841" s="644">
        <v>2001</v>
      </c>
      <c r="G841" s="948" t="s">
        <v>128</v>
      </c>
      <c r="H841" s="645" t="s">
        <v>149</v>
      </c>
      <c r="I841" s="951">
        <v>25</v>
      </c>
      <c r="J841" s="951">
        <v>0.1</v>
      </c>
      <c r="K841" s="952">
        <f t="shared" ref="K841:K904" si="151">+(I841/1760)*J841</f>
        <v>1.4204545454545455E-3</v>
      </c>
      <c r="L841" s="644">
        <f t="shared" si="143"/>
        <v>18</v>
      </c>
      <c r="M841" s="935">
        <v>0.77083333333333337</v>
      </c>
      <c r="N841" s="936">
        <f t="shared" si="144"/>
        <v>0.77083333333333337</v>
      </c>
      <c r="O841" s="725">
        <v>0.77222222222222225</v>
      </c>
      <c r="P841" s="725">
        <f t="shared" si="147"/>
        <v>1.388888888888884E-3</v>
      </c>
      <c r="Q841" s="622" t="s">
        <v>272</v>
      </c>
      <c r="R841" s="37"/>
      <c r="S841" s="37" t="str">
        <f t="shared" si="145"/>
        <v>BeaverF0</v>
      </c>
      <c r="T841" s="37" t="str">
        <f t="shared" si="148"/>
        <v>2001F0</v>
      </c>
      <c r="U841" s="429">
        <v>20</v>
      </c>
      <c r="V841" s="1029">
        <v>0.1</v>
      </c>
      <c r="W841" s="598">
        <v>1E-3</v>
      </c>
      <c r="X841" s="429"/>
      <c r="Y841" s="37" t="str">
        <f t="shared" si="149"/>
        <v>F020</v>
      </c>
      <c r="Z841" s="37" t="str">
        <f t="shared" si="150"/>
        <v>F00.1</v>
      </c>
      <c r="AA841" s="37" t="str">
        <f t="shared" ref="AA841:AA904" si="152">CONCATENATE(H841,W841)</f>
        <v>F00.001</v>
      </c>
      <c r="AB841" s="498" t="str">
        <f t="shared" si="146"/>
        <v>F018</v>
      </c>
      <c r="AC841" s="572"/>
      <c r="AD841" s="572"/>
      <c r="AE841" s="572"/>
      <c r="AF841" s="572"/>
    </row>
    <row r="842" spans="1:32">
      <c r="A842" s="947">
        <f t="shared" ref="A842:A905" si="153">+A841+1</f>
        <v>835</v>
      </c>
      <c r="B842" s="948">
        <v>1</v>
      </c>
      <c r="C842" s="949">
        <v>37381</v>
      </c>
      <c r="D842" s="949" t="s">
        <v>177</v>
      </c>
      <c r="E842" s="904">
        <v>5</v>
      </c>
      <c r="F842" s="644">
        <v>2002</v>
      </c>
      <c r="G842" s="948" t="s">
        <v>144</v>
      </c>
      <c r="H842" s="645" t="s">
        <v>149</v>
      </c>
      <c r="I842" s="951">
        <v>25</v>
      </c>
      <c r="J842" s="951">
        <v>0.1</v>
      </c>
      <c r="K842" s="952">
        <f t="shared" si="151"/>
        <v>1.4204545454545455E-3</v>
      </c>
      <c r="L842" s="644">
        <f t="shared" si="143"/>
        <v>16</v>
      </c>
      <c r="M842" s="935">
        <v>0.68194444444444446</v>
      </c>
      <c r="N842" s="936">
        <f t="shared" si="144"/>
        <v>0.68194444444444446</v>
      </c>
      <c r="O842" s="725">
        <v>0.68402777777777779</v>
      </c>
      <c r="P842" s="725">
        <f t="shared" si="147"/>
        <v>2.0833333333333259E-3</v>
      </c>
      <c r="Q842" s="622" t="s">
        <v>320</v>
      </c>
      <c r="R842" s="37"/>
      <c r="S842" s="37" t="str">
        <f t="shared" si="145"/>
        <v>Deaf SmithF0</v>
      </c>
      <c r="T842" s="37" t="str">
        <f t="shared" si="148"/>
        <v>2002F0</v>
      </c>
      <c r="U842" s="429">
        <v>20</v>
      </c>
      <c r="V842" s="1029">
        <v>0.1</v>
      </c>
      <c r="W842" s="598">
        <v>1E-3</v>
      </c>
      <c r="X842" s="429"/>
      <c r="Y842" s="37" t="str">
        <f t="shared" si="149"/>
        <v>F020</v>
      </c>
      <c r="Z842" s="37" t="str">
        <f t="shared" si="150"/>
        <v>F00.1</v>
      </c>
      <c r="AA842" s="37" t="str">
        <f t="shared" si="152"/>
        <v>F00.001</v>
      </c>
      <c r="AB842" s="498" t="str">
        <f t="shared" si="146"/>
        <v>F016</v>
      </c>
      <c r="AC842" s="572"/>
      <c r="AD842" s="572"/>
      <c r="AE842" s="572"/>
      <c r="AF842" s="572"/>
    </row>
    <row r="843" spans="1:32">
      <c r="A843" s="947">
        <f t="shared" si="153"/>
        <v>836</v>
      </c>
      <c r="B843" s="948">
        <v>2</v>
      </c>
      <c r="C843" s="949">
        <v>37381</v>
      </c>
      <c r="D843" s="949" t="s">
        <v>177</v>
      </c>
      <c r="E843" s="904">
        <v>5</v>
      </c>
      <c r="F843" s="644">
        <v>2002</v>
      </c>
      <c r="G843" s="948" t="s">
        <v>144</v>
      </c>
      <c r="H843" s="645" t="s">
        <v>149</v>
      </c>
      <c r="I843" s="951">
        <v>50</v>
      </c>
      <c r="J843" s="951">
        <v>0.5</v>
      </c>
      <c r="K843" s="952">
        <f t="shared" si="151"/>
        <v>1.4204545454545454E-2</v>
      </c>
      <c r="L843" s="644">
        <f t="shared" si="143"/>
        <v>16</v>
      </c>
      <c r="M843" s="935">
        <v>0.68819444444444444</v>
      </c>
      <c r="N843" s="936">
        <f t="shared" si="144"/>
        <v>0.68819444444444444</v>
      </c>
      <c r="O843" s="725">
        <v>0.69166666666666676</v>
      </c>
      <c r="P843" s="725">
        <f t="shared" si="147"/>
        <v>3.4722222222223209E-3</v>
      </c>
      <c r="Q843" s="622" t="s">
        <v>321</v>
      </c>
      <c r="R843" s="37"/>
      <c r="S843" s="37" t="str">
        <f t="shared" si="145"/>
        <v>Deaf SmithF0</v>
      </c>
      <c r="T843" s="37" t="str">
        <f t="shared" si="148"/>
        <v>2002F0</v>
      </c>
      <c r="U843" s="429">
        <v>50</v>
      </c>
      <c r="V843" s="1029">
        <v>0.5</v>
      </c>
      <c r="W843" s="598">
        <v>0.01</v>
      </c>
      <c r="X843" s="429"/>
      <c r="Y843" s="37" t="str">
        <f t="shared" si="149"/>
        <v>F050</v>
      </c>
      <c r="Z843" s="37" t="str">
        <f t="shared" si="150"/>
        <v>F00.5</v>
      </c>
      <c r="AA843" s="37" t="str">
        <f t="shared" si="152"/>
        <v>F00.01</v>
      </c>
      <c r="AB843" s="498" t="str">
        <f t="shared" si="146"/>
        <v>F016</v>
      </c>
      <c r="AC843" s="572"/>
      <c r="AD843" s="572"/>
      <c r="AE843" s="572"/>
      <c r="AF843" s="572"/>
    </row>
    <row r="844" spans="1:32">
      <c r="A844" s="947">
        <f t="shared" si="153"/>
        <v>837</v>
      </c>
      <c r="B844" s="948">
        <v>3</v>
      </c>
      <c r="C844" s="949">
        <v>37381</v>
      </c>
      <c r="D844" s="949" t="s">
        <v>177</v>
      </c>
      <c r="E844" s="904">
        <v>5</v>
      </c>
      <c r="F844" s="644">
        <v>2002</v>
      </c>
      <c r="G844" s="948" t="s">
        <v>136</v>
      </c>
      <c r="H844" s="645" t="s">
        <v>149</v>
      </c>
      <c r="I844" s="951">
        <v>25</v>
      </c>
      <c r="J844" s="951">
        <v>0.1</v>
      </c>
      <c r="K844" s="952">
        <f t="shared" si="151"/>
        <v>1.4204545454545455E-3</v>
      </c>
      <c r="L844" s="644">
        <f t="shared" si="143"/>
        <v>16</v>
      </c>
      <c r="M844" s="935">
        <v>0.69097222222222221</v>
      </c>
      <c r="N844" s="936">
        <f t="shared" si="144"/>
        <v>0.69097222222222221</v>
      </c>
      <c r="O844" s="725">
        <v>0.69305555555555554</v>
      </c>
      <c r="P844" s="725">
        <f t="shared" si="147"/>
        <v>2.0833333333333259E-3</v>
      </c>
      <c r="Q844" s="622" t="s">
        <v>382</v>
      </c>
      <c r="R844" s="37"/>
      <c r="S844" s="37" t="str">
        <f t="shared" si="145"/>
        <v>HutchinsonF0</v>
      </c>
      <c r="T844" s="37" t="str">
        <f t="shared" si="148"/>
        <v>2002F0</v>
      </c>
      <c r="U844" s="429">
        <v>20</v>
      </c>
      <c r="V844" s="1029">
        <v>0.1</v>
      </c>
      <c r="W844" s="598">
        <v>1E-3</v>
      </c>
      <c r="X844" s="429"/>
      <c r="Y844" s="37" t="str">
        <f t="shared" si="149"/>
        <v>F020</v>
      </c>
      <c r="Z844" s="37" t="str">
        <f t="shared" si="150"/>
        <v>F00.1</v>
      </c>
      <c r="AA844" s="37" t="str">
        <f t="shared" si="152"/>
        <v>F00.001</v>
      </c>
      <c r="AB844" s="498" t="str">
        <f t="shared" si="146"/>
        <v>F016</v>
      </c>
      <c r="AC844" s="572"/>
      <c r="AD844" s="572"/>
      <c r="AE844" s="572"/>
      <c r="AF844" s="572"/>
    </row>
    <row r="845" spans="1:32" ht="30.75" customHeight="1">
      <c r="A845" s="947">
        <f t="shared" si="153"/>
        <v>838</v>
      </c>
      <c r="B845" s="948">
        <v>4</v>
      </c>
      <c r="C845" s="949">
        <v>37381</v>
      </c>
      <c r="D845" s="949" t="s">
        <v>177</v>
      </c>
      <c r="E845" s="904">
        <v>5</v>
      </c>
      <c r="F845" s="644">
        <v>2002</v>
      </c>
      <c r="G845" s="948" t="s">
        <v>145</v>
      </c>
      <c r="H845" s="645" t="s">
        <v>151</v>
      </c>
      <c r="I845" s="951">
        <v>150</v>
      </c>
      <c r="J845" s="951">
        <v>2</v>
      </c>
      <c r="K845" s="952">
        <f t="shared" si="151"/>
        <v>0.17045454545454544</v>
      </c>
      <c r="L845" s="644">
        <f t="shared" si="143"/>
        <v>17</v>
      </c>
      <c r="M845" s="935">
        <v>0.74652777777777779</v>
      </c>
      <c r="N845" s="936">
        <f t="shared" si="144"/>
        <v>0.74652777777777779</v>
      </c>
      <c r="O845" s="725">
        <v>0.75138888888888899</v>
      </c>
      <c r="P845" s="725">
        <f t="shared" si="147"/>
        <v>4.8611111111112049E-3</v>
      </c>
      <c r="Q845" s="622" t="s">
        <v>88</v>
      </c>
      <c r="R845" s="37"/>
      <c r="S845" s="37" t="str">
        <f t="shared" si="145"/>
        <v>RandallF2</v>
      </c>
      <c r="T845" s="37" t="str">
        <f t="shared" si="148"/>
        <v>2002F2</v>
      </c>
      <c r="U845" s="429">
        <v>100</v>
      </c>
      <c r="V845" s="1029">
        <v>2</v>
      </c>
      <c r="W845" s="598">
        <v>0.1</v>
      </c>
      <c r="X845" s="429"/>
      <c r="Y845" s="37" t="str">
        <f t="shared" si="149"/>
        <v>F2100</v>
      </c>
      <c r="Z845" s="37" t="str">
        <f t="shared" si="150"/>
        <v>F22</v>
      </c>
      <c r="AA845" s="37" t="str">
        <f t="shared" si="152"/>
        <v>F20.1</v>
      </c>
      <c r="AB845" s="498" t="str">
        <f t="shared" si="146"/>
        <v>F217</v>
      </c>
      <c r="AC845" s="572"/>
      <c r="AD845" s="572"/>
      <c r="AE845" s="572"/>
      <c r="AF845" s="572"/>
    </row>
    <row r="846" spans="1:32" ht="25.5">
      <c r="A846" s="947">
        <f t="shared" si="153"/>
        <v>839</v>
      </c>
      <c r="B846" s="948">
        <v>5</v>
      </c>
      <c r="C846" s="949">
        <v>37381</v>
      </c>
      <c r="D846" s="949" t="s">
        <v>177</v>
      </c>
      <c r="E846" s="904">
        <v>5</v>
      </c>
      <c r="F846" s="644">
        <v>2002</v>
      </c>
      <c r="G846" s="948" t="s">
        <v>145</v>
      </c>
      <c r="H846" s="645" t="s">
        <v>149</v>
      </c>
      <c r="I846" s="951">
        <v>25</v>
      </c>
      <c r="J846" s="951">
        <v>0.1</v>
      </c>
      <c r="K846" s="952">
        <f t="shared" si="151"/>
        <v>1.4204545454545455E-3</v>
      </c>
      <c r="L846" s="644">
        <f t="shared" si="143"/>
        <v>17</v>
      </c>
      <c r="M846" s="935">
        <v>0.74791666666666667</v>
      </c>
      <c r="N846" s="936">
        <f t="shared" si="144"/>
        <v>0.74791666666666667</v>
      </c>
      <c r="O846" s="725">
        <v>0.74930555555555556</v>
      </c>
      <c r="P846" s="725">
        <f t="shared" si="147"/>
        <v>1.388888888888884E-3</v>
      </c>
      <c r="Q846" s="622" t="s">
        <v>474</v>
      </c>
      <c r="R846" s="37"/>
      <c r="S846" s="37" t="str">
        <f t="shared" si="145"/>
        <v>RandallF0</v>
      </c>
      <c r="T846" s="37" t="str">
        <f t="shared" si="148"/>
        <v>2002F0</v>
      </c>
      <c r="U846" s="429">
        <v>20</v>
      </c>
      <c r="V846" s="1029">
        <v>0.1</v>
      </c>
      <c r="W846" s="598">
        <v>1E-3</v>
      </c>
      <c r="X846" s="429"/>
      <c r="Y846" s="37" t="str">
        <f t="shared" si="149"/>
        <v>F020</v>
      </c>
      <c r="Z846" s="37" t="str">
        <f t="shared" si="150"/>
        <v>F00.1</v>
      </c>
      <c r="AA846" s="37" t="str">
        <f t="shared" si="152"/>
        <v>F00.001</v>
      </c>
      <c r="AB846" s="498" t="str">
        <f t="shared" si="146"/>
        <v>F017</v>
      </c>
      <c r="AC846" s="572"/>
      <c r="AD846" s="572"/>
      <c r="AE846" s="572"/>
      <c r="AF846" s="572"/>
    </row>
    <row r="847" spans="1:32">
      <c r="A847" s="947">
        <f t="shared" si="153"/>
        <v>840</v>
      </c>
      <c r="B847" s="948">
        <v>6</v>
      </c>
      <c r="C847" s="949">
        <v>37381</v>
      </c>
      <c r="D847" s="949" t="s">
        <v>177</v>
      </c>
      <c r="E847" s="904">
        <v>5</v>
      </c>
      <c r="F847" s="644">
        <v>2002</v>
      </c>
      <c r="G847" s="948" t="s">
        <v>146</v>
      </c>
      <c r="H847" s="645" t="s">
        <v>149</v>
      </c>
      <c r="I847" s="951">
        <v>50</v>
      </c>
      <c r="J847" s="951">
        <v>0.4</v>
      </c>
      <c r="K847" s="952">
        <f t="shared" si="151"/>
        <v>1.1363636363636364E-2</v>
      </c>
      <c r="L847" s="644">
        <f t="shared" si="143"/>
        <v>18</v>
      </c>
      <c r="M847" s="935">
        <v>0.75763888888888886</v>
      </c>
      <c r="N847" s="936">
        <f t="shared" si="144"/>
        <v>0.75763888888888886</v>
      </c>
      <c r="O847" s="725">
        <v>0.76041666666666663</v>
      </c>
      <c r="P847" s="725">
        <f t="shared" si="147"/>
        <v>2.7777777777777679E-3</v>
      </c>
      <c r="Q847" s="622" t="s">
        <v>278</v>
      </c>
      <c r="R847" s="37"/>
      <c r="S847" s="37" t="str">
        <f t="shared" si="145"/>
        <v>ArmstrongF0</v>
      </c>
      <c r="T847" s="37" t="str">
        <f t="shared" si="148"/>
        <v>2002F0</v>
      </c>
      <c r="U847" s="429">
        <v>50</v>
      </c>
      <c r="V847" s="1029">
        <v>0.2</v>
      </c>
      <c r="W847" s="598">
        <v>0.01</v>
      </c>
      <c r="X847" s="429"/>
      <c r="Y847" s="37" t="str">
        <f t="shared" si="149"/>
        <v>F050</v>
      </c>
      <c r="Z847" s="37" t="str">
        <f t="shared" si="150"/>
        <v>F00.2</v>
      </c>
      <c r="AA847" s="37" t="str">
        <f t="shared" si="152"/>
        <v>F00.01</v>
      </c>
      <c r="AB847" s="498" t="str">
        <f t="shared" si="146"/>
        <v>F018</v>
      </c>
      <c r="AC847" s="572"/>
      <c r="AD847" s="572"/>
      <c r="AE847" s="572"/>
      <c r="AF847" s="572"/>
    </row>
    <row r="848" spans="1:32">
      <c r="A848" s="947">
        <f t="shared" si="153"/>
        <v>841</v>
      </c>
      <c r="B848" s="948">
        <v>7</v>
      </c>
      <c r="C848" s="949">
        <v>37381</v>
      </c>
      <c r="D848" s="949" t="s">
        <v>177</v>
      </c>
      <c r="E848" s="904">
        <v>5</v>
      </c>
      <c r="F848" s="644">
        <v>2002</v>
      </c>
      <c r="G848" s="948" t="s">
        <v>146</v>
      </c>
      <c r="H848" s="645" t="s">
        <v>149</v>
      </c>
      <c r="I848" s="951">
        <v>25</v>
      </c>
      <c r="J848" s="951">
        <v>0.3</v>
      </c>
      <c r="K848" s="952">
        <f t="shared" si="151"/>
        <v>4.261363636363636E-3</v>
      </c>
      <c r="L848" s="644">
        <f t="shared" si="143"/>
        <v>18</v>
      </c>
      <c r="M848" s="935">
        <v>0.77083333333333337</v>
      </c>
      <c r="N848" s="936">
        <f t="shared" si="144"/>
        <v>0.77083333333333337</v>
      </c>
      <c r="O848" s="725">
        <v>0.7729166666666667</v>
      </c>
      <c r="P848" s="725">
        <f t="shared" si="147"/>
        <v>2.0833333333333259E-3</v>
      </c>
      <c r="Q848" s="622" t="s">
        <v>279</v>
      </c>
      <c r="R848" s="37"/>
      <c r="S848" s="37" t="str">
        <f t="shared" si="145"/>
        <v>ArmstrongF0</v>
      </c>
      <c r="T848" s="37" t="str">
        <f t="shared" si="148"/>
        <v>2002F0</v>
      </c>
      <c r="U848" s="429">
        <v>20</v>
      </c>
      <c r="V848" s="1029">
        <v>0.2</v>
      </c>
      <c r="W848" s="598">
        <v>2E-3</v>
      </c>
      <c r="X848" s="429"/>
      <c r="Y848" s="37" t="str">
        <f t="shared" si="149"/>
        <v>F020</v>
      </c>
      <c r="Z848" s="37" t="str">
        <f t="shared" si="150"/>
        <v>F00.2</v>
      </c>
      <c r="AA848" s="37" t="str">
        <f t="shared" si="152"/>
        <v>F00.002</v>
      </c>
      <c r="AB848" s="498" t="str">
        <f t="shared" si="146"/>
        <v>F018</v>
      </c>
      <c r="AC848" s="572"/>
      <c r="AD848" s="572"/>
      <c r="AE848" s="572"/>
      <c r="AF848" s="572"/>
    </row>
    <row r="849" spans="1:32" ht="25.5">
      <c r="A849" s="947">
        <f t="shared" si="153"/>
        <v>842</v>
      </c>
      <c r="B849" s="948">
        <v>8</v>
      </c>
      <c r="C849" s="949">
        <v>37381</v>
      </c>
      <c r="D849" s="949" t="s">
        <v>177</v>
      </c>
      <c r="E849" s="904">
        <v>5</v>
      </c>
      <c r="F849" s="644">
        <v>2002</v>
      </c>
      <c r="G849" s="948" t="s">
        <v>146</v>
      </c>
      <c r="H849" s="645" t="s">
        <v>149</v>
      </c>
      <c r="I849" s="951">
        <v>25</v>
      </c>
      <c r="J849" s="951">
        <v>0.1</v>
      </c>
      <c r="K849" s="952">
        <f t="shared" si="151"/>
        <v>1.4204545454545455E-3</v>
      </c>
      <c r="L849" s="644">
        <f t="shared" si="143"/>
        <v>18</v>
      </c>
      <c r="M849" s="935">
        <v>0.77430555555555547</v>
      </c>
      <c r="N849" s="936">
        <f t="shared" si="144"/>
        <v>0.77430555555555547</v>
      </c>
      <c r="O849" s="725">
        <v>0.77430555555555547</v>
      </c>
      <c r="P849" s="725">
        <f t="shared" si="147"/>
        <v>0</v>
      </c>
      <c r="Q849" s="622" t="s">
        <v>57</v>
      </c>
      <c r="R849" s="37"/>
      <c r="S849" s="37" t="str">
        <f t="shared" si="145"/>
        <v>ArmstrongF0</v>
      </c>
      <c r="T849" s="37" t="str">
        <f t="shared" si="148"/>
        <v>2002F0</v>
      </c>
      <c r="U849" s="429">
        <v>20</v>
      </c>
      <c r="V849" s="1029">
        <v>0.1</v>
      </c>
      <c r="W849" s="598">
        <v>1E-3</v>
      </c>
      <c r="X849" s="429"/>
      <c r="Y849" s="37" t="str">
        <f t="shared" si="149"/>
        <v>F020</v>
      </c>
      <c r="Z849" s="37" t="str">
        <f t="shared" si="150"/>
        <v>F00.1</v>
      </c>
      <c r="AA849" s="37" t="str">
        <f t="shared" si="152"/>
        <v>F00.001</v>
      </c>
      <c r="AB849" s="498" t="str">
        <f t="shared" si="146"/>
        <v>F018</v>
      </c>
      <c r="AC849" s="572"/>
      <c r="AD849" s="572"/>
      <c r="AE849" s="572"/>
      <c r="AF849" s="572"/>
    </row>
    <row r="850" spans="1:32">
      <c r="A850" s="947">
        <f t="shared" si="153"/>
        <v>843</v>
      </c>
      <c r="B850" s="948">
        <v>9</v>
      </c>
      <c r="C850" s="949">
        <v>37381</v>
      </c>
      <c r="D850" s="949" t="s">
        <v>177</v>
      </c>
      <c r="E850" s="904">
        <v>5</v>
      </c>
      <c r="F850" s="644">
        <v>2002</v>
      </c>
      <c r="G850" s="948" t="s">
        <v>138</v>
      </c>
      <c r="H850" s="645" t="s">
        <v>149</v>
      </c>
      <c r="I850" s="951">
        <v>25</v>
      </c>
      <c r="J850" s="951">
        <v>2.5</v>
      </c>
      <c r="K850" s="952">
        <f t="shared" si="151"/>
        <v>3.5511363636363633E-2</v>
      </c>
      <c r="L850" s="644">
        <f t="shared" si="143"/>
        <v>18</v>
      </c>
      <c r="M850" s="935">
        <v>0.78749999999999998</v>
      </c>
      <c r="N850" s="936">
        <f t="shared" si="144"/>
        <v>0.78749999999999998</v>
      </c>
      <c r="O850" s="725">
        <v>0.79027777777777775</v>
      </c>
      <c r="P850" s="725">
        <f t="shared" si="147"/>
        <v>2.7777777777777679E-3</v>
      </c>
      <c r="Q850" s="622" t="s">
        <v>58</v>
      </c>
      <c r="R850" s="37"/>
      <c r="S850" s="37" t="str">
        <f t="shared" si="145"/>
        <v>HemphillF0</v>
      </c>
      <c r="T850" s="37" t="str">
        <f t="shared" si="148"/>
        <v>2002F0</v>
      </c>
      <c r="U850" s="429">
        <v>20</v>
      </c>
      <c r="V850" s="1029">
        <v>2</v>
      </c>
      <c r="W850" s="598">
        <v>0.02</v>
      </c>
      <c r="X850" s="429"/>
      <c r="Y850" s="37" t="str">
        <f t="shared" si="149"/>
        <v>F020</v>
      </c>
      <c r="Z850" s="37" t="str">
        <f t="shared" si="150"/>
        <v>F02</v>
      </c>
      <c r="AA850" s="37" t="str">
        <f t="shared" si="152"/>
        <v>F00.02</v>
      </c>
      <c r="AB850" s="498" t="str">
        <f t="shared" si="146"/>
        <v>F018</v>
      </c>
      <c r="AC850" s="572"/>
      <c r="AD850" s="572"/>
      <c r="AE850" s="572"/>
      <c r="AF850" s="572"/>
    </row>
    <row r="851" spans="1:32" ht="38.25">
      <c r="A851" s="947">
        <f t="shared" si="153"/>
        <v>844</v>
      </c>
      <c r="B851" s="948">
        <v>10</v>
      </c>
      <c r="C851" s="949">
        <v>37381</v>
      </c>
      <c r="D851" s="949" t="s">
        <v>177</v>
      </c>
      <c r="E851" s="904">
        <v>5</v>
      </c>
      <c r="F851" s="644">
        <v>2002</v>
      </c>
      <c r="G851" s="948" t="s">
        <v>138</v>
      </c>
      <c r="H851" s="645" t="s">
        <v>149</v>
      </c>
      <c r="I851" s="951">
        <v>25</v>
      </c>
      <c r="J851" s="951">
        <v>0.5</v>
      </c>
      <c r="K851" s="952">
        <f t="shared" si="151"/>
        <v>7.102272727272727E-3</v>
      </c>
      <c r="L851" s="644">
        <f t="shared" si="143"/>
        <v>18</v>
      </c>
      <c r="M851" s="935">
        <v>0.79027777777777775</v>
      </c>
      <c r="N851" s="936">
        <f t="shared" si="144"/>
        <v>0.79027777777777775</v>
      </c>
      <c r="O851" s="725">
        <v>0.79027777777777775</v>
      </c>
      <c r="P851" s="725">
        <f t="shared" si="147"/>
        <v>0</v>
      </c>
      <c r="Q851" s="622" t="s">
        <v>876</v>
      </c>
      <c r="R851" s="37"/>
      <c r="S851" s="37" t="str">
        <f t="shared" si="145"/>
        <v>HemphillF0</v>
      </c>
      <c r="T851" s="37" t="str">
        <f t="shared" si="148"/>
        <v>2002F0</v>
      </c>
      <c r="U851" s="429">
        <v>20</v>
      </c>
      <c r="V851" s="1029">
        <v>0.5</v>
      </c>
      <c r="W851" s="598">
        <v>5.0000000000000001E-3</v>
      </c>
      <c r="X851" s="429"/>
      <c r="Y851" s="37" t="str">
        <f t="shared" si="149"/>
        <v>F020</v>
      </c>
      <c r="Z851" s="37" t="str">
        <f t="shared" si="150"/>
        <v>F00.5</v>
      </c>
      <c r="AA851" s="37" t="str">
        <f t="shared" si="152"/>
        <v>F00.005</v>
      </c>
      <c r="AB851" s="498" t="str">
        <f t="shared" si="146"/>
        <v>F018</v>
      </c>
      <c r="AC851" s="572"/>
      <c r="AD851" s="572"/>
      <c r="AE851" s="572"/>
      <c r="AF851" s="572"/>
    </row>
    <row r="852" spans="1:32">
      <c r="A852" s="947">
        <f t="shared" si="153"/>
        <v>845</v>
      </c>
      <c r="B852" s="948">
        <v>11</v>
      </c>
      <c r="C852" s="949">
        <v>37381</v>
      </c>
      <c r="D852" s="949" t="s">
        <v>177</v>
      </c>
      <c r="E852" s="904">
        <v>5</v>
      </c>
      <c r="F852" s="644">
        <v>2002</v>
      </c>
      <c r="G852" s="948" t="s">
        <v>146</v>
      </c>
      <c r="H852" s="645" t="s">
        <v>149</v>
      </c>
      <c r="I852" s="951">
        <v>25</v>
      </c>
      <c r="J852" s="951">
        <v>0.2</v>
      </c>
      <c r="K852" s="952">
        <f t="shared" si="151"/>
        <v>2.840909090909091E-3</v>
      </c>
      <c r="L852" s="644">
        <f t="shared" si="143"/>
        <v>19</v>
      </c>
      <c r="M852" s="935">
        <v>0.79861111111111116</v>
      </c>
      <c r="N852" s="936">
        <f t="shared" si="144"/>
        <v>0.79861111111111116</v>
      </c>
      <c r="O852" s="725">
        <v>0.80069444444444438</v>
      </c>
      <c r="P852" s="725">
        <f t="shared" si="147"/>
        <v>2.0833333333332149E-3</v>
      </c>
      <c r="Q852" s="622" t="s">
        <v>280</v>
      </c>
      <c r="R852" s="37"/>
      <c r="S852" s="37" t="str">
        <f t="shared" si="145"/>
        <v>ArmstrongF0</v>
      </c>
      <c r="T852" s="37" t="str">
        <f t="shared" si="148"/>
        <v>2002F0</v>
      </c>
      <c r="U852" s="429">
        <v>20</v>
      </c>
      <c r="V852" s="1029">
        <v>0.2</v>
      </c>
      <c r="W852" s="598">
        <v>2E-3</v>
      </c>
      <c r="X852" s="429"/>
      <c r="Y852" s="37" t="str">
        <f t="shared" si="149"/>
        <v>F020</v>
      </c>
      <c r="Z852" s="37" t="str">
        <f t="shared" si="150"/>
        <v>F00.2</v>
      </c>
      <c r="AA852" s="37" t="str">
        <f t="shared" si="152"/>
        <v>F00.002</v>
      </c>
      <c r="AB852" s="498" t="str">
        <f t="shared" si="146"/>
        <v>F019</v>
      </c>
      <c r="AC852" s="572"/>
      <c r="AD852" s="572"/>
      <c r="AE852" s="572"/>
      <c r="AF852" s="572"/>
    </row>
    <row r="853" spans="1:32" ht="25.5">
      <c r="A853" s="947">
        <f t="shared" si="153"/>
        <v>846</v>
      </c>
      <c r="B853" s="948">
        <v>12</v>
      </c>
      <c r="C853" s="949">
        <v>37381</v>
      </c>
      <c r="D853" s="949" t="s">
        <v>177</v>
      </c>
      <c r="E853" s="904">
        <v>5</v>
      </c>
      <c r="F853" s="644">
        <v>2002</v>
      </c>
      <c r="G853" s="948" t="s">
        <v>148</v>
      </c>
      <c r="H853" s="645" t="s">
        <v>149</v>
      </c>
      <c r="I853" s="951">
        <v>25</v>
      </c>
      <c r="J853" s="951">
        <v>0.1</v>
      </c>
      <c r="K853" s="952">
        <f t="shared" si="151"/>
        <v>1.4204545454545455E-3</v>
      </c>
      <c r="L853" s="644">
        <f t="shared" si="143"/>
        <v>20</v>
      </c>
      <c r="M853" s="935">
        <v>0.84375</v>
      </c>
      <c r="N853" s="936">
        <f t="shared" si="144"/>
        <v>0.84375</v>
      </c>
      <c r="O853" s="725">
        <v>0.84583333333333333</v>
      </c>
      <c r="P853" s="725">
        <f t="shared" si="147"/>
        <v>2.0833333333333259E-3</v>
      </c>
      <c r="Q853" s="622" t="s">
        <v>769</v>
      </c>
      <c r="R853" s="37"/>
      <c r="S853" s="37" t="str">
        <f t="shared" si="145"/>
        <v>CollingsworthF0</v>
      </c>
      <c r="T853" s="37" t="str">
        <f t="shared" si="148"/>
        <v>2002F0</v>
      </c>
      <c r="U853" s="429">
        <v>20</v>
      </c>
      <c r="V853" s="1029">
        <v>0.1</v>
      </c>
      <c r="W853" s="598">
        <v>1E-3</v>
      </c>
      <c r="X853" s="429"/>
      <c r="Y853" s="37" t="str">
        <f t="shared" si="149"/>
        <v>F020</v>
      </c>
      <c r="Z853" s="37" t="str">
        <f t="shared" si="150"/>
        <v>F00.1</v>
      </c>
      <c r="AA853" s="37" t="str">
        <f t="shared" si="152"/>
        <v>F00.001</v>
      </c>
      <c r="AB853" s="498" t="str">
        <f t="shared" si="146"/>
        <v>F020</v>
      </c>
      <c r="AC853" s="572"/>
      <c r="AD853" s="572"/>
      <c r="AE853" s="572"/>
      <c r="AF853" s="572"/>
    </row>
    <row r="854" spans="1:32" ht="38.25">
      <c r="A854" s="947">
        <f t="shared" si="153"/>
        <v>847</v>
      </c>
      <c r="B854" s="948">
        <v>13</v>
      </c>
      <c r="C854" s="949">
        <v>37381</v>
      </c>
      <c r="D854" s="949" t="s">
        <v>177</v>
      </c>
      <c r="E854" s="904">
        <v>5</v>
      </c>
      <c r="F854" s="644">
        <v>2002</v>
      </c>
      <c r="G854" s="948" t="s">
        <v>147</v>
      </c>
      <c r="H854" s="645" t="s">
        <v>149</v>
      </c>
      <c r="I854" s="951">
        <v>25</v>
      </c>
      <c r="J854" s="951">
        <v>0.1</v>
      </c>
      <c r="K854" s="952">
        <f t="shared" si="151"/>
        <v>1.4204545454545455E-3</v>
      </c>
      <c r="L854" s="644">
        <f t="shared" si="143"/>
        <v>20</v>
      </c>
      <c r="M854" s="935">
        <v>0.84375</v>
      </c>
      <c r="N854" s="936">
        <f t="shared" si="144"/>
        <v>0.84375</v>
      </c>
      <c r="O854" s="725">
        <v>0.84375</v>
      </c>
      <c r="P854" s="725">
        <f t="shared" si="147"/>
        <v>0</v>
      </c>
      <c r="Q854" s="622" t="s">
        <v>770</v>
      </c>
      <c r="R854" s="37"/>
      <c r="S854" s="37" t="str">
        <f t="shared" si="145"/>
        <v>DonleyF0</v>
      </c>
      <c r="T854" s="37" t="str">
        <f t="shared" si="148"/>
        <v>2002F0</v>
      </c>
      <c r="U854" s="429">
        <v>20</v>
      </c>
      <c r="V854" s="1029">
        <v>0.1</v>
      </c>
      <c r="W854" s="598">
        <v>1E-3</v>
      </c>
      <c r="X854" s="429"/>
      <c r="Y854" s="37" t="str">
        <f t="shared" si="149"/>
        <v>F020</v>
      </c>
      <c r="Z854" s="37" t="str">
        <f t="shared" si="150"/>
        <v>F00.1</v>
      </c>
      <c r="AA854" s="37" t="str">
        <f t="shared" si="152"/>
        <v>F00.001</v>
      </c>
      <c r="AB854" s="498" t="str">
        <f t="shared" si="146"/>
        <v>F020</v>
      </c>
      <c r="AC854" s="572"/>
      <c r="AD854" s="572"/>
      <c r="AE854" s="572"/>
      <c r="AF854" s="572"/>
    </row>
    <row r="855" spans="1:32">
      <c r="A855" s="947">
        <f t="shared" si="153"/>
        <v>848</v>
      </c>
      <c r="B855" s="948">
        <v>14</v>
      </c>
      <c r="C855" s="949">
        <v>37387</v>
      </c>
      <c r="D855" s="949" t="s">
        <v>177</v>
      </c>
      <c r="E855" s="904">
        <v>11</v>
      </c>
      <c r="F855" s="644">
        <v>2002</v>
      </c>
      <c r="G855" s="948" t="s">
        <v>135</v>
      </c>
      <c r="H855" s="645" t="s">
        <v>149</v>
      </c>
      <c r="I855" s="951">
        <v>25</v>
      </c>
      <c r="J855" s="951">
        <v>0.1</v>
      </c>
      <c r="K855" s="952">
        <f t="shared" si="151"/>
        <v>1.4204545454545455E-3</v>
      </c>
      <c r="L855" s="644">
        <f t="shared" si="143"/>
        <v>0</v>
      </c>
      <c r="M855" s="935">
        <v>3.5416666666666666E-2</v>
      </c>
      <c r="N855" s="936">
        <f t="shared" si="144"/>
        <v>3.5416666666666666E-2</v>
      </c>
      <c r="O855" s="725">
        <v>3.6805555555555557E-2</v>
      </c>
      <c r="P855" s="725">
        <f t="shared" si="147"/>
        <v>1.3888888888888909E-3</v>
      </c>
      <c r="Q855" s="622" t="s">
        <v>397</v>
      </c>
      <c r="R855" s="37"/>
      <c r="S855" s="37" t="str">
        <f t="shared" si="145"/>
        <v>MooreF0</v>
      </c>
      <c r="T855" s="37" t="str">
        <f t="shared" si="148"/>
        <v>2002F0</v>
      </c>
      <c r="U855" s="429">
        <v>20</v>
      </c>
      <c r="V855" s="1029">
        <v>0.1</v>
      </c>
      <c r="W855" s="598">
        <v>1E-3</v>
      </c>
      <c r="X855" s="429"/>
      <c r="Y855" s="37" t="str">
        <f t="shared" si="149"/>
        <v>F020</v>
      </c>
      <c r="Z855" s="37" t="str">
        <f t="shared" si="150"/>
        <v>F00.1</v>
      </c>
      <c r="AA855" s="37" t="str">
        <f t="shared" si="152"/>
        <v>F00.001</v>
      </c>
      <c r="AB855" s="498" t="str">
        <f t="shared" si="146"/>
        <v>F00</v>
      </c>
      <c r="AC855" s="572"/>
      <c r="AD855" s="572"/>
      <c r="AE855" s="572"/>
      <c r="AF855" s="572"/>
    </row>
    <row r="856" spans="1:32">
      <c r="A856" s="947">
        <f t="shared" si="153"/>
        <v>849</v>
      </c>
      <c r="B856" s="948">
        <v>15</v>
      </c>
      <c r="C856" s="949">
        <v>37392</v>
      </c>
      <c r="D856" s="949" t="s">
        <v>177</v>
      </c>
      <c r="E856" s="904">
        <v>16</v>
      </c>
      <c r="F856" s="644">
        <v>2002</v>
      </c>
      <c r="G856" s="948" t="s">
        <v>127</v>
      </c>
      <c r="H856" s="645" t="s">
        <v>149</v>
      </c>
      <c r="I856" s="951">
        <v>25</v>
      </c>
      <c r="J856" s="951">
        <v>0.1</v>
      </c>
      <c r="K856" s="952">
        <f t="shared" si="151"/>
        <v>1.4204545454545455E-3</v>
      </c>
      <c r="L856" s="644">
        <f t="shared" si="143"/>
        <v>18</v>
      </c>
      <c r="M856" s="935">
        <v>0.75</v>
      </c>
      <c r="N856" s="936">
        <f t="shared" si="144"/>
        <v>0.75</v>
      </c>
      <c r="O856" s="725">
        <v>0.75138888888888899</v>
      </c>
      <c r="P856" s="725">
        <f t="shared" si="147"/>
        <v>1.388888888888995E-3</v>
      </c>
      <c r="Q856" s="622" t="s">
        <v>255</v>
      </c>
      <c r="R856" s="37"/>
      <c r="S856" s="37" t="str">
        <f t="shared" si="145"/>
        <v>TexasF0</v>
      </c>
      <c r="T856" s="37" t="str">
        <f t="shared" si="148"/>
        <v>2002F0</v>
      </c>
      <c r="U856" s="429">
        <v>20</v>
      </c>
      <c r="V856" s="1029">
        <v>0.1</v>
      </c>
      <c r="W856" s="598">
        <v>1E-3</v>
      </c>
      <c r="X856" s="429"/>
      <c r="Y856" s="37" t="str">
        <f t="shared" si="149"/>
        <v>F020</v>
      </c>
      <c r="Z856" s="37" t="str">
        <f t="shared" si="150"/>
        <v>F00.1</v>
      </c>
      <c r="AA856" s="37" t="str">
        <f t="shared" si="152"/>
        <v>F00.001</v>
      </c>
      <c r="AB856" s="498" t="str">
        <f t="shared" si="146"/>
        <v>F018</v>
      </c>
      <c r="AC856" s="572"/>
      <c r="AD856" s="572"/>
      <c r="AE856" s="572"/>
      <c r="AF856" s="572"/>
    </row>
    <row r="857" spans="1:32">
      <c r="A857" s="947">
        <f t="shared" si="153"/>
        <v>850</v>
      </c>
      <c r="B857" s="948">
        <v>16</v>
      </c>
      <c r="C857" s="949">
        <v>37392</v>
      </c>
      <c r="D857" s="949" t="s">
        <v>177</v>
      </c>
      <c r="E857" s="904">
        <v>16</v>
      </c>
      <c r="F857" s="644">
        <v>2002</v>
      </c>
      <c r="G857" s="948" t="s">
        <v>127</v>
      </c>
      <c r="H857" s="645" t="s">
        <v>149</v>
      </c>
      <c r="I857" s="951">
        <v>25</v>
      </c>
      <c r="J857" s="951">
        <v>0.1</v>
      </c>
      <c r="K857" s="952">
        <f t="shared" si="151"/>
        <v>1.4204545454545455E-3</v>
      </c>
      <c r="L857" s="644">
        <f t="shared" si="143"/>
        <v>18</v>
      </c>
      <c r="M857" s="935">
        <v>0.77777777777777779</v>
      </c>
      <c r="N857" s="936">
        <f t="shared" si="144"/>
        <v>0.77777777777777779</v>
      </c>
      <c r="O857" s="725">
        <v>0.77986111111111101</v>
      </c>
      <c r="P857" s="725">
        <f t="shared" si="147"/>
        <v>2.0833333333332149E-3</v>
      </c>
      <c r="Q857" s="622" t="s">
        <v>256</v>
      </c>
      <c r="R857" s="37"/>
      <c r="S857" s="37" t="str">
        <f t="shared" si="145"/>
        <v>TexasF0</v>
      </c>
      <c r="T857" s="37" t="str">
        <f t="shared" si="148"/>
        <v>2002F0</v>
      </c>
      <c r="U857" s="429">
        <v>20</v>
      </c>
      <c r="V857" s="1029">
        <v>0.1</v>
      </c>
      <c r="W857" s="598">
        <v>1E-3</v>
      </c>
      <c r="X857" s="429"/>
      <c r="Y857" s="37" t="str">
        <f t="shared" si="149"/>
        <v>F020</v>
      </c>
      <c r="Z857" s="37" t="str">
        <f t="shared" si="150"/>
        <v>F00.1</v>
      </c>
      <c r="AA857" s="37" t="str">
        <f t="shared" si="152"/>
        <v>F00.001</v>
      </c>
      <c r="AB857" s="498" t="str">
        <f t="shared" si="146"/>
        <v>F018</v>
      </c>
      <c r="AC857" s="572"/>
      <c r="AD857" s="572"/>
      <c r="AE857" s="572"/>
      <c r="AF857" s="572"/>
    </row>
    <row r="858" spans="1:32">
      <c r="A858" s="947">
        <f t="shared" si="153"/>
        <v>851</v>
      </c>
      <c r="B858" s="948">
        <v>17</v>
      </c>
      <c r="C858" s="949">
        <v>37392</v>
      </c>
      <c r="D858" s="949" t="s">
        <v>177</v>
      </c>
      <c r="E858" s="904">
        <v>16</v>
      </c>
      <c r="F858" s="644">
        <v>2002</v>
      </c>
      <c r="G858" s="948" t="s">
        <v>136</v>
      </c>
      <c r="H858" s="645" t="s">
        <v>150</v>
      </c>
      <c r="I858" s="951">
        <v>100</v>
      </c>
      <c r="J858" s="951">
        <v>0.1</v>
      </c>
      <c r="K858" s="952">
        <f t="shared" si="151"/>
        <v>5.681818181818182E-3</v>
      </c>
      <c r="L858" s="644">
        <f t="shared" si="143"/>
        <v>19</v>
      </c>
      <c r="M858" s="935">
        <v>0.82638888888888884</v>
      </c>
      <c r="N858" s="936">
        <f t="shared" si="144"/>
        <v>0.82638888888888884</v>
      </c>
      <c r="O858" s="725">
        <v>0.82986111111111116</v>
      </c>
      <c r="P858" s="725">
        <f t="shared" si="147"/>
        <v>3.4722222222223209E-3</v>
      </c>
      <c r="Q858" s="622" t="s">
        <v>383</v>
      </c>
      <c r="R858" s="37"/>
      <c r="S858" s="37" t="str">
        <f t="shared" si="145"/>
        <v>HutchinsonF1</v>
      </c>
      <c r="T858" s="37" t="str">
        <f t="shared" si="148"/>
        <v>2002F1</v>
      </c>
      <c r="U858" s="429">
        <v>100</v>
      </c>
      <c r="V858" s="1029">
        <v>0.1</v>
      </c>
      <c r="W858" s="598">
        <v>5.0000000000000001E-3</v>
      </c>
      <c r="X858" s="429"/>
      <c r="Y858" s="37" t="str">
        <f t="shared" si="149"/>
        <v>F1100</v>
      </c>
      <c r="Z858" s="37" t="str">
        <f t="shared" si="150"/>
        <v>F10.1</v>
      </c>
      <c r="AA858" s="37" t="str">
        <f t="shared" si="152"/>
        <v>F10.005</v>
      </c>
      <c r="AB858" s="498" t="str">
        <f t="shared" si="146"/>
        <v>F119</v>
      </c>
      <c r="AC858" s="572"/>
      <c r="AD858" s="572"/>
      <c r="AE858" s="572"/>
      <c r="AF858" s="572"/>
    </row>
    <row r="859" spans="1:32">
      <c r="A859" s="947">
        <f t="shared" si="153"/>
        <v>852</v>
      </c>
      <c r="B859" s="948">
        <v>18</v>
      </c>
      <c r="C859" s="949">
        <v>37399</v>
      </c>
      <c r="D859" s="949" t="s">
        <v>177</v>
      </c>
      <c r="E859" s="904">
        <v>23</v>
      </c>
      <c r="F859" s="644">
        <v>2002</v>
      </c>
      <c r="G859" s="948" t="s">
        <v>133</v>
      </c>
      <c r="H859" s="645" t="s">
        <v>149</v>
      </c>
      <c r="I859" s="951">
        <v>25</v>
      </c>
      <c r="J859" s="951">
        <v>0.1</v>
      </c>
      <c r="K859" s="952">
        <f t="shared" si="151"/>
        <v>1.4204545454545455E-3</v>
      </c>
      <c r="L859" s="644">
        <f t="shared" si="143"/>
        <v>17</v>
      </c>
      <c r="M859" s="935">
        <v>0.72916666666666663</v>
      </c>
      <c r="N859" s="936">
        <f t="shared" si="144"/>
        <v>0.72916666666666663</v>
      </c>
      <c r="O859" s="725">
        <v>0.73055555555555562</v>
      </c>
      <c r="P859" s="725">
        <f t="shared" si="147"/>
        <v>1.388888888888995E-3</v>
      </c>
      <c r="Q859" s="622" t="s">
        <v>388</v>
      </c>
      <c r="R859" s="37"/>
      <c r="S859" s="37" t="str">
        <f t="shared" si="145"/>
        <v>LipscombF0</v>
      </c>
      <c r="T859" s="37" t="str">
        <f t="shared" si="148"/>
        <v>2002F0</v>
      </c>
      <c r="U859" s="429">
        <v>20</v>
      </c>
      <c r="V859" s="1029">
        <v>0.1</v>
      </c>
      <c r="W859" s="598">
        <v>1E-3</v>
      </c>
      <c r="X859" s="429"/>
      <c r="Y859" s="37" t="str">
        <f t="shared" si="149"/>
        <v>F020</v>
      </c>
      <c r="Z859" s="37" t="str">
        <f t="shared" si="150"/>
        <v>F00.1</v>
      </c>
      <c r="AA859" s="37" t="str">
        <f t="shared" si="152"/>
        <v>F00.001</v>
      </c>
      <c r="AB859" s="498" t="str">
        <f t="shared" si="146"/>
        <v>F017</v>
      </c>
      <c r="AC859" s="572"/>
      <c r="AD859" s="572"/>
      <c r="AE859" s="572"/>
      <c r="AF859" s="572"/>
    </row>
    <row r="860" spans="1:32">
      <c r="A860" s="947">
        <f t="shared" si="153"/>
        <v>853</v>
      </c>
      <c r="B860" s="948">
        <v>19</v>
      </c>
      <c r="C860" s="949">
        <v>37399</v>
      </c>
      <c r="D860" s="949" t="s">
        <v>177</v>
      </c>
      <c r="E860" s="904">
        <v>23</v>
      </c>
      <c r="F860" s="644">
        <v>2002</v>
      </c>
      <c r="G860" s="948" t="s">
        <v>136</v>
      </c>
      <c r="H860" s="645" t="s">
        <v>149</v>
      </c>
      <c r="I860" s="951">
        <v>25</v>
      </c>
      <c r="J860" s="951">
        <v>0.1</v>
      </c>
      <c r="K860" s="952">
        <f t="shared" si="151"/>
        <v>1.4204545454545455E-3</v>
      </c>
      <c r="L860" s="644">
        <f t="shared" si="143"/>
        <v>19</v>
      </c>
      <c r="M860" s="935">
        <v>0.82152777777777775</v>
      </c>
      <c r="N860" s="936">
        <f t="shared" si="144"/>
        <v>0.82152777777777775</v>
      </c>
      <c r="O860" s="725">
        <v>0.82291666666666663</v>
      </c>
      <c r="P860" s="725">
        <f t="shared" si="147"/>
        <v>1.388888888888884E-3</v>
      </c>
      <c r="Q860" s="622" t="s">
        <v>384</v>
      </c>
      <c r="R860" s="37"/>
      <c r="S860" s="37" t="str">
        <f t="shared" si="145"/>
        <v>HutchinsonF0</v>
      </c>
      <c r="T860" s="37" t="str">
        <f t="shared" si="148"/>
        <v>2002F0</v>
      </c>
      <c r="U860" s="429">
        <v>20</v>
      </c>
      <c r="V860" s="1029">
        <v>0.1</v>
      </c>
      <c r="W860" s="598">
        <v>1E-3</v>
      </c>
      <c r="X860" s="429"/>
      <c r="Y860" s="37" t="str">
        <f t="shared" si="149"/>
        <v>F020</v>
      </c>
      <c r="Z860" s="37" t="str">
        <f t="shared" si="150"/>
        <v>F00.1</v>
      </c>
      <c r="AA860" s="37" t="str">
        <f t="shared" si="152"/>
        <v>F00.001</v>
      </c>
      <c r="AB860" s="498" t="str">
        <f t="shared" si="146"/>
        <v>F019</v>
      </c>
      <c r="AC860" s="572"/>
      <c r="AD860" s="572"/>
      <c r="AE860" s="572"/>
      <c r="AF860" s="572"/>
    </row>
    <row r="861" spans="1:32">
      <c r="A861" s="947">
        <f t="shared" si="153"/>
        <v>854</v>
      </c>
      <c r="B861" s="948">
        <v>20</v>
      </c>
      <c r="C861" s="949">
        <v>37399</v>
      </c>
      <c r="D861" s="949" t="s">
        <v>177</v>
      </c>
      <c r="E861" s="904">
        <v>23</v>
      </c>
      <c r="F861" s="644">
        <v>2002</v>
      </c>
      <c r="G861" s="948" t="s">
        <v>136</v>
      </c>
      <c r="H861" s="645" t="s">
        <v>149</v>
      </c>
      <c r="I861" s="951">
        <v>25</v>
      </c>
      <c r="J861" s="951">
        <v>0.1</v>
      </c>
      <c r="K861" s="952">
        <f t="shared" si="151"/>
        <v>1.4204545454545455E-3</v>
      </c>
      <c r="L861" s="644">
        <f t="shared" si="143"/>
        <v>20</v>
      </c>
      <c r="M861" s="935">
        <v>0.83680555555555547</v>
      </c>
      <c r="N861" s="936">
        <f t="shared" si="144"/>
        <v>0.83680555555555547</v>
      </c>
      <c r="O861" s="725">
        <v>0.83819444444444446</v>
      </c>
      <c r="P861" s="725">
        <f t="shared" si="147"/>
        <v>1.388888888888995E-3</v>
      </c>
      <c r="Q861" s="622" t="s">
        <v>384</v>
      </c>
      <c r="R861" s="37"/>
      <c r="S861" s="37" t="str">
        <f t="shared" si="145"/>
        <v>HutchinsonF0</v>
      </c>
      <c r="T861" s="37" t="str">
        <f t="shared" si="148"/>
        <v>2002F0</v>
      </c>
      <c r="U861" s="429">
        <v>20</v>
      </c>
      <c r="V861" s="1029">
        <v>0.1</v>
      </c>
      <c r="W861" s="598">
        <v>1E-3</v>
      </c>
      <c r="X861" s="429"/>
      <c r="Y861" s="37" t="str">
        <f t="shared" si="149"/>
        <v>F020</v>
      </c>
      <c r="Z861" s="37" t="str">
        <f t="shared" si="150"/>
        <v>F00.1</v>
      </c>
      <c r="AA861" s="37" t="str">
        <f t="shared" si="152"/>
        <v>F00.001</v>
      </c>
      <c r="AB861" s="498" t="str">
        <f t="shared" si="146"/>
        <v>F020</v>
      </c>
      <c r="AC861" s="572"/>
      <c r="AD861" s="572"/>
      <c r="AE861" s="572"/>
      <c r="AF861" s="572"/>
    </row>
    <row r="862" spans="1:32">
      <c r="A862" s="947">
        <f t="shared" si="153"/>
        <v>855</v>
      </c>
      <c r="B862" s="948">
        <v>21</v>
      </c>
      <c r="C862" s="949">
        <v>37399</v>
      </c>
      <c r="D862" s="949" t="s">
        <v>177</v>
      </c>
      <c r="E862" s="904">
        <v>23</v>
      </c>
      <c r="F862" s="644">
        <v>2002</v>
      </c>
      <c r="G862" s="948" t="s">
        <v>137</v>
      </c>
      <c r="H862" s="645" t="s">
        <v>150</v>
      </c>
      <c r="I862" s="951">
        <v>100</v>
      </c>
      <c r="J862" s="951">
        <v>6</v>
      </c>
      <c r="K862" s="952">
        <f t="shared" si="151"/>
        <v>0.34090909090909088</v>
      </c>
      <c r="L862" s="644">
        <f t="shared" ref="L862:L925" si="154">HOUR(N862)</f>
        <v>22</v>
      </c>
      <c r="M862" s="935">
        <v>0.93402777777777779</v>
      </c>
      <c r="N862" s="936">
        <f t="shared" si="144"/>
        <v>0.93402777777777779</v>
      </c>
      <c r="O862" s="725">
        <v>0.94097222222222221</v>
      </c>
      <c r="P862" s="725">
        <f t="shared" si="147"/>
        <v>6.9444444444444198E-3</v>
      </c>
      <c r="Q862" s="622" t="s">
        <v>437</v>
      </c>
      <c r="R862" s="37"/>
      <c r="S862" s="37" t="str">
        <f t="shared" si="145"/>
        <v>RobertsF1</v>
      </c>
      <c r="T862" s="37" t="str">
        <f t="shared" si="148"/>
        <v>2002F1</v>
      </c>
      <c r="U862" s="429">
        <v>100</v>
      </c>
      <c r="V862" s="1029">
        <v>5</v>
      </c>
      <c r="W862" s="598">
        <v>0.2</v>
      </c>
      <c r="X862" s="429"/>
      <c r="Y862" s="37" t="str">
        <f t="shared" si="149"/>
        <v>F1100</v>
      </c>
      <c r="Z862" s="37" t="str">
        <f t="shared" si="150"/>
        <v>F15</v>
      </c>
      <c r="AA862" s="37" t="str">
        <f t="shared" si="152"/>
        <v>F10.2</v>
      </c>
      <c r="AB862" s="498" t="str">
        <f t="shared" si="146"/>
        <v>F122</v>
      </c>
      <c r="AC862" s="572"/>
      <c r="AD862" s="572"/>
      <c r="AE862" s="572"/>
      <c r="AF862" s="572"/>
    </row>
    <row r="863" spans="1:32">
      <c r="A863" s="947">
        <f t="shared" si="153"/>
        <v>856</v>
      </c>
      <c r="B863" s="948">
        <v>22</v>
      </c>
      <c r="C863" s="949">
        <v>37422</v>
      </c>
      <c r="D863" s="949" t="s">
        <v>178</v>
      </c>
      <c r="E863" s="904">
        <v>15</v>
      </c>
      <c r="F863" s="644">
        <v>2002</v>
      </c>
      <c r="G863" s="948" t="s">
        <v>128</v>
      </c>
      <c r="H863" s="645" t="s">
        <v>149</v>
      </c>
      <c r="I863" s="951">
        <v>25</v>
      </c>
      <c r="J863" s="951">
        <v>0.2</v>
      </c>
      <c r="K863" s="952">
        <f t="shared" si="151"/>
        <v>2.840909090909091E-3</v>
      </c>
      <c r="L863" s="644">
        <f t="shared" si="154"/>
        <v>17</v>
      </c>
      <c r="M863" s="935">
        <v>0.7104166666666667</v>
      </c>
      <c r="N863" s="936">
        <f t="shared" si="144"/>
        <v>0.7104166666666667</v>
      </c>
      <c r="O863" s="725">
        <v>0.71458333333333324</v>
      </c>
      <c r="P863" s="725">
        <f t="shared" si="147"/>
        <v>4.1666666666665408E-3</v>
      </c>
      <c r="Q863" s="622" t="s">
        <v>273</v>
      </c>
      <c r="R863" s="37"/>
      <c r="S863" s="37" t="str">
        <f t="shared" si="145"/>
        <v>BeaverF0</v>
      </c>
      <c r="T863" s="37" t="str">
        <f t="shared" si="148"/>
        <v>2002F0</v>
      </c>
      <c r="U863" s="429">
        <v>20</v>
      </c>
      <c r="V863" s="1029">
        <v>0.2</v>
      </c>
      <c r="W863" s="598">
        <v>2E-3</v>
      </c>
      <c r="X863" s="429"/>
      <c r="Y863" s="37" t="str">
        <f t="shared" si="149"/>
        <v>F020</v>
      </c>
      <c r="Z863" s="37" t="str">
        <f t="shared" si="150"/>
        <v>F00.2</v>
      </c>
      <c r="AA863" s="37" t="str">
        <f t="shared" si="152"/>
        <v>F00.002</v>
      </c>
      <c r="AB863" s="498" t="str">
        <f t="shared" si="146"/>
        <v>F017</v>
      </c>
      <c r="AC863" s="572"/>
      <c r="AD863" s="572"/>
      <c r="AE863" s="572"/>
      <c r="AF863" s="572"/>
    </row>
    <row r="864" spans="1:32">
      <c r="A864" s="947">
        <f t="shared" si="153"/>
        <v>857</v>
      </c>
      <c r="B864" s="948">
        <v>23</v>
      </c>
      <c r="C864" s="949">
        <v>37498</v>
      </c>
      <c r="D864" s="949" t="s">
        <v>180</v>
      </c>
      <c r="E864" s="904">
        <v>30</v>
      </c>
      <c r="F864" s="644">
        <v>2002</v>
      </c>
      <c r="G864" s="948" t="s">
        <v>144</v>
      </c>
      <c r="H864" s="645" t="s">
        <v>149</v>
      </c>
      <c r="I864" s="951">
        <v>25</v>
      </c>
      <c r="J864" s="951">
        <v>0.5</v>
      </c>
      <c r="K864" s="952">
        <f t="shared" si="151"/>
        <v>7.102272727272727E-3</v>
      </c>
      <c r="L864" s="644">
        <f t="shared" si="154"/>
        <v>18</v>
      </c>
      <c r="M864" s="935">
        <v>0.75486111111111109</v>
      </c>
      <c r="N864" s="936">
        <f t="shared" si="144"/>
        <v>0.75486111111111109</v>
      </c>
      <c r="O864" s="725">
        <v>0.75763888888888886</v>
      </c>
      <c r="P864" s="725">
        <f t="shared" si="147"/>
        <v>2.7777777777777679E-3</v>
      </c>
      <c r="Q864" s="622" t="s">
        <v>318</v>
      </c>
      <c r="R864" s="37"/>
      <c r="S864" s="37" t="str">
        <f t="shared" si="145"/>
        <v>Deaf SmithF0</v>
      </c>
      <c r="T864" s="37" t="str">
        <f t="shared" si="148"/>
        <v>2002F0</v>
      </c>
      <c r="U864" s="429">
        <v>20</v>
      </c>
      <c r="V864" s="1029">
        <v>0.5</v>
      </c>
      <c r="W864" s="598">
        <v>5.0000000000000001E-3</v>
      </c>
      <c r="X864" s="429"/>
      <c r="Y864" s="37" t="str">
        <f t="shared" si="149"/>
        <v>F020</v>
      </c>
      <c r="Z864" s="37" t="str">
        <f t="shared" si="150"/>
        <v>F00.5</v>
      </c>
      <c r="AA864" s="37" t="str">
        <f t="shared" si="152"/>
        <v>F00.005</v>
      </c>
      <c r="AB864" s="498" t="str">
        <f t="shared" si="146"/>
        <v>F018</v>
      </c>
      <c r="AC864" s="572"/>
      <c r="AD864" s="572"/>
      <c r="AE864" s="572"/>
      <c r="AF864" s="572"/>
    </row>
    <row r="865" spans="1:32">
      <c r="A865" s="947">
        <f t="shared" si="153"/>
        <v>858</v>
      </c>
      <c r="B865" s="948">
        <v>1</v>
      </c>
      <c r="C865" s="949">
        <v>37726</v>
      </c>
      <c r="D865" s="949" t="s">
        <v>176</v>
      </c>
      <c r="E865" s="904">
        <v>15</v>
      </c>
      <c r="F865" s="644">
        <v>2003</v>
      </c>
      <c r="G865" s="948" t="s">
        <v>143</v>
      </c>
      <c r="H865" s="645" t="s">
        <v>149</v>
      </c>
      <c r="I865" s="951">
        <v>200</v>
      </c>
      <c r="J865" s="951">
        <v>5</v>
      </c>
      <c r="K865" s="952">
        <f t="shared" si="151"/>
        <v>0.56818181818181812</v>
      </c>
      <c r="L865" s="644">
        <f t="shared" si="154"/>
        <v>16</v>
      </c>
      <c r="M865" s="935">
        <v>0.67013888888888884</v>
      </c>
      <c r="N865" s="936">
        <f t="shared" si="144"/>
        <v>0.67013888888888884</v>
      </c>
      <c r="O865" s="725">
        <v>0.67708333333333337</v>
      </c>
      <c r="P865" s="725">
        <f t="shared" si="147"/>
        <v>6.9444444444445308E-3</v>
      </c>
      <c r="Q865" s="622" t="s">
        <v>59</v>
      </c>
      <c r="R865" s="37"/>
      <c r="S865" s="37" t="str">
        <f t="shared" si="145"/>
        <v>WheelerF0</v>
      </c>
      <c r="T865" s="37" t="str">
        <f t="shared" si="148"/>
        <v>2003F0</v>
      </c>
      <c r="U865" s="429">
        <v>200</v>
      </c>
      <c r="V865" s="1029">
        <v>5</v>
      </c>
      <c r="W865" s="598">
        <v>0.5</v>
      </c>
      <c r="X865" s="429"/>
      <c r="Y865" s="37" t="str">
        <f t="shared" si="149"/>
        <v>F0200</v>
      </c>
      <c r="Z865" s="37" t="str">
        <f t="shared" si="150"/>
        <v>F05</v>
      </c>
      <c r="AA865" s="37" t="str">
        <f t="shared" si="152"/>
        <v>F00.5</v>
      </c>
      <c r="AB865" s="498" t="str">
        <f t="shared" si="146"/>
        <v>F016</v>
      </c>
      <c r="AC865" s="572"/>
      <c r="AD865" s="572"/>
      <c r="AE865" s="572"/>
      <c r="AF865" s="572"/>
    </row>
    <row r="866" spans="1:32">
      <c r="A866" s="947">
        <f t="shared" si="153"/>
        <v>859</v>
      </c>
      <c r="B866" s="948">
        <v>2</v>
      </c>
      <c r="C866" s="949">
        <v>37734</v>
      </c>
      <c r="D866" s="949" t="s">
        <v>176</v>
      </c>
      <c r="E866" s="904">
        <v>23</v>
      </c>
      <c r="F866" s="644">
        <v>2003</v>
      </c>
      <c r="G866" s="948" t="s">
        <v>147</v>
      </c>
      <c r="H866" s="645" t="s">
        <v>150</v>
      </c>
      <c r="I866" s="951">
        <v>25</v>
      </c>
      <c r="J866" s="951">
        <v>0.1</v>
      </c>
      <c r="K866" s="952">
        <f t="shared" si="151"/>
        <v>1.4204545454545455E-3</v>
      </c>
      <c r="L866" s="644">
        <f t="shared" si="154"/>
        <v>11</v>
      </c>
      <c r="M866" s="935">
        <v>0.4694444444444445</v>
      </c>
      <c r="N866" s="936">
        <f t="shared" si="144"/>
        <v>0.4694444444444445</v>
      </c>
      <c r="O866" s="725">
        <v>0.47083333333333338</v>
      </c>
      <c r="P866" s="725">
        <f t="shared" si="147"/>
        <v>1.388888888888884E-3</v>
      </c>
      <c r="Q866" s="622" t="s">
        <v>333</v>
      </c>
      <c r="R866" s="37"/>
      <c r="S866" s="37" t="str">
        <f t="shared" si="145"/>
        <v>DonleyF1</v>
      </c>
      <c r="T866" s="37" t="str">
        <f t="shared" si="148"/>
        <v>2003F1</v>
      </c>
      <c r="U866" s="429">
        <v>20</v>
      </c>
      <c r="V866" s="1029">
        <v>0.1</v>
      </c>
      <c r="W866" s="598">
        <v>1E-3</v>
      </c>
      <c r="X866" s="429"/>
      <c r="Y866" s="37" t="str">
        <f t="shared" si="149"/>
        <v>F120</v>
      </c>
      <c r="Z866" s="37" t="str">
        <f t="shared" si="150"/>
        <v>F10.1</v>
      </c>
      <c r="AA866" s="37" t="str">
        <f t="shared" si="152"/>
        <v>F10.001</v>
      </c>
      <c r="AB866" s="498" t="str">
        <f t="shared" si="146"/>
        <v>F111</v>
      </c>
      <c r="AC866" s="572"/>
      <c r="AD866" s="572"/>
      <c r="AE866" s="572"/>
      <c r="AF866" s="572"/>
    </row>
    <row r="867" spans="1:32" ht="54.95" customHeight="1">
      <c r="A867" s="947">
        <f t="shared" si="153"/>
        <v>860</v>
      </c>
      <c r="B867" s="948">
        <v>3</v>
      </c>
      <c r="C867" s="949">
        <v>37756</v>
      </c>
      <c r="D867" s="949" t="s">
        <v>177</v>
      </c>
      <c r="E867" s="904">
        <v>15</v>
      </c>
      <c r="F867" s="644">
        <v>2003</v>
      </c>
      <c r="G867" s="948" t="s">
        <v>126</v>
      </c>
      <c r="H867" s="645" t="s">
        <v>149</v>
      </c>
      <c r="I867" s="951">
        <v>100</v>
      </c>
      <c r="J867" s="951">
        <v>0.1</v>
      </c>
      <c r="K867" s="952">
        <f t="shared" si="151"/>
        <v>5.681818181818182E-3</v>
      </c>
      <c r="L867" s="644">
        <f t="shared" si="154"/>
        <v>15</v>
      </c>
      <c r="M867" s="935">
        <v>0.6333333333333333</v>
      </c>
      <c r="N867" s="936">
        <f t="shared" si="144"/>
        <v>0.6333333333333333</v>
      </c>
      <c r="O867" s="725">
        <v>0.63402777777777775</v>
      </c>
      <c r="P867" s="725">
        <f t="shared" si="147"/>
        <v>6.9444444444444198E-4</v>
      </c>
      <c r="Q867" s="622" t="s">
        <v>475</v>
      </c>
      <c r="R867" s="37"/>
      <c r="S867" s="37" t="str">
        <f t="shared" si="145"/>
        <v>CimarronF0</v>
      </c>
      <c r="T867" s="37" t="str">
        <f t="shared" si="148"/>
        <v>2003F0</v>
      </c>
      <c r="U867" s="429">
        <v>100</v>
      </c>
      <c r="V867" s="1029">
        <v>0.1</v>
      </c>
      <c r="W867" s="598">
        <v>5.0000000000000001E-3</v>
      </c>
      <c r="X867" s="429"/>
      <c r="Y867" s="37" t="str">
        <f t="shared" si="149"/>
        <v>F0100</v>
      </c>
      <c r="Z867" s="37" t="str">
        <f t="shared" si="150"/>
        <v>F00.1</v>
      </c>
      <c r="AA867" s="37" t="str">
        <f t="shared" si="152"/>
        <v>F00.005</v>
      </c>
      <c r="AB867" s="498" t="str">
        <f t="shared" si="146"/>
        <v>F015</v>
      </c>
      <c r="AC867" s="572"/>
      <c r="AD867" s="572"/>
      <c r="AE867" s="572"/>
      <c r="AF867" s="572"/>
    </row>
    <row r="868" spans="1:32">
      <c r="A868" s="947">
        <f t="shared" si="153"/>
        <v>861</v>
      </c>
      <c r="B868" s="948">
        <v>4</v>
      </c>
      <c r="C868" s="949">
        <v>37756</v>
      </c>
      <c r="D868" s="949" t="s">
        <v>177</v>
      </c>
      <c r="E868" s="904">
        <v>15</v>
      </c>
      <c r="F868" s="644">
        <v>2003</v>
      </c>
      <c r="G868" s="948" t="s">
        <v>126</v>
      </c>
      <c r="H868" s="645" t="s">
        <v>150</v>
      </c>
      <c r="I868" s="951">
        <v>200</v>
      </c>
      <c r="J868" s="951">
        <v>5</v>
      </c>
      <c r="K868" s="952">
        <f t="shared" si="151"/>
        <v>0.56818181818181812</v>
      </c>
      <c r="L868" s="644">
        <f t="shared" si="154"/>
        <v>15</v>
      </c>
      <c r="M868" s="935">
        <v>0.64236111111111105</v>
      </c>
      <c r="N868" s="936">
        <f t="shared" si="144"/>
        <v>0.64236111111111105</v>
      </c>
      <c r="O868" s="725">
        <v>0.64930555555555558</v>
      </c>
      <c r="P868" s="725">
        <f t="shared" si="147"/>
        <v>6.9444444444445308E-3</v>
      </c>
      <c r="Q868" s="622" t="s">
        <v>240</v>
      </c>
      <c r="R868" s="37"/>
      <c r="S868" s="37" t="str">
        <f t="shared" si="145"/>
        <v>CimarronF1</v>
      </c>
      <c r="T868" s="37" t="str">
        <f t="shared" si="148"/>
        <v>2003F1</v>
      </c>
      <c r="U868" s="429">
        <v>200</v>
      </c>
      <c r="V868" s="1029">
        <v>5</v>
      </c>
      <c r="W868" s="598">
        <v>0.5</v>
      </c>
      <c r="X868" s="429"/>
      <c r="Y868" s="37" t="str">
        <f t="shared" si="149"/>
        <v>F1200</v>
      </c>
      <c r="Z868" s="37" t="str">
        <f t="shared" si="150"/>
        <v>F15</v>
      </c>
      <c r="AA868" s="37" t="str">
        <f t="shared" si="152"/>
        <v>F10.5</v>
      </c>
      <c r="AB868" s="498" t="str">
        <f t="shared" si="146"/>
        <v>F115</v>
      </c>
      <c r="AC868" s="572"/>
      <c r="AD868" s="572"/>
      <c r="AE868" s="572"/>
      <c r="AF868" s="572"/>
    </row>
    <row r="869" spans="1:32">
      <c r="A869" s="947">
        <f t="shared" si="153"/>
        <v>862</v>
      </c>
      <c r="B869" s="948">
        <v>5</v>
      </c>
      <c r="C869" s="949">
        <v>37756</v>
      </c>
      <c r="D869" s="949" t="s">
        <v>177</v>
      </c>
      <c r="E869" s="904">
        <v>15</v>
      </c>
      <c r="F869" s="644">
        <v>2003</v>
      </c>
      <c r="G869" s="948" t="s">
        <v>126</v>
      </c>
      <c r="H869" s="645" t="s">
        <v>149</v>
      </c>
      <c r="I869" s="951">
        <v>50</v>
      </c>
      <c r="J869" s="951">
        <v>0.1</v>
      </c>
      <c r="K869" s="952">
        <f t="shared" si="151"/>
        <v>2.840909090909091E-3</v>
      </c>
      <c r="L869" s="644">
        <f t="shared" si="154"/>
        <v>15</v>
      </c>
      <c r="M869" s="935">
        <v>0.65625</v>
      </c>
      <c r="N869" s="936">
        <f t="shared" si="144"/>
        <v>0.65625</v>
      </c>
      <c r="O869" s="725">
        <v>0.65694444444444444</v>
      </c>
      <c r="P869" s="725">
        <f t="shared" si="147"/>
        <v>6.9444444444444198E-4</v>
      </c>
      <c r="Q869" s="622" t="s">
        <v>235</v>
      </c>
      <c r="R869" s="36"/>
      <c r="S869" s="37" t="str">
        <f t="shared" si="145"/>
        <v>CimarronF0</v>
      </c>
      <c r="T869" s="37" t="str">
        <f t="shared" si="148"/>
        <v>2003F0</v>
      </c>
      <c r="U869" s="429">
        <v>50</v>
      </c>
      <c r="V869" s="1029">
        <v>0.1</v>
      </c>
      <c r="W869" s="598">
        <v>2E-3</v>
      </c>
      <c r="X869" s="429"/>
      <c r="Y869" s="37" t="str">
        <f t="shared" si="149"/>
        <v>F050</v>
      </c>
      <c r="Z869" s="37" t="str">
        <f t="shared" si="150"/>
        <v>F00.1</v>
      </c>
      <c r="AA869" s="37" t="str">
        <f t="shared" si="152"/>
        <v>F00.002</v>
      </c>
      <c r="AB869" s="498" t="str">
        <f t="shared" si="146"/>
        <v>F015</v>
      </c>
      <c r="AC869" s="572"/>
      <c r="AD869" s="572"/>
      <c r="AE869" s="572"/>
      <c r="AF869" s="572"/>
    </row>
    <row r="870" spans="1:32">
      <c r="A870" s="947">
        <f t="shared" si="153"/>
        <v>863</v>
      </c>
      <c r="B870" s="948">
        <v>6</v>
      </c>
      <c r="C870" s="949">
        <v>37756</v>
      </c>
      <c r="D870" s="949" t="s">
        <v>177</v>
      </c>
      <c r="E870" s="904">
        <v>15</v>
      </c>
      <c r="F870" s="644">
        <v>2003</v>
      </c>
      <c r="G870" s="948" t="s">
        <v>129</v>
      </c>
      <c r="H870" s="645" t="s">
        <v>150</v>
      </c>
      <c r="I870" s="951">
        <v>1320</v>
      </c>
      <c r="J870" s="951">
        <v>10</v>
      </c>
      <c r="K870" s="952">
        <f t="shared" si="151"/>
        <v>7.5</v>
      </c>
      <c r="L870" s="644">
        <f t="shared" si="154"/>
        <v>16</v>
      </c>
      <c r="M870" s="935">
        <v>0.69166666666666676</v>
      </c>
      <c r="N870" s="936">
        <f t="shared" si="144"/>
        <v>0.69166666666666676</v>
      </c>
      <c r="O870" s="725">
        <v>0.7055555555555556</v>
      </c>
      <c r="P870" s="725">
        <f t="shared" si="147"/>
        <v>1.388888888888884E-2</v>
      </c>
      <c r="Q870" s="622" t="s">
        <v>316</v>
      </c>
      <c r="R870" s="36"/>
      <c r="S870" s="37" t="str">
        <f t="shared" si="145"/>
        <v>DallamF1</v>
      </c>
      <c r="T870" s="37" t="str">
        <f t="shared" si="148"/>
        <v>2003F1</v>
      </c>
      <c r="U870" s="429">
        <v>1000</v>
      </c>
      <c r="V870" s="1029">
        <v>10</v>
      </c>
      <c r="W870" s="598">
        <v>5</v>
      </c>
      <c r="X870" s="429"/>
      <c r="Y870" s="37" t="str">
        <f t="shared" si="149"/>
        <v>F11000</v>
      </c>
      <c r="Z870" s="37" t="str">
        <f t="shared" si="150"/>
        <v>F110</v>
      </c>
      <c r="AA870" s="37" t="str">
        <f t="shared" si="152"/>
        <v>F15</v>
      </c>
      <c r="AB870" s="498" t="str">
        <f t="shared" si="146"/>
        <v>F116</v>
      </c>
      <c r="AC870" s="572"/>
      <c r="AD870" s="572"/>
      <c r="AE870" s="572"/>
      <c r="AF870" s="572"/>
    </row>
    <row r="871" spans="1:32">
      <c r="A871" s="947">
        <f t="shared" si="153"/>
        <v>864</v>
      </c>
      <c r="B871" s="948">
        <v>7</v>
      </c>
      <c r="C871" s="949">
        <v>37756</v>
      </c>
      <c r="D871" s="949" t="s">
        <v>177</v>
      </c>
      <c r="E871" s="904">
        <v>15</v>
      </c>
      <c r="F871" s="644">
        <v>2003</v>
      </c>
      <c r="G871" s="948" t="s">
        <v>129</v>
      </c>
      <c r="H871" s="645" t="s">
        <v>149</v>
      </c>
      <c r="I871" s="951">
        <v>500</v>
      </c>
      <c r="J871" s="951">
        <v>1</v>
      </c>
      <c r="K871" s="952">
        <f t="shared" si="151"/>
        <v>0.28409090909090912</v>
      </c>
      <c r="L871" s="644">
        <f t="shared" si="154"/>
        <v>16</v>
      </c>
      <c r="M871" s="935">
        <v>0.69513888888888886</v>
      </c>
      <c r="N871" s="936">
        <f t="shared" si="144"/>
        <v>0.69513888888888886</v>
      </c>
      <c r="O871" s="725">
        <v>0.69791666666666663</v>
      </c>
      <c r="P871" s="725">
        <f t="shared" si="147"/>
        <v>2.7777777777777679E-3</v>
      </c>
      <c r="Q871" s="622" t="s">
        <v>316</v>
      </c>
      <c r="R871" s="36"/>
      <c r="S871" s="37" t="str">
        <f t="shared" si="145"/>
        <v>DallamF0</v>
      </c>
      <c r="T871" s="37" t="str">
        <f t="shared" si="148"/>
        <v>2003F0</v>
      </c>
      <c r="U871" s="429">
        <v>500</v>
      </c>
      <c r="V871" s="1029">
        <v>1</v>
      </c>
      <c r="W871" s="598">
        <v>0.2</v>
      </c>
      <c r="X871" s="429"/>
      <c r="Y871" s="37" t="str">
        <f t="shared" si="149"/>
        <v>F0500</v>
      </c>
      <c r="Z871" s="37" t="str">
        <f t="shared" si="150"/>
        <v>F01</v>
      </c>
      <c r="AA871" s="37" t="str">
        <f t="shared" si="152"/>
        <v>F00.2</v>
      </c>
      <c r="AB871" s="498" t="str">
        <f t="shared" si="146"/>
        <v>F016</v>
      </c>
      <c r="AC871" s="572"/>
      <c r="AD871" s="572"/>
      <c r="AE871" s="572"/>
      <c r="AF871" s="572"/>
    </row>
    <row r="872" spans="1:32">
      <c r="A872" s="947">
        <f t="shared" si="153"/>
        <v>865</v>
      </c>
      <c r="B872" s="948">
        <v>8</v>
      </c>
      <c r="C872" s="949">
        <v>37756</v>
      </c>
      <c r="D872" s="949" t="s">
        <v>177</v>
      </c>
      <c r="E872" s="904">
        <v>15</v>
      </c>
      <c r="F872" s="644">
        <v>2003</v>
      </c>
      <c r="G872" s="948" t="s">
        <v>127</v>
      </c>
      <c r="H872" s="645" t="s">
        <v>149</v>
      </c>
      <c r="I872" s="951">
        <v>50</v>
      </c>
      <c r="J872" s="951">
        <v>0.1</v>
      </c>
      <c r="K872" s="952">
        <f t="shared" si="151"/>
        <v>2.840909090909091E-3</v>
      </c>
      <c r="L872" s="644">
        <f t="shared" si="154"/>
        <v>17</v>
      </c>
      <c r="M872" s="935">
        <v>0.7402777777777777</v>
      </c>
      <c r="N872" s="936">
        <f t="shared" si="144"/>
        <v>0.7402777777777777</v>
      </c>
      <c r="O872" s="725">
        <v>0.74097222222222225</v>
      </c>
      <c r="P872" s="725">
        <f t="shared" si="147"/>
        <v>6.94444444444553E-4</v>
      </c>
      <c r="Q872" s="622" t="s">
        <v>257</v>
      </c>
      <c r="R872" s="36"/>
      <c r="S872" s="37" t="str">
        <f t="shared" si="145"/>
        <v>TexasF0</v>
      </c>
      <c r="T872" s="37" t="str">
        <f t="shared" si="148"/>
        <v>2003F0</v>
      </c>
      <c r="U872" s="429">
        <v>50</v>
      </c>
      <c r="V872" s="1029">
        <v>0.1</v>
      </c>
      <c r="W872" s="598">
        <v>2E-3</v>
      </c>
      <c r="X872" s="429"/>
      <c r="Y872" s="37" t="str">
        <f t="shared" si="149"/>
        <v>F050</v>
      </c>
      <c r="Z872" s="37" t="str">
        <f t="shared" si="150"/>
        <v>F00.1</v>
      </c>
      <c r="AA872" s="37" t="str">
        <f t="shared" si="152"/>
        <v>F00.002</v>
      </c>
      <c r="AB872" s="498" t="str">
        <f t="shared" si="146"/>
        <v>F017</v>
      </c>
      <c r="AC872" s="572"/>
      <c r="AD872" s="572"/>
      <c r="AE872" s="572"/>
      <c r="AF872" s="572"/>
    </row>
    <row r="873" spans="1:32">
      <c r="A873" s="947">
        <f t="shared" si="153"/>
        <v>866</v>
      </c>
      <c r="B873" s="948">
        <v>9</v>
      </c>
      <c r="C873" s="949">
        <v>37756</v>
      </c>
      <c r="D873" s="949" t="s">
        <v>177</v>
      </c>
      <c r="E873" s="904">
        <v>15</v>
      </c>
      <c r="F873" s="644">
        <v>2003</v>
      </c>
      <c r="G873" s="948" t="s">
        <v>127</v>
      </c>
      <c r="H873" s="645" t="s">
        <v>149</v>
      </c>
      <c r="I873" s="951">
        <v>30</v>
      </c>
      <c r="J873" s="951">
        <v>0.5</v>
      </c>
      <c r="K873" s="952">
        <f t="shared" si="151"/>
        <v>8.5227272727272721E-3</v>
      </c>
      <c r="L873" s="644">
        <f t="shared" si="154"/>
        <v>18</v>
      </c>
      <c r="M873" s="935">
        <v>0.76388888888888884</v>
      </c>
      <c r="N873" s="936">
        <f t="shared" si="144"/>
        <v>0.76388888888888884</v>
      </c>
      <c r="O873" s="725">
        <v>0.76527777777777783</v>
      </c>
      <c r="P873" s="725">
        <f t="shared" si="147"/>
        <v>1.388888888888995E-3</v>
      </c>
      <c r="Q873" s="622" t="s">
        <v>249</v>
      </c>
      <c r="R873" s="36"/>
      <c r="S873" s="37" t="str">
        <f t="shared" si="145"/>
        <v>TexasF0</v>
      </c>
      <c r="T873" s="37" t="str">
        <f t="shared" si="148"/>
        <v>2003F0</v>
      </c>
      <c r="U873" s="429">
        <v>20</v>
      </c>
      <c r="V873" s="1029">
        <v>0.5</v>
      </c>
      <c r="W873" s="598">
        <v>5.0000000000000001E-3</v>
      </c>
      <c r="X873" s="429"/>
      <c r="Y873" s="37" t="str">
        <f t="shared" si="149"/>
        <v>F020</v>
      </c>
      <c r="Z873" s="37" t="str">
        <f t="shared" si="150"/>
        <v>F00.5</v>
      </c>
      <c r="AA873" s="37" t="str">
        <f t="shared" si="152"/>
        <v>F00.005</v>
      </c>
      <c r="AB873" s="498" t="str">
        <f t="shared" si="146"/>
        <v>F018</v>
      </c>
      <c r="AC873" s="572"/>
      <c r="AD873" s="572"/>
      <c r="AE873" s="572"/>
      <c r="AF873" s="572"/>
    </row>
    <row r="874" spans="1:32" ht="25.5">
      <c r="A874" s="947">
        <f t="shared" si="153"/>
        <v>867</v>
      </c>
      <c r="B874" s="948">
        <v>10</v>
      </c>
      <c r="C874" s="949">
        <v>37756</v>
      </c>
      <c r="D874" s="949" t="s">
        <v>177</v>
      </c>
      <c r="E874" s="904">
        <v>15</v>
      </c>
      <c r="F874" s="644">
        <v>2003</v>
      </c>
      <c r="G874" s="948" t="s">
        <v>127</v>
      </c>
      <c r="H874" s="645" t="s">
        <v>149</v>
      </c>
      <c r="I874" s="951">
        <v>20</v>
      </c>
      <c r="J874" s="951">
        <v>0.5</v>
      </c>
      <c r="K874" s="952">
        <f t="shared" si="151"/>
        <v>5.681818181818182E-3</v>
      </c>
      <c r="L874" s="644">
        <f t="shared" si="154"/>
        <v>18</v>
      </c>
      <c r="M874" s="935">
        <v>0.77430555555555547</v>
      </c>
      <c r="N874" s="936">
        <f t="shared" si="144"/>
        <v>0.77430555555555547</v>
      </c>
      <c r="O874" s="725">
        <v>0.77500000000000002</v>
      </c>
      <c r="P874" s="725">
        <f t="shared" si="147"/>
        <v>6.94444444444553E-4</v>
      </c>
      <c r="Q874" s="622" t="s">
        <v>60</v>
      </c>
      <c r="R874" s="36"/>
      <c r="S874" s="37" t="str">
        <f t="shared" si="145"/>
        <v>TexasF0</v>
      </c>
      <c r="T874" s="37" t="str">
        <f t="shared" si="148"/>
        <v>2003F0</v>
      </c>
      <c r="U874" s="429">
        <v>20</v>
      </c>
      <c r="V874" s="1029">
        <v>0.5</v>
      </c>
      <c r="W874" s="598">
        <v>5.0000000000000001E-3</v>
      </c>
      <c r="X874" s="429"/>
      <c r="Y874" s="37" t="str">
        <f t="shared" si="149"/>
        <v>F020</v>
      </c>
      <c r="Z874" s="37" t="str">
        <f t="shared" si="150"/>
        <v>F00.5</v>
      </c>
      <c r="AA874" s="37" t="str">
        <f t="shared" si="152"/>
        <v>F00.005</v>
      </c>
      <c r="AB874" s="498" t="str">
        <f t="shared" si="146"/>
        <v>F018</v>
      </c>
      <c r="AC874" s="572"/>
      <c r="AD874" s="572"/>
      <c r="AE874" s="572"/>
      <c r="AF874" s="572"/>
    </row>
    <row r="875" spans="1:32">
      <c r="A875" s="947">
        <f t="shared" si="153"/>
        <v>868</v>
      </c>
      <c r="B875" s="948">
        <v>11</v>
      </c>
      <c r="C875" s="949">
        <v>37756</v>
      </c>
      <c r="D875" s="949" t="s">
        <v>177</v>
      </c>
      <c r="E875" s="904">
        <v>15</v>
      </c>
      <c r="F875" s="644">
        <v>2003</v>
      </c>
      <c r="G875" s="948" t="s">
        <v>130</v>
      </c>
      <c r="H875" s="645" t="s">
        <v>149</v>
      </c>
      <c r="I875" s="951">
        <v>50</v>
      </c>
      <c r="J875" s="951">
        <v>1</v>
      </c>
      <c r="K875" s="952">
        <f t="shared" si="151"/>
        <v>2.8409090909090908E-2</v>
      </c>
      <c r="L875" s="644">
        <f t="shared" si="154"/>
        <v>18</v>
      </c>
      <c r="M875" s="935">
        <v>0.77638888888888891</v>
      </c>
      <c r="N875" s="936">
        <f t="shared" si="144"/>
        <v>0.77638888888888891</v>
      </c>
      <c r="O875" s="725">
        <v>0.77777777777777779</v>
      </c>
      <c r="P875" s="725">
        <f t="shared" si="147"/>
        <v>1.388888888888884E-3</v>
      </c>
      <c r="Q875" s="622" t="s">
        <v>61</v>
      </c>
      <c r="R875" s="36"/>
      <c r="S875" s="37" t="str">
        <f t="shared" si="145"/>
        <v>ShermanF0</v>
      </c>
      <c r="T875" s="37" t="str">
        <f t="shared" si="148"/>
        <v>2003F0</v>
      </c>
      <c r="U875" s="429">
        <v>50</v>
      </c>
      <c r="V875" s="1029">
        <v>1</v>
      </c>
      <c r="W875" s="598">
        <v>0.02</v>
      </c>
      <c r="X875" s="429"/>
      <c r="Y875" s="37" t="str">
        <f t="shared" si="149"/>
        <v>F050</v>
      </c>
      <c r="Z875" s="37" t="str">
        <f t="shared" si="150"/>
        <v>F01</v>
      </c>
      <c r="AA875" s="37" t="str">
        <f t="shared" si="152"/>
        <v>F00.02</v>
      </c>
      <c r="AB875" s="498" t="str">
        <f t="shared" si="146"/>
        <v>F018</v>
      </c>
      <c r="AC875" s="572"/>
      <c r="AD875" s="572"/>
      <c r="AE875" s="572"/>
      <c r="AF875" s="572"/>
    </row>
    <row r="876" spans="1:32" ht="25.5">
      <c r="A876" s="947">
        <f t="shared" si="153"/>
        <v>869</v>
      </c>
      <c r="B876" s="948">
        <v>12</v>
      </c>
      <c r="C876" s="949">
        <v>37756</v>
      </c>
      <c r="D876" s="949" t="s">
        <v>177</v>
      </c>
      <c r="E876" s="904">
        <v>15</v>
      </c>
      <c r="F876" s="644">
        <v>2003</v>
      </c>
      <c r="G876" s="948" t="s">
        <v>127</v>
      </c>
      <c r="H876" s="645" t="s">
        <v>149</v>
      </c>
      <c r="I876" s="951">
        <v>100</v>
      </c>
      <c r="J876" s="951">
        <v>0.3</v>
      </c>
      <c r="K876" s="952">
        <f t="shared" si="151"/>
        <v>1.7045454545454544E-2</v>
      </c>
      <c r="L876" s="644">
        <f t="shared" si="154"/>
        <v>18</v>
      </c>
      <c r="M876" s="935">
        <v>0.78125</v>
      </c>
      <c r="N876" s="936">
        <f t="shared" si="144"/>
        <v>0.78125</v>
      </c>
      <c r="O876" s="725">
        <v>0.78194444444444444</v>
      </c>
      <c r="P876" s="725">
        <f t="shared" si="147"/>
        <v>6.9444444444444198E-4</v>
      </c>
      <c r="Q876" s="622" t="s">
        <v>62</v>
      </c>
      <c r="R876" s="36"/>
      <c r="S876" s="37" t="str">
        <f t="shared" si="145"/>
        <v>TexasF0</v>
      </c>
      <c r="T876" s="37" t="str">
        <f t="shared" si="148"/>
        <v>2003F0</v>
      </c>
      <c r="U876" s="429">
        <v>100</v>
      </c>
      <c r="V876" s="1029">
        <v>0.2</v>
      </c>
      <c r="W876" s="598">
        <v>0.01</v>
      </c>
      <c r="X876" s="429"/>
      <c r="Y876" s="37" t="str">
        <f t="shared" si="149"/>
        <v>F0100</v>
      </c>
      <c r="Z876" s="37" t="str">
        <f t="shared" si="150"/>
        <v>F00.2</v>
      </c>
      <c r="AA876" s="37" t="str">
        <f t="shared" si="152"/>
        <v>F00.01</v>
      </c>
      <c r="AB876" s="498" t="str">
        <f t="shared" si="146"/>
        <v>F018</v>
      </c>
      <c r="AC876" s="572"/>
      <c r="AD876" s="572"/>
      <c r="AE876" s="572"/>
      <c r="AF876" s="572"/>
    </row>
    <row r="877" spans="1:32">
      <c r="A877" s="947">
        <f t="shared" si="153"/>
        <v>870</v>
      </c>
      <c r="B877" s="948">
        <v>13</v>
      </c>
      <c r="C877" s="949">
        <v>37756</v>
      </c>
      <c r="D877" s="949" t="s">
        <v>177</v>
      </c>
      <c r="E877" s="904">
        <v>15</v>
      </c>
      <c r="F877" s="644">
        <v>2003</v>
      </c>
      <c r="G877" s="948" t="s">
        <v>135</v>
      </c>
      <c r="H877" s="645" t="s">
        <v>149</v>
      </c>
      <c r="I877" s="951">
        <v>200</v>
      </c>
      <c r="J877" s="951">
        <v>6</v>
      </c>
      <c r="K877" s="952">
        <f t="shared" si="151"/>
        <v>0.68181818181818177</v>
      </c>
      <c r="L877" s="644">
        <f t="shared" si="154"/>
        <v>18</v>
      </c>
      <c r="M877" s="935">
        <v>0.79027777777777775</v>
      </c>
      <c r="N877" s="936">
        <f t="shared" si="144"/>
        <v>0.79027777777777775</v>
      </c>
      <c r="O877" s="725">
        <v>0.79583333333333339</v>
      </c>
      <c r="P877" s="725">
        <f t="shared" si="147"/>
        <v>5.5555555555556468E-3</v>
      </c>
      <c r="Q877" s="622" t="s">
        <v>63</v>
      </c>
      <c r="R877" s="36"/>
      <c r="S877" s="37" t="str">
        <f t="shared" si="145"/>
        <v>MooreF0</v>
      </c>
      <c r="T877" s="37" t="str">
        <f t="shared" si="148"/>
        <v>2003F0</v>
      </c>
      <c r="U877" s="429">
        <v>200</v>
      </c>
      <c r="V877" s="1029">
        <v>5</v>
      </c>
      <c r="W877" s="598">
        <v>0.5</v>
      </c>
      <c r="X877" s="429"/>
      <c r="Y877" s="37" t="str">
        <f t="shared" si="149"/>
        <v>F0200</v>
      </c>
      <c r="Z877" s="37" t="str">
        <f t="shared" si="150"/>
        <v>F05</v>
      </c>
      <c r="AA877" s="37" t="str">
        <f t="shared" si="152"/>
        <v>F00.5</v>
      </c>
      <c r="AB877" s="498" t="str">
        <f t="shared" si="146"/>
        <v>F018</v>
      </c>
      <c r="AC877" s="572"/>
      <c r="AD877" s="572"/>
      <c r="AE877" s="572"/>
      <c r="AF877" s="572"/>
    </row>
    <row r="878" spans="1:32">
      <c r="A878" s="947">
        <f t="shared" si="153"/>
        <v>871</v>
      </c>
      <c r="B878" s="948">
        <v>14</v>
      </c>
      <c r="C878" s="949">
        <v>37756</v>
      </c>
      <c r="D878" s="949" t="s">
        <v>177</v>
      </c>
      <c r="E878" s="904">
        <v>15</v>
      </c>
      <c r="F878" s="644">
        <v>2003</v>
      </c>
      <c r="G878" s="948" t="s">
        <v>130</v>
      </c>
      <c r="H878" s="645" t="s">
        <v>149</v>
      </c>
      <c r="I878" s="951">
        <v>20</v>
      </c>
      <c r="J878" s="951">
        <v>0.1</v>
      </c>
      <c r="K878" s="952">
        <f t="shared" si="151"/>
        <v>1.1363636363636365E-3</v>
      </c>
      <c r="L878" s="644">
        <f t="shared" si="154"/>
        <v>19</v>
      </c>
      <c r="M878" s="935">
        <v>0.80208333333333337</v>
      </c>
      <c r="N878" s="936">
        <f t="shared" si="144"/>
        <v>0.80208333333333337</v>
      </c>
      <c r="O878" s="725">
        <v>0.80347222222222225</v>
      </c>
      <c r="P878" s="725">
        <f t="shared" si="147"/>
        <v>1.388888888888884E-3</v>
      </c>
      <c r="Q878" s="622" t="s">
        <v>440</v>
      </c>
      <c r="R878" s="36"/>
      <c r="S878" s="37" t="str">
        <f t="shared" si="145"/>
        <v>ShermanF0</v>
      </c>
      <c r="T878" s="37" t="str">
        <f t="shared" si="148"/>
        <v>2003F0</v>
      </c>
      <c r="U878" s="429">
        <v>20</v>
      </c>
      <c r="V878" s="1029">
        <v>0.1</v>
      </c>
      <c r="W878" s="598">
        <v>1E-3</v>
      </c>
      <c r="X878" s="429"/>
      <c r="Y878" s="37" t="str">
        <f t="shared" si="149"/>
        <v>F020</v>
      </c>
      <c r="Z878" s="37" t="str">
        <f t="shared" si="150"/>
        <v>F00.1</v>
      </c>
      <c r="AA878" s="37" t="str">
        <f t="shared" si="152"/>
        <v>F00.001</v>
      </c>
      <c r="AB878" s="498" t="str">
        <f t="shared" si="146"/>
        <v>F019</v>
      </c>
      <c r="AC878" s="572"/>
      <c r="AD878" s="572"/>
      <c r="AE878" s="572"/>
      <c r="AF878" s="572"/>
    </row>
    <row r="879" spans="1:32">
      <c r="A879" s="947">
        <f t="shared" si="153"/>
        <v>872</v>
      </c>
      <c r="B879" s="948">
        <v>15</v>
      </c>
      <c r="C879" s="949">
        <v>37756</v>
      </c>
      <c r="D879" s="949" t="s">
        <v>177</v>
      </c>
      <c r="E879" s="904">
        <v>15</v>
      </c>
      <c r="F879" s="644">
        <v>2003</v>
      </c>
      <c r="G879" s="948" t="s">
        <v>130</v>
      </c>
      <c r="H879" s="645" t="s">
        <v>149</v>
      </c>
      <c r="I879" s="951">
        <v>50</v>
      </c>
      <c r="J879" s="951">
        <v>0.1</v>
      </c>
      <c r="K879" s="952">
        <f t="shared" si="151"/>
        <v>2.840909090909091E-3</v>
      </c>
      <c r="L879" s="644">
        <f t="shared" si="154"/>
        <v>19</v>
      </c>
      <c r="M879" s="935">
        <v>0.80208333333333337</v>
      </c>
      <c r="N879" s="936">
        <f t="shared" si="144"/>
        <v>0.80208333333333337</v>
      </c>
      <c r="O879" s="725">
        <v>0.8027777777777777</v>
      </c>
      <c r="P879" s="725">
        <f t="shared" si="147"/>
        <v>6.9444444444433095E-4</v>
      </c>
      <c r="Q879" s="622" t="s">
        <v>441</v>
      </c>
      <c r="R879" s="36"/>
      <c r="S879" s="37" t="str">
        <f t="shared" si="145"/>
        <v>ShermanF0</v>
      </c>
      <c r="T879" s="37" t="str">
        <f t="shared" si="148"/>
        <v>2003F0</v>
      </c>
      <c r="U879" s="429">
        <v>50</v>
      </c>
      <c r="V879" s="1029">
        <v>0.1</v>
      </c>
      <c r="W879" s="598">
        <v>2E-3</v>
      </c>
      <c r="X879" s="429"/>
      <c r="Y879" s="37" t="str">
        <f t="shared" si="149"/>
        <v>F050</v>
      </c>
      <c r="Z879" s="37" t="str">
        <f t="shared" si="150"/>
        <v>F00.1</v>
      </c>
      <c r="AA879" s="37" t="str">
        <f t="shared" si="152"/>
        <v>F00.002</v>
      </c>
      <c r="AB879" s="498" t="str">
        <f t="shared" si="146"/>
        <v>F019</v>
      </c>
      <c r="AC879" s="572"/>
      <c r="AD879" s="572"/>
      <c r="AE879" s="572"/>
      <c r="AF879" s="572"/>
    </row>
    <row r="880" spans="1:32">
      <c r="A880" s="947">
        <f t="shared" si="153"/>
        <v>873</v>
      </c>
      <c r="B880" s="948">
        <v>16</v>
      </c>
      <c r="C880" s="949">
        <v>37756</v>
      </c>
      <c r="D880" s="949" t="s">
        <v>177</v>
      </c>
      <c r="E880" s="904">
        <v>15</v>
      </c>
      <c r="F880" s="644">
        <v>2003</v>
      </c>
      <c r="G880" s="948" t="s">
        <v>142</v>
      </c>
      <c r="H880" s="645" t="s">
        <v>149</v>
      </c>
      <c r="I880" s="951">
        <v>40</v>
      </c>
      <c r="J880" s="951">
        <v>0.1</v>
      </c>
      <c r="K880" s="952">
        <f t="shared" si="151"/>
        <v>2.2727272727272731E-3</v>
      </c>
      <c r="L880" s="644">
        <f t="shared" si="154"/>
        <v>19</v>
      </c>
      <c r="M880" s="935">
        <v>0.8125</v>
      </c>
      <c r="N880" s="936">
        <f t="shared" si="144"/>
        <v>0.8125</v>
      </c>
      <c r="O880" s="725">
        <v>0.81388888888888899</v>
      </c>
      <c r="P880" s="725">
        <f t="shared" si="147"/>
        <v>1.388888888888995E-3</v>
      </c>
      <c r="Q880" s="622" t="s">
        <v>485</v>
      </c>
      <c r="R880" s="37"/>
      <c r="S880" s="37" t="str">
        <f t="shared" si="145"/>
        <v>GrayF0</v>
      </c>
      <c r="T880" s="37" t="str">
        <f t="shared" si="148"/>
        <v>2003F0</v>
      </c>
      <c r="U880" s="429">
        <v>20</v>
      </c>
      <c r="V880" s="1029">
        <v>0.1</v>
      </c>
      <c r="W880" s="598">
        <v>2E-3</v>
      </c>
      <c r="X880" s="429"/>
      <c r="Y880" s="37" t="str">
        <f t="shared" si="149"/>
        <v>F020</v>
      </c>
      <c r="Z880" s="37" t="str">
        <f t="shared" si="150"/>
        <v>F00.1</v>
      </c>
      <c r="AA880" s="37" t="str">
        <f t="shared" si="152"/>
        <v>F00.002</v>
      </c>
      <c r="AB880" s="498" t="str">
        <f t="shared" si="146"/>
        <v>F019</v>
      </c>
      <c r="AC880" s="572"/>
      <c r="AD880" s="572"/>
      <c r="AE880" s="572"/>
      <c r="AF880" s="572"/>
    </row>
    <row r="881" spans="1:32">
      <c r="A881" s="947">
        <f t="shared" si="153"/>
        <v>874</v>
      </c>
      <c r="B881" s="948">
        <v>17</v>
      </c>
      <c r="C881" s="949">
        <v>37756</v>
      </c>
      <c r="D881" s="949" t="s">
        <v>177</v>
      </c>
      <c r="E881" s="904">
        <v>15</v>
      </c>
      <c r="F881" s="644">
        <v>2003</v>
      </c>
      <c r="G881" s="948" t="s">
        <v>130</v>
      </c>
      <c r="H881" s="645" t="s">
        <v>149</v>
      </c>
      <c r="I881" s="951">
        <v>50</v>
      </c>
      <c r="J881" s="951">
        <v>0.3</v>
      </c>
      <c r="K881" s="952">
        <f t="shared" si="151"/>
        <v>8.5227272727272721E-3</v>
      </c>
      <c r="L881" s="644">
        <f t="shared" si="154"/>
        <v>19</v>
      </c>
      <c r="M881" s="935">
        <v>0.81319444444444444</v>
      </c>
      <c r="N881" s="936">
        <f t="shared" si="144"/>
        <v>0.81319444444444444</v>
      </c>
      <c r="O881" s="725">
        <v>0.81597222222222221</v>
      </c>
      <c r="P881" s="725">
        <f t="shared" si="147"/>
        <v>2.7777777777777679E-3</v>
      </c>
      <c r="Q881" s="622" t="s">
        <v>442</v>
      </c>
      <c r="R881" s="37"/>
      <c r="S881" s="37" t="str">
        <f t="shared" si="145"/>
        <v>ShermanF0</v>
      </c>
      <c r="T881" s="37" t="str">
        <f t="shared" si="148"/>
        <v>2003F0</v>
      </c>
      <c r="U881" s="429">
        <v>50</v>
      </c>
      <c r="V881" s="1029">
        <v>0.2</v>
      </c>
      <c r="W881" s="598">
        <v>5.0000000000000001E-3</v>
      </c>
      <c r="X881" s="429"/>
      <c r="Y881" s="37" t="str">
        <f t="shared" si="149"/>
        <v>F050</v>
      </c>
      <c r="Z881" s="37" t="str">
        <f t="shared" si="150"/>
        <v>F00.2</v>
      </c>
      <c r="AA881" s="37" t="str">
        <f t="shared" si="152"/>
        <v>F00.005</v>
      </c>
      <c r="AB881" s="498" t="str">
        <f t="shared" si="146"/>
        <v>F019</v>
      </c>
      <c r="AC881" s="572"/>
      <c r="AD881" s="572"/>
      <c r="AE881" s="572"/>
      <c r="AF881" s="572"/>
    </row>
    <row r="882" spans="1:32">
      <c r="A882" s="947">
        <f t="shared" si="153"/>
        <v>875</v>
      </c>
      <c r="B882" s="948">
        <v>18</v>
      </c>
      <c r="C882" s="949">
        <v>37756</v>
      </c>
      <c r="D882" s="949" t="s">
        <v>177</v>
      </c>
      <c r="E882" s="904">
        <v>15</v>
      </c>
      <c r="F882" s="644">
        <v>2003</v>
      </c>
      <c r="G882" s="948" t="s">
        <v>127</v>
      </c>
      <c r="H882" s="645" t="s">
        <v>150</v>
      </c>
      <c r="I882" s="951">
        <v>30</v>
      </c>
      <c r="J882" s="951">
        <v>2</v>
      </c>
      <c r="K882" s="952">
        <f t="shared" si="151"/>
        <v>3.4090909090909088E-2</v>
      </c>
      <c r="L882" s="644">
        <f t="shared" si="154"/>
        <v>19</v>
      </c>
      <c r="M882" s="935">
        <v>0.81458333333333333</v>
      </c>
      <c r="N882" s="936">
        <f t="shared" si="144"/>
        <v>0.81458333333333333</v>
      </c>
      <c r="O882" s="725">
        <v>0.81666666666666676</v>
      </c>
      <c r="P882" s="725">
        <f t="shared" si="147"/>
        <v>2.083333333333437E-3</v>
      </c>
      <c r="Q882" s="622" t="s">
        <v>258</v>
      </c>
      <c r="R882" s="37"/>
      <c r="S882" s="37" t="str">
        <f t="shared" si="145"/>
        <v>TexasF1</v>
      </c>
      <c r="T882" s="37" t="str">
        <f t="shared" si="148"/>
        <v>2003F1</v>
      </c>
      <c r="U882" s="429">
        <v>20</v>
      </c>
      <c r="V882" s="1029">
        <v>2</v>
      </c>
      <c r="W882" s="598">
        <v>0.02</v>
      </c>
      <c r="X882" s="429"/>
      <c r="Y882" s="37" t="str">
        <f t="shared" si="149"/>
        <v>F120</v>
      </c>
      <c r="Z882" s="37" t="str">
        <f t="shared" si="150"/>
        <v>F12</v>
      </c>
      <c r="AA882" s="37" t="str">
        <f t="shared" si="152"/>
        <v>F10.02</v>
      </c>
      <c r="AB882" s="498" t="str">
        <f t="shared" si="146"/>
        <v>F119</v>
      </c>
      <c r="AC882" s="572"/>
      <c r="AD882" s="572"/>
      <c r="AE882" s="572"/>
      <c r="AF882" s="572"/>
    </row>
    <row r="883" spans="1:32">
      <c r="A883" s="947">
        <f t="shared" si="153"/>
        <v>876</v>
      </c>
      <c r="B883" s="948">
        <v>19</v>
      </c>
      <c r="C883" s="949">
        <v>37756</v>
      </c>
      <c r="D883" s="949" t="s">
        <v>177</v>
      </c>
      <c r="E883" s="904">
        <v>15</v>
      </c>
      <c r="F883" s="644">
        <v>2003</v>
      </c>
      <c r="G883" s="948" t="s">
        <v>147</v>
      </c>
      <c r="H883" s="645" t="s">
        <v>149</v>
      </c>
      <c r="I883" s="951">
        <v>50</v>
      </c>
      <c r="J883" s="951">
        <v>0.5</v>
      </c>
      <c r="K883" s="952">
        <f t="shared" si="151"/>
        <v>1.4204545454545454E-2</v>
      </c>
      <c r="L883" s="644">
        <f t="shared" si="154"/>
        <v>19</v>
      </c>
      <c r="M883" s="935">
        <v>0.81736111111111109</v>
      </c>
      <c r="N883" s="936">
        <f t="shared" si="144"/>
        <v>0.81736111111111109</v>
      </c>
      <c r="O883" s="725">
        <v>0.82013888888888886</v>
      </c>
      <c r="P883" s="725">
        <f t="shared" si="147"/>
        <v>2.7777777777777679E-3</v>
      </c>
      <c r="Q883" s="622" t="s">
        <v>331</v>
      </c>
      <c r="R883" s="37"/>
      <c r="S883" s="37" t="str">
        <f t="shared" si="145"/>
        <v>DonleyF0</v>
      </c>
      <c r="T883" s="37" t="str">
        <f t="shared" si="148"/>
        <v>2003F0</v>
      </c>
      <c r="U883" s="429">
        <v>50</v>
      </c>
      <c r="V883" s="1029">
        <v>0.5</v>
      </c>
      <c r="W883" s="598">
        <v>0.01</v>
      </c>
      <c r="X883" s="429"/>
      <c r="Y883" s="37" t="str">
        <f t="shared" si="149"/>
        <v>F050</v>
      </c>
      <c r="Z883" s="37" t="str">
        <f t="shared" si="150"/>
        <v>F00.5</v>
      </c>
      <c r="AA883" s="37" t="str">
        <f t="shared" si="152"/>
        <v>F00.01</v>
      </c>
      <c r="AB883" s="498" t="str">
        <f t="shared" si="146"/>
        <v>F019</v>
      </c>
      <c r="AC883" s="572"/>
      <c r="AD883" s="572"/>
      <c r="AE883" s="572"/>
      <c r="AF883" s="572"/>
    </row>
    <row r="884" spans="1:32">
      <c r="A884" s="947">
        <f t="shared" si="153"/>
        <v>877</v>
      </c>
      <c r="B884" s="948">
        <v>20</v>
      </c>
      <c r="C884" s="949">
        <v>37756</v>
      </c>
      <c r="D884" s="949" t="s">
        <v>177</v>
      </c>
      <c r="E884" s="904">
        <v>15</v>
      </c>
      <c r="F884" s="644">
        <v>2003</v>
      </c>
      <c r="G884" s="948" t="s">
        <v>127</v>
      </c>
      <c r="H884" s="645" t="s">
        <v>149</v>
      </c>
      <c r="I884" s="951">
        <v>40</v>
      </c>
      <c r="J884" s="951">
        <v>1</v>
      </c>
      <c r="K884" s="952">
        <f t="shared" si="151"/>
        <v>2.2727272727272728E-2</v>
      </c>
      <c r="L884" s="644">
        <f t="shared" si="154"/>
        <v>19</v>
      </c>
      <c r="M884" s="935">
        <v>0.82291666666666663</v>
      </c>
      <c r="N884" s="936">
        <f t="shared" si="144"/>
        <v>0.82291666666666663</v>
      </c>
      <c r="O884" s="725">
        <v>0.82430555555555562</v>
      </c>
      <c r="P884" s="725">
        <f t="shared" si="147"/>
        <v>1.388888888888995E-3</v>
      </c>
      <c r="Q884" s="622" t="s">
        <v>64</v>
      </c>
      <c r="R884" s="37"/>
      <c r="S884" s="37" t="str">
        <f t="shared" si="145"/>
        <v>TexasF0</v>
      </c>
      <c r="T884" s="37" t="str">
        <f t="shared" si="148"/>
        <v>2003F0</v>
      </c>
      <c r="U884" s="429">
        <v>20</v>
      </c>
      <c r="V884" s="1029">
        <v>1</v>
      </c>
      <c r="W884" s="598">
        <v>0.02</v>
      </c>
      <c r="X884" s="429"/>
      <c r="Y884" s="37" t="str">
        <f t="shared" si="149"/>
        <v>F020</v>
      </c>
      <c r="Z884" s="37" t="str">
        <f t="shared" si="150"/>
        <v>F01</v>
      </c>
      <c r="AA884" s="37" t="str">
        <f t="shared" si="152"/>
        <v>F00.02</v>
      </c>
      <c r="AB884" s="498" t="str">
        <f t="shared" si="146"/>
        <v>F019</v>
      </c>
      <c r="AC884" s="572"/>
      <c r="AD884" s="572"/>
      <c r="AE884" s="572"/>
      <c r="AF884" s="572"/>
    </row>
    <row r="885" spans="1:32">
      <c r="A885" s="947">
        <f t="shared" si="153"/>
        <v>878</v>
      </c>
      <c r="B885" s="948">
        <v>21</v>
      </c>
      <c r="C885" s="949">
        <v>37756</v>
      </c>
      <c r="D885" s="949" t="s">
        <v>177</v>
      </c>
      <c r="E885" s="904">
        <v>15</v>
      </c>
      <c r="F885" s="644">
        <v>2003</v>
      </c>
      <c r="G885" s="948" t="s">
        <v>147</v>
      </c>
      <c r="H885" s="645" t="s">
        <v>149</v>
      </c>
      <c r="I885" s="951">
        <v>20</v>
      </c>
      <c r="J885" s="951">
        <v>0.1</v>
      </c>
      <c r="K885" s="952">
        <f t="shared" si="151"/>
        <v>1.1363636363636365E-3</v>
      </c>
      <c r="L885" s="644">
        <f t="shared" si="154"/>
        <v>19</v>
      </c>
      <c r="M885" s="935">
        <v>0.83263888888888893</v>
      </c>
      <c r="N885" s="936">
        <f t="shared" si="144"/>
        <v>0.83263888888888893</v>
      </c>
      <c r="O885" s="725">
        <v>0.8340277777777777</v>
      </c>
      <c r="P885" s="725">
        <f t="shared" si="147"/>
        <v>1.3888888888887729E-3</v>
      </c>
      <c r="Q885" s="622" t="s">
        <v>332</v>
      </c>
      <c r="R885" s="37"/>
      <c r="S885" s="37" t="str">
        <f t="shared" si="145"/>
        <v>DonleyF0</v>
      </c>
      <c r="T885" s="37" t="str">
        <f t="shared" si="148"/>
        <v>2003F0</v>
      </c>
      <c r="U885" s="429">
        <v>20</v>
      </c>
      <c r="V885" s="1029">
        <v>0.1</v>
      </c>
      <c r="W885" s="598">
        <v>1E-3</v>
      </c>
      <c r="X885" s="429"/>
      <c r="Y885" s="37" t="str">
        <f t="shared" si="149"/>
        <v>F020</v>
      </c>
      <c r="Z885" s="37" t="str">
        <f t="shared" si="150"/>
        <v>F00.1</v>
      </c>
      <c r="AA885" s="37" t="str">
        <f t="shared" si="152"/>
        <v>F00.001</v>
      </c>
      <c r="AB885" s="498" t="str">
        <f t="shared" si="146"/>
        <v>F019</v>
      </c>
      <c r="AC885" s="572"/>
      <c r="AD885" s="572"/>
      <c r="AE885" s="572"/>
      <c r="AF885" s="572"/>
    </row>
    <row r="886" spans="1:32">
      <c r="A886" s="947">
        <f t="shared" si="153"/>
        <v>879</v>
      </c>
      <c r="B886" s="948">
        <v>22</v>
      </c>
      <c r="C886" s="949">
        <v>37756</v>
      </c>
      <c r="D886" s="949" t="s">
        <v>177</v>
      </c>
      <c r="E886" s="904">
        <v>15</v>
      </c>
      <c r="F886" s="644">
        <v>2003</v>
      </c>
      <c r="G886" s="948" t="s">
        <v>128</v>
      </c>
      <c r="H886" s="645" t="s">
        <v>149</v>
      </c>
      <c r="I886" s="951">
        <v>20</v>
      </c>
      <c r="J886" s="951">
        <v>0.8</v>
      </c>
      <c r="K886" s="952">
        <f t="shared" si="151"/>
        <v>9.0909090909090922E-3</v>
      </c>
      <c r="L886" s="644">
        <f t="shared" si="154"/>
        <v>20</v>
      </c>
      <c r="M886" s="935">
        <v>0.83333333333333337</v>
      </c>
      <c r="N886" s="936">
        <f t="shared" si="144"/>
        <v>0.83333333333333337</v>
      </c>
      <c r="O886" s="725">
        <v>0.83472222222222225</v>
      </c>
      <c r="P886" s="725">
        <f t="shared" si="147"/>
        <v>1.388888888888884E-3</v>
      </c>
      <c r="Q886" s="622" t="s">
        <v>65</v>
      </c>
      <c r="R886" s="37"/>
      <c r="S886" s="37" t="str">
        <f t="shared" si="145"/>
        <v>BeaverF0</v>
      </c>
      <c r="T886" s="37" t="str">
        <f t="shared" si="148"/>
        <v>2003F0</v>
      </c>
      <c r="U886" s="429">
        <v>20</v>
      </c>
      <c r="V886" s="1029">
        <v>0.5</v>
      </c>
      <c r="W886" s="598">
        <v>5.0000000000000001E-3</v>
      </c>
      <c r="X886" s="429"/>
      <c r="Y886" s="37" t="str">
        <f t="shared" si="149"/>
        <v>F020</v>
      </c>
      <c r="Z886" s="37" t="str">
        <f t="shared" si="150"/>
        <v>F00.5</v>
      </c>
      <c r="AA886" s="37" t="str">
        <f t="shared" si="152"/>
        <v>F00.005</v>
      </c>
      <c r="AB886" s="498" t="str">
        <f t="shared" si="146"/>
        <v>F020</v>
      </c>
      <c r="AC886" s="572"/>
      <c r="AD886" s="572"/>
      <c r="AE886" s="572"/>
      <c r="AF886" s="572"/>
    </row>
    <row r="887" spans="1:32">
      <c r="A887" s="947">
        <f t="shared" si="153"/>
        <v>880</v>
      </c>
      <c r="B887" s="948">
        <v>23</v>
      </c>
      <c r="C887" s="949">
        <v>37756</v>
      </c>
      <c r="D887" s="949" t="s">
        <v>177</v>
      </c>
      <c r="E887" s="904">
        <v>15</v>
      </c>
      <c r="F887" s="644">
        <v>2003</v>
      </c>
      <c r="G887" s="948" t="s">
        <v>136</v>
      </c>
      <c r="H887" s="645" t="s">
        <v>149</v>
      </c>
      <c r="I887" s="951">
        <v>30</v>
      </c>
      <c r="J887" s="951">
        <v>2</v>
      </c>
      <c r="K887" s="952">
        <f t="shared" si="151"/>
        <v>3.4090909090909088E-2</v>
      </c>
      <c r="L887" s="644">
        <f t="shared" si="154"/>
        <v>20</v>
      </c>
      <c r="M887" s="935">
        <v>0.84930555555555554</v>
      </c>
      <c r="N887" s="936">
        <f t="shared" si="144"/>
        <v>0.84930555555555554</v>
      </c>
      <c r="O887" s="725">
        <v>0.85277777777777775</v>
      </c>
      <c r="P887" s="725">
        <f t="shared" si="147"/>
        <v>3.4722222222222099E-3</v>
      </c>
      <c r="Q887" s="622" t="s">
        <v>66</v>
      </c>
      <c r="R887" s="37"/>
      <c r="S887" s="37" t="str">
        <f t="shared" si="145"/>
        <v>HutchinsonF0</v>
      </c>
      <c r="T887" s="37" t="str">
        <f t="shared" si="148"/>
        <v>2003F0</v>
      </c>
      <c r="U887" s="429">
        <v>20</v>
      </c>
      <c r="V887" s="1029">
        <v>2</v>
      </c>
      <c r="W887" s="598">
        <v>0.02</v>
      </c>
      <c r="X887" s="429"/>
      <c r="Y887" s="37" t="str">
        <f t="shared" si="149"/>
        <v>F020</v>
      </c>
      <c r="Z887" s="37" t="str">
        <f t="shared" si="150"/>
        <v>F02</v>
      </c>
      <c r="AA887" s="37" t="str">
        <f t="shared" si="152"/>
        <v>F00.02</v>
      </c>
      <c r="AB887" s="498" t="str">
        <f t="shared" si="146"/>
        <v>F020</v>
      </c>
      <c r="AC887" s="572"/>
      <c r="AD887" s="572"/>
      <c r="AE887" s="572"/>
      <c r="AF887" s="572"/>
    </row>
    <row r="888" spans="1:32">
      <c r="A888" s="947">
        <f t="shared" si="153"/>
        <v>881</v>
      </c>
      <c r="B888" s="948">
        <v>24</v>
      </c>
      <c r="C888" s="949">
        <v>37756</v>
      </c>
      <c r="D888" s="949" t="s">
        <v>177</v>
      </c>
      <c r="E888" s="904">
        <v>15</v>
      </c>
      <c r="F888" s="644">
        <v>2003</v>
      </c>
      <c r="G888" s="948" t="s">
        <v>141</v>
      </c>
      <c r="H888" s="645" t="s">
        <v>149</v>
      </c>
      <c r="I888" s="951">
        <v>20</v>
      </c>
      <c r="J888" s="951">
        <v>0.1</v>
      </c>
      <c r="K888" s="952">
        <f t="shared" si="151"/>
        <v>1.1363636363636365E-3</v>
      </c>
      <c r="L888" s="644">
        <f t="shared" si="154"/>
        <v>20</v>
      </c>
      <c r="M888" s="935">
        <v>0.86388888888888893</v>
      </c>
      <c r="N888" s="936">
        <f t="shared" si="144"/>
        <v>0.86388888888888893</v>
      </c>
      <c r="O888" s="725">
        <v>0.86458333333333337</v>
      </c>
      <c r="P888" s="725">
        <f t="shared" si="147"/>
        <v>6.9444444444444198E-4</v>
      </c>
      <c r="Q888" s="622" t="s">
        <v>303</v>
      </c>
      <c r="R888" s="37"/>
      <c r="S888" s="37" t="str">
        <f t="shared" si="145"/>
        <v>CarsonF0</v>
      </c>
      <c r="T888" s="37" t="str">
        <f t="shared" si="148"/>
        <v>2003F0</v>
      </c>
      <c r="U888" s="429">
        <v>20</v>
      </c>
      <c r="V888" s="1029">
        <v>0.1</v>
      </c>
      <c r="W888" s="598">
        <v>1E-3</v>
      </c>
      <c r="X888" s="429"/>
      <c r="Y888" s="37" t="str">
        <f t="shared" si="149"/>
        <v>F020</v>
      </c>
      <c r="Z888" s="37" t="str">
        <f t="shared" si="150"/>
        <v>F00.1</v>
      </c>
      <c r="AA888" s="37" t="str">
        <f t="shared" si="152"/>
        <v>F00.001</v>
      </c>
      <c r="AB888" s="498" t="str">
        <f t="shared" si="146"/>
        <v>F020</v>
      </c>
      <c r="AC888" s="572"/>
      <c r="AD888" s="572"/>
      <c r="AE888" s="572"/>
      <c r="AF888" s="572"/>
    </row>
    <row r="889" spans="1:32">
      <c r="A889" s="947">
        <f t="shared" si="153"/>
        <v>882</v>
      </c>
      <c r="B889" s="948">
        <v>25</v>
      </c>
      <c r="C889" s="949">
        <v>37756</v>
      </c>
      <c r="D889" s="949" t="s">
        <v>177</v>
      </c>
      <c r="E889" s="904">
        <v>15</v>
      </c>
      <c r="F889" s="644">
        <v>2003</v>
      </c>
      <c r="G889" s="948" t="s">
        <v>143</v>
      </c>
      <c r="H889" s="645" t="s">
        <v>150</v>
      </c>
      <c r="I889" s="951">
        <v>100</v>
      </c>
      <c r="J889" s="951">
        <v>11.5</v>
      </c>
      <c r="K889" s="952">
        <f t="shared" si="151"/>
        <v>0.65340909090909094</v>
      </c>
      <c r="L889" s="644">
        <f t="shared" si="154"/>
        <v>21</v>
      </c>
      <c r="M889" s="935">
        <v>0.87916666666666676</v>
      </c>
      <c r="N889" s="936">
        <f t="shared" si="144"/>
        <v>0.87916666666666676</v>
      </c>
      <c r="O889" s="725">
        <v>0.89583333333333337</v>
      </c>
      <c r="P889" s="725">
        <f t="shared" si="147"/>
        <v>1.6666666666666607E-2</v>
      </c>
      <c r="Q889" s="622" t="s">
        <v>95</v>
      </c>
      <c r="R889" s="37"/>
      <c r="S889" s="37" t="str">
        <f t="shared" si="145"/>
        <v>WheelerF1</v>
      </c>
      <c r="T889" s="37" t="str">
        <f t="shared" si="148"/>
        <v>2003F1</v>
      </c>
      <c r="U889" s="429">
        <v>100</v>
      </c>
      <c r="V889" s="1029">
        <v>10</v>
      </c>
      <c r="W889" s="598">
        <v>0.5</v>
      </c>
      <c r="X889" s="429"/>
      <c r="Y889" s="37" t="str">
        <f t="shared" si="149"/>
        <v>F1100</v>
      </c>
      <c r="Z889" s="37" t="str">
        <f t="shared" si="150"/>
        <v>F110</v>
      </c>
      <c r="AA889" s="37" t="str">
        <f t="shared" si="152"/>
        <v>F10.5</v>
      </c>
      <c r="AB889" s="498" t="str">
        <f t="shared" si="146"/>
        <v>F121</v>
      </c>
      <c r="AC889" s="572"/>
      <c r="AD889" s="572"/>
      <c r="AE889" s="572"/>
      <c r="AF889" s="572"/>
    </row>
    <row r="890" spans="1:32">
      <c r="A890" s="947">
        <f t="shared" si="153"/>
        <v>883</v>
      </c>
      <c r="B890" s="948">
        <v>26</v>
      </c>
      <c r="C890" s="949">
        <v>37756</v>
      </c>
      <c r="D890" s="949" t="s">
        <v>177</v>
      </c>
      <c r="E890" s="904">
        <v>15</v>
      </c>
      <c r="F890" s="644">
        <v>2003</v>
      </c>
      <c r="G890" s="948" t="s">
        <v>143</v>
      </c>
      <c r="H890" s="645" t="s">
        <v>149</v>
      </c>
      <c r="I890" s="951">
        <v>50</v>
      </c>
      <c r="J890" s="951">
        <v>0.5</v>
      </c>
      <c r="K890" s="952">
        <f t="shared" si="151"/>
        <v>1.4204545454545454E-2</v>
      </c>
      <c r="L890" s="644">
        <f t="shared" si="154"/>
        <v>21</v>
      </c>
      <c r="M890" s="935">
        <v>0.89583333333333337</v>
      </c>
      <c r="N890" s="936">
        <f t="shared" si="144"/>
        <v>0.89583333333333337</v>
      </c>
      <c r="O890" s="725">
        <v>0.8979166666666667</v>
      </c>
      <c r="P890" s="725">
        <f t="shared" si="147"/>
        <v>2.0833333333333259E-3</v>
      </c>
      <c r="Q890" s="622" t="s">
        <v>458</v>
      </c>
      <c r="R890" s="37"/>
      <c r="S890" s="37" t="str">
        <f t="shared" si="145"/>
        <v>WheelerF0</v>
      </c>
      <c r="T890" s="37" t="str">
        <f t="shared" si="148"/>
        <v>2003F0</v>
      </c>
      <c r="U890" s="429">
        <v>50</v>
      </c>
      <c r="V890" s="1029">
        <v>0.5</v>
      </c>
      <c r="W890" s="598">
        <v>0.01</v>
      </c>
      <c r="X890" s="429"/>
      <c r="Y890" s="37" t="str">
        <f t="shared" si="149"/>
        <v>F050</v>
      </c>
      <c r="Z890" s="37" t="str">
        <f t="shared" si="150"/>
        <v>F00.5</v>
      </c>
      <c r="AA890" s="37" t="str">
        <f t="shared" si="152"/>
        <v>F00.01</v>
      </c>
      <c r="AB890" s="498" t="str">
        <f t="shared" si="146"/>
        <v>F021</v>
      </c>
      <c r="AC890" s="572"/>
      <c r="AD890" s="572"/>
      <c r="AE890" s="572"/>
      <c r="AF890" s="572"/>
    </row>
    <row r="891" spans="1:32">
      <c r="A891" s="947">
        <f t="shared" si="153"/>
        <v>884</v>
      </c>
      <c r="B891" s="948">
        <v>27</v>
      </c>
      <c r="C891" s="949">
        <v>37756</v>
      </c>
      <c r="D891" s="949" t="s">
        <v>177</v>
      </c>
      <c r="E891" s="904">
        <v>15</v>
      </c>
      <c r="F891" s="644">
        <v>2003</v>
      </c>
      <c r="G891" s="948" t="s">
        <v>143</v>
      </c>
      <c r="H891" s="645" t="s">
        <v>151</v>
      </c>
      <c r="I891" s="951">
        <v>1760</v>
      </c>
      <c r="J891" s="951">
        <v>9.1999999999999993</v>
      </c>
      <c r="K891" s="952">
        <f t="shared" si="151"/>
        <v>9.1999999999999993</v>
      </c>
      <c r="L891" s="644">
        <f t="shared" si="154"/>
        <v>21</v>
      </c>
      <c r="M891" s="935">
        <v>0.90555555555555556</v>
      </c>
      <c r="N891" s="936">
        <f t="shared" si="144"/>
        <v>0.90555555555555556</v>
      </c>
      <c r="O891" s="725">
        <v>0.91874999999999996</v>
      </c>
      <c r="P891" s="725">
        <f t="shared" si="147"/>
        <v>1.3194444444444398E-2</v>
      </c>
      <c r="Q891" s="622" t="s">
        <v>96</v>
      </c>
      <c r="R891" s="37"/>
      <c r="S891" s="37" t="str">
        <f t="shared" si="145"/>
        <v>WheelerF2</v>
      </c>
      <c r="T891" s="37" t="str">
        <f t="shared" si="148"/>
        <v>2003F2</v>
      </c>
      <c r="U891" s="429">
        <v>1000</v>
      </c>
      <c r="V891" s="1029">
        <v>5</v>
      </c>
      <c r="W891" s="598">
        <v>5</v>
      </c>
      <c r="X891" s="429"/>
      <c r="Y891" s="37" t="str">
        <f t="shared" si="149"/>
        <v>F21000</v>
      </c>
      <c r="Z891" s="37" t="str">
        <f t="shared" si="150"/>
        <v>F25</v>
      </c>
      <c r="AA891" s="37" t="str">
        <f t="shared" si="152"/>
        <v>F25</v>
      </c>
      <c r="AB891" s="498" t="str">
        <f t="shared" si="146"/>
        <v>F221</v>
      </c>
      <c r="AC891" s="572"/>
      <c r="AD891" s="572"/>
      <c r="AE891" s="572"/>
      <c r="AF891" s="572"/>
    </row>
    <row r="892" spans="1:32">
      <c r="A892" s="947">
        <f t="shared" si="153"/>
        <v>885</v>
      </c>
      <c r="B892" s="948">
        <v>28</v>
      </c>
      <c r="C892" s="949">
        <v>37756</v>
      </c>
      <c r="D892" s="949" t="s">
        <v>177</v>
      </c>
      <c r="E892" s="904">
        <v>15</v>
      </c>
      <c r="F892" s="644">
        <v>2003</v>
      </c>
      <c r="G892" s="948" t="s">
        <v>143</v>
      </c>
      <c r="H892" s="645" t="s">
        <v>149</v>
      </c>
      <c r="I892" s="951">
        <v>50</v>
      </c>
      <c r="J892" s="951">
        <v>0.1</v>
      </c>
      <c r="K892" s="952">
        <f t="shared" si="151"/>
        <v>2.840909090909091E-3</v>
      </c>
      <c r="L892" s="644">
        <f t="shared" si="154"/>
        <v>22</v>
      </c>
      <c r="M892" s="935">
        <v>0.93125000000000002</v>
      </c>
      <c r="N892" s="936">
        <f t="shared" si="144"/>
        <v>0.93125000000000002</v>
      </c>
      <c r="O892" s="725">
        <v>0.93263888888888891</v>
      </c>
      <c r="P892" s="725">
        <f t="shared" si="147"/>
        <v>1.388888888888884E-3</v>
      </c>
      <c r="Q892" s="622" t="s">
        <v>459</v>
      </c>
      <c r="R892" s="37"/>
      <c r="S892" s="37" t="str">
        <f t="shared" si="145"/>
        <v>WheelerF0</v>
      </c>
      <c r="T892" s="37" t="str">
        <f t="shared" si="148"/>
        <v>2003F0</v>
      </c>
      <c r="U892" s="429">
        <v>50</v>
      </c>
      <c r="V892" s="1029">
        <v>0.1</v>
      </c>
      <c r="W892" s="598">
        <v>2E-3</v>
      </c>
      <c r="X892" s="429"/>
      <c r="Y892" s="37" t="str">
        <f t="shared" si="149"/>
        <v>F050</v>
      </c>
      <c r="Z892" s="37" t="str">
        <f t="shared" si="150"/>
        <v>F00.1</v>
      </c>
      <c r="AA892" s="37" t="str">
        <f t="shared" si="152"/>
        <v>F00.002</v>
      </c>
      <c r="AB892" s="498" t="str">
        <f t="shared" si="146"/>
        <v>F022</v>
      </c>
      <c r="AC892" s="572"/>
      <c r="AD892" s="572"/>
      <c r="AE892" s="572"/>
      <c r="AF892" s="572"/>
    </row>
    <row r="893" spans="1:32">
      <c r="A893" s="947">
        <f t="shared" si="153"/>
        <v>886</v>
      </c>
      <c r="B893" s="948">
        <v>29</v>
      </c>
      <c r="C893" s="949">
        <v>37765</v>
      </c>
      <c r="D893" s="949" t="s">
        <v>177</v>
      </c>
      <c r="E893" s="904">
        <v>24</v>
      </c>
      <c r="F893" s="644">
        <v>2003</v>
      </c>
      <c r="G893" s="948" t="s">
        <v>137</v>
      </c>
      <c r="H893" s="645" t="s">
        <v>149</v>
      </c>
      <c r="I893" s="951">
        <v>25</v>
      </c>
      <c r="J893" s="951">
        <v>0.2</v>
      </c>
      <c r="K893" s="952">
        <f t="shared" si="151"/>
        <v>2.840909090909091E-3</v>
      </c>
      <c r="L893" s="644">
        <f t="shared" si="154"/>
        <v>17</v>
      </c>
      <c r="M893" s="935">
        <v>0.74236111111111114</v>
      </c>
      <c r="N893" s="936">
        <f t="shared" si="144"/>
        <v>0.74236111111111114</v>
      </c>
      <c r="O893" s="725">
        <v>0.74305555555555547</v>
      </c>
      <c r="P893" s="725">
        <f t="shared" si="147"/>
        <v>6.9444444444433095E-4</v>
      </c>
      <c r="Q893" s="622" t="s">
        <v>438</v>
      </c>
      <c r="R893" s="37"/>
      <c r="S893" s="37" t="str">
        <f t="shared" si="145"/>
        <v>RobertsF0</v>
      </c>
      <c r="T893" s="37" t="str">
        <f t="shared" si="148"/>
        <v>2003F0</v>
      </c>
      <c r="U893" s="429">
        <v>20</v>
      </c>
      <c r="V893" s="1029">
        <v>0.2</v>
      </c>
      <c r="W893" s="598">
        <v>2E-3</v>
      </c>
      <c r="X893" s="429"/>
      <c r="Y893" s="37" t="str">
        <f t="shared" si="149"/>
        <v>F020</v>
      </c>
      <c r="Z893" s="37" t="str">
        <f t="shared" si="150"/>
        <v>F00.2</v>
      </c>
      <c r="AA893" s="37" t="str">
        <f t="shared" si="152"/>
        <v>F00.002</v>
      </c>
      <c r="AB893" s="498" t="str">
        <f t="shared" si="146"/>
        <v>F017</v>
      </c>
      <c r="AC893" s="572"/>
      <c r="AD893" s="572"/>
      <c r="AE893" s="572"/>
      <c r="AF893" s="572"/>
    </row>
    <row r="894" spans="1:32">
      <c r="A894" s="947">
        <f t="shared" si="153"/>
        <v>887</v>
      </c>
      <c r="B894" s="948">
        <v>30</v>
      </c>
      <c r="C894" s="949">
        <v>37765</v>
      </c>
      <c r="D894" s="949" t="s">
        <v>177</v>
      </c>
      <c r="E894" s="904">
        <v>24</v>
      </c>
      <c r="F894" s="644">
        <v>2003</v>
      </c>
      <c r="G894" s="948" t="s">
        <v>142</v>
      </c>
      <c r="H894" s="645" t="s">
        <v>149</v>
      </c>
      <c r="I894" s="951">
        <v>50</v>
      </c>
      <c r="J894" s="951">
        <v>0.2</v>
      </c>
      <c r="K894" s="952">
        <f t="shared" si="151"/>
        <v>5.681818181818182E-3</v>
      </c>
      <c r="L894" s="644">
        <f t="shared" si="154"/>
        <v>18</v>
      </c>
      <c r="M894" s="935">
        <v>0.76249999999999996</v>
      </c>
      <c r="N894" s="936">
        <f t="shared" si="144"/>
        <v>0.76249999999999996</v>
      </c>
      <c r="O894" s="725">
        <v>0.76388888888888884</v>
      </c>
      <c r="P894" s="725">
        <f t="shared" si="147"/>
        <v>1.388888888888884E-3</v>
      </c>
      <c r="Q894" s="622" t="s">
        <v>350</v>
      </c>
      <c r="R894" s="37"/>
      <c r="S894" s="37" t="str">
        <f t="shared" si="145"/>
        <v>GrayF0</v>
      </c>
      <c r="T894" s="37" t="str">
        <f t="shared" si="148"/>
        <v>2003F0</v>
      </c>
      <c r="U894" s="429">
        <v>50</v>
      </c>
      <c r="V894" s="1029">
        <v>0.2</v>
      </c>
      <c r="W894" s="598">
        <v>5.0000000000000001E-3</v>
      </c>
      <c r="X894" s="429"/>
      <c r="Y894" s="37" t="str">
        <f t="shared" si="149"/>
        <v>F050</v>
      </c>
      <c r="Z894" s="37" t="str">
        <f t="shared" si="150"/>
        <v>F00.2</v>
      </c>
      <c r="AA894" s="37" t="str">
        <f t="shared" si="152"/>
        <v>F00.005</v>
      </c>
      <c r="AB894" s="498" t="str">
        <f t="shared" si="146"/>
        <v>F018</v>
      </c>
      <c r="AC894" s="572"/>
      <c r="AD894" s="572"/>
      <c r="AE894" s="572"/>
      <c r="AF894" s="572"/>
    </row>
    <row r="895" spans="1:32">
      <c r="A895" s="947">
        <f t="shared" si="153"/>
        <v>888</v>
      </c>
      <c r="B895" s="948">
        <v>31</v>
      </c>
      <c r="C895" s="949">
        <v>37775</v>
      </c>
      <c r="D895" s="949" t="s">
        <v>178</v>
      </c>
      <c r="E895" s="904">
        <v>3</v>
      </c>
      <c r="F895" s="644">
        <v>2003</v>
      </c>
      <c r="G895" s="948" t="s">
        <v>144</v>
      </c>
      <c r="H895" s="645" t="s">
        <v>149</v>
      </c>
      <c r="I895" s="951">
        <v>50</v>
      </c>
      <c r="J895" s="951">
        <v>0.2</v>
      </c>
      <c r="K895" s="952">
        <f t="shared" si="151"/>
        <v>5.681818181818182E-3</v>
      </c>
      <c r="L895" s="644">
        <f t="shared" si="154"/>
        <v>18</v>
      </c>
      <c r="M895" s="935">
        <v>0.77569444444444446</v>
      </c>
      <c r="N895" s="936">
        <f t="shared" si="144"/>
        <v>0.77569444444444446</v>
      </c>
      <c r="O895" s="725">
        <v>0.78333333333333333</v>
      </c>
      <c r="P895" s="725">
        <f t="shared" si="147"/>
        <v>7.6388888888888618E-3</v>
      </c>
      <c r="Q895" s="622" t="s">
        <v>322</v>
      </c>
      <c r="R895" s="37"/>
      <c r="S895" s="37" t="str">
        <f t="shared" si="145"/>
        <v>Deaf SmithF0</v>
      </c>
      <c r="T895" s="37" t="str">
        <f t="shared" si="148"/>
        <v>2003F0</v>
      </c>
      <c r="U895" s="429">
        <v>50</v>
      </c>
      <c r="V895" s="1029">
        <v>0.2</v>
      </c>
      <c r="W895" s="598">
        <v>5.0000000000000001E-3</v>
      </c>
      <c r="X895" s="429"/>
      <c r="Y895" s="37" t="str">
        <f t="shared" si="149"/>
        <v>F050</v>
      </c>
      <c r="Z895" s="37" t="str">
        <f t="shared" si="150"/>
        <v>F00.2</v>
      </c>
      <c r="AA895" s="37" t="str">
        <f t="shared" si="152"/>
        <v>F00.005</v>
      </c>
      <c r="AB895" s="498" t="str">
        <f t="shared" si="146"/>
        <v>F018</v>
      </c>
      <c r="AC895" s="572"/>
      <c r="AD895" s="572"/>
      <c r="AE895" s="572"/>
      <c r="AF895" s="572"/>
    </row>
    <row r="896" spans="1:32">
      <c r="A896" s="947">
        <f t="shared" si="153"/>
        <v>889</v>
      </c>
      <c r="B896" s="948">
        <v>32</v>
      </c>
      <c r="C896" s="949">
        <v>37775</v>
      </c>
      <c r="D896" s="949" t="s">
        <v>178</v>
      </c>
      <c r="E896" s="904">
        <v>3</v>
      </c>
      <c r="F896" s="644">
        <v>2003</v>
      </c>
      <c r="G896" s="948" t="s">
        <v>144</v>
      </c>
      <c r="H896" s="645" t="s">
        <v>149</v>
      </c>
      <c r="I896" s="951">
        <v>25</v>
      </c>
      <c r="J896" s="951">
        <v>0.1</v>
      </c>
      <c r="K896" s="952">
        <f t="shared" si="151"/>
        <v>1.4204545454545455E-3</v>
      </c>
      <c r="L896" s="644">
        <f t="shared" si="154"/>
        <v>19</v>
      </c>
      <c r="M896" s="935">
        <v>0.79722222222222217</v>
      </c>
      <c r="N896" s="936">
        <f t="shared" si="144"/>
        <v>0.79722222222222217</v>
      </c>
      <c r="O896" s="725">
        <v>0.7993055555555556</v>
      </c>
      <c r="P896" s="725">
        <f t="shared" si="147"/>
        <v>2.083333333333437E-3</v>
      </c>
      <c r="Q896" s="622" t="s">
        <v>323</v>
      </c>
      <c r="R896" s="37"/>
      <c r="S896" s="37" t="str">
        <f t="shared" si="145"/>
        <v>Deaf SmithF0</v>
      </c>
      <c r="T896" s="37" t="str">
        <f t="shared" si="148"/>
        <v>2003F0</v>
      </c>
      <c r="U896" s="429">
        <v>20</v>
      </c>
      <c r="V896" s="1029">
        <v>0.1</v>
      </c>
      <c r="W896" s="598">
        <v>1E-3</v>
      </c>
      <c r="X896" s="429"/>
      <c r="Y896" s="37" t="str">
        <f t="shared" si="149"/>
        <v>F020</v>
      </c>
      <c r="Z896" s="37" t="str">
        <f t="shared" si="150"/>
        <v>F00.1</v>
      </c>
      <c r="AA896" s="37" t="str">
        <f t="shared" si="152"/>
        <v>F00.001</v>
      </c>
      <c r="AB896" s="498" t="str">
        <f t="shared" si="146"/>
        <v>F019</v>
      </c>
      <c r="AC896" s="572"/>
      <c r="AD896" s="572"/>
      <c r="AE896" s="572"/>
      <c r="AF896" s="572"/>
    </row>
    <row r="897" spans="1:32">
      <c r="A897" s="947">
        <f t="shared" si="153"/>
        <v>890</v>
      </c>
      <c r="B897" s="948">
        <v>33</v>
      </c>
      <c r="C897" s="949">
        <v>37777</v>
      </c>
      <c r="D897" s="949" t="s">
        <v>178</v>
      </c>
      <c r="E897" s="904">
        <v>5</v>
      </c>
      <c r="F897" s="644">
        <v>2003</v>
      </c>
      <c r="G897" s="948" t="s">
        <v>131</v>
      </c>
      <c r="H897" s="645" t="s">
        <v>149</v>
      </c>
      <c r="I897" s="951">
        <v>440</v>
      </c>
      <c r="J897" s="951">
        <v>4</v>
      </c>
      <c r="K897" s="952">
        <f t="shared" si="151"/>
        <v>1</v>
      </c>
      <c r="L897" s="644">
        <f t="shared" si="154"/>
        <v>16</v>
      </c>
      <c r="M897" s="935">
        <v>0.6875</v>
      </c>
      <c r="N897" s="936">
        <f t="shared" si="144"/>
        <v>0.6875</v>
      </c>
      <c r="O897" s="725">
        <v>0.69097222222222221</v>
      </c>
      <c r="P897" s="725">
        <f t="shared" si="147"/>
        <v>3.4722222222222099E-3</v>
      </c>
      <c r="Q897" s="622" t="s">
        <v>359</v>
      </c>
      <c r="R897" s="37"/>
      <c r="S897" s="37" t="str">
        <f t="shared" si="145"/>
        <v>HansfordF0</v>
      </c>
      <c r="T897" s="37" t="str">
        <f t="shared" si="148"/>
        <v>2003F0</v>
      </c>
      <c r="U897" s="429">
        <v>200</v>
      </c>
      <c r="V897" s="1029">
        <v>2</v>
      </c>
      <c r="W897" s="598">
        <v>1</v>
      </c>
      <c r="X897" s="429"/>
      <c r="Y897" s="37" t="str">
        <f t="shared" si="149"/>
        <v>F0200</v>
      </c>
      <c r="Z897" s="37" t="str">
        <f t="shared" si="150"/>
        <v>F02</v>
      </c>
      <c r="AA897" s="37" t="str">
        <f t="shared" si="152"/>
        <v>F01</v>
      </c>
      <c r="AB897" s="498" t="str">
        <f t="shared" si="146"/>
        <v>F016</v>
      </c>
      <c r="AC897" s="572"/>
      <c r="AD897" s="572"/>
      <c r="AE897" s="572"/>
      <c r="AF897" s="572"/>
    </row>
    <row r="898" spans="1:32">
      <c r="A898" s="947">
        <f t="shared" si="153"/>
        <v>891</v>
      </c>
      <c r="B898" s="948">
        <v>1</v>
      </c>
      <c r="C898" s="949">
        <v>38096</v>
      </c>
      <c r="D898" s="949" t="s">
        <v>176</v>
      </c>
      <c r="E898" s="904">
        <v>19</v>
      </c>
      <c r="F898" s="644">
        <v>2004</v>
      </c>
      <c r="G898" s="948" t="s">
        <v>132</v>
      </c>
      <c r="H898" s="645" t="s">
        <v>149</v>
      </c>
      <c r="I898" s="951">
        <v>440</v>
      </c>
      <c r="J898" s="951">
        <v>1</v>
      </c>
      <c r="K898" s="952">
        <f t="shared" si="151"/>
        <v>0.25</v>
      </c>
      <c r="L898" s="644">
        <f t="shared" si="154"/>
        <v>19</v>
      </c>
      <c r="M898" s="935">
        <v>0.80694444444444446</v>
      </c>
      <c r="N898" s="936">
        <f t="shared" si="144"/>
        <v>0.80694444444444446</v>
      </c>
      <c r="O898" s="725">
        <v>0.81388888888888899</v>
      </c>
      <c r="P898" s="725">
        <f t="shared" si="147"/>
        <v>6.9444444444445308E-3</v>
      </c>
      <c r="Q898" s="622" t="s">
        <v>405</v>
      </c>
      <c r="R898" s="37"/>
      <c r="S898" s="37" t="str">
        <f t="shared" si="145"/>
        <v>OchiltreeF0</v>
      </c>
      <c r="T898" s="37" t="str">
        <f t="shared" si="148"/>
        <v>2004F0</v>
      </c>
      <c r="U898" s="429">
        <v>200</v>
      </c>
      <c r="V898" s="1029">
        <v>1</v>
      </c>
      <c r="W898" s="598">
        <v>0.2</v>
      </c>
      <c r="X898" s="429"/>
      <c r="Y898" s="37" t="str">
        <f t="shared" si="149"/>
        <v>F0200</v>
      </c>
      <c r="Z898" s="37" t="str">
        <f t="shared" si="150"/>
        <v>F01</v>
      </c>
      <c r="AA898" s="37" t="str">
        <f t="shared" si="152"/>
        <v>F00.2</v>
      </c>
      <c r="AB898" s="498" t="str">
        <f t="shared" si="146"/>
        <v>F019</v>
      </c>
      <c r="AC898" s="572"/>
      <c r="AD898" s="572"/>
      <c r="AE898" s="572"/>
      <c r="AF898" s="572"/>
    </row>
    <row r="899" spans="1:32">
      <c r="A899" s="947">
        <f t="shared" si="153"/>
        <v>892</v>
      </c>
      <c r="B899" s="948">
        <v>2</v>
      </c>
      <c r="C899" s="949">
        <v>38118</v>
      </c>
      <c r="D899" s="949" t="s">
        <v>177</v>
      </c>
      <c r="E899" s="904">
        <v>11</v>
      </c>
      <c r="F899" s="644">
        <v>2004</v>
      </c>
      <c r="G899" s="948" t="s">
        <v>134</v>
      </c>
      <c r="H899" s="645" t="s">
        <v>149</v>
      </c>
      <c r="I899" s="951">
        <v>25</v>
      </c>
      <c r="J899" s="951">
        <v>1</v>
      </c>
      <c r="K899" s="952">
        <f t="shared" si="151"/>
        <v>1.4204545454545454E-2</v>
      </c>
      <c r="L899" s="644">
        <f t="shared" si="154"/>
        <v>16</v>
      </c>
      <c r="M899" s="935">
        <v>0.68819444444444444</v>
      </c>
      <c r="N899" s="936">
        <f t="shared" si="144"/>
        <v>0.68819444444444444</v>
      </c>
      <c r="O899" s="725">
        <v>0.69374999999999998</v>
      </c>
      <c r="P899" s="725">
        <f t="shared" si="147"/>
        <v>5.5555555555555358E-3</v>
      </c>
      <c r="Q899" s="622" t="s">
        <v>370</v>
      </c>
      <c r="R899" s="37"/>
      <c r="S899" s="37" t="str">
        <f t="shared" si="145"/>
        <v>HartleyF0</v>
      </c>
      <c r="T899" s="37" t="str">
        <f t="shared" si="148"/>
        <v>2004F0</v>
      </c>
      <c r="U899" s="429">
        <v>20</v>
      </c>
      <c r="V899" s="1029">
        <v>1</v>
      </c>
      <c r="W899" s="598">
        <v>0.01</v>
      </c>
      <c r="X899" s="429"/>
      <c r="Y899" s="37" t="str">
        <f t="shared" si="149"/>
        <v>F020</v>
      </c>
      <c r="Z899" s="37" t="str">
        <f t="shared" si="150"/>
        <v>F01</v>
      </c>
      <c r="AA899" s="37" t="str">
        <f t="shared" si="152"/>
        <v>F00.01</v>
      </c>
      <c r="AB899" s="498" t="str">
        <f t="shared" si="146"/>
        <v>F016</v>
      </c>
      <c r="AC899" s="572"/>
      <c r="AD899" s="572"/>
      <c r="AE899" s="572"/>
      <c r="AF899" s="572"/>
    </row>
    <row r="900" spans="1:32">
      <c r="A900" s="947">
        <f t="shared" si="153"/>
        <v>893</v>
      </c>
      <c r="B900" s="948">
        <v>3</v>
      </c>
      <c r="C900" s="949">
        <v>38118</v>
      </c>
      <c r="D900" s="949" t="s">
        <v>177</v>
      </c>
      <c r="E900" s="904">
        <v>11</v>
      </c>
      <c r="F900" s="644">
        <v>2004</v>
      </c>
      <c r="G900" s="948" t="s">
        <v>134</v>
      </c>
      <c r="H900" s="645" t="s">
        <v>149</v>
      </c>
      <c r="I900" s="951">
        <v>25</v>
      </c>
      <c r="J900" s="951">
        <v>0.1</v>
      </c>
      <c r="K900" s="952">
        <f t="shared" si="151"/>
        <v>1.4204545454545455E-3</v>
      </c>
      <c r="L900" s="644">
        <f t="shared" si="154"/>
        <v>17</v>
      </c>
      <c r="M900" s="935">
        <v>0.72152777777777777</v>
      </c>
      <c r="N900" s="936">
        <f t="shared" si="144"/>
        <v>0.72152777777777777</v>
      </c>
      <c r="O900" s="725">
        <v>0.72291666666666676</v>
      </c>
      <c r="P900" s="725">
        <f t="shared" si="147"/>
        <v>1.388888888888995E-3</v>
      </c>
      <c r="Q900" s="622" t="s">
        <v>371</v>
      </c>
      <c r="R900" s="37"/>
      <c r="S900" s="37" t="str">
        <f t="shared" si="145"/>
        <v>HartleyF0</v>
      </c>
      <c r="T900" s="37" t="str">
        <f t="shared" si="148"/>
        <v>2004F0</v>
      </c>
      <c r="U900" s="429">
        <v>20</v>
      </c>
      <c r="V900" s="1029">
        <v>0.1</v>
      </c>
      <c r="W900" s="598">
        <v>1E-3</v>
      </c>
      <c r="X900" s="429"/>
      <c r="Y900" s="37" t="str">
        <f t="shared" si="149"/>
        <v>F020</v>
      </c>
      <c r="Z900" s="37" t="str">
        <f t="shared" si="150"/>
        <v>F00.1</v>
      </c>
      <c r="AA900" s="37" t="str">
        <f t="shared" si="152"/>
        <v>F00.001</v>
      </c>
      <c r="AB900" s="498" t="str">
        <f t="shared" si="146"/>
        <v>F017</v>
      </c>
      <c r="AC900" s="572"/>
      <c r="AD900" s="572"/>
      <c r="AE900" s="572"/>
      <c r="AF900" s="572"/>
    </row>
    <row r="901" spans="1:32">
      <c r="A901" s="947">
        <f t="shared" si="153"/>
        <v>894</v>
      </c>
      <c r="B901" s="948">
        <v>4</v>
      </c>
      <c r="C901" s="949">
        <v>38153</v>
      </c>
      <c r="D901" s="949" t="s">
        <v>178</v>
      </c>
      <c r="E901" s="904">
        <v>15</v>
      </c>
      <c r="F901" s="644">
        <v>2004</v>
      </c>
      <c r="G901" s="948" t="s">
        <v>126</v>
      </c>
      <c r="H901" s="645" t="s">
        <v>149</v>
      </c>
      <c r="I901" s="951">
        <v>50</v>
      </c>
      <c r="J901" s="951">
        <v>0.3</v>
      </c>
      <c r="K901" s="952">
        <f t="shared" si="151"/>
        <v>8.5227272727272721E-3</v>
      </c>
      <c r="L901" s="644">
        <f t="shared" si="154"/>
        <v>17</v>
      </c>
      <c r="M901" s="935">
        <v>0.72013888888888899</v>
      </c>
      <c r="N901" s="936">
        <f t="shared" si="144"/>
        <v>0.72013888888888899</v>
      </c>
      <c r="O901" s="725">
        <v>0.72638888888888886</v>
      </c>
      <c r="P901" s="725">
        <f t="shared" si="147"/>
        <v>6.2499999999998668E-3</v>
      </c>
      <c r="Q901" s="622" t="s">
        <v>241</v>
      </c>
      <c r="R901" s="37"/>
      <c r="S901" s="37" t="str">
        <f t="shared" si="145"/>
        <v>CimarronF0</v>
      </c>
      <c r="T901" s="37" t="str">
        <f t="shared" si="148"/>
        <v>2004F0</v>
      </c>
      <c r="U901" s="429">
        <v>50</v>
      </c>
      <c r="V901" s="1029">
        <v>0.2</v>
      </c>
      <c r="W901" s="598">
        <v>5.0000000000000001E-3</v>
      </c>
      <c r="X901" s="429"/>
      <c r="Y901" s="37" t="str">
        <f t="shared" si="149"/>
        <v>F050</v>
      </c>
      <c r="Z901" s="37" t="str">
        <f t="shared" si="150"/>
        <v>F00.2</v>
      </c>
      <c r="AA901" s="37" t="str">
        <f t="shared" si="152"/>
        <v>F00.005</v>
      </c>
      <c r="AB901" s="498" t="str">
        <f t="shared" si="146"/>
        <v>F017</v>
      </c>
      <c r="AC901" s="572"/>
      <c r="AD901" s="572"/>
      <c r="AE901" s="572"/>
      <c r="AF901" s="572"/>
    </row>
    <row r="902" spans="1:32">
      <c r="A902" s="947">
        <f t="shared" si="153"/>
        <v>895</v>
      </c>
      <c r="B902" s="948">
        <v>5</v>
      </c>
      <c r="C902" s="949">
        <v>38155</v>
      </c>
      <c r="D902" s="949" t="s">
        <v>178</v>
      </c>
      <c r="E902" s="904">
        <v>17</v>
      </c>
      <c r="F902" s="644">
        <v>2004</v>
      </c>
      <c r="G902" s="948" t="s">
        <v>136</v>
      </c>
      <c r="H902" s="645" t="s">
        <v>149</v>
      </c>
      <c r="I902" s="951">
        <v>25</v>
      </c>
      <c r="J902" s="951">
        <v>0.1</v>
      </c>
      <c r="K902" s="952">
        <f t="shared" si="151"/>
        <v>1.4204545454545455E-3</v>
      </c>
      <c r="L902" s="644">
        <f t="shared" si="154"/>
        <v>16</v>
      </c>
      <c r="M902" s="935">
        <v>0.70625000000000004</v>
      </c>
      <c r="N902" s="936">
        <f t="shared" si="144"/>
        <v>0.70625000000000004</v>
      </c>
      <c r="O902" s="725">
        <v>0.70833333333333337</v>
      </c>
      <c r="P902" s="725">
        <f t="shared" si="147"/>
        <v>2.0833333333333259E-3</v>
      </c>
      <c r="Q902" s="622" t="s">
        <v>385</v>
      </c>
      <c r="R902" s="37"/>
      <c r="S902" s="37" t="str">
        <f t="shared" si="145"/>
        <v>HutchinsonF0</v>
      </c>
      <c r="T902" s="37" t="str">
        <f t="shared" si="148"/>
        <v>2004F0</v>
      </c>
      <c r="U902" s="429">
        <v>20</v>
      </c>
      <c r="V902" s="1029">
        <v>0.1</v>
      </c>
      <c r="W902" s="598">
        <v>1E-3</v>
      </c>
      <c r="X902" s="429"/>
      <c r="Y902" s="37" t="str">
        <f t="shared" si="149"/>
        <v>F020</v>
      </c>
      <c r="Z902" s="37" t="str">
        <f t="shared" si="150"/>
        <v>F00.1</v>
      </c>
      <c r="AA902" s="37" t="str">
        <f t="shared" si="152"/>
        <v>F00.001</v>
      </c>
      <c r="AB902" s="498" t="str">
        <f t="shared" si="146"/>
        <v>F016</v>
      </c>
      <c r="AC902" s="572"/>
      <c r="AD902" s="572"/>
      <c r="AE902" s="572"/>
      <c r="AF902" s="572"/>
    </row>
    <row r="903" spans="1:32">
      <c r="A903" s="947">
        <f t="shared" si="153"/>
        <v>896</v>
      </c>
      <c r="B903" s="948">
        <v>6</v>
      </c>
      <c r="C903" s="949">
        <v>38155</v>
      </c>
      <c r="D903" s="949" t="s">
        <v>178</v>
      </c>
      <c r="E903" s="904">
        <v>17</v>
      </c>
      <c r="F903" s="644">
        <v>2004</v>
      </c>
      <c r="G903" s="948" t="s">
        <v>136</v>
      </c>
      <c r="H903" s="645" t="s">
        <v>149</v>
      </c>
      <c r="I903" s="951">
        <v>25</v>
      </c>
      <c r="J903" s="951">
        <v>0.1</v>
      </c>
      <c r="K903" s="952">
        <f t="shared" si="151"/>
        <v>1.4204545454545455E-3</v>
      </c>
      <c r="L903" s="644">
        <f t="shared" si="154"/>
        <v>17</v>
      </c>
      <c r="M903" s="935">
        <v>0.73958333333333337</v>
      </c>
      <c r="N903" s="936">
        <f t="shared" ref="N903:N966" si="155">+M903</f>
        <v>0.73958333333333337</v>
      </c>
      <c r="O903" s="725">
        <v>0.74236111111111114</v>
      </c>
      <c r="P903" s="725">
        <f t="shared" si="147"/>
        <v>2.7777777777777679E-3</v>
      </c>
      <c r="Q903" s="622" t="s">
        <v>386</v>
      </c>
      <c r="R903" s="37"/>
      <c r="S903" s="37" t="str">
        <f t="shared" ref="S903:S966" si="156">CONCATENATE(G903,H903)</f>
        <v>HutchinsonF0</v>
      </c>
      <c r="T903" s="37" t="str">
        <f t="shared" si="148"/>
        <v>2004F0</v>
      </c>
      <c r="U903" s="429">
        <v>20</v>
      </c>
      <c r="V903" s="1029">
        <v>0.1</v>
      </c>
      <c r="W903" s="598">
        <v>1E-3</v>
      </c>
      <c r="X903" s="429"/>
      <c r="Y903" s="37" t="str">
        <f t="shared" si="149"/>
        <v>F020</v>
      </c>
      <c r="Z903" s="37" t="str">
        <f t="shared" si="150"/>
        <v>F00.1</v>
      </c>
      <c r="AA903" s="37" t="str">
        <f t="shared" si="152"/>
        <v>F00.001</v>
      </c>
      <c r="AB903" s="498" t="str">
        <f t="shared" ref="AB903:AB966" si="157">CONCATENATE(H903,L903)</f>
        <v>F017</v>
      </c>
      <c r="AC903" s="572"/>
      <c r="AD903" s="572"/>
      <c r="AE903" s="572"/>
      <c r="AF903" s="572"/>
    </row>
    <row r="904" spans="1:32" ht="69.95" customHeight="1">
      <c r="A904" s="947">
        <f t="shared" si="153"/>
        <v>897</v>
      </c>
      <c r="B904" s="948">
        <v>7</v>
      </c>
      <c r="C904" s="949">
        <v>38159</v>
      </c>
      <c r="D904" s="949" t="s">
        <v>178</v>
      </c>
      <c r="E904" s="904">
        <v>21</v>
      </c>
      <c r="F904" s="644">
        <v>2004</v>
      </c>
      <c r="G904" s="948" t="s">
        <v>140</v>
      </c>
      <c r="H904" s="645" t="s">
        <v>149</v>
      </c>
      <c r="I904" s="951">
        <v>25</v>
      </c>
      <c r="J904" s="951">
        <v>0.1</v>
      </c>
      <c r="K904" s="952">
        <f t="shared" si="151"/>
        <v>1.4204545454545455E-3</v>
      </c>
      <c r="L904" s="644">
        <f t="shared" si="154"/>
        <v>18</v>
      </c>
      <c r="M904" s="935">
        <v>0.75763888888888886</v>
      </c>
      <c r="N904" s="936">
        <f t="shared" si="155"/>
        <v>0.75763888888888886</v>
      </c>
      <c r="O904" s="725">
        <v>0.7583333333333333</v>
      </c>
      <c r="P904" s="725">
        <f t="shared" ref="P904:P967" si="158">+O904-N904</f>
        <v>6.9444444444444198E-4</v>
      </c>
      <c r="Q904" s="622" t="s">
        <v>497</v>
      </c>
      <c r="R904" s="37"/>
      <c r="S904" s="37" t="str">
        <f t="shared" si="156"/>
        <v>PotterF0</v>
      </c>
      <c r="T904" s="37" t="str">
        <f t="shared" ref="T904:T967" si="159">CONCATENATE(F904,H904)</f>
        <v>2004F0</v>
      </c>
      <c r="U904" s="429">
        <v>20</v>
      </c>
      <c r="V904" s="1029">
        <v>0.1</v>
      </c>
      <c r="W904" s="598">
        <v>1E-3</v>
      </c>
      <c r="X904" s="429"/>
      <c r="Y904" s="37" t="str">
        <f t="shared" ref="Y904:Y967" si="160">CONCATENATE(H904,U904)</f>
        <v>F020</v>
      </c>
      <c r="Z904" s="37" t="str">
        <f t="shared" ref="Z904:Z967" si="161">CONCATENATE(H904,V904)</f>
        <v>F00.1</v>
      </c>
      <c r="AA904" s="37" t="str">
        <f t="shared" si="152"/>
        <v>F00.001</v>
      </c>
      <c r="AB904" s="498" t="str">
        <f t="shared" si="157"/>
        <v>F018</v>
      </c>
      <c r="AC904" s="572"/>
      <c r="AD904" s="572"/>
      <c r="AE904" s="572"/>
      <c r="AF904" s="572"/>
    </row>
    <row r="905" spans="1:32">
      <c r="A905" s="947">
        <f t="shared" si="153"/>
        <v>898</v>
      </c>
      <c r="B905" s="948">
        <v>8</v>
      </c>
      <c r="C905" s="949">
        <v>38159</v>
      </c>
      <c r="D905" s="949" t="s">
        <v>178</v>
      </c>
      <c r="E905" s="904">
        <v>21</v>
      </c>
      <c r="F905" s="644">
        <v>2004</v>
      </c>
      <c r="G905" s="948" t="s">
        <v>140</v>
      </c>
      <c r="H905" s="645" t="s">
        <v>149</v>
      </c>
      <c r="I905" s="951">
        <v>25</v>
      </c>
      <c r="J905" s="951">
        <v>0.1</v>
      </c>
      <c r="K905" s="952">
        <f t="shared" ref="K905:K968" si="162">+(I905/1760)*J905</f>
        <v>1.4204545454545455E-3</v>
      </c>
      <c r="L905" s="644">
        <f t="shared" si="154"/>
        <v>18</v>
      </c>
      <c r="M905" s="935">
        <v>0.76111111111111107</v>
      </c>
      <c r="N905" s="936">
        <f t="shared" si="155"/>
        <v>0.76111111111111107</v>
      </c>
      <c r="O905" s="725">
        <v>0.76249999999999996</v>
      </c>
      <c r="P905" s="725">
        <f t="shared" si="158"/>
        <v>1.388888888888884E-3</v>
      </c>
      <c r="Q905" s="622" t="s">
        <v>418</v>
      </c>
      <c r="R905" s="37"/>
      <c r="S905" s="37" t="str">
        <f t="shared" si="156"/>
        <v>PotterF0</v>
      </c>
      <c r="T905" s="37" t="str">
        <f t="shared" si="159"/>
        <v>2004F0</v>
      </c>
      <c r="U905" s="429">
        <v>20</v>
      </c>
      <c r="V905" s="1029">
        <v>0.1</v>
      </c>
      <c r="W905" s="598">
        <v>1E-3</v>
      </c>
      <c r="X905" s="429"/>
      <c r="Y905" s="37" t="str">
        <f t="shared" si="160"/>
        <v>F020</v>
      </c>
      <c r="Z905" s="37" t="str">
        <f t="shared" si="161"/>
        <v>F00.1</v>
      </c>
      <c r="AA905" s="37" t="str">
        <f t="shared" ref="AA905:AA968" si="163">CONCATENATE(H905,W905)</f>
        <v>F00.001</v>
      </c>
      <c r="AB905" s="498" t="str">
        <f t="shared" si="157"/>
        <v>F018</v>
      </c>
      <c r="AC905" s="572"/>
      <c r="AD905" s="572"/>
      <c r="AE905" s="572"/>
      <c r="AF905" s="572"/>
    </row>
    <row r="906" spans="1:32">
      <c r="A906" s="947">
        <f t="shared" ref="A906:A969" si="164">+A905+1</f>
        <v>899</v>
      </c>
      <c r="B906" s="948">
        <v>9</v>
      </c>
      <c r="C906" s="949">
        <v>38159</v>
      </c>
      <c r="D906" s="949" t="s">
        <v>178</v>
      </c>
      <c r="E906" s="904">
        <v>21</v>
      </c>
      <c r="F906" s="644">
        <v>2004</v>
      </c>
      <c r="G906" s="948" t="s">
        <v>145</v>
      </c>
      <c r="H906" s="645" t="s">
        <v>149</v>
      </c>
      <c r="I906" s="951">
        <v>25</v>
      </c>
      <c r="J906" s="951">
        <v>0.1</v>
      </c>
      <c r="K906" s="952">
        <f t="shared" si="162"/>
        <v>1.4204545454545455E-3</v>
      </c>
      <c r="L906" s="644">
        <f t="shared" si="154"/>
        <v>18</v>
      </c>
      <c r="M906" s="935">
        <v>0.77361111111111114</v>
      </c>
      <c r="N906" s="936">
        <f t="shared" si="155"/>
        <v>0.77361111111111114</v>
      </c>
      <c r="O906" s="725">
        <v>0.77569444444444446</v>
      </c>
      <c r="P906" s="725">
        <f t="shared" si="158"/>
        <v>2.0833333333333259E-3</v>
      </c>
      <c r="Q906" s="622" t="s">
        <v>426</v>
      </c>
      <c r="R906" s="37"/>
      <c r="S906" s="37" t="str">
        <f t="shared" si="156"/>
        <v>RandallF0</v>
      </c>
      <c r="T906" s="37" t="str">
        <f t="shared" si="159"/>
        <v>2004F0</v>
      </c>
      <c r="U906" s="429">
        <v>20</v>
      </c>
      <c r="V906" s="1029">
        <v>0.1</v>
      </c>
      <c r="W906" s="598">
        <v>1E-3</v>
      </c>
      <c r="X906" s="429"/>
      <c r="Y906" s="37" t="str">
        <f t="shared" si="160"/>
        <v>F020</v>
      </c>
      <c r="Z906" s="37" t="str">
        <f t="shared" si="161"/>
        <v>F00.1</v>
      </c>
      <c r="AA906" s="37" t="str">
        <f t="shared" si="163"/>
        <v>F00.001</v>
      </c>
      <c r="AB906" s="498" t="str">
        <f t="shared" si="157"/>
        <v>F018</v>
      </c>
      <c r="AC906" s="572"/>
      <c r="AD906" s="572"/>
      <c r="AE906" s="572"/>
      <c r="AF906" s="572"/>
    </row>
    <row r="907" spans="1:32" ht="25.5">
      <c r="A907" s="947">
        <f t="shared" si="164"/>
        <v>900</v>
      </c>
      <c r="B907" s="948">
        <v>10</v>
      </c>
      <c r="C907" s="949">
        <v>38159</v>
      </c>
      <c r="D907" s="949" t="s">
        <v>178</v>
      </c>
      <c r="E907" s="904">
        <v>21</v>
      </c>
      <c r="F907" s="644">
        <v>2004</v>
      </c>
      <c r="G907" s="948" t="s">
        <v>145</v>
      </c>
      <c r="H907" s="645" t="s">
        <v>149</v>
      </c>
      <c r="I907" s="951">
        <v>25</v>
      </c>
      <c r="J907" s="951">
        <v>0.1</v>
      </c>
      <c r="K907" s="952">
        <f t="shared" si="162"/>
        <v>1.4204545454545455E-3</v>
      </c>
      <c r="L907" s="644">
        <f t="shared" si="154"/>
        <v>18</v>
      </c>
      <c r="M907" s="935">
        <v>0.78333333333333333</v>
      </c>
      <c r="N907" s="936">
        <f t="shared" si="155"/>
        <v>0.78333333333333333</v>
      </c>
      <c r="O907" s="725">
        <v>0.78333333333333333</v>
      </c>
      <c r="P907" s="725">
        <f t="shared" si="158"/>
        <v>0</v>
      </c>
      <c r="Q907" s="622" t="s">
        <v>67</v>
      </c>
      <c r="R907" s="37"/>
      <c r="S907" s="37" t="str">
        <f t="shared" si="156"/>
        <v>RandallF0</v>
      </c>
      <c r="T907" s="37" t="str">
        <f t="shared" si="159"/>
        <v>2004F0</v>
      </c>
      <c r="U907" s="429">
        <v>20</v>
      </c>
      <c r="V907" s="1029">
        <v>0.1</v>
      </c>
      <c r="W907" s="598">
        <v>1E-3</v>
      </c>
      <c r="X907" s="429"/>
      <c r="Y907" s="37" t="str">
        <f t="shared" si="160"/>
        <v>F020</v>
      </c>
      <c r="Z907" s="37" t="str">
        <f t="shared" si="161"/>
        <v>F00.1</v>
      </c>
      <c r="AA907" s="37" t="str">
        <f t="shared" si="163"/>
        <v>F00.001</v>
      </c>
      <c r="AB907" s="498" t="str">
        <f t="shared" si="157"/>
        <v>F018</v>
      </c>
      <c r="AC907" s="572"/>
      <c r="AD907" s="572"/>
      <c r="AE907" s="572"/>
      <c r="AF907" s="572"/>
    </row>
    <row r="908" spans="1:32">
      <c r="A908" s="947">
        <f t="shared" si="164"/>
        <v>901</v>
      </c>
      <c r="B908" s="948">
        <v>11</v>
      </c>
      <c r="C908" s="949">
        <v>38159</v>
      </c>
      <c r="D908" s="949" t="s">
        <v>178</v>
      </c>
      <c r="E908" s="904">
        <v>21</v>
      </c>
      <c r="F908" s="644">
        <v>2004</v>
      </c>
      <c r="G908" s="948" t="s">
        <v>145</v>
      </c>
      <c r="H908" s="645" t="s">
        <v>149</v>
      </c>
      <c r="I908" s="951">
        <v>25</v>
      </c>
      <c r="J908" s="951">
        <v>0.1</v>
      </c>
      <c r="K908" s="952">
        <f t="shared" si="162"/>
        <v>1.4204545454545455E-3</v>
      </c>
      <c r="L908" s="644">
        <f t="shared" si="154"/>
        <v>18</v>
      </c>
      <c r="M908" s="935">
        <v>0.78541666666666676</v>
      </c>
      <c r="N908" s="936">
        <f t="shared" si="155"/>
        <v>0.78541666666666676</v>
      </c>
      <c r="O908" s="725">
        <v>0.78611111111111109</v>
      </c>
      <c r="P908" s="725">
        <f t="shared" si="158"/>
        <v>6.9444444444433095E-4</v>
      </c>
      <c r="Q908" s="622" t="s">
        <v>427</v>
      </c>
      <c r="R908" s="37"/>
      <c r="S908" s="37" t="str">
        <f t="shared" si="156"/>
        <v>RandallF0</v>
      </c>
      <c r="T908" s="37" t="str">
        <f t="shared" si="159"/>
        <v>2004F0</v>
      </c>
      <c r="U908" s="429">
        <v>20</v>
      </c>
      <c r="V908" s="1029">
        <v>0.1</v>
      </c>
      <c r="W908" s="598">
        <v>1E-3</v>
      </c>
      <c r="X908" s="429"/>
      <c r="Y908" s="37" t="str">
        <f t="shared" si="160"/>
        <v>F020</v>
      </c>
      <c r="Z908" s="37" t="str">
        <f t="shared" si="161"/>
        <v>F00.1</v>
      </c>
      <c r="AA908" s="37" t="str">
        <f t="shared" si="163"/>
        <v>F00.001</v>
      </c>
      <c r="AB908" s="498" t="str">
        <f t="shared" si="157"/>
        <v>F018</v>
      </c>
      <c r="AC908" s="572"/>
      <c r="AD908" s="572"/>
      <c r="AE908" s="572"/>
      <c r="AF908" s="572"/>
    </row>
    <row r="909" spans="1:32">
      <c r="A909" s="947">
        <f t="shared" si="164"/>
        <v>902</v>
      </c>
      <c r="B909" s="948">
        <v>12</v>
      </c>
      <c r="C909" s="949">
        <v>38159</v>
      </c>
      <c r="D909" s="949" t="s">
        <v>178</v>
      </c>
      <c r="E909" s="904">
        <v>21</v>
      </c>
      <c r="F909" s="644">
        <v>2004</v>
      </c>
      <c r="G909" s="948" t="s">
        <v>145</v>
      </c>
      <c r="H909" s="645" t="s">
        <v>149</v>
      </c>
      <c r="I909" s="951">
        <v>25</v>
      </c>
      <c r="J909" s="951">
        <v>0.1</v>
      </c>
      <c r="K909" s="952">
        <f t="shared" si="162"/>
        <v>1.4204545454545455E-3</v>
      </c>
      <c r="L909" s="644">
        <f t="shared" si="154"/>
        <v>19</v>
      </c>
      <c r="M909" s="935">
        <v>0.79374999999999996</v>
      </c>
      <c r="N909" s="936">
        <f t="shared" si="155"/>
        <v>0.79374999999999996</v>
      </c>
      <c r="O909" s="725">
        <v>0.79513888888888884</v>
      </c>
      <c r="P909" s="725">
        <f t="shared" si="158"/>
        <v>1.388888888888884E-3</v>
      </c>
      <c r="Q909" s="622" t="s">
        <v>428</v>
      </c>
      <c r="R909" s="37"/>
      <c r="S909" s="37" t="str">
        <f t="shared" si="156"/>
        <v>RandallF0</v>
      </c>
      <c r="T909" s="37" t="str">
        <f t="shared" si="159"/>
        <v>2004F0</v>
      </c>
      <c r="U909" s="429">
        <v>20</v>
      </c>
      <c r="V909" s="1029">
        <v>0.1</v>
      </c>
      <c r="W909" s="598">
        <v>1E-3</v>
      </c>
      <c r="X909" s="429"/>
      <c r="Y909" s="37" t="str">
        <f t="shared" si="160"/>
        <v>F020</v>
      </c>
      <c r="Z909" s="37" t="str">
        <f t="shared" si="161"/>
        <v>F00.1</v>
      </c>
      <c r="AA909" s="37" t="str">
        <f t="shared" si="163"/>
        <v>F00.001</v>
      </c>
      <c r="AB909" s="498" t="str">
        <f t="shared" si="157"/>
        <v>F019</v>
      </c>
      <c r="AC909" s="572"/>
      <c r="AD909" s="572"/>
      <c r="AE909" s="572"/>
      <c r="AF909" s="572"/>
    </row>
    <row r="910" spans="1:32">
      <c r="A910" s="947">
        <f t="shared" si="164"/>
        <v>903</v>
      </c>
      <c r="B910" s="948">
        <v>13</v>
      </c>
      <c r="C910" s="949">
        <v>38159</v>
      </c>
      <c r="D910" s="949" t="s">
        <v>178</v>
      </c>
      <c r="E910" s="904">
        <v>21</v>
      </c>
      <c r="F910" s="644">
        <v>2004</v>
      </c>
      <c r="G910" s="948" t="s">
        <v>145</v>
      </c>
      <c r="H910" s="645" t="s">
        <v>149</v>
      </c>
      <c r="I910" s="951">
        <v>25</v>
      </c>
      <c r="J910" s="951">
        <v>0.1</v>
      </c>
      <c r="K910" s="952">
        <f t="shared" si="162"/>
        <v>1.4204545454545455E-3</v>
      </c>
      <c r="L910" s="644">
        <f t="shared" si="154"/>
        <v>19</v>
      </c>
      <c r="M910" s="935">
        <v>0.80347222222222225</v>
      </c>
      <c r="N910" s="936">
        <f t="shared" si="155"/>
        <v>0.80347222222222225</v>
      </c>
      <c r="O910" s="725">
        <v>0.8041666666666667</v>
      </c>
      <c r="P910" s="725">
        <f t="shared" si="158"/>
        <v>6.9444444444444198E-4</v>
      </c>
      <c r="Q910" s="622" t="s">
        <v>429</v>
      </c>
      <c r="R910" s="37"/>
      <c r="S910" s="37" t="str">
        <f t="shared" si="156"/>
        <v>RandallF0</v>
      </c>
      <c r="T910" s="37" t="str">
        <f t="shared" si="159"/>
        <v>2004F0</v>
      </c>
      <c r="U910" s="429">
        <v>20</v>
      </c>
      <c r="V910" s="1029">
        <v>0.1</v>
      </c>
      <c r="W910" s="598">
        <v>1E-3</v>
      </c>
      <c r="X910" s="429"/>
      <c r="Y910" s="37" t="str">
        <f t="shared" si="160"/>
        <v>F020</v>
      </c>
      <c r="Z910" s="37" t="str">
        <f t="shared" si="161"/>
        <v>F00.1</v>
      </c>
      <c r="AA910" s="37" t="str">
        <f t="shared" si="163"/>
        <v>F00.001</v>
      </c>
      <c r="AB910" s="498" t="str">
        <f t="shared" si="157"/>
        <v>F019</v>
      </c>
      <c r="AC910" s="572"/>
      <c r="AD910" s="572"/>
      <c r="AE910" s="572"/>
      <c r="AF910" s="572"/>
    </row>
    <row r="911" spans="1:32">
      <c r="A911" s="947">
        <f t="shared" si="164"/>
        <v>904</v>
      </c>
      <c r="B911" s="948">
        <v>14</v>
      </c>
      <c r="C911" s="949">
        <v>38159</v>
      </c>
      <c r="D911" s="949" t="s">
        <v>178</v>
      </c>
      <c r="E911" s="904">
        <v>21</v>
      </c>
      <c r="F911" s="644">
        <v>2004</v>
      </c>
      <c r="G911" s="948" t="s">
        <v>145</v>
      </c>
      <c r="H911" s="645" t="s">
        <v>150</v>
      </c>
      <c r="I911" s="951">
        <v>50</v>
      </c>
      <c r="J911" s="951">
        <v>0.4</v>
      </c>
      <c r="K911" s="952">
        <f t="shared" si="162"/>
        <v>1.1363636363636364E-2</v>
      </c>
      <c r="L911" s="644">
        <f t="shared" si="154"/>
        <v>19</v>
      </c>
      <c r="M911" s="935">
        <v>0.80347222222222225</v>
      </c>
      <c r="N911" s="936">
        <f t="shared" si="155"/>
        <v>0.80347222222222225</v>
      </c>
      <c r="O911" s="725">
        <v>0.80486111111111114</v>
      </c>
      <c r="P911" s="725">
        <f t="shared" si="158"/>
        <v>1.388888888888884E-3</v>
      </c>
      <c r="Q911" s="622" t="s">
        <v>430</v>
      </c>
      <c r="R911" s="37"/>
      <c r="S911" s="37" t="str">
        <f t="shared" si="156"/>
        <v>RandallF1</v>
      </c>
      <c r="T911" s="37" t="str">
        <f t="shared" si="159"/>
        <v>2004F1</v>
      </c>
      <c r="U911" s="429">
        <v>50</v>
      </c>
      <c r="V911" s="1029">
        <v>0.2</v>
      </c>
      <c r="W911" s="598">
        <v>0.01</v>
      </c>
      <c r="X911" s="429"/>
      <c r="Y911" s="37" t="str">
        <f t="shared" si="160"/>
        <v>F150</v>
      </c>
      <c r="Z911" s="37" t="str">
        <f t="shared" si="161"/>
        <v>F10.2</v>
      </c>
      <c r="AA911" s="37" t="str">
        <f t="shared" si="163"/>
        <v>F10.01</v>
      </c>
      <c r="AB911" s="498" t="str">
        <f t="shared" si="157"/>
        <v>F119</v>
      </c>
      <c r="AC911" s="572"/>
      <c r="AD911" s="572"/>
      <c r="AE911" s="572"/>
      <c r="AF911" s="572"/>
    </row>
    <row r="912" spans="1:32" ht="25.5">
      <c r="A912" s="947">
        <f t="shared" si="164"/>
        <v>905</v>
      </c>
      <c r="B912" s="948">
        <v>1</v>
      </c>
      <c r="C912" s="949">
        <v>38460</v>
      </c>
      <c r="D912" s="949" t="s">
        <v>176</v>
      </c>
      <c r="E912" s="904">
        <v>18</v>
      </c>
      <c r="F912" s="644">
        <v>2005</v>
      </c>
      <c r="G912" s="948" t="s">
        <v>147</v>
      </c>
      <c r="H912" s="645" t="s">
        <v>149</v>
      </c>
      <c r="I912" s="951">
        <v>25</v>
      </c>
      <c r="J912" s="951">
        <v>0.1</v>
      </c>
      <c r="K912" s="952">
        <f t="shared" si="162"/>
        <v>1.4204545454545455E-3</v>
      </c>
      <c r="L912" s="644">
        <f t="shared" si="154"/>
        <v>18</v>
      </c>
      <c r="M912" s="935">
        <v>0.76736111111111116</v>
      </c>
      <c r="N912" s="936">
        <f t="shared" si="155"/>
        <v>0.76736111111111116</v>
      </c>
      <c r="O912" s="725">
        <v>0.76736111111111116</v>
      </c>
      <c r="P912" s="725">
        <f t="shared" si="158"/>
        <v>0</v>
      </c>
      <c r="Q912" s="622" t="s">
        <v>68</v>
      </c>
      <c r="R912" s="37"/>
      <c r="S912" s="37" t="str">
        <f t="shared" si="156"/>
        <v>DonleyF0</v>
      </c>
      <c r="T912" s="37" t="str">
        <f t="shared" si="159"/>
        <v>2005F0</v>
      </c>
      <c r="U912" s="429">
        <v>20</v>
      </c>
      <c r="V912" s="1029">
        <v>0.1</v>
      </c>
      <c r="W912" s="598">
        <v>1E-3</v>
      </c>
      <c r="X912" s="429"/>
      <c r="Y912" s="37" t="str">
        <f t="shared" si="160"/>
        <v>F020</v>
      </c>
      <c r="Z912" s="37" t="str">
        <f t="shared" si="161"/>
        <v>F00.1</v>
      </c>
      <c r="AA912" s="37" t="str">
        <f t="shared" si="163"/>
        <v>F00.001</v>
      </c>
      <c r="AB912" s="498" t="str">
        <f t="shared" si="157"/>
        <v>F018</v>
      </c>
      <c r="AC912" s="572"/>
      <c r="AD912" s="572"/>
      <c r="AE912" s="572"/>
      <c r="AF912" s="572"/>
    </row>
    <row r="913" spans="1:32" ht="25.5">
      <c r="A913" s="947">
        <f t="shared" si="164"/>
        <v>906</v>
      </c>
      <c r="B913" s="948">
        <v>2</v>
      </c>
      <c r="C913" s="949">
        <v>38484</v>
      </c>
      <c r="D913" s="949" t="s">
        <v>177</v>
      </c>
      <c r="E913" s="904">
        <v>12</v>
      </c>
      <c r="F913" s="644">
        <v>2005</v>
      </c>
      <c r="G913" s="948" t="s">
        <v>145</v>
      </c>
      <c r="H913" s="645" t="s">
        <v>149</v>
      </c>
      <c r="I913" s="951">
        <v>25</v>
      </c>
      <c r="J913" s="951">
        <v>0.1</v>
      </c>
      <c r="K913" s="952">
        <f t="shared" si="162"/>
        <v>1.4204545454545455E-3</v>
      </c>
      <c r="L913" s="644">
        <f t="shared" si="154"/>
        <v>17</v>
      </c>
      <c r="M913" s="935">
        <v>0.72777777777777775</v>
      </c>
      <c r="N913" s="936">
        <f t="shared" si="155"/>
        <v>0.72777777777777775</v>
      </c>
      <c r="O913" s="725">
        <v>0.72777777777777775</v>
      </c>
      <c r="P913" s="725">
        <f t="shared" si="158"/>
        <v>0</v>
      </c>
      <c r="Q913" s="622" t="s">
        <v>69</v>
      </c>
      <c r="R913" s="37"/>
      <c r="S913" s="37" t="str">
        <f t="shared" si="156"/>
        <v>RandallF0</v>
      </c>
      <c r="T913" s="37" t="str">
        <f t="shared" si="159"/>
        <v>2005F0</v>
      </c>
      <c r="U913" s="429">
        <v>20</v>
      </c>
      <c r="V913" s="1029">
        <v>0.1</v>
      </c>
      <c r="W913" s="598">
        <v>1E-3</v>
      </c>
      <c r="X913" s="429"/>
      <c r="Y913" s="37" t="str">
        <f t="shared" si="160"/>
        <v>F020</v>
      </c>
      <c r="Z913" s="37" t="str">
        <f t="shared" si="161"/>
        <v>F00.1</v>
      </c>
      <c r="AA913" s="37" t="str">
        <f t="shared" si="163"/>
        <v>F00.001</v>
      </c>
      <c r="AB913" s="498" t="str">
        <f t="shared" si="157"/>
        <v>F017</v>
      </c>
      <c r="AC913" s="572"/>
      <c r="AD913" s="572"/>
      <c r="AE913" s="572"/>
      <c r="AF913" s="572"/>
    </row>
    <row r="914" spans="1:32" ht="25.5">
      <c r="A914" s="947">
        <f t="shared" si="164"/>
        <v>907</v>
      </c>
      <c r="B914" s="948">
        <v>3</v>
      </c>
      <c r="C914" s="949">
        <v>38485</v>
      </c>
      <c r="D914" s="949" t="s">
        <v>177</v>
      </c>
      <c r="E914" s="904">
        <v>13</v>
      </c>
      <c r="F914" s="644">
        <v>2005</v>
      </c>
      <c r="G914" s="948" t="s">
        <v>138</v>
      </c>
      <c r="H914" s="645" t="s">
        <v>149</v>
      </c>
      <c r="I914" s="951">
        <v>25</v>
      </c>
      <c r="J914" s="951">
        <v>0.3</v>
      </c>
      <c r="K914" s="952">
        <f t="shared" si="162"/>
        <v>4.261363636363636E-3</v>
      </c>
      <c r="L914" s="644">
        <f t="shared" si="154"/>
        <v>18</v>
      </c>
      <c r="M914" s="935">
        <v>0.78819444444444453</v>
      </c>
      <c r="N914" s="936">
        <f t="shared" si="155"/>
        <v>0.78819444444444453</v>
      </c>
      <c r="O914" s="725">
        <v>0.78819444444444453</v>
      </c>
      <c r="P914" s="725">
        <f t="shared" si="158"/>
        <v>0</v>
      </c>
      <c r="Q914" s="622" t="s">
        <v>70</v>
      </c>
      <c r="R914" s="37"/>
      <c r="S914" s="37" t="str">
        <f t="shared" si="156"/>
        <v>HemphillF0</v>
      </c>
      <c r="T914" s="37" t="str">
        <f t="shared" si="159"/>
        <v>2005F0</v>
      </c>
      <c r="U914" s="429">
        <v>20</v>
      </c>
      <c r="V914" s="1029">
        <v>0.2</v>
      </c>
      <c r="W914" s="598">
        <v>2E-3</v>
      </c>
      <c r="X914" s="429"/>
      <c r="Y914" s="37" t="str">
        <f t="shared" si="160"/>
        <v>F020</v>
      </c>
      <c r="Z914" s="37" t="str">
        <f t="shared" si="161"/>
        <v>F00.2</v>
      </c>
      <c r="AA914" s="37" t="str">
        <f t="shared" si="163"/>
        <v>F00.002</v>
      </c>
      <c r="AB914" s="498" t="str">
        <f t="shared" si="157"/>
        <v>F018</v>
      </c>
      <c r="AC914" s="572"/>
      <c r="AD914" s="572"/>
      <c r="AE914" s="572"/>
      <c r="AF914" s="572"/>
    </row>
    <row r="915" spans="1:32">
      <c r="A915" s="947">
        <f t="shared" si="164"/>
        <v>908</v>
      </c>
      <c r="B915" s="948">
        <v>4</v>
      </c>
      <c r="C915" s="949">
        <v>38503</v>
      </c>
      <c r="D915" s="949" t="s">
        <v>177</v>
      </c>
      <c r="E915" s="904">
        <v>31</v>
      </c>
      <c r="F915" s="644">
        <v>2005</v>
      </c>
      <c r="G915" s="948" t="s">
        <v>145</v>
      </c>
      <c r="H915" s="645" t="s">
        <v>149</v>
      </c>
      <c r="I915" s="951">
        <v>25</v>
      </c>
      <c r="J915" s="951">
        <v>0.1</v>
      </c>
      <c r="K915" s="952">
        <f t="shared" si="162"/>
        <v>1.4204545454545455E-3</v>
      </c>
      <c r="L915" s="644">
        <f t="shared" si="154"/>
        <v>14</v>
      </c>
      <c r="M915" s="935">
        <v>0.58680555555555558</v>
      </c>
      <c r="N915" s="936">
        <f t="shared" si="155"/>
        <v>0.58680555555555558</v>
      </c>
      <c r="O915" s="725">
        <v>0.59027777777777779</v>
      </c>
      <c r="P915" s="725">
        <f t="shared" si="158"/>
        <v>3.4722222222222099E-3</v>
      </c>
      <c r="Q915" s="622" t="s">
        <v>481</v>
      </c>
      <c r="R915" s="37"/>
      <c r="S915" s="37" t="str">
        <f t="shared" si="156"/>
        <v>RandallF0</v>
      </c>
      <c r="T915" s="37" t="str">
        <f t="shared" si="159"/>
        <v>2005F0</v>
      </c>
      <c r="U915" s="429">
        <v>20</v>
      </c>
      <c r="V915" s="1029">
        <v>0.1</v>
      </c>
      <c r="W915" s="598">
        <v>1E-3</v>
      </c>
      <c r="X915" s="429"/>
      <c r="Y915" s="37" t="str">
        <f t="shared" si="160"/>
        <v>F020</v>
      </c>
      <c r="Z915" s="37" t="str">
        <f t="shared" si="161"/>
        <v>F00.1</v>
      </c>
      <c r="AA915" s="37" t="str">
        <f t="shared" si="163"/>
        <v>F00.001</v>
      </c>
      <c r="AB915" s="498" t="str">
        <f t="shared" si="157"/>
        <v>F014</v>
      </c>
      <c r="AC915" s="572"/>
      <c r="AD915" s="572"/>
      <c r="AE915" s="572"/>
      <c r="AF915" s="572"/>
    </row>
    <row r="916" spans="1:32">
      <c r="A916" s="947">
        <f t="shared" si="164"/>
        <v>909</v>
      </c>
      <c r="B916" s="948">
        <v>5</v>
      </c>
      <c r="C916" s="949">
        <v>38512</v>
      </c>
      <c r="D916" s="949" t="s">
        <v>178</v>
      </c>
      <c r="E916" s="904">
        <v>9</v>
      </c>
      <c r="F916" s="644">
        <v>2005</v>
      </c>
      <c r="G916" s="948" t="s">
        <v>141</v>
      </c>
      <c r="H916" s="645" t="s">
        <v>149</v>
      </c>
      <c r="I916" s="951">
        <v>25</v>
      </c>
      <c r="J916" s="951">
        <v>0.1</v>
      </c>
      <c r="K916" s="952">
        <f t="shared" si="162"/>
        <v>1.4204545454545455E-3</v>
      </c>
      <c r="L916" s="644">
        <f t="shared" si="154"/>
        <v>18</v>
      </c>
      <c r="M916" s="935">
        <v>0.75138888888888899</v>
      </c>
      <c r="N916" s="936">
        <f t="shared" si="155"/>
        <v>0.75138888888888899</v>
      </c>
      <c r="O916" s="725">
        <v>0.75347222222222221</v>
      </c>
      <c r="P916" s="725">
        <f t="shared" si="158"/>
        <v>2.0833333333332149E-3</v>
      </c>
      <c r="Q916" s="622" t="s">
        <v>304</v>
      </c>
      <c r="R916" s="37"/>
      <c r="S916" s="37" t="str">
        <f t="shared" si="156"/>
        <v>CarsonF0</v>
      </c>
      <c r="T916" s="37" t="str">
        <f t="shared" si="159"/>
        <v>2005F0</v>
      </c>
      <c r="U916" s="429">
        <v>20</v>
      </c>
      <c r="V916" s="1029">
        <v>0.1</v>
      </c>
      <c r="W916" s="598">
        <v>1E-3</v>
      </c>
      <c r="X916" s="429"/>
      <c r="Y916" s="37" t="str">
        <f t="shared" si="160"/>
        <v>F020</v>
      </c>
      <c r="Z916" s="37" t="str">
        <f t="shared" si="161"/>
        <v>F00.1</v>
      </c>
      <c r="AA916" s="37" t="str">
        <f t="shared" si="163"/>
        <v>F00.001</v>
      </c>
      <c r="AB916" s="498" t="str">
        <f t="shared" si="157"/>
        <v>F018</v>
      </c>
      <c r="AC916" s="572"/>
      <c r="AD916" s="572"/>
      <c r="AE916" s="572"/>
      <c r="AF916" s="572"/>
    </row>
    <row r="917" spans="1:32">
      <c r="A917" s="947">
        <f t="shared" si="164"/>
        <v>910</v>
      </c>
      <c r="B917" s="948">
        <v>6</v>
      </c>
      <c r="C917" s="949">
        <v>38512</v>
      </c>
      <c r="D917" s="949" t="s">
        <v>178</v>
      </c>
      <c r="E917" s="904">
        <v>9</v>
      </c>
      <c r="F917" s="644">
        <v>2005</v>
      </c>
      <c r="G917" s="948" t="s">
        <v>128</v>
      </c>
      <c r="H917" s="645" t="s">
        <v>149</v>
      </c>
      <c r="I917" s="951">
        <v>25</v>
      </c>
      <c r="J917" s="951">
        <v>0.1</v>
      </c>
      <c r="K917" s="952">
        <f t="shared" si="162"/>
        <v>1.4204545454545455E-3</v>
      </c>
      <c r="L917" s="644">
        <f t="shared" si="154"/>
        <v>19</v>
      </c>
      <c r="M917" s="935">
        <v>0.79583333333333339</v>
      </c>
      <c r="N917" s="936">
        <f t="shared" si="155"/>
        <v>0.79583333333333339</v>
      </c>
      <c r="O917" s="725">
        <v>0.79722222222222217</v>
      </c>
      <c r="P917" s="725">
        <f t="shared" si="158"/>
        <v>1.3888888888887729E-3</v>
      </c>
      <c r="Q917" s="622" t="s">
        <v>274</v>
      </c>
      <c r="R917" s="37"/>
      <c r="S917" s="37" t="str">
        <f t="shared" si="156"/>
        <v>BeaverF0</v>
      </c>
      <c r="T917" s="37" t="str">
        <f t="shared" si="159"/>
        <v>2005F0</v>
      </c>
      <c r="U917" s="429">
        <v>20</v>
      </c>
      <c r="V917" s="1029">
        <v>0.1</v>
      </c>
      <c r="W917" s="598">
        <v>1E-3</v>
      </c>
      <c r="X917" s="429"/>
      <c r="Y917" s="37" t="str">
        <f t="shared" si="160"/>
        <v>F020</v>
      </c>
      <c r="Z917" s="37" t="str">
        <f t="shared" si="161"/>
        <v>F00.1</v>
      </c>
      <c r="AA917" s="37" t="str">
        <f t="shared" si="163"/>
        <v>F00.001</v>
      </c>
      <c r="AB917" s="498" t="str">
        <f t="shared" si="157"/>
        <v>F019</v>
      </c>
      <c r="AC917" s="572"/>
      <c r="AD917" s="572"/>
      <c r="AE917" s="572"/>
      <c r="AF917" s="572"/>
    </row>
    <row r="918" spans="1:32">
      <c r="A918" s="947">
        <f t="shared" si="164"/>
        <v>911</v>
      </c>
      <c r="B918" s="948">
        <v>7</v>
      </c>
      <c r="C918" s="949">
        <v>38512</v>
      </c>
      <c r="D918" s="949" t="s">
        <v>178</v>
      </c>
      <c r="E918" s="904">
        <v>9</v>
      </c>
      <c r="F918" s="644">
        <v>2005</v>
      </c>
      <c r="G918" s="948" t="s">
        <v>147</v>
      </c>
      <c r="H918" s="645" t="s">
        <v>149</v>
      </c>
      <c r="I918" s="951">
        <v>30</v>
      </c>
      <c r="J918" s="951">
        <v>0.2</v>
      </c>
      <c r="K918" s="952">
        <f t="shared" si="162"/>
        <v>3.4090909090909089E-3</v>
      </c>
      <c r="L918" s="644">
        <f t="shared" si="154"/>
        <v>19</v>
      </c>
      <c r="M918" s="935">
        <v>0.8125</v>
      </c>
      <c r="N918" s="936">
        <f t="shared" si="155"/>
        <v>0.8125</v>
      </c>
      <c r="O918" s="725">
        <v>0.81527777777777777</v>
      </c>
      <c r="P918" s="725">
        <f t="shared" si="158"/>
        <v>2.7777777777777679E-3</v>
      </c>
      <c r="Q918" s="622" t="s">
        <v>334</v>
      </c>
      <c r="R918" s="37"/>
      <c r="S918" s="37" t="str">
        <f t="shared" si="156"/>
        <v>DonleyF0</v>
      </c>
      <c r="T918" s="37" t="str">
        <f t="shared" si="159"/>
        <v>2005F0</v>
      </c>
      <c r="U918" s="429">
        <v>20</v>
      </c>
      <c r="V918" s="1029">
        <v>0.2</v>
      </c>
      <c r="W918" s="598">
        <v>2E-3</v>
      </c>
      <c r="X918" s="429"/>
      <c r="Y918" s="37" t="str">
        <f t="shared" si="160"/>
        <v>F020</v>
      </c>
      <c r="Z918" s="37" t="str">
        <f t="shared" si="161"/>
        <v>F00.2</v>
      </c>
      <c r="AA918" s="37" t="str">
        <f t="shared" si="163"/>
        <v>F00.002</v>
      </c>
      <c r="AB918" s="498" t="str">
        <f t="shared" si="157"/>
        <v>F019</v>
      </c>
      <c r="AC918" s="572"/>
      <c r="AD918" s="572"/>
      <c r="AE918" s="572"/>
      <c r="AF918" s="572"/>
    </row>
    <row r="919" spans="1:32">
      <c r="A919" s="947">
        <f t="shared" si="164"/>
        <v>912</v>
      </c>
      <c r="B919" s="948">
        <v>8</v>
      </c>
      <c r="C919" s="949">
        <v>38512</v>
      </c>
      <c r="D919" s="949" t="s">
        <v>178</v>
      </c>
      <c r="E919" s="904">
        <v>9</v>
      </c>
      <c r="F919" s="644">
        <v>2005</v>
      </c>
      <c r="G919" s="948" t="s">
        <v>147</v>
      </c>
      <c r="H919" s="645" t="s">
        <v>149</v>
      </c>
      <c r="I919" s="951">
        <v>25</v>
      </c>
      <c r="J919" s="951">
        <v>0.1</v>
      </c>
      <c r="K919" s="952">
        <f t="shared" si="162"/>
        <v>1.4204545454545455E-3</v>
      </c>
      <c r="L919" s="644">
        <f t="shared" si="154"/>
        <v>19</v>
      </c>
      <c r="M919" s="935">
        <v>0.82430555555555562</v>
      </c>
      <c r="N919" s="936">
        <f t="shared" si="155"/>
        <v>0.82430555555555562</v>
      </c>
      <c r="O919" s="725">
        <v>0.82638888888888884</v>
      </c>
      <c r="P919" s="725">
        <f t="shared" si="158"/>
        <v>2.0833333333332149E-3</v>
      </c>
      <c r="Q919" s="622" t="s">
        <v>335</v>
      </c>
      <c r="R919" s="37"/>
      <c r="S919" s="37" t="str">
        <f t="shared" si="156"/>
        <v>DonleyF0</v>
      </c>
      <c r="T919" s="37" t="str">
        <f t="shared" si="159"/>
        <v>2005F0</v>
      </c>
      <c r="U919" s="429">
        <v>20</v>
      </c>
      <c r="V919" s="1029">
        <v>0.1</v>
      </c>
      <c r="W919" s="598">
        <v>1E-3</v>
      </c>
      <c r="X919" s="429"/>
      <c r="Y919" s="37" t="str">
        <f t="shared" si="160"/>
        <v>F020</v>
      </c>
      <c r="Z919" s="37" t="str">
        <f t="shared" si="161"/>
        <v>F00.1</v>
      </c>
      <c r="AA919" s="37" t="str">
        <f t="shared" si="163"/>
        <v>F00.001</v>
      </c>
      <c r="AB919" s="498" t="str">
        <f t="shared" si="157"/>
        <v>F019</v>
      </c>
      <c r="AC919" s="572"/>
      <c r="AD919" s="572"/>
      <c r="AE919" s="572"/>
      <c r="AF919" s="572"/>
    </row>
    <row r="920" spans="1:32">
      <c r="A920" s="947">
        <f t="shared" si="164"/>
        <v>913</v>
      </c>
      <c r="B920" s="948">
        <v>9</v>
      </c>
      <c r="C920" s="949">
        <v>38514</v>
      </c>
      <c r="D920" s="949" t="s">
        <v>178</v>
      </c>
      <c r="E920" s="904">
        <v>11</v>
      </c>
      <c r="F920" s="644">
        <v>2005</v>
      </c>
      <c r="G920" s="948" t="s">
        <v>144</v>
      </c>
      <c r="H920" s="645" t="s">
        <v>149</v>
      </c>
      <c r="I920" s="951">
        <v>50</v>
      </c>
      <c r="J920" s="951">
        <v>0.5</v>
      </c>
      <c r="K920" s="952">
        <f t="shared" si="162"/>
        <v>1.4204545454545454E-2</v>
      </c>
      <c r="L920" s="644">
        <f t="shared" si="154"/>
        <v>17</v>
      </c>
      <c r="M920" s="935">
        <v>0.73611111111111116</v>
      </c>
      <c r="N920" s="936">
        <f t="shared" si="155"/>
        <v>0.73611111111111116</v>
      </c>
      <c r="O920" s="725">
        <v>0.74305555555555547</v>
      </c>
      <c r="P920" s="725">
        <f t="shared" si="158"/>
        <v>6.9444444444443088E-3</v>
      </c>
      <c r="Q920" s="622" t="s">
        <v>324</v>
      </c>
      <c r="R920" s="36"/>
      <c r="S920" s="37" t="str">
        <f t="shared" si="156"/>
        <v>Deaf SmithF0</v>
      </c>
      <c r="T920" s="37" t="str">
        <f t="shared" si="159"/>
        <v>2005F0</v>
      </c>
      <c r="U920" s="429">
        <v>50</v>
      </c>
      <c r="V920" s="1029">
        <v>0.5</v>
      </c>
      <c r="W920" s="598">
        <v>0.01</v>
      </c>
      <c r="X920" s="429"/>
      <c r="Y920" s="37" t="str">
        <f t="shared" si="160"/>
        <v>F050</v>
      </c>
      <c r="Z920" s="37" t="str">
        <f t="shared" si="161"/>
        <v>F00.5</v>
      </c>
      <c r="AA920" s="37" t="str">
        <f t="shared" si="163"/>
        <v>F00.01</v>
      </c>
      <c r="AB920" s="498" t="str">
        <f t="shared" si="157"/>
        <v>F017</v>
      </c>
      <c r="AC920" s="572"/>
      <c r="AD920" s="572"/>
      <c r="AE920" s="572"/>
      <c r="AF920" s="572"/>
    </row>
    <row r="921" spans="1:32">
      <c r="A921" s="947">
        <f t="shared" si="164"/>
        <v>914</v>
      </c>
      <c r="B921" s="948">
        <v>10</v>
      </c>
      <c r="C921" s="949">
        <v>38514</v>
      </c>
      <c r="D921" s="949" t="s">
        <v>178</v>
      </c>
      <c r="E921" s="904">
        <v>11</v>
      </c>
      <c r="F921" s="644">
        <v>2005</v>
      </c>
      <c r="G921" s="948" t="s">
        <v>144</v>
      </c>
      <c r="H921" s="645" t="s">
        <v>149</v>
      </c>
      <c r="I921" s="951">
        <v>25</v>
      </c>
      <c r="J921" s="951">
        <v>0.1</v>
      </c>
      <c r="K921" s="952">
        <f t="shared" si="162"/>
        <v>1.4204545454545455E-3</v>
      </c>
      <c r="L921" s="644">
        <f t="shared" si="154"/>
        <v>18</v>
      </c>
      <c r="M921" s="935">
        <v>0.76944444444444438</v>
      </c>
      <c r="N921" s="936">
        <f t="shared" si="155"/>
        <v>0.76944444444444438</v>
      </c>
      <c r="O921" s="725">
        <v>0.77013888888888893</v>
      </c>
      <c r="P921" s="725">
        <f t="shared" si="158"/>
        <v>6.94444444444553E-4</v>
      </c>
      <c r="Q921" s="622" t="s">
        <v>325</v>
      </c>
      <c r="R921" s="36"/>
      <c r="S921" s="37" t="str">
        <f t="shared" si="156"/>
        <v>Deaf SmithF0</v>
      </c>
      <c r="T921" s="37" t="str">
        <f t="shared" si="159"/>
        <v>2005F0</v>
      </c>
      <c r="U921" s="429">
        <v>20</v>
      </c>
      <c r="V921" s="1029">
        <v>0.1</v>
      </c>
      <c r="W921" s="598">
        <v>1E-3</v>
      </c>
      <c r="X921" s="429"/>
      <c r="Y921" s="37" t="str">
        <f t="shared" si="160"/>
        <v>F020</v>
      </c>
      <c r="Z921" s="37" t="str">
        <f t="shared" si="161"/>
        <v>F00.1</v>
      </c>
      <c r="AA921" s="37" t="str">
        <f t="shared" si="163"/>
        <v>F00.001</v>
      </c>
      <c r="AB921" s="498" t="str">
        <f t="shared" si="157"/>
        <v>F018</v>
      </c>
      <c r="AC921" s="572"/>
      <c r="AD921" s="572"/>
      <c r="AE921" s="572"/>
      <c r="AF921" s="572"/>
    </row>
    <row r="922" spans="1:32">
      <c r="A922" s="947">
        <f t="shared" si="164"/>
        <v>915</v>
      </c>
      <c r="B922" s="948">
        <v>11</v>
      </c>
      <c r="C922" s="949">
        <v>38514</v>
      </c>
      <c r="D922" s="949" t="s">
        <v>178</v>
      </c>
      <c r="E922" s="904">
        <v>11</v>
      </c>
      <c r="F922" s="644">
        <v>2005</v>
      </c>
      <c r="G922" s="948" t="s">
        <v>146</v>
      </c>
      <c r="H922" s="645" t="s">
        <v>149</v>
      </c>
      <c r="I922" s="951">
        <v>25</v>
      </c>
      <c r="J922" s="951">
        <v>0.2</v>
      </c>
      <c r="K922" s="952">
        <f t="shared" si="162"/>
        <v>2.840909090909091E-3</v>
      </c>
      <c r="L922" s="644">
        <f t="shared" si="154"/>
        <v>18</v>
      </c>
      <c r="M922" s="935">
        <v>0.77083333333333337</v>
      </c>
      <c r="N922" s="936">
        <f t="shared" si="155"/>
        <v>0.77083333333333337</v>
      </c>
      <c r="O922" s="725">
        <v>0.77430555555555547</v>
      </c>
      <c r="P922" s="725">
        <f t="shared" si="158"/>
        <v>3.4722222222220989E-3</v>
      </c>
      <c r="Q922" s="622" t="s">
        <v>281</v>
      </c>
      <c r="R922" s="36"/>
      <c r="S922" s="37" t="str">
        <f t="shared" si="156"/>
        <v>ArmstrongF0</v>
      </c>
      <c r="T922" s="37" t="str">
        <f t="shared" si="159"/>
        <v>2005F0</v>
      </c>
      <c r="U922" s="429">
        <v>20</v>
      </c>
      <c r="V922" s="1029">
        <v>0.2</v>
      </c>
      <c r="W922" s="598">
        <v>2E-3</v>
      </c>
      <c r="X922" s="429"/>
      <c r="Y922" s="37" t="str">
        <f t="shared" si="160"/>
        <v>F020</v>
      </c>
      <c r="Z922" s="37" t="str">
        <f t="shared" si="161"/>
        <v>F00.2</v>
      </c>
      <c r="AA922" s="37" t="str">
        <f t="shared" si="163"/>
        <v>F00.002</v>
      </c>
      <c r="AB922" s="498" t="str">
        <f t="shared" si="157"/>
        <v>F018</v>
      </c>
      <c r="AC922" s="572"/>
      <c r="AD922" s="572"/>
      <c r="AE922" s="572"/>
      <c r="AF922" s="572"/>
    </row>
    <row r="923" spans="1:32" ht="25.5">
      <c r="A923" s="947">
        <f t="shared" si="164"/>
        <v>916</v>
      </c>
      <c r="B923" s="948">
        <v>12</v>
      </c>
      <c r="C923" s="949">
        <v>38514</v>
      </c>
      <c r="D923" s="949" t="s">
        <v>178</v>
      </c>
      <c r="E923" s="904">
        <v>11</v>
      </c>
      <c r="F923" s="644">
        <v>2005</v>
      </c>
      <c r="G923" s="948" t="s">
        <v>146</v>
      </c>
      <c r="H923" s="645" t="s">
        <v>149</v>
      </c>
      <c r="I923" s="951">
        <v>25</v>
      </c>
      <c r="J923" s="951">
        <v>0.1</v>
      </c>
      <c r="K923" s="952">
        <f t="shared" si="162"/>
        <v>1.4204545454545455E-3</v>
      </c>
      <c r="L923" s="644">
        <f t="shared" si="154"/>
        <v>18</v>
      </c>
      <c r="M923" s="935">
        <v>0.77500000000000002</v>
      </c>
      <c r="N923" s="936">
        <f t="shared" si="155"/>
        <v>0.77500000000000002</v>
      </c>
      <c r="O923" s="725">
        <v>0.77638888888888891</v>
      </c>
      <c r="P923" s="725">
        <f t="shared" si="158"/>
        <v>1.388888888888884E-3</v>
      </c>
      <c r="Q923" s="622" t="s">
        <v>476</v>
      </c>
      <c r="R923" s="36"/>
      <c r="S923" s="37" t="str">
        <f t="shared" si="156"/>
        <v>ArmstrongF0</v>
      </c>
      <c r="T923" s="37" t="str">
        <f t="shared" si="159"/>
        <v>2005F0</v>
      </c>
      <c r="U923" s="429">
        <v>20</v>
      </c>
      <c r="V923" s="1029">
        <v>0.1</v>
      </c>
      <c r="W923" s="598">
        <v>1E-3</v>
      </c>
      <c r="X923" s="429"/>
      <c r="Y923" s="37" t="str">
        <f t="shared" si="160"/>
        <v>F020</v>
      </c>
      <c r="Z923" s="37" t="str">
        <f t="shared" si="161"/>
        <v>F00.1</v>
      </c>
      <c r="AA923" s="37" t="str">
        <f t="shared" si="163"/>
        <v>F00.001</v>
      </c>
      <c r="AB923" s="498" t="str">
        <f t="shared" si="157"/>
        <v>F018</v>
      </c>
      <c r="AC923" s="572"/>
      <c r="AD923" s="572"/>
      <c r="AE923" s="572"/>
      <c r="AF923" s="572"/>
    </row>
    <row r="924" spans="1:32">
      <c r="A924" s="947">
        <f t="shared" si="164"/>
        <v>917</v>
      </c>
      <c r="B924" s="948">
        <v>13</v>
      </c>
      <c r="C924" s="949">
        <v>38514</v>
      </c>
      <c r="D924" s="949" t="s">
        <v>178</v>
      </c>
      <c r="E924" s="904">
        <v>11</v>
      </c>
      <c r="F924" s="644">
        <v>2005</v>
      </c>
      <c r="G924" s="948" t="s">
        <v>146</v>
      </c>
      <c r="H924" s="645" t="s">
        <v>149</v>
      </c>
      <c r="I924" s="951">
        <v>25</v>
      </c>
      <c r="J924" s="951">
        <v>0.1</v>
      </c>
      <c r="K924" s="952">
        <f t="shared" si="162"/>
        <v>1.4204545454545455E-3</v>
      </c>
      <c r="L924" s="644">
        <f t="shared" si="154"/>
        <v>18</v>
      </c>
      <c r="M924" s="935">
        <v>0.7895833333333333</v>
      </c>
      <c r="N924" s="936">
        <f t="shared" si="155"/>
        <v>0.7895833333333333</v>
      </c>
      <c r="O924" s="725">
        <v>0.79166666666666663</v>
      </c>
      <c r="P924" s="725">
        <f t="shared" si="158"/>
        <v>2.0833333333333259E-3</v>
      </c>
      <c r="Q924" s="622" t="s">
        <v>282</v>
      </c>
      <c r="R924" s="36"/>
      <c r="S924" s="37" t="str">
        <f t="shared" si="156"/>
        <v>ArmstrongF0</v>
      </c>
      <c r="T924" s="37" t="str">
        <f t="shared" si="159"/>
        <v>2005F0</v>
      </c>
      <c r="U924" s="429">
        <v>20</v>
      </c>
      <c r="V924" s="1029">
        <v>0.1</v>
      </c>
      <c r="W924" s="598">
        <v>1E-3</v>
      </c>
      <c r="X924" s="429"/>
      <c r="Y924" s="37" t="str">
        <f t="shared" si="160"/>
        <v>F020</v>
      </c>
      <c r="Z924" s="37" t="str">
        <f t="shared" si="161"/>
        <v>F00.1</v>
      </c>
      <c r="AA924" s="37" t="str">
        <f t="shared" si="163"/>
        <v>F00.001</v>
      </c>
      <c r="AB924" s="498" t="str">
        <f t="shared" si="157"/>
        <v>F018</v>
      </c>
      <c r="AC924" s="572"/>
      <c r="AD924" s="572"/>
      <c r="AE924" s="572"/>
      <c r="AF924" s="572"/>
    </row>
    <row r="925" spans="1:32">
      <c r="A925" s="947">
        <f t="shared" si="164"/>
        <v>918</v>
      </c>
      <c r="B925" s="948">
        <v>14</v>
      </c>
      <c r="C925" s="949">
        <v>38514</v>
      </c>
      <c r="D925" s="949" t="s">
        <v>178</v>
      </c>
      <c r="E925" s="904">
        <v>11</v>
      </c>
      <c r="F925" s="644">
        <v>2005</v>
      </c>
      <c r="G925" s="948" t="s">
        <v>146</v>
      </c>
      <c r="H925" s="645" t="s">
        <v>149</v>
      </c>
      <c r="I925" s="951">
        <v>25</v>
      </c>
      <c r="J925" s="951">
        <v>0.2</v>
      </c>
      <c r="K925" s="952">
        <f t="shared" si="162"/>
        <v>2.840909090909091E-3</v>
      </c>
      <c r="L925" s="644">
        <f t="shared" si="154"/>
        <v>19</v>
      </c>
      <c r="M925" s="935">
        <v>0.79305555555555562</v>
      </c>
      <c r="N925" s="936">
        <f t="shared" si="155"/>
        <v>0.79305555555555562</v>
      </c>
      <c r="O925" s="725">
        <v>0.7944444444444444</v>
      </c>
      <c r="P925" s="725">
        <f t="shared" si="158"/>
        <v>1.3888888888887729E-3</v>
      </c>
      <c r="Q925" s="622" t="s">
        <v>283</v>
      </c>
      <c r="R925" s="36"/>
      <c r="S925" s="37" t="str">
        <f t="shared" si="156"/>
        <v>ArmstrongF0</v>
      </c>
      <c r="T925" s="37" t="str">
        <f t="shared" si="159"/>
        <v>2005F0</v>
      </c>
      <c r="U925" s="429">
        <v>20</v>
      </c>
      <c r="V925" s="1029">
        <v>0.2</v>
      </c>
      <c r="W925" s="598">
        <v>2E-3</v>
      </c>
      <c r="X925" s="429"/>
      <c r="Y925" s="37" t="str">
        <f t="shared" si="160"/>
        <v>F020</v>
      </c>
      <c r="Z925" s="37" t="str">
        <f t="shared" si="161"/>
        <v>F00.2</v>
      </c>
      <c r="AA925" s="37" t="str">
        <f t="shared" si="163"/>
        <v>F00.002</v>
      </c>
      <c r="AB925" s="498" t="str">
        <f t="shared" si="157"/>
        <v>F019</v>
      </c>
      <c r="AC925" s="572"/>
      <c r="AD925" s="572"/>
      <c r="AE925" s="572"/>
      <c r="AF925" s="572"/>
    </row>
    <row r="926" spans="1:32">
      <c r="A926" s="947">
        <f t="shared" si="164"/>
        <v>919</v>
      </c>
      <c r="B926" s="948">
        <v>15</v>
      </c>
      <c r="C926" s="949">
        <v>38539</v>
      </c>
      <c r="D926" s="949" t="s">
        <v>179</v>
      </c>
      <c r="E926" s="904">
        <v>6</v>
      </c>
      <c r="F926" s="644">
        <v>2005</v>
      </c>
      <c r="G926" s="948" t="s">
        <v>134</v>
      </c>
      <c r="H926" s="645" t="s">
        <v>149</v>
      </c>
      <c r="I926" s="951">
        <v>25</v>
      </c>
      <c r="J926" s="951">
        <v>0.1</v>
      </c>
      <c r="K926" s="952">
        <f t="shared" si="162"/>
        <v>1.4204545454545455E-3</v>
      </c>
      <c r="L926" s="644">
        <f t="shared" ref="L926:L989" si="165">HOUR(N926)</f>
        <v>19</v>
      </c>
      <c r="M926" s="935">
        <v>0.82777777777777783</v>
      </c>
      <c r="N926" s="936">
        <f t="shared" si="155"/>
        <v>0.82777777777777783</v>
      </c>
      <c r="O926" s="725">
        <v>0.82847222222222217</v>
      </c>
      <c r="P926" s="725">
        <f t="shared" si="158"/>
        <v>6.9444444444433095E-4</v>
      </c>
      <c r="Q926" s="622" t="s">
        <v>372</v>
      </c>
      <c r="R926" s="36"/>
      <c r="S926" s="37" t="str">
        <f t="shared" si="156"/>
        <v>HartleyF0</v>
      </c>
      <c r="T926" s="37" t="str">
        <f t="shared" si="159"/>
        <v>2005F0</v>
      </c>
      <c r="U926" s="429">
        <v>20</v>
      </c>
      <c r="V926" s="1029">
        <v>0.1</v>
      </c>
      <c r="W926" s="598">
        <v>1E-3</v>
      </c>
      <c r="X926" s="429"/>
      <c r="Y926" s="37" t="str">
        <f t="shared" si="160"/>
        <v>F020</v>
      </c>
      <c r="Z926" s="37" t="str">
        <f t="shared" si="161"/>
        <v>F00.1</v>
      </c>
      <c r="AA926" s="37" t="str">
        <f t="shared" si="163"/>
        <v>F00.001</v>
      </c>
      <c r="AB926" s="498" t="str">
        <f t="shared" si="157"/>
        <v>F019</v>
      </c>
      <c r="AC926" s="572"/>
      <c r="AD926" s="572"/>
      <c r="AE926" s="572"/>
      <c r="AF926" s="572"/>
    </row>
    <row r="927" spans="1:32">
      <c r="A927" s="947">
        <f t="shared" si="164"/>
        <v>920</v>
      </c>
      <c r="B927" s="948">
        <v>1</v>
      </c>
      <c r="C927" s="949">
        <v>38886</v>
      </c>
      <c r="D927" s="949" t="s">
        <v>178</v>
      </c>
      <c r="E927" s="904">
        <v>18</v>
      </c>
      <c r="F927" s="644">
        <v>2006</v>
      </c>
      <c r="G927" s="948" t="s">
        <v>128</v>
      </c>
      <c r="H927" s="645" t="s">
        <v>149</v>
      </c>
      <c r="I927" s="951">
        <v>100</v>
      </c>
      <c r="J927" s="951">
        <v>1</v>
      </c>
      <c r="K927" s="952">
        <f t="shared" si="162"/>
        <v>5.6818181818181816E-2</v>
      </c>
      <c r="L927" s="644">
        <f t="shared" si="165"/>
        <v>19</v>
      </c>
      <c r="M927" s="935">
        <v>0.8125</v>
      </c>
      <c r="N927" s="936">
        <f t="shared" si="155"/>
        <v>0.8125</v>
      </c>
      <c r="O927" s="725">
        <v>0.81388888888888899</v>
      </c>
      <c r="P927" s="725">
        <f t="shared" si="158"/>
        <v>1.388888888888995E-3</v>
      </c>
      <c r="Q927" s="622" t="s">
        <v>71</v>
      </c>
      <c r="R927" s="36"/>
      <c r="S927" s="37" t="str">
        <f t="shared" si="156"/>
        <v>BeaverF0</v>
      </c>
      <c r="T927" s="37" t="str">
        <f t="shared" si="159"/>
        <v>2006F0</v>
      </c>
      <c r="U927" s="429">
        <v>100</v>
      </c>
      <c r="V927" s="1029">
        <v>1</v>
      </c>
      <c r="W927" s="598">
        <v>0.05</v>
      </c>
      <c r="X927" s="429"/>
      <c r="Y927" s="37" t="str">
        <f t="shared" si="160"/>
        <v>F0100</v>
      </c>
      <c r="Z927" s="37" t="str">
        <f t="shared" si="161"/>
        <v>F01</v>
      </c>
      <c r="AA927" s="37" t="str">
        <f t="shared" si="163"/>
        <v>F00.05</v>
      </c>
      <c r="AB927" s="498" t="str">
        <f t="shared" si="157"/>
        <v>F019</v>
      </c>
      <c r="AC927" s="572"/>
      <c r="AD927" s="572"/>
      <c r="AE927" s="572"/>
      <c r="AF927" s="572"/>
    </row>
    <row r="928" spans="1:32">
      <c r="A928" s="947">
        <f t="shared" si="164"/>
        <v>921</v>
      </c>
      <c r="B928" s="948">
        <v>2</v>
      </c>
      <c r="C928" s="949">
        <v>38889</v>
      </c>
      <c r="D928" s="949" t="s">
        <v>178</v>
      </c>
      <c r="E928" s="904">
        <v>21</v>
      </c>
      <c r="F928" s="644">
        <v>2006</v>
      </c>
      <c r="G928" s="948" t="s">
        <v>144</v>
      </c>
      <c r="H928" s="645" t="s">
        <v>149</v>
      </c>
      <c r="I928" s="951">
        <v>25</v>
      </c>
      <c r="J928" s="951">
        <v>0.1</v>
      </c>
      <c r="K928" s="952">
        <f t="shared" si="162"/>
        <v>1.4204545454545455E-3</v>
      </c>
      <c r="L928" s="644">
        <f t="shared" si="165"/>
        <v>14</v>
      </c>
      <c r="M928" s="935">
        <v>0.61458333333333337</v>
      </c>
      <c r="N928" s="936">
        <f t="shared" si="155"/>
        <v>0.61458333333333337</v>
      </c>
      <c r="O928" s="725">
        <v>0.61805555555555558</v>
      </c>
      <c r="P928" s="725">
        <f t="shared" si="158"/>
        <v>3.4722222222222099E-3</v>
      </c>
      <c r="Q928" s="622" t="s">
        <v>326</v>
      </c>
      <c r="R928" s="36"/>
      <c r="S928" s="37" t="str">
        <f t="shared" si="156"/>
        <v>Deaf SmithF0</v>
      </c>
      <c r="T928" s="37" t="str">
        <f t="shared" si="159"/>
        <v>2006F0</v>
      </c>
      <c r="U928" s="429">
        <v>20</v>
      </c>
      <c r="V928" s="1029">
        <v>0.1</v>
      </c>
      <c r="W928" s="598">
        <v>1E-3</v>
      </c>
      <c r="X928" s="429"/>
      <c r="Y928" s="37" t="str">
        <f t="shared" si="160"/>
        <v>F020</v>
      </c>
      <c r="Z928" s="37" t="str">
        <f t="shared" si="161"/>
        <v>F00.1</v>
      </c>
      <c r="AA928" s="37" t="str">
        <f t="shared" si="163"/>
        <v>F00.001</v>
      </c>
      <c r="AB928" s="498" t="str">
        <f t="shared" si="157"/>
        <v>F014</v>
      </c>
      <c r="AC928" s="572"/>
      <c r="AD928" s="572"/>
      <c r="AE928" s="572"/>
      <c r="AF928" s="572"/>
    </row>
    <row r="929" spans="1:32" ht="30" customHeight="1">
      <c r="A929" s="947">
        <f t="shared" si="164"/>
        <v>922</v>
      </c>
      <c r="B929" s="948">
        <v>3</v>
      </c>
      <c r="C929" s="949">
        <v>38889</v>
      </c>
      <c r="D929" s="949" t="s">
        <v>178</v>
      </c>
      <c r="E929" s="904">
        <v>21</v>
      </c>
      <c r="F929" s="644">
        <v>2006</v>
      </c>
      <c r="G929" s="948" t="s">
        <v>131</v>
      </c>
      <c r="H929" s="645" t="s">
        <v>149</v>
      </c>
      <c r="I929" s="951">
        <v>50</v>
      </c>
      <c r="J929" s="951">
        <v>0.2</v>
      </c>
      <c r="K929" s="952">
        <f t="shared" si="162"/>
        <v>5.681818181818182E-3</v>
      </c>
      <c r="L929" s="644">
        <f t="shared" si="165"/>
        <v>16</v>
      </c>
      <c r="M929" s="935">
        <v>0.6875</v>
      </c>
      <c r="N929" s="936">
        <f t="shared" si="155"/>
        <v>0.6875</v>
      </c>
      <c r="O929" s="725">
        <v>0.69097222222222221</v>
      </c>
      <c r="P929" s="725">
        <f t="shared" si="158"/>
        <v>3.4722222222222099E-3</v>
      </c>
      <c r="Q929" s="622" t="s">
        <v>477</v>
      </c>
      <c r="R929" s="36"/>
      <c r="S929" s="37" t="str">
        <f t="shared" si="156"/>
        <v>HansfordF0</v>
      </c>
      <c r="T929" s="37" t="str">
        <f t="shared" si="159"/>
        <v>2006F0</v>
      </c>
      <c r="U929" s="429">
        <v>50</v>
      </c>
      <c r="V929" s="1029">
        <v>0.2</v>
      </c>
      <c r="W929" s="598">
        <v>5.0000000000000001E-3</v>
      </c>
      <c r="X929" s="429"/>
      <c r="Y929" s="37" t="str">
        <f t="shared" si="160"/>
        <v>F050</v>
      </c>
      <c r="Z929" s="37" t="str">
        <f t="shared" si="161"/>
        <v>F00.2</v>
      </c>
      <c r="AA929" s="37" t="str">
        <f t="shared" si="163"/>
        <v>F00.005</v>
      </c>
      <c r="AB929" s="498" t="str">
        <f t="shared" si="157"/>
        <v>F016</v>
      </c>
      <c r="AC929" s="572"/>
      <c r="AD929" s="572"/>
      <c r="AE929" s="572"/>
      <c r="AF929" s="572"/>
    </row>
    <row r="930" spans="1:32">
      <c r="A930" s="947">
        <f t="shared" si="164"/>
        <v>923</v>
      </c>
      <c r="B930" s="948">
        <v>4</v>
      </c>
      <c r="C930" s="949">
        <v>38889</v>
      </c>
      <c r="D930" s="949" t="s">
        <v>178</v>
      </c>
      <c r="E930" s="904">
        <v>21</v>
      </c>
      <c r="F930" s="644">
        <v>2006</v>
      </c>
      <c r="G930" s="948" t="s">
        <v>131</v>
      </c>
      <c r="H930" s="645" t="s">
        <v>149</v>
      </c>
      <c r="I930" s="951">
        <v>50</v>
      </c>
      <c r="J930" s="951">
        <v>0.2</v>
      </c>
      <c r="K930" s="952">
        <f t="shared" si="162"/>
        <v>5.681818181818182E-3</v>
      </c>
      <c r="L930" s="644">
        <f t="shared" si="165"/>
        <v>16</v>
      </c>
      <c r="M930" s="935">
        <v>0.69305555555555554</v>
      </c>
      <c r="N930" s="936">
        <f t="shared" si="155"/>
        <v>0.69305555555555554</v>
      </c>
      <c r="O930" s="725">
        <v>0.69791666666666663</v>
      </c>
      <c r="P930" s="725">
        <f t="shared" si="158"/>
        <v>4.8611111111110938E-3</v>
      </c>
      <c r="Q930" s="622" t="s">
        <v>367</v>
      </c>
      <c r="R930" s="36"/>
      <c r="S930" s="37" t="str">
        <f t="shared" si="156"/>
        <v>HansfordF0</v>
      </c>
      <c r="T930" s="37" t="str">
        <f t="shared" si="159"/>
        <v>2006F0</v>
      </c>
      <c r="U930" s="429">
        <v>50</v>
      </c>
      <c r="V930" s="1029">
        <v>0.2</v>
      </c>
      <c r="W930" s="598">
        <v>5.0000000000000001E-3</v>
      </c>
      <c r="X930" s="429"/>
      <c r="Y930" s="37" t="str">
        <f t="shared" si="160"/>
        <v>F050</v>
      </c>
      <c r="Z930" s="37" t="str">
        <f t="shared" si="161"/>
        <v>F00.2</v>
      </c>
      <c r="AA930" s="37" t="str">
        <f t="shared" si="163"/>
        <v>F00.005</v>
      </c>
      <c r="AB930" s="498" t="str">
        <f t="shared" si="157"/>
        <v>F016</v>
      </c>
      <c r="AC930" s="572"/>
      <c r="AD930" s="572"/>
      <c r="AE930" s="572"/>
      <c r="AF930" s="572"/>
    </row>
    <row r="931" spans="1:32">
      <c r="A931" s="947">
        <f t="shared" si="164"/>
        <v>924</v>
      </c>
      <c r="B931" s="948">
        <v>5</v>
      </c>
      <c r="C931" s="949">
        <v>38889</v>
      </c>
      <c r="D931" s="949" t="s">
        <v>178</v>
      </c>
      <c r="E931" s="904">
        <v>21</v>
      </c>
      <c r="F931" s="644">
        <v>2006</v>
      </c>
      <c r="G931" s="948" t="s">
        <v>127</v>
      </c>
      <c r="H931" s="645" t="s">
        <v>149</v>
      </c>
      <c r="I931" s="951">
        <v>50</v>
      </c>
      <c r="J931" s="951">
        <v>0.2</v>
      </c>
      <c r="K931" s="952">
        <f t="shared" si="162"/>
        <v>5.681818181818182E-3</v>
      </c>
      <c r="L931" s="644">
        <f t="shared" si="165"/>
        <v>17</v>
      </c>
      <c r="M931" s="935">
        <v>0.72499999999999998</v>
      </c>
      <c r="N931" s="936">
        <f t="shared" si="155"/>
        <v>0.72499999999999998</v>
      </c>
      <c r="O931" s="725">
        <v>0.72986111111111107</v>
      </c>
      <c r="P931" s="725">
        <f t="shared" si="158"/>
        <v>4.8611111111110938E-3</v>
      </c>
      <c r="Q931" s="622" t="s">
        <v>259</v>
      </c>
      <c r="R931" s="36"/>
      <c r="S931" s="37" t="str">
        <f t="shared" si="156"/>
        <v>TexasF0</v>
      </c>
      <c r="T931" s="37" t="str">
        <f t="shared" si="159"/>
        <v>2006F0</v>
      </c>
      <c r="U931" s="429">
        <v>50</v>
      </c>
      <c r="V931" s="1029">
        <v>0.2</v>
      </c>
      <c r="W931" s="598">
        <v>5.0000000000000001E-3</v>
      </c>
      <c r="X931" s="429"/>
      <c r="Y931" s="37" t="str">
        <f t="shared" si="160"/>
        <v>F050</v>
      </c>
      <c r="Z931" s="37" t="str">
        <f t="shared" si="161"/>
        <v>F00.2</v>
      </c>
      <c r="AA931" s="37" t="str">
        <f t="shared" si="163"/>
        <v>F00.005</v>
      </c>
      <c r="AB931" s="498" t="str">
        <f t="shared" si="157"/>
        <v>F017</v>
      </c>
      <c r="AC931" s="572"/>
      <c r="AD931" s="572"/>
      <c r="AE931" s="572"/>
      <c r="AF931" s="572"/>
    </row>
    <row r="932" spans="1:32" ht="25.5">
      <c r="A932" s="947">
        <f t="shared" si="164"/>
        <v>925</v>
      </c>
      <c r="B932" s="948">
        <v>6</v>
      </c>
      <c r="C932" s="949">
        <v>38889</v>
      </c>
      <c r="D932" s="949" t="s">
        <v>178</v>
      </c>
      <c r="E932" s="904">
        <v>21</v>
      </c>
      <c r="F932" s="644">
        <v>2006</v>
      </c>
      <c r="G932" s="948" t="s">
        <v>128</v>
      </c>
      <c r="H932" s="645" t="s">
        <v>149</v>
      </c>
      <c r="I932" s="951">
        <v>50</v>
      </c>
      <c r="J932" s="951">
        <v>0.1</v>
      </c>
      <c r="K932" s="952">
        <f t="shared" si="162"/>
        <v>2.840909090909091E-3</v>
      </c>
      <c r="L932" s="644">
        <f t="shared" si="165"/>
        <v>17</v>
      </c>
      <c r="M932" s="935">
        <v>0.7270833333333333</v>
      </c>
      <c r="N932" s="936">
        <f t="shared" si="155"/>
        <v>0.7270833333333333</v>
      </c>
      <c r="O932" s="725">
        <v>0.73263888888888884</v>
      </c>
      <c r="P932" s="725">
        <f t="shared" si="158"/>
        <v>5.5555555555555358E-3</v>
      </c>
      <c r="Q932" s="622" t="s">
        <v>482</v>
      </c>
      <c r="R932" s="36"/>
      <c r="S932" s="37" t="str">
        <f t="shared" si="156"/>
        <v>BeaverF0</v>
      </c>
      <c r="T932" s="37" t="str">
        <f t="shared" si="159"/>
        <v>2006F0</v>
      </c>
      <c r="U932" s="429">
        <v>50</v>
      </c>
      <c r="V932" s="1029">
        <v>0.1</v>
      </c>
      <c r="W932" s="598">
        <v>2E-3</v>
      </c>
      <c r="X932" s="429"/>
      <c r="Y932" s="37" t="str">
        <f t="shared" si="160"/>
        <v>F050</v>
      </c>
      <c r="Z932" s="37" t="str">
        <f t="shared" si="161"/>
        <v>F00.1</v>
      </c>
      <c r="AA932" s="37" t="str">
        <f t="shared" si="163"/>
        <v>F00.002</v>
      </c>
      <c r="AB932" s="498" t="str">
        <f t="shared" si="157"/>
        <v>F017</v>
      </c>
      <c r="AC932" s="572"/>
      <c r="AD932" s="572"/>
      <c r="AE932" s="572"/>
      <c r="AF932" s="572"/>
    </row>
    <row r="933" spans="1:32" ht="25.5">
      <c r="A933" s="947">
        <f t="shared" si="164"/>
        <v>926</v>
      </c>
      <c r="B933" s="948">
        <v>7</v>
      </c>
      <c r="C933" s="949">
        <v>38889</v>
      </c>
      <c r="D933" s="949" t="s">
        <v>178</v>
      </c>
      <c r="E933" s="904">
        <v>21</v>
      </c>
      <c r="F933" s="644">
        <v>2006</v>
      </c>
      <c r="G933" s="948" t="s">
        <v>128</v>
      </c>
      <c r="H933" s="645" t="s">
        <v>149</v>
      </c>
      <c r="I933" s="951">
        <v>50</v>
      </c>
      <c r="J933" s="951">
        <v>0.1</v>
      </c>
      <c r="K933" s="952">
        <f t="shared" si="162"/>
        <v>2.840909090909091E-3</v>
      </c>
      <c r="L933" s="644">
        <f t="shared" si="165"/>
        <v>17</v>
      </c>
      <c r="M933" s="935">
        <v>0.7270833333333333</v>
      </c>
      <c r="N933" s="936">
        <f t="shared" si="155"/>
        <v>0.7270833333333333</v>
      </c>
      <c r="O933" s="725">
        <v>0.73263888888888884</v>
      </c>
      <c r="P933" s="725">
        <f t="shared" si="158"/>
        <v>5.5555555555555358E-3</v>
      </c>
      <c r="Q933" s="622" t="s">
        <v>482</v>
      </c>
      <c r="R933" s="36"/>
      <c r="S933" s="37" t="str">
        <f t="shared" si="156"/>
        <v>BeaverF0</v>
      </c>
      <c r="T933" s="37" t="str">
        <f t="shared" si="159"/>
        <v>2006F0</v>
      </c>
      <c r="U933" s="429">
        <v>50</v>
      </c>
      <c r="V933" s="1029">
        <v>0.1</v>
      </c>
      <c r="W933" s="598">
        <v>2E-3</v>
      </c>
      <c r="X933" s="429"/>
      <c r="Y933" s="37" t="str">
        <f t="shared" si="160"/>
        <v>F050</v>
      </c>
      <c r="Z933" s="37" t="str">
        <f t="shared" si="161"/>
        <v>F00.1</v>
      </c>
      <c r="AA933" s="37" t="str">
        <f t="shared" si="163"/>
        <v>F00.002</v>
      </c>
      <c r="AB933" s="498" t="str">
        <f t="shared" si="157"/>
        <v>F017</v>
      </c>
      <c r="AC933" s="572"/>
      <c r="AD933" s="572"/>
      <c r="AE933" s="572"/>
      <c r="AF933" s="572"/>
    </row>
    <row r="934" spans="1:32">
      <c r="A934" s="947">
        <f t="shared" si="164"/>
        <v>927</v>
      </c>
      <c r="B934" s="948">
        <v>8</v>
      </c>
      <c r="C934" s="949">
        <v>38889</v>
      </c>
      <c r="D934" s="949" t="s">
        <v>178</v>
      </c>
      <c r="E934" s="904">
        <v>21</v>
      </c>
      <c r="F934" s="644">
        <v>2006</v>
      </c>
      <c r="G934" s="948" t="s">
        <v>127</v>
      </c>
      <c r="H934" s="645" t="s">
        <v>150</v>
      </c>
      <c r="I934" s="951">
        <v>300</v>
      </c>
      <c r="J934" s="951">
        <v>2</v>
      </c>
      <c r="K934" s="952">
        <f t="shared" si="162"/>
        <v>0.34090909090909088</v>
      </c>
      <c r="L934" s="644">
        <f t="shared" si="165"/>
        <v>17</v>
      </c>
      <c r="M934" s="935">
        <v>0.7402777777777777</v>
      </c>
      <c r="N934" s="936">
        <f t="shared" si="155"/>
        <v>0.7402777777777777</v>
      </c>
      <c r="O934" s="725">
        <v>0.74722222222222223</v>
      </c>
      <c r="P934" s="725">
        <f t="shared" si="158"/>
        <v>6.9444444444445308E-3</v>
      </c>
      <c r="Q934" s="622" t="s">
        <v>260</v>
      </c>
      <c r="R934" s="36"/>
      <c r="S934" s="37" t="str">
        <f t="shared" si="156"/>
        <v>TexasF1</v>
      </c>
      <c r="T934" s="37" t="str">
        <f t="shared" si="159"/>
        <v>2006F1</v>
      </c>
      <c r="U934" s="429">
        <v>200</v>
      </c>
      <c r="V934" s="1029">
        <v>2</v>
      </c>
      <c r="W934" s="598">
        <v>0.2</v>
      </c>
      <c r="X934" s="429"/>
      <c r="Y934" s="37" t="str">
        <f t="shared" si="160"/>
        <v>F1200</v>
      </c>
      <c r="Z934" s="37" t="str">
        <f t="shared" si="161"/>
        <v>F12</v>
      </c>
      <c r="AA934" s="37" t="str">
        <f t="shared" si="163"/>
        <v>F10.2</v>
      </c>
      <c r="AB934" s="498" t="str">
        <f t="shared" si="157"/>
        <v>F117</v>
      </c>
      <c r="AC934" s="572"/>
      <c r="AD934" s="572"/>
      <c r="AE934" s="572"/>
      <c r="AF934" s="572"/>
    </row>
    <row r="935" spans="1:32">
      <c r="A935" s="947">
        <f t="shared" si="164"/>
        <v>928</v>
      </c>
      <c r="B935" s="948">
        <v>9</v>
      </c>
      <c r="C935" s="949">
        <v>38889</v>
      </c>
      <c r="D935" s="949" t="s">
        <v>178</v>
      </c>
      <c r="E935" s="904">
        <v>21</v>
      </c>
      <c r="F935" s="644">
        <v>2006</v>
      </c>
      <c r="G935" s="948" t="s">
        <v>130</v>
      </c>
      <c r="H935" s="645" t="s">
        <v>149</v>
      </c>
      <c r="I935" s="951">
        <v>25</v>
      </c>
      <c r="J935" s="951">
        <v>0.1</v>
      </c>
      <c r="K935" s="952">
        <f t="shared" si="162"/>
        <v>1.4204545454545455E-3</v>
      </c>
      <c r="L935" s="644">
        <f t="shared" si="165"/>
        <v>18</v>
      </c>
      <c r="M935" s="935">
        <v>0.75555555555555554</v>
      </c>
      <c r="N935" s="936">
        <f t="shared" si="155"/>
        <v>0.75555555555555554</v>
      </c>
      <c r="O935" s="725">
        <v>0.75694444444444453</v>
      </c>
      <c r="P935" s="725">
        <f t="shared" si="158"/>
        <v>1.388888888888995E-3</v>
      </c>
      <c r="Q935" s="622" t="s">
        <v>443</v>
      </c>
      <c r="R935" s="36"/>
      <c r="S935" s="37" t="str">
        <f t="shared" si="156"/>
        <v>ShermanF0</v>
      </c>
      <c r="T935" s="37" t="str">
        <f t="shared" si="159"/>
        <v>2006F0</v>
      </c>
      <c r="U935" s="429">
        <v>20</v>
      </c>
      <c r="V935" s="1029">
        <v>0.1</v>
      </c>
      <c r="W935" s="598">
        <v>1E-3</v>
      </c>
      <c r="X935" s="429"/>
      <c r="Y935" s="37" t="str">
        <f t="shared" si="160"/>
        <v>F020</v>
      </c>
      <c r="Z935" s="37" t="str">
        <f t="shared" si="161"/>
        <v>F00.1</v>
      </c>
      <c r="AA935" s="37" t="str">
        <f t="shared" si="163"/>
        <v>F00.001</v>
      </c>
      <c r="AB935" s="498" t="str">
        <f t="shared" si="157"/>
        <v>F018</v>
      </c>
      <c r="AC935" s="572"/>
      <c r="AD935" s="572"/>
      <c r="AE935" s="572"/>
      <c r="AF935" s="572"/>
    </row>
    <row r="936" spans="1:32">
      <c r="A936" s="947">
        <f t="shared" si="164"/>
        <v>929</v>
      </c>
      <c r="B936" s="948">
        <v>10</v>
      </c>
      <c r="C936" s="949">
        <v>38889</v>
      </c>
      <c r="D936" s="949" t="s">
        <v>178</v>
      </c>
      <c r="E936" s="904">
        <v>21</v>
      </c>
      <c r="F936" s="644">
        <v>2006</v>
      </c>
      <c r="G936" s="948" t="s">
        <v>131</v>
      </c>
      <c r="H936" s="645" t="s">
        <v>149</v>
      </c>
      <c r="I936" s="951">
        <v>50</v>
      </c>
      <c r="J936" s="951">
        <v>0.2</v>
      </c>
      <c r="K936" s="952">
        <f t="shared" si="162"/>
        <v>5.681818181818182E-3</v>
      </c>
      <c r="L936" s="644">
        <f t="shared" si="165"/>
        <v>18</v>
      </c>
      <c r="M936" s="935">
        <v>0.75694444444444453</v>
      </c>
      <c r="N936" s="936">
        <f t="shared" si="155"/>
        <v>0.75694444444444453</v>
      </c>
      <c r="O936" s="725">
        <v>0.76388888888888884</v>
      </c>
      <c r="P936" s="725">
        <f t="shared" si="158"/>
        <v>6.9444444444443088E-3</v>
      </c>
      <c r="Q936" s="622" t="s">
        <v>368</v>
      </c>
      <c r="R936" s="36"/>
      <c r="S936" s="37" t="str">
        <f t="shared" si="156"/>
        <v>HansfordF0</v>
      </c>
      <c r="T936" s="37" t="str">
        <f t="shared" si="159"/>
        <v>2006F0</v>
      </c>
      <c r="U936" s="429">
        <v>50</v>
      </c>
      <c r="V936" s="1029">
        <v>0.2</v>
      </c>
      <c r="W936" s="598">
        <v>5.0000000000000001E-3</v>
      </c>
      <c r="X936" s="429"/>
      <c r="Y936" s="37" t="str">
        <f t="shared" si="160"/>
        <v>F050</v>
      </c>
      <c r="Z936" s="37" t="str">
        <f t="shared" si="161"/>
        <v>F00.2</v>
      </c>
      <c r="AA936" s="37" t="str">
        <f t="shared" si="163"/>
        <v>F00.005</v>
      </c>
      <c r="AB936" s="498" t="str">
        <f t="shared" si="157"/>
        <v>F018</v>
      </c>
      <c r="AC936" s="572"/>
      <c r="AD936" s="572"/>
      <c r="AE936" s="572"/>
      <c r="AF936" s="572"/>
    </row>
    <row r="937" spans="1:32" ht="25.5">
      <c r="A937" s="947">
        <f t="shared" si="164"/>
        <v>930</v>
      </c>
      <c r="B937" s="948">
        <v>11</v>
      </c>
      <c r="C937" s="949">
        <v>38893</v>
      </c>
      <c r="D937" s="949" t="s">
        <v>178</v>
      </c>
      <c r="E937" s="904">
        <v>25</v>
      </c>
      <c r="F937" s="644">
        <v>2006</v>
      </c>
      <c r="G937" s="948" t="s">
        <v>129</v>
      </c>
      <c r="H937" s="645" t="s">
        <v>149</v>
      </c>
      <c r="I937" s="951">
        <v>25</v>
      </c>
      <c r="J937" s="951">
        <v>0.1</v>
      </c>
      <c r="K937" s="952">
        <f t="shared" si="162"/>
        <v>1.4204545454545455E-3</v>
      </c>
      <c r="L937" s="644">
        <f t="shared" si="165"/>
        <v>16</v>
      </c>
      <c r="M937" s="935">
        <v>0.7</v>
      </c>
      <c r="N937" s="936">
        <f t="shared" si="155"/>
        <v>0.7</v>
      </c>
      <c r="O937" s="725">
        <v>0.7</v>
      </c>
      <c r="P937" s="725">
        <f t="shared" si="158"/>
        <v>0</v>
      </c>
      <c r="Q937" s="622" t="s">
        <v>72</v>
      </c>
      <c r="R937" s="36"/>
      <c r="S937" s="37" t="str">
        <f t="shared" si="156"/>
        <v>DallamF0</v>
      </c>
      <c r="T937" s="37" t="str">
        <f t="shared" si="159"/>
        <v>2006F0</v>
      </c>
      <c r="U937" s="429">
        <v>20</v>
      </c>
      <c r="V937" s="1029">
        <v>0.1</v>
      </c>
      <c r="W937" s="598">
        <v>1E-3</v>
      </c>
      <c r="X937" s="429"/>
      <c r="Y937" s="37" t="str">
        <f t="shared" si="160"/>
        <v>F020</v>
      </c>
      <c r="Z937" s="37" t="str">
        <f t="shared" si="161"/>
        <v>F00.1</v>
      </c>
      <c r="AA937" s="37" t="str">
        <f t="shared" si="163"/>
        <v>F00.001</v>
      </c>
      <c r="AB937" s="498" t="str">
        <f t="shared" si="157"/>
        <v>F016</v>
      </c>
      <c r="AC937" s="572"/>
      <c r="AD937" s="572"/>
      <c r="AE937" s="572"/>
      <c r="AF937" s="572"/>
    </row>
    <row r="938" spans="1:32">
      <c r="A938" s="947">
        <f t="shared" si="164"/>
        <v>931</v>
      </c>
      <c r="B938" s="948">
        <v>12</v>
      </c>
      <c r="C938" s="949">
        <v>38926</v>
      </c>
      <c r="D938" s="949" t="s">
        <v>179</v>
      </c>
      <c r="E938" s="904">
        <v>28</v>
      </c>
      <c r="F938" s="644">
        <v>2006</v>
      </c>
      <c r="G938" s="948" t="s">
        <v>144</v>
      </c>
      <c r="H938" s="645" t="s">
        <v>149</v>
      </c>
      <c r="I938" s="951">
        <v>25</v>
      </c>
      <c r="J938" s="951">
        <v>3</v>
      </c>
      <c r="K938" s="952">
        <f t="shared" si="162"/>
        <v>4.261363636363636E-2</v>
      </c>
      <c r="L938" s="644">
        <f t="shared" si="165"/>
        <v>18</v>
      </c>
      <c r="M938" s="935">
        <v>0.77569444444444446</v>
      </c>
      <c r="N938" s="936">
        <f t="shared" si="155"/>
        <v>0.77569444444444446</v>
      </c>
      <c r="O938" s="725">
        <v>0.77777777777777779</v>
      </c>
      <c r="P938" s="725">
        <f t="shared" si="158"/>
        <v>2.0833333333333259E-3</v>
      </c>
      <c r="Q938" s="622" t="s">
        <v>73</v>
      </c>
      <c r="R938" s="36"/>
      <c r="S938" s="37" t="str">
        <f t="shared" si="156"/>
        <v>Deaf SmithF0</v>
      </c>
      <c r="T938" s="37" t="str">
        <f t="shared" si="159"/>
        <v>2006F0</v>
      </c>
      <c r="U938" s="429">
        <v>20</v>
      </c>
      <c r="V938" s="1029">
        <v>2</v>
      </c>
      <c r="W938" s="598">
        <v>0.02</v>
      </c>
      <c r="X938" s="429"/>
      <c r="Y938" s="37" t="str">
        <f t="shared" si="160"/>
        <v>F020</v>
      </c>
      <c r="Z938" s="37" t="str">
        <f t="shared" si="161"/>
        <v>F02</v>
      </c>
      <c r="AA938" s="37" t="str">
        <f t="shared" si="163"/>
        <v>F00.02</v>
      </c>
      <c r="AB938" s="498" t="str">
        <f t="shared" si="157"/>
        <v>F018</v>
      </c>
      <c r="AC938" s="572"/>
      <c r="AD938" s="572"/>
      <c r="AE938" s="572"/>
      <c r="AF938" s="572"/>
    </row>
    <row r="939" spans="1:32" ht="42.75" customHeight="1">
      <c r="A939" s="947">
        <f t="shared" si="164"/>
        <v>932</v>
      </c>
      <c r="B939" s="948">
        <v>13</v>
      </c>
      <c r="C939" s="949">
        <v>38956</v>
      </c>
      <c r="D939" s="949" t="s">
        <v>180</v>
      </c>
      <c r="E939" s="904">
        <v>27</v>
      </c>
      <c r="F939" s="644">
        <v>2006</v>
      </c>
      <c r="G939" s="948" t="s">
        <v>136</v>
      </c>
      <c r="H939" s="645" t="s">
        <v>149</v>
      </c>
      <c r="I939" s="951">
        <v>25</v>
      </c>
      <c r="J939" s="951">
        <v>1.5</v>
      </c>
      <c r="K939" s="952">
        <f t="shared" si="162"/>
        <v>2.130681818181818E-2</v>
      </c>
      <c r="L939" s="644">
        <f t="shared" si="165"/>
        <v>19</v>
      </c>
      <c r="M939" s="935">
        <v>0.8208333333333333</v>
      </c>
      <c r="N939" s="936">
        <f t="shared" si="155"/>
        <v>0.8208333333333333</v>
      </c>
      <c r="O939" s="725">
        <v>0.82361111111111107</v>
      </c>
      <c r="P939" s="725">
        <f t="shared" si="158"/>
        <v>2.7777777777777679E-3</v>
      </c>
      <c r="Q939" s="622" t="s">
        <v>771</v>
      </c>
      <c r="R939" s="36"/>
      <c r="S939" s="37" t="str">
        <f t="shared" si="156"/>
        <v>HutchinsonF0</v>
      </c>
      <c r="T939" s="37" t="str">
        <f t="shared" si="159"/>
        <v>2006F0</v>
      </c>
      <c r="U939" s="429">
        <v>20</v>
      </c>
      <c r="V939" s="1029">
        <v>1</v>
      </c>
      <c r="W939" s="598">
        <v>0.02</v>
      </c>
      <c r="X939" s="429"/>
      <c r="Y939" s="37" t="str">
        <f t="shared" si="160"/>
        <v>F020</v>
      </c>
      <c r="Z939" s="37" t="str">
        <f t="shared" si="161"/>
        <v>F01</v>
      </c>
      <c r="AA939" s="37" t="str">
        <f t="shared" si="163"/>
        <v>F00.02</v>
      </c>
      <c r="AB939" s="498" t="str">
        <f t="shared" si="157"/>
        <v>F019</v>
      </c>
      <c r="AC939" s="572"/>
      <c r="AD939" s="572"/>
      <c r="AE939" s="572"/>
      <c r="AF939" s="572"/>
    </row>
    <row r="940" spans="1:32" ht="39.950000000000003" customHeight="1">
      <c r="A940" s="947">
        <f t="shared" si="164"/>
        <v>933</v>
      </c>
      <c r="B940" s="948">
        <v>1</v>
      </c>
      <c r="C940" s="949">
        <v>39136</v>
      </c>
      <c r="D940" s="949" t="s">
        <v>174</v>
      </c>
      <c r="E940" s="904">
        <v>23</v>
      </c>
      <c r="F940" s="644">
        <v>2007</v>
      </c>
      <c r="G940" s="948" t="s">
        <v>142</v>
      </c>
      <c r="H940" s="645" t="s">
        <v>190</v>
      </c>
      <c r="I940" s="951">
        <v>25</v>
      </c>
      <c r="J940" s="951">
        <v>0.1</v>
      </c>
      <c r="K940" s="952">
        <f t="shared" si="162"/>
        <v>1.4204545454545455E-3</v>
      </c>
      <c r="L940" s="644">
        <f t="shared" si="165"/>
        <v>18</v>
      </c>
      <c r="M940" s="935">
        <v>0.75694444444444453</v>
      </c>
      <c r="N940" s="936">
        <f t="shared" si="155"/>
        <v>0.75694444444444453</v>
      </c>
      <c r="O940" s="725">
        <v>0.75763888888888886</v>
      </c>
      <c r="P940" s="725">
        <f t="shared" si="158"/>
        <v>6.9444444444433095E-4</v>
      </c>
      <c r="Q940" s="622" t="s">
        <v>94</v>
      </c>
      <c r="R940" s="36"/>
      <c r="S940" s="37" t="str">
        <f t="shared" si="156"/>
        <v>GrayEF0</v>
      </c>
      <c r="T940" s="37" t="str">
        <f t="shared" si="159"/>
        <v>2007EF0</v>
      </c>
      <c r="U940" s="429">
        <v>20</v>
      </c>
      <c r="V940" s="1029">
        <v>0.1</v>
      </c>
      <c r="W940" s="598">
        <v>1E-3</v>
      </c>
      <c r="X940" s="429"/>
      <c r="Y940" s="37" t="str">
        <f t="shared" si="160"/>
        <v>EF020</v>
      </c>
      <c r="Z940" s="37" t="str">
        <f t="shared" si="161"/>
        <v>EF00.1</v>
      </c>
      <c r="AA940" s="37" t="str">
        <f t="shared" si="163"/>
        <v>EF00.001</v>
      </c>
      <c r="AB940" s="498" t="str">
        <f t="shared" si="157"/>
        <v>EF018</v>
      </c>
      <c r="AC940" s="572"/>
      <c r="AD940" s="572"/>
      <c r="AE940" s="572"/>
      <c r="AF940" s="572"/>
    </row>
    <row r="941" spans="1:32">
      <c r="A941" s="947">
        <f t="shared" si="164"/>
        <v>934</v>
      </c>
      <c r="B941" s="948">
        <v>2</v>
      </c>
      <c r="C941" s="949">
        <v>39164</v>
      </c>
      <c r="D941" s="949" t="s">
        <v>175</v>
      </c>
      <c r="E941" s="904">
        <v>23</v>
      </c>
      <c r="F941" s="644">
        <v>2007</v>
      </c>
      <c r="G941" s="948" t="s">
        <v>127</v>
      </c>
      <c r="H941" s="645" t="s">
        <v>190</v>
      </c>
      <c r="I941" s="951">
        <v>440</v>
      </c>
      <c r="J941" s="951">
        <v>1.38</v>
      </c>
      <c r="K941" s="952">
        <f t="shared" si="162"/>
        <v>0.34499999999999997</v>
      </c>
      <c r="L941" s="644">
        <f t="shared" si="165"/>
        <v>16</v>
      </c>
      <c r="M941" s="935">
        <v>0.6743055555555556</v>
      </c>
      <c r="N941" s="936">
        <f t="shared" si="155"/>
        <v>0.6743055555555556</v>
      </c>
      <c r="O941" s="725">
        <v>0.67638888888888893</v>
      </c>
      <c r="P941" s="725">
        <f t="shared" si="158"/>
        <v>2.0833333333333259E-3</v>
      </c>
      <c r="Q941" s="622" t="s">
        <v>261</v>
      </c>
      <c r="R941" s="36"/>
      <c r="S941" s="37" t="str">
        <f t="shared" si="156"/>
        <v>TexasEF0</v>
      </c>
      <c r="T941" s="37" t="str">
        <f t="shared" si="159"/>
        <v>2007EF0</v>
      </c>
      <c r="U941" s="429">
        <v>200</v>
      </c>
      <c r="V941" s="1029">
        <v>1</v>
      </c>
      <c r="W941" s="598">
        <v>0.2</v>
      </c>
      <c r="X941" s="429"/>
      <c r="Y941" s="37" t="str">
        <f t="shared" si="160"/>
        <v>EF0200</v>
      </c>
      <c r="Z941" s="37" t="str">
        <f t="shared" si="161"/>
        <v>EF01</v>
      </c>
      <c r="AA941" s="37" t="str">
        <f t="shared" si="163"/>
        <v>EF00.2</v>
      </c>
      <c r="AB941" s="498" t="str">
        <f t="shared" si="157"/>
        <v>EF016</v>
      </c>
      <c r="AC941" s="572"/>
      <c r="AD941" s="572"/>
      <c r="AE941" s="572"/>
      <c r="AF941" s="572"/>
    </row>
    <row r="942" spans="1:32">
      <c r="A942" s="947">
        <f t="shared" si="164"/>
        <v>935</v>
      </c>
      <c r="B942" s="948">
        <v>3</v>
      </c>
      <c r="C942" s="949">
        <v>39165</v>
      </c>
      <c r="D942" s="949" t="s">
        <v>175</v>
      </c>
      <c r="E942" s="904">
        <v>24</v>
      </c>
      <c r="F942" s="644">
        <v>2007</v>
      </c>
      <c r="G942" s="948" t="s">
        <v>142</v>
      </c>
      <c r="H942" s="645" t="s">
        <v>191</v>
      </c>
      <c r="I942" s="951">
        <v>50</v>
      </c>
      <c r="J942" s="904">
        <v>2</v>
      </c>
      <c r="K942" s="952">
        <f t="shared" si="162"/>
        <v>5.6818181818181816E-2</v>
      </c>
      <c r="L942" s="644">
        <f t="shared" si="165"/>
        <v>2</v>
      </c>
      <c r="M942" s="935">
        <v>0.12430555555555556</v>
      </c>
      <c r="N942" s="936">
        <f t="shared" si="155"/>
        <v>0.12430555555555556</v>
      </c>
      <c r="O942" s="725">
        <v>0.12638888888888888</v>
      </c>
      <c r="P942" s="725">
        <f t="shared" si="158"/>
        <v>2.0833333333333259E-3</v>
      </c>
      <c r="Q942" s="622" t="s">
        <v>483</v>
      </c>
      <c r="R942" s="36"/>
      <c r="S942" s="37" t="str">
        <f t="shared" si="156"/>
        <v>GrayEF1</v>
      </c>
      <c r="T942" s="37" t="str">
        <f t="shared" si="159"/>
        <v>2007EF1</v>
      </c>
      <c r="U942" s="429">
        <v>50</v>
      </c>
      <c r="V942" s="1029">
        <v>2</v>
      </c>
      <c r="W942" s="598">
        <v>0.05</v>
      </c>
      <c r="X942" s="429"/>
      <c r="Y942" s="37" t="str">
        <f t="shared" si="160"/>
        <v>EF150</v>
      </c>
      <c r="Z942" s="37" t="str">
        <f t="shared" si="161"/>
        <v>EF12</v>
      </c>
      <c r="AA942" s="37" t="str">
        <f t="shared" si="163"/>
        <v>EF10.05</v>
      </c>
      <c r="AB942" s="498" t="str">
        <f t="shared" si="157"/>
        <v>EF12</v>
      </c>
      <c r="AC942" s="572"/>
      <c r="AD942" s="572"/>
      <c r="AE942" s="572"/>
      <c r="AF942" s="572"/>
    </row>
    <row r="943" spans="1:32" ht="106.5" customHeight="1">
      <c r="A943" s="947">
        <f t="shared" si="164"/>
        <v>936</v>
      </c>
      <c r="B943" s="948">
        <v>4</v>
      </c>
      <c r="C943" s="949">
        <v>39169</v>
      </c>
      <c r="D943" s="949" t="s">
        <v>175</v>
      </c>
      <c r="E943" s="904">
        <v>28</v>
      </c>
      <c r="F943" s="644">
        <v>2007</v>
      </c>
      <c r="G943" s="948" t="s">
        <v>147</v>
      </c>
      <c r="H943" s="645" t="s">
        <v>190</v>
      </c>
      <c r="I943" s="951">
        <v>100</v>
      </c>
      <c r="J943" s="904">
        <v>1</v>
      </c>
      <c r="K943" s="952">
        <f t="shared" si="162"/>
        <v>5.6818181818181816E-2</v>
      </c>
      <c r="L943" s="644">
        <f t="shared" si="165"/>
        <v>17</v>
      </c>
      <c r="M943" s="935">
        <v>0.73611111111111116</v>
      </c>
      <c r="N943" s="936">
        <f t="shared" si="155"/>
        <v>0.73611111111111116</v>
      </c>
      <c r="O943" s="725">
        <v>0.74305555555555547</v>
      </c>
      <c r="P943" s="725">
        <f t="shared" si="158"/>
        <v>6.9444444444443088E-3</v>
      </c>
      <c r="Q943" s="631" t="s">
        <v>487</v>
      </c>
      <c r="R943" s="36"/>
      <c r="S943" s="37" t="str">
        <f t="shared" si="156"/>
        <v>DonleyEF0</v>
      </c>
      <c r="T943" s="37" t="str">
        <f t="shared" si="159"/>
        <v>2007EF0</v>
      </c>
      <c r="U943" s="429">
        <v>100</v>
      </c>
      <c r="V943" s="1029">
        <v>1</v>
      </c>
      <c r="W943" s="598">
        <v>0.05</v>
      </c>
      <c r="X943" s="429"/>
      <c r="Y943" s="37" t="str">
        <f t="shared" si="160"/>
        <v>EF0100</v>
      </c>
      <c r="Z943" s="37" t="str">
        <f t="shared" si="161"/>
        <v>EF01</v>
      </c>
      <c r="AA943" s="37" t="str">
        <f t="shared" si="163"/>
        <v>EF00.05</v>
      </c>
      <c r="AB943" s="498" t="str">
        <f t="shared" si="157"/>
        <v>EF017</v>
      </c>
      <c r="AC943" s="572"/>
      <c r="AD943" s="572"/>
      <c r="AE943" s="572"/>
      <c r="AF943" s="572"/>
    </row>
    <row r="944" spans="1:32">
      <c r="A944" s="947">
        <f t="shared" si="164"/>
        <v>937</v>
      </c>
      <c r="B944" s="948">
        <v>5</v>
      </c>
      <c r="C944" s="949">
        <v>39169</v>
      </c>
      <c r="D944" s="949" t="s">
        <v>175</v>
      </c>
      <c r="E944" s="904">
        <v>28</v>
      </c>
      <c r="F944" s="644">
        <v>2007</v>
      </c>
      <c r="G944" s="948" t="s">
        <v>147</v>
      </c>
      <c r="H944" s="645" t="s">
        <v>191</v>
      </c>
      <c r="I944" s="951">
        <v>150</v>
      </c>
      <c r="J944" s="951">
        <v>7.27</v>
      </c>
      <c r="K944" s="952">
        <f t="shared" si="162"/>
        <v>0.61960227272727264</v>
      </c>
      <c r="L944" s="644">
        <f t="shared" si="165"/>
        <v>17</v>
      </c>
      <c r="M944" s="935">
        <v>0.74652777777777779</v>
      </c>
      <c r="N944" s="936">
        <f t="shared" si="155"/>
        <v>0.74652777777777779</v>
      </c>
      <c r="O944" s="725">
        <v>0.75763888888888886</v>
      </c>
      <c r="P944" s="725">
        <f t="shared" si="158"/>
        <v>1.1111111111111072E-2</v>
      </c>
      <c r="Q944" s="631" t="s">
        <v>327</v>
      </c>
      <c r="R944" s="36"/>
      <c r="S944" s="37" t="str">
        <f t="shared" si="156"/>
        <v>DonleyEF1</v>
      </c>
      <c r="T944" s="37" t="str">
        <f t="shared" si="159"/>
        <v>2007EF1</v>
      </c>
      <c r="U944" s="429">
        <v>100</v>
      </c>
      <c r="V944" s="1029">
        <v>5</v>
      </c>
      <c r="W944" s="598">
        <v>0.5</v>
      </c>
      <c r="X944" s="429"/>
      <c r="Y944" s="37" t="str">
        <f t="shared" si="160"/>
        <v>EF1100</v>
      </c>
      <c r="Z944" s="37" t="str">
        <f t="shared" si="161"/>
        <v>EF15</v>
      </c>
      <c r="AA944" s="37" t="str">
        <f t="shared" si="163"/>
        <v>EF10.5</v>
      </c>
      <c r="AB944" s="498" t="str">
        <f t="shared" si="157"/>
        <v>EF117</v>
      </c>
      <c r="AC944" s="572"/>
      <c r="AD944" s="572"/>
      <c r="AE944" s="572"/>
      <c r="AF944" s="572"/>
    </row>
    <row r="945" spans="1:32" ht="25.5">
      <c r="A945" s="947">
        <f t="shared" si="164"/>
        <v>938</v>
      </c>
      <c r="B945" s="948">
        <v>6</v>
      </c>
      <c r="C945" s="949">
        <v>39169</v>
      </c>
      <c r="D945" s="949" t="s">
        <v>175</v>
      </c>
      <c r="E945" s="904">
        <v>28</v>
      </c>
      <c r="F945" s="644">
        <v>2007</v>
      </c>
      <c r="G945" s="948" t="s">
        <v>147</v>
      </c>
      <c r="H945" s="645" t="s">
        <v>190</v>
      </c>
      <c r="I945" s="951">
        <v>200</v>
      </c>
      <c r="J945" s="951">
        <v>1</v>
      </c>
      <c r="K945" s="952">
        <f t="shared" si="162"/>
        <v>0.11363636363636363</v>
      </c>
      <c r="L945" s="644">
        <f t="shared" si="165"/>
        <v>18</v>
      </c>
      <c r="M945" s="935">
        <v>0.75347222222222221</v>
      </c>
      <c r="N945" s="936">
        <f t="shared" si="155"/>
        <v>0.75347222222222221</v>
      </c>
      <c r="O945" s="725">
        <v>0.75624999999999998</v>
      </c>
      <c r="P945" s="725">
        <f t="shared" si="158"/>
        <v>2.7777777777777679E-3</v>
      </c>
      <c r="Q945" s="631" t="s">
        <v>1145</v>
      </c>
      <c r="R945" s="36"/>
      <c r="S945" s="37" t="str">
        <f t="shared" si="156"/>
        <v>DonleyEF0</v>
      </c>
      <c r="T945" s="37" t="str">
        <f t="shared" si="159"/>
        <v>2007EF0</v>
      </c>
      <c r="U945" s="429">
        <v>200</v>
      </c>
      <c r="V945" s="1029">
        <v>1</v>
      </c>
      <c r="W945" s="598">
        <v>0.1</v>
      </c>
      <c r="X945" s="429"/>
      <c r="Y945" s="37" t="str">
        <f t="shared" si="160"/>
        <v>EF0200</v>
      </c>
      <c r="Z945" s="37" t="str">
        <f t="shared" si="161"/>
        <v>EF01</v>
      </c>
      <c r="AA945" s="37" t="str">
        <f t="shared" si="163"/>
        <v>EF00.1</v>
      </c>
      <c r="AB945" s="498" t="str">
        <f t="shared" si="157"/>
        <v>EF018</v>
      </c>
      <c r="AC945" s="572"/>
      <c r="AD945" s="572"/>
      <c r="AE945" s="572"/>
      <c r="AF945" s="572"/>
    </row>
    <row r="946" spans="1:32" ht="25.5">
      <c r="A946" s="947">
        <f t="shared" si="164"/>
        <v>939</v>
      </c>
      <c r="B946" s="948">
        <v>7</v>
      </c>
      <c r="C946" s="949">
        <v>39169</v>
      </c>
      <c r="D946" s="949" t="s">
        <v>175</v>
      </c>
      <c r="E946" s="904">
        <v>28</v>
      </c>
      <c r="F946" s="644">
        <v>2007</v>
      </c>
      <c r="G946" s="948" t="s">
        <v>133</v>
      </c>
      <c r="H946" s="645" t="s">
        <v>189</v>
      </c>
      <c r="I946" s="951">
        <v>150</v>
      </c>
      <c r="J946" s="951">
        <v>6</v>
      </c>
      <c r="K946" s="952">
        <f t="shared" si="162"/>
        <v>0.51136363636363635</v>
      </c>
      <c r="L946" s="644">
        <f t="shared" si="165"/>
        <v>18</v>
      </c>
      <c r="M946" s="935">
        <v>0.76111111111111107</v>
      </c>
      <c r="N946" s="936">
        <f t="shared" si="155"/>
        <v>0.76111111111111107</v>
      </c>
      <c r="O946" s="725">
        <v>0.76944444444444438</v>
      </c>
      <c r="P946" s="725">
        <f t="shared" si="158"/>
        <v>8.3333333333333037E-3</v>
      </c>
      <c r="Q946" s="631" t="s">
        <v>478</v>
      </c>
      <c r="R946" s="36"/>
      <c r="S946" s="37" t="str">
        <f t="shared" si="156"/>
        <v>LipscombEF2</v>
      </c>
      <c r="T946" s="37" t="str">
        <f t="shared" si="159"/>
        <v>2007EF2</v>
      </c>
      <c r="U946" s="429">
        <v>100</v>
      </c>
      <c r="V946" s="1029">
        <v>5</v>
      </c>
      <c r="W946" s="598">
        <v>0.5</v>
      </c>
      <c r="X946" s="429"/>
      <c r="Y946" s="37" t="str">
        <f t="shared" si="160"/>
        <v>EF2100</v>
      </c>
      <c r="Z946" s="37" t="str">
        <f t="shared" si="161"/>
        <v>EF25</v>
      </c>
      <c r="AA946" s="37" t="str">
        <f t="shared" si="163"/>
        <v>EF20.5</v>
      </c>
      <c r="AB946" s="498" t="str">
        <f t="shared" si="157"/>
        <v>EF218</v>
      </c>
      <c r="AC946" s="572"/>
      <c r="AD946" s="572"/>
      <c r="AE946" s="572"/>
      <c r="AF946" s="572"/>
    </row>
    <row r="947" spans="1:32" ht="25.5">
      <c r="A947" s="947">
        <f t="shared" si="164"/>
        <v>940</v>
      </c>
      <c r="B947" s="948">
        <v>8</v>
      </c>
      <c r="C947" s="949">
        <v>39169</v>
      </c>
      <c r="D947" s="949" t="s">
        <v>175</v>
      </c>
      <c r="E947" s="904">
        <v>28</v>
      </c>
      <c r="F947" s="644">
        <v>2007</v>
      </c>
      <c r="G947" s="948" t="s">
        <v>128</v>
      </c>
      <c r="H947" s="645" t="s">
        <v>189</v>
      </c>
      <c r="I947" s="951">
        <v>150</v>
      </c>
      <c r="J947" s="951">
        <v>16</v>
      </c>
      <c r="K947" s="952">
        <f t="shared" si="162"/>
        <v>1.3636363636363635</v>
      </c>
      <c r="L947" s="644">
        <f t="shared" si="165"/>
        <v>18</v>
      </c>
      <c r="M947" s="935">
        <v>0.76944444444444438</v>
      </c>
      <c r="N947" s="936">
        <f t="shared" si="155"/>
        <v>0.76944444444444438</v>
      </c>
      <c r="O947" s="725">
        <v>0.78749999999999998</v>
      </c>
      <c r="P947" s="725">
        <f t="shared" si="158"/>
        <v>1.8055555555555602E-2</v>
      </c>
      <c r="Q947" s="631" t="s">
        <v>871</v>
      </c>
      <c r="R947" s="36"/>
      <c r="S947" s="37" t="str">
        <f t="shared" si="156"/>
        <v>BeaverEF2</v>
      </c>
      <c r="T947" s="37" t="str">
        <f t="shared" si="159"/>
        <v>2007EF2</v>
      </c>
      <c r="U947" s="429">
        <v>100</v>
      </c>
      <c r="V947" s="1029">
        <v>10</v>
      </c>
      <c r="W947" s="598">
        <v>1</v>
      </c>
      <c r="X947" s="429"/>
      <c r="Y947" s="37" t="str">
        <f t="shared" si="160"/>
        <v>EF2100</v>
      </c>
      <c r="Z947" s="37" t="str">
        <f t="shared" si="161"/>
        <v>EF210</v>
      </c>
      <c r="AA947" s="37" t="str">
        <f t="shared" si="163"/>
        <v>EF21</v>
      </c>
      <c r="AB947" s="498" t="str">
        <f t="shared" si="157"/>
        <v>EF218</v>
      </c>
      <c r="AC947" s="572"/>
      <c r="AD947" s="572"/>
      <c r="AE947" s="572"/>
      <c r="AF947" s="572"/>
    </row>
    <row r="948" spans="1:32" ht="30" customHeight="1">
      <c r="A948" s="947">
        <f t="shared" si="164"/>
        <v>941</v>
      </c>
      <c r="B948" s="948">
        <v>9</v>
      </c>
      <c r="C948" s="949">
        <v>39169</v>
      </c>
      <c r="D948" s="949" t="s">
        <v>175</v>
      </c>
      <c r="E948" s="904">
        <v>28</v>
      </c>
      <c r="F948" s="644">
        <v>2007</v>
      </c>
      <c r="G948" s="948" t="s">
        <v>147</v>
      </c>
      <c r="H948" s="645" t="s">
        <v>192</v>
      </c>
      <c r="I948" s="951">
        <v>600</v>
      </c>
      <c r="J948" s="951">
        <v>3.35</v>
      </c>
      <c r="K948" s="952">
        <f t="shared" si="162"/>
        <v>1.1420454545454546</v>
      </c>
      <c r="L948" s="644">
        <f t="shared" si="165"/>
        <v>18</v>
      </c>
      <c r="M948" s="935">
        <v>0.77708333333333324</v>
      </c>
      <c r="N948" s="936">
        <f t="shared" si="155"/>
        <v>0.77708333333333324</v>
      </c>
      <c r="O948" s="725">
        <v>0.78333333333333333</v>
      </c>
      <c r="P948" s="725">
        <f t="shared" si="158"/>
        <v>6.2500000000000888E-3</v>
      </c>
      <c r="Q948" s="631" t="s">
        <v>772</v>
      </c>
      <c r="R948" s="36"/>
      <c r="S948" s="37" t="str">
        <f t="shared" si="156"/>
        <v>DonleyEF3</v>
      </c>
      <c r="T948" s="37" t="str">
        <f t="shared" si="159"/>
        <v>2007EF3</v>
      </c>
      <c r="U948" s="429">
        <v>500</v>
      </c>
      <c r="V948" s="1029">
        <v>2</v>
      </c>
      <c r="W948" s="598">
        <v>1</v>
      </c>
      <c r="X948" s="429"/>
      <c r="Y948" s="37" t="str">
        <f t="shared" si="160"/>
        <v>EF3500</v>
      </c>
      <c r="Z948" s="37" t="str">
        <f t="shared" si="161"/>
        <v>EF32</v>
      </c>
      <c r="AA948" s="37" t="str">
        <f t="shared" si="163"/>
        <v>EF31</v>
      </c>
      <c r="AB948" s="498" t="str">
        <f t="shared" si="157"/>
        <v>EF318</v>
      </c>
      <c r="AC948" s="572"/>
      <c r="AD948" s="572"/>
      <c r="AE948" s="572"/>
      <c r="AF948" s="572"/>
    </row>
    <row r="949" spans="1:32">
      <c r="A949" s="947">
        <f t="shared" si="164"/>
        <v>942</v>
      </c>
      <c r="B949" s="948">
        <v>10</v>
      </c>
      <c r="C949" s="949">
        <v>39169</v>
      </c>
      <c r="D949" s="949" t="s">
        <v>175</v>
      </c>
      <c r="E949" s="904">
        <v>28</v>
      </c>
      <c r="F949" s="644">
        <v>2007</v>
      </c>
      <c r="G949" s="948" t="s">
        <v>147</v>
      </c>
      <c r="H949" s="645" t="s">
        <v>189</v>
      </c>
      <c r="I949" s="951">
        <v>528</v>
      </c>
      <c r="J949" s="951">
        <v>4.1500000000000004</v>
      </c>
      <c r="K949" s="952">
        <f t="shared" si="162"/>
        <v>1.2450000000000001</v>
      </c>
      <c r="L949" s="644">
        <f t="shared" si="165"/>
        <v>18</v>
      </c>
      <c r="M949" s="935">
        <v>0.78194444444444444</v>
      </c>
      <c r="N949" s="936">
        <f t="shared" si="155"/>
        <v>0.78194444444444444</v>
      </c>
      <c r="O949" s="725">
        <v>0.78819444444444453</v>
      </c>
      <c r="P949" s="725">
        <f t="shared" si="158"/>
        <v>6.2500000000000888E-3</v>
      </c>
      <c r="Q949" s="631" t="s">
        <v>336</v>
      </c>
      <c r="R949" s="36"/>
      <c r="S949" s="37" t="str">
        <f t="shared" si="156"/>
        <v>DonleyEF2</v>
      </c>
      <c r="T949" s="37" t="str">
        <f t="shared" si="159"/>
        <v>2007EF2</v>
      </c>
      <c r="U949" s="429">
        <v>500</v>
      </c>
      <c r="V949" s="1029">
        <v>2</v>
      </c>
      <c r="W949" s="598">
        <v>1</v>
      </c>
      <c r="X949" s="429"/>
      <c r="Y949" s="37" t="str">
        <f t="shared" si="160"/>
        <v>EF2500</v>
      </c>
      <c r="Z949" s="37" t="str">
        <f t="shared" si="161"/>
        <v>EF22</v>
      </c>
      <c r="AA949" s="37" t="str">
        <f t="shared" si="163"/>
        <v>EF21</v>
      </c>
      <c r="AB949" s="498" t="str">
        <f t="shared" si="157"/>
        <v>EF218</v>
      </c>
      <c r="AC949" s="572"/>
      <c r="AD949" s="572"/>
      <c r="AE949" s="572"/>
      <c r="AF949" s="572"/>
    </row>
    <row r="950" spans="1:32" ht="25.5">
      <c r="A950" s="947">
        <f t="shared" si="164"/>
        <v>943</v>
      </c>
      <c r="B950" s="948">
        <v>11</v>
      </c>
      <c r="C950" s="949">
        <v>39169</v>
      </c>
      <c r="D950" s="949" t="s">
        <v>175</v>
      </c>
      <c r="E950" s="904">
        <v>28</v>
      </c>
      <c r="F950" s="644">
        <v>2007</v>
      </c>
      <c r="G950" s="948" t="s">
        <v>142</v>
      </c>
      <c r="H950" s="645" t="s">
        <v>192</v>
      </c>
      <c r="I950" s="951">
        <v>600</v>
      </c>
      <c r="J950" s="951">
        <v>3</v>
      </c>
      <c r="K950" s="952">
        <f t="shared" si="162"/>
        <v>1.0227272727272727</v>
      </c>
      <c r="L950" s="644">
        <f t="shared" si="165"/>
        <v>18</v>
      </c>
      <c r="M950" s="935">
        <v>0.78333333333333333</v>
      </c>
      <c r="N950" s="936">
        <f t="shared" si="155"/>
        <v>0.78333333333333333</v>
      </c>
      <c r="O950" s="725">
        <v>0.78749999999999998</v>
      </c>
      <c r="P950" s="725">
        <f t="shared" si="158"/>
        <v>4.1666666666666519E-3</v>
      </c>
      <c r="Q950" s="631" t="s">
        <v>479</v>
      </c>
      <c r="R950" s="36"/>
      <c r="S950" s="37" t="str">
        <f t="shared" si="156"/>
        <v>GrayEF3</v>
      </c>
      <c r="T950" s="37" t="str">
        <f t="shared" si="159"/>
        <v>2007EF3</v>
      </c>
      <c r="U950" s="429">
        <v>500</v>
      </c>
      <c r="V950" s="1029">
        <v>2</v>
      </c>
      <c r="W950" s="598">
        <v>1</v>
      </c>
      <c r="X950" s="429"/>
      <c r="Y950" s="37" t="str">
        <f t="shared" si="160"/>
        <v>EF3500</v>
      </c>
      <c r="Z950" s="37" t="str">
        <f t="shared" si="161"/>
        <v>EF32</v>
      </c>
      <c r="AA950" s="37" t="str">
        <f t="shared" si="163"/>
        <v>EF31</v>
      </c>
      <c r="AB950" s="498" t="str">
        <f t="shared" si="157"/>
        <v>EF318</v>
      </c>
      <c r="AC950" s="572"/>
      <c r="AD950" s="572"/>
      <c r="AE950" s="572"/>
      <c r="AF950" s="572"/>
    </row>
    <row r="951" spans="1:32">
      <c r="A951" s="947">
        <f t="shared" si="164"/>
        <v>944</v>
      </c>
      <c r="B951" s="948">
        <v>12</v>
      </c>
      <c r="C951" s="949">
        <v>39169</v>
      </c>
      <c r="D951" s="949" t="s">
        <v>175</v>
      </c>
      <c r="E951" s="904">
        <v>28</v>
      </c>
      <c r="F951" s="644">
        <v>2007</v>
      </c>
      <c r="G951" s="948" t="s">
        <v>147</v>
      </c>
      <c r="H951" s="645" t="s">
        <v>190</v>
      </c>
      <c r="I951" s="951">
        <v>50</v>
      </c>
      <c r="J951" s="951">
        <v>0.25</v>
      </c>
      <c r="K951" s="952">
        <f t="shared" si="162"/>
        <v>7.102272727272727E-3</v>
      </c>
      <c r="L951" s="644">
        <f t="shared" si="165"/>
        <v>19</v>
      </c>
      <c r="M951" s="935">
        <v>0.79305555555555562</v>
      </c>
      <c r="N951" s="936">
        <f t="shared" si="155"/>
        <v>0.79305555555555562</v>
      </c>
      <c r="O951" s="725">
        <v>0.7944444444444444</v>
      </c>
      <c r="P951" s="725">
        <f t="shared" si="158"/>
        <v>1.3888888888887729E-3</v>
      </c>
      <c r="Q951" s="631" t="s">
        <v>337</v>
      </c>
      <c r="R951" s="36"/>
      <c r="S951" s="37" t="str">
        <f t="shared" si="156"/>
        <v>DonleyEF0</v>
      </c>
      <c r="T951" s="37" t="str">
        <f t="shared" si="159"/>
        <v>2007EF0</v>
      </c>
      <c r="U951" s="429">
        <v>50</v>
      </c>
      <c r="V951" s="1029">
        <v>0.2</v>
      </c>
      <c r="W951" s="598">
        <v>5.0000000000000001E-3</v>
      </c>
      <c r="X951" s="429"/>
      <c r="Y951" s="37" t="str">
        <f t="shared" si="160"/>
        <v>EF050</v>
      </c>
      <c r="Z951" s="37" t="str">
        <f t="shared" si="161"/>
        <v>EF00.2</v>
      </c>
      <c r="AA951" s="37" t="str">
        <f t="shared" si="163"/>
        <v>EF00.005</v>
      </c>
      <c r="AB951" s="498" t="str">
        <f t="shared" si="157"/>
        <v>EF019</v>
      </c>
      <c r="AC951" s="572"/>
      <c r="AD951" s="572"/>
      <c r="AE951" s="572"/>
      <c r="AF951" s="572"/>
    </row>
    <row r="952" spans="1:32">
      <c r="A952" s="947">
        <f t="shared" si="164"/>
        <v>945</v>
      </c>
      <c r="B952" s="948">
        <v>13</v>
      </c>
      <c r="C952" s="949">
        <v>39169</v>
      </c>
      <c r="D952" s="949" t="s">
        <v>175</v>
      </c>
      <c r="E952" s="904">
        <v>28</v>
      </c>
      <c r="F952" s="644">
        <v>2007</v>
      </c>
      <c r="G952" s="948" t="s">
        <v>128</v>
      </c>
      <c r="H952" s="645" t="s">
        <v>189</v>
      </c>
      <c r="I952" s="951">
        <v>100</v>
      </c>
      <c r="J952" s="951">
        <v>6</v>
      </c>
      <c r="K952" s="952">
        <f t="shared" si="162"/>
        <v>0.34090909090909088</v>
      </c>
      <c r="L952" s="644">
        <f t="shared" si="165"/>
        <v>19</v>
      </c>
      <c r="M952" s="935">
        <v>0.7944444444444444</v>
      </c>
      <c r="N952" s="936">
        <f t="shared" si="155"/>
        <v>0.7944444444444444</v>
      </c>
      <c r="O952" s="725">
        <v>0.80625000000000002</v>
      </c>
      <c r="P952" s="725">
        <f t="shared" si="158"/>
        <v>1.1805555555555625E-2</v>
      </c>
      <c r="Q952" s="641" t="s">
        <v>275</v>
      </c>
      <c r="R952" s="36"/>
      <c r="S952" s="37" t="str">
        <f t="shared" si="156"/>
        <v>BeaverEF2</v>
      </c>
      <c r="T952" s="37" t="str">
        <f t="shared" si="159"/>
        <v>2007EF2</v>
      </c>
      <c r="U952" s="429">
        <v>100</v>
      </c>
      <c r="V952" s="1029">
        <v>5</v>
      </c>
      <c r="W952" s="598">
        <v>0.2</v>
      </c>
      <c r="X952" s="429"/>
      <c r="Y952" s="37" t="str">
        <f t="shared" si="160"/>
        <v>EF2100</v>
      </c>
      <c r="Z952" s="37" t="str">
        <f t="shared" si="161"/>
        <v>EF25</v>
      </c>
      <c r="AA952" s="37" t="str">
        <f t="shared" si="163"/>
        <v>EF20.2</v>
      </c>
      <c r="AB952" s="498" t="str">
        <f t="shared" si="157"/>
        <v>EF219</v>
      </c>
      <c r="AC952" s="572"/>
      <c r="AD952" s="572"/>
      <c r="AE952" s="572"/>
      <c r="AF952" s="572"/>
    </row>
    <row r="953" spans="1:32">
      <c r="A953" s="947">
        <f t="shared" si="164"/>
        <v>946</v>
      </c>
      <c r="B953" s="948">
        <v>14</v>
      </c>
      <c r="C953" s="949">
        <v>39169</v>
      </c>
      <c r="D953" s="949" t="s">
        <v>175</v>
      </c>
      <c r="E953" s="904">
        <v>28</v>
      </c>
      <c r="F953" s="644">
        <v>2007</v>
      </c>
      <c r="G953" s="948" t="s">
        <v>147</v>
      </c>
      <c r="H953" s="645" t="s">
        <v>189</v>
      </c>
      <c r="I953" s="951">
        <v>200</v>
      </c>
      <c r="J953" s="951">
        <v>4.53</v>
      </c>
      <c r="K953" s="952">
        <f t="shared" si="162"/>
        <v>0.51477272727272727</v>
      </c>
      <c r="L953" s="644">
        <f t="shared" si="165"/>
        <v>19</v>
      </c>
      <c r="M953" s="935">
        <v>0.80069444444444438</v>
      </c>
      <c r="N953" s="936">
        <f t="shared" si="155"/>
        <v>0.80069444444444438</v>
      </c>
      <c r="O953" s="725">
        <v>0.80833333333333324</v>
      </c>
      <c r="P953" s="725">
        <f t="shared" si="158"/>
        <v>7.6388888888888618E-3</v>
      </c>
      <c r="Q953" s="631" t="s">
        <v>338</v>
      </c>
      <c r="R953" s="36"/>
      <c r="S953" s="37" t="str">
        <f t="shared" si="156"/>
        <v>DonleyEF2</v>
      </c>
      <c r="T953" s="37" t="str">
        <f t="shared" si="159"/>
        <v>2007EF2</v>
      </c>
      <c r="U953" s="429">
        <v>200</v>
      </c>
      <c r="V953" s="1029">
        <v>2</v>
      </c>
      <c r="W953" s="598">
        <v>0.5</v>
      </c>
      <c r="X953" s="429"/>
      <c r="Y953" s="37" t="str">
        <f t="shared" si="160"/>
        <v>EF2200</v>
      </c>
      <c r="Z953" s="37" t="str">
        <f t="shared" si="161"/>
        <v>EF22</v>
      </c>
      <c r="AA953" s="37" t="str">
        <f t="shared" si="163"/>
        <v>EF20.5</v>
      </c>
      <c r="AB953" s="498" t="str">
        <f t="shared" si="157"/>
        <v>EF219</v>
      </c>
      <c r="AC953" s="572"/>
      <c r="AD953" s="572"/>
      <c r="AE953" s="572"/>
      <c r="AF953" s="572"/>
    </row>
    <row r="954" spans="1:32">
      <c r="A954" s="947">
        <f t="shared" si="164"/>
        <v>947</v>
      </c>
      <c r="B954" s="948">
        <v>15</v>
      </c>
      <c r="C954" s="949">
        <v>39169</v>
      </c>
      <c r="D954" s="949" t="s">
        <v>175</v>
      </c>
      <c r="E954" s="904">
        <v>28</v>
      </c>
      <c r="F954" s="644">
        <v>2007</v>
      </c>
      <c r="G954" s="948" t="s">
        <v>147</v>
      </c>
      <c r="H954" s="645" t="s">
        <v>190</v>
      </c>
      <c r="I954" s="951">
        <v>50</v>
      </c>
      <c r="J954" s="951">
        <v>1</v>
      </c>
      <c r="K954" s="952">
        <f t="shared" si="162"/>
        <v>2.8409090909090908E-2</v>
      </c>
      <c r="L954" s="644">
        <f t="shared" si="165"/>
        <v>19</v>
      </c>
      <c r="M954" s="935">
        <v>0.80208333333333337</v>
      </c>
      <c r="N954" s="936">
        <f t="shared" si="155"/>
        <v>0.80208333333333337</v>
      </c>
      <c r="O954" s="725">
        <v>0.8041666666666667</v>
      </c>
      <c r="P954" s="725">
        <f t="shared" si="158"/>
        <v>2.0833333333333259E-3</v>
      </c>
      <c r="Q954" s="631" t="s">
        <v>339</v>
      </c>
      <c r="R954" s="36"/>
      <c r="S954" s="37" t="str">
        <f t="shared" si="156"/>
        <v>DonleyEF0</v>
      </c>
      <c r="T954" s="37" t="str">
        <f t="shared" si="159"/>
        <v>2007EF0</v>
      </c>
      <c r="U954" s="429">
        <v>50</v>
      </c>
      <c r="V954" s="1029">
        <v>1</v>
      </c>
      <c r="W954" s="598">
        <v>0.02</v>
      </c>
      <c r="X954" s="429"/>
      <c r="Y954" s="37" t="str">
        <f t="shared" si="160"/>
        <v>EF050</v>
      </c>
      <c r="Z954" s="37" t="str">
        <f t="shared" si="161"/>
        <v>EF01</v>
      </c>
      <c r="AA954" s="37" t="str">
        <f t="shared" si="163"/>
        <v>EF00.02</v>
      </c>
      <c r="AB954" s="498" t="str">
        <f t="shared" si="157"/>
        <v>EF019</v>
      </c>
      <c r="AC954" s="572"/>
      <c r="AD954" s="572"/>
      <c r="AE954" s="572"/>
      <c r="AF954" s="572"/>
    </row>
    <row r="955" spans="1:32">
      <c r="A955" s="947">
        <f t="shared" si="164"/>
        <v>948</v>
      </c>
      <c r="B955" s="948">
        <v>16</v>
      </c>
      <c r="C955" s="949">
        <v>39169</v>
      </c>
      <c r="D955" s="949" t="s">
        <v>175</v>
      </c>
      <c r="E955" s="904">
        <v>28</v>
      </c>
      <c r="F955" s="644">
        <v>2007</v>
      </c>
      <c r="G955" s="948" t="s">
        <v>142</v>
      </c>
      <c r="H955" s="645" t="s">
        <v>189</v>
      </c>
      <c r="I955" s="951">
        <v>200</v>
      </c>
      <c r="J955" s="951">
        <v>3.61</v>
      </c>
      <c r="K955" s="952">
        <f t="shared" si="162"/>
        <v>0.41022727272727272</v>
      </c>
      <c r="L955" s="644">
        <f t="shared" si="165"/>
        <v>19</v>
      </c>
      <c r="M955" s="935">
        <v>0.80763888888888891</v>
      </c>
      <c r="N955" s="936">
        <f t="shared" si="155"/>
        <v>0.80763888888888891</v>
      </c>
      <c r="O955" s="725">
        <v>0.81805555555555554</v>
      </c>
      <c r="P955" s="725">
        <f t="shared" si="158"/>
        <v>1.041666666666663E-2</v>
      </c>
      <c r="Q955" s="631" t="s">
        <v>484</v>
      </c>
      <c r="R955" s="36"/>
      <c r="S955" s="37" t="str">
        <f t="shared" si="156"/>
        <v>GrayEF2</v>
      </c>
      <c r="T955" s="37" t="str">
        <f t="shared" si="159"/>
        <v>2007EF2</v>
      </c>
      <c r="U955" s="429">
        <v>200</v>
      </c>
      <c r="V955" s="1029">
        <v>2</v>
      </c>
      <c r="W955" s="598">
        <v>0.2</v>
      </c>
      <c r="X955" s="429"/>
      <c r="Y955" s="37" t="str">
        <f t="shared" si="160"/>
        <v>EF2200</v>
      </c>
      <c r="Z955" s="37" t="str">
        <f t="shared" si="161"/>
        <v>EF22</v>
      </c>
      <c r="AA955" s="37" t="str">
        <f t="shared" si="163"/>
        <v>EF20.2</v>
      </c>
      <c r="AB955" s="498" t="str">
        <f t="shared" si="157"/>
        <v>EF219</v>
      </c>
      <c r="AC955" s="572"/>
      <c r="AD955" s="572"/>
      <c r="AE955" s="572"/>
      <c r="AF955" s="572"/>
    </row>
    <row r="956" spans="1:32" ht="25.5">
      <c r="A956" s="947">
        <f t="shared" si="164"/>
        <v>949</v>
      </c>
      <c r="B956" s="948">
        <v>17</v>
      </c>
      <c r="C956" s="949">
        <v>39169</v>
      </c>
      <c r="D956" s="949" t="s">
        <v>175</v>
      </c>
      <c r="E956" s="904">
        <v>28</v>
      </c>
      <c r="F956" s="644">
        <v>2007</v>
      </c>
      <c r="G956" s="948" t="s">
        <v>142</v>
      </c>
      <c r="H956" s="645" t="s">
        <v>190</v>
      </c>
      <c r="I956" s="951">
        <v>50</v>
      </c>
      <c r="J956" s="951">
        <v>0.25</v>
      </c>
      <c r="K956" s="952">
        <f t="shared" si="162"/>
        <v>7.102272727272727E-3</v>
      </c>
      <c r="L956" s="644">
        <f t="shared" si="165"/>
        <v>19</v>
      </c>
      <c r="M956" s="935">
        <v>0.8125</v>
      </c>
      <c r="N956" s="936">
        <f t="shared" si="155"/>
        <v>0.8125</v>
      </c>
      <c r="O956" s="725">
        <v>0.8125</v>
      </c>
      <c r="P956" s="725">
        <f t="shared" si="158"/>
        <v>0</v>
      </c>
      <c r="Q956" s="631" t="s">
        <v>102</v>
      </c>
      <c r="R956" s="36"/>
      <c r="S956" s="37" t="str">
        <f t="shared" si="156"/>
        <v>GrayEF0</v>
      </c>
      <c r="T956" s="37" t="str">
        <f t="shared" si="159"/>
        <v>2007EF0</v>
      </c>
      <c r="U956" s="429">
        <v>50</v>
      </c>
      <c r="V956" s="1029">
        <v>0.2</v>
      </c>
      <c r="W956" s="598">
        <v>5.0000000000000001E-3</v>
      </c>
      <c r="X956" s="429"/>
      <c r="Y956" s="37" t="str">
        <f t="shared" si="160"/>
        <v>EF050</v>
      </c>
      <c r="Z956" s="37" t="str">
        <f t="shared" si="161"/>
        <v>EF00.2</v>
      </c>
      <c r="AA956" s="37" t="str">
        <f t="shared" si="163"/>
        <v>EF00.005</v>
      </c>
      <c r="AB956" s="498" t="str">
        <f t="shared" si="157"/>
        <v>EF019</v>
      </c>
      <c r="AC956" s="572"/>
      <c r="AD956" s="572"/>
      <c r="AE956" s="572"/>
      <c r="AF956" s="572"/>
    </row>
    <row r="957" spans="1:32">
      <c r="A957" s="947">
        <f t="shared" si="164"/>
        <v>950</v>
      </c>
      <c r="B957" s="948">
        <v>18</v>
      </c>
      <c r="C957" s="949">
        <v>39169</v>
      </c>
      <c r="D957" s="949" t="s">
        <v>175</v>
      </c>
      <c r="E957" s="904">
        <v>28</v>
      </c>
      <c r="F957" s="644">
        <v>2007</v>
      </c>
      <c r="G957" s="948" t="s">
        <v>142</v>
      </c>
      <c r="H957" s="645" t="s">
        <v>191</v>
      </c>
      <c r="I957" s="951">
        <v>50</v>
      </c>
      <c r="J957" s="951">
        <v>0.25</v>
      </c>
      <c r="K957" s="952">
        <f t="shared" si="162"/>
        <v>7.102272727272727E-3</v>
      </c>
      <c r="L957" s="644">
        <f t="shared" si="165"/>
        <v>19</v>
      </c>
      <c r="M957" s="935">
        <v>0.81666666666666676</v>
      </c>
      <c r="N957" s="936">
        <f t="shared" si="155"/>
        <v>0.81666666666666676</v>
      </c>
      <c r="O957" s="725">
        <v>0.81736111111111109</v>
      </c>
      <c r="P957" s="725">
        <f t="shared" si="158"/>
        <v>6.9444444444433095E-4</v>
      </c>
      <c r="Q957" s="641" t="s">
        <v>351</v>
      </c>
      <c r="R957" s="36"/>
      <c r="S957" s="37" t="str">
        <f t="shared" si="156"/>
        <v>GrayEF1</v>
      </c>
      <c r="T957" s="37" t="str">
        <f t="shared" si="159"/>
        <v>2007EF1</v>
      </c>
      <c r="U957" s="429">
        <v>50</v>
      </c>
      <c r="V957" s="1029">
        <v>0.2</v>
      </c>
      <c r="W957" s="598">
        <v>5.0000000000000001E-3</v>
      </c>
      <c r="X957" s="429"/>
      <c r="Y957" s="37" t="str">
        <f t="shared" si="160"/>
        <v>EF150</v>
      </c>
      <c r="Z957" s="37" t="str">
        <f t="shared" si="161"/>
        <v>EF10.2</v>
      </c>
      <c r="AA957" s="37" t="str">
        <f t="shared" si="163"/>
        <v>EF10.005</v>
      </c>
      <c r="AB957" s="498" t="str">
        <f t="shared" si="157"/>
        <v>EF119</v>
      </c>
      <c r="AC957" s="572"/>
      <c r="AD957" s="572"/>
      <c r="AE957" s="572"/>
      <c r="AF957" s="572"/>
    </row>
    <row r="958" spans="1:32">
      <c r="A958" s="947">
        <f t="shared" si="164"/>
        <v>951</v>
      </c>
      <c r="B958" s="948">
        <v>19</v>
      </c>
      <c r="C958" s="949">
        <v>39169</v>
      </c>
      <c r="D958" s="949" t="s">
        <v>175</v>
      </c>
      <c r="E958" s="904">
        <v>28</v>
      </c>
      <c r="F958" s="644">
        <v>2007</v>
      </c>
      <c r="G958" s="948" t="s">
        <v>142</v>
      </c>
      <c r="H958" s="645" t="s">
        <v>192</v>
      </c>
      <c r="I958" s="951">
        <v>1760</v>
      </c>
      <c r="J958" s="951">
        <v>7.99</v>
      </c>
      <c r="K958" s="952">
        <f t="shared" si="162"/>
        <v>7.99</v>
      </c>
      <c r="L958" s="644">
        <f t="shared" si="165"/>
        <v>19</v>
      </c>
      <c r="M958" s="935">
        <v>0.82291666666666663</v>
      </c>
      <c r="N958" s="936">
        <f t="shared" si="155"/>
        <v>0.82291666666666663</v>
      </c>
      <c r="O958" s="725">
        <v>0.83333333333333337</v>
      </c>
      <c r="P958" s="725">
        <f t="shared" si="158"/>
        <v>1.0416666666666741E-2</v>
      </c>
      <c r="Q958" s="641" t="s">
        <v>486</v>
      </c>
      <c r="R958" s="36"/>
      <c r="S958" s="37" t="str">
        <f t="shared" si="156"/>
        <v>GrayEF3</v>
      </c>
      <c r="T958" s="37" t="str">
        <f t="shared" si="159"/>
        <v>2007EF3</v>
      </c>
      <c r="U958" s="429">
        <v>1000</v>
      </c>
      <c r="V958" s="1029">
        <v>5</v>
      </c>
      <c r="W958" s="598">
        <v>5</v>
      </c>
      <c r="X958" s="429"/>
      <c r="Y958" s="37" t="str">
        <f t="shared" si="160"/>
        <v>EF31000</v>
      </c>
      <c r="Z958" s="37" t="str">
        <f t="shared" si="161"/>
        <v>EF35</v>
      </c>
      <c r="AA958" s="37" t="str">
        <f t="shared" si="163"/>
        <v>EF35</v>
      </c>
      <c r="AB958" s="498" t="str">
        <f t="shared" si="157"/>
        <v>EF319</v>
      </c>
      <c r="AC958" s="572"/>
      <c r="AD958" s="572"/>
      <c r="AE958" s="572"/>
      <c r="AF958" s="572"/>
    </row>
    <row r="959" spans="1:32">
      <c r="A959" s="947">
        <f t="shared" si="164"/>
        <v>952</v>
      </c>
      <c r="B959" s="948">
        <v>20</v>
      </c>
      <c r="C959" s="949">
        <v>39169</v>
      </c>
      <c r="D959" s="949" t="s">
        <v>175</v>
      </c>
      <c r="E959" s="904">
        <v>28</v>
      </c>
      <c r="F959" s="644">
        <v>2007</v>
      </c>
      <c r="G959" s="948" t="s">
        <v>138</v>
      </c>
      <c r="H959" s="645" t="s">
        <v>192</v>
      </c>
      <c r="I959" s="951">
        <v>1408</v>
      </c>
      <c r="J959" s="951">
        <v>7.77</v>
      </c>
      <c r="K959" s="952">
        <f t="shared" si="162"/>
        <v>6.2160000000000002</v>
      </c>
      <c r="L959" s="644">
        <f t="shared" si="165"/>
        <v>20</v>
      </c>
      <c r="M959" s="935">
        <v>0.85416666666666663</v>
      </c>
      <c r="N959" s="936">
        <f t="shared" si="155"/>
        <v>0.85416666666666663</v>
      </c>
      <c r="O959" s="725">
        <v>0.87152777777777779</v>
      </c>
      <c r="P959" s="725">
        <f t="shared" si="158"/>
        <v>1.736111111111116E-2</v>
      </c>
      <c r="Q959" s="641" t="s">
        <v>376</v>
      </c>
      <c r="R959" s="36"/>
      <c r="S959" s="37" t="str">
        <f t="shared" si="156"/>
        <v>HemphillEF3</v>
      </c>
      <c r="T959" s="37" t="str">
        <f t="shared" si="159"/>
        <v>2007EF3</v>
      </c>
      <c r="U959" s="429">
        <v>1000</v>
      </c>
      <c r="V959" s="1029">
        <v>5</v>
      </c>
      <c r="W959" s="598">
        <v>5</v>
      </c>
      <c r="X959" s="429"/>
      <c r="Y959" s="37" t="str">
        <f t="shared" si="160"/>
        <v>EF31000</v>
      </c>
      <c r="Z959" s="37" t="str">
        <f t="shared" si="161"/>
        <v>EF35</v>
      </c>
      <c r="AA959" s="37" t="str">
        <f t="shared" si="163"/>
        <v>EF35</v>
      </c>
      <c r="AB959" s="498" t="str">
        <f t="shared" si="157"/>
        <v>EF320</v>
      </c>
      <c r="AC959" s="572"/>
      <c r="AD959" s="572"/>
      <c r="AE959" s="572"/>
      <c r="AF959" s="572"/>
    </row>
    <row r="960" spans="1:32" ht="69.95" customHeight="1">
      <c r="A960" s="947">
        <f t="shared" si="164"/>
        <v>953</v>
      </c>
      <c r="B960" s="948">
        <v>21</v>
      </c>
      <c r="C960" s="949">
        <v>39193</v>
      </c>
      <c r="D960" s="949" t="s">
        <v>176</v>
      </c>
      <c r="E960" s="904">
        <v>21</v>
      </c>
      <c r="F960" s="644">
        <v>2007</v>
      </c>
      <c r="G960" s="948" t="s">
        <v>139</v>
      </c>
      <c r="H960" s="645" t="s">
        <v>191</v>
      </c>
      <c r="I960" s="951">
        <v>880</v>
      </c>
      <c r="J960" s="951">
        <v>3.57</v>
      </c>
      <c r="K960" s="952">
        <f t="shared" si="162"/>
        <v>1.7849999999999999</v>
      </c>
      <c r="L960" s="644">
        <f t="shared" si="165"/>
        <v>17</v>
      </c>
      <c r="M960" s="935">
        <v>0.74375000000000002</v>
      </c>
      <c r="N960" s="936">
        <f t="shared" si="155"/>
        <v>0.74375000000000002</v>
      </c>
      <c r="O960" s="725">
        <v>0.74930555555555556</v>
      </c>
      <c r="P960" s="725">
        <f t="shared" si="158"/>
        <v>5.5555555555555358E-3</v>
      </c>
      <c r="Q960" s="622" t="s">
        <v>773</v>
      </c>
      <c r="R960" s="36"/>
      <c r="S960" s="37" t="str">
        <f t="shared" si="156"/>
        <v>OldhamEF1</v>
      </c>
      <c r="T960" s="37" t="str">
        <f t="shared" si="159"/>
        <v>2007EF1</v>
      </c>
      <c r="U960" s="429">
        <v>500</v>
      </c>
      <c r="V960" s="1029">
        <v>2</v>
      </c>
      <c r="W960" s="598">
        <v>1</v>
      </c>
      <c r="X960" s="429"/>
      <c r="Y960" s="37" t="str">
        <f t="shared" si="160"/>
        <v>EF1500</v>
      </c>
      <c r="Z960" s="37" t="str">
        <f t="shared" si="161"/>
        <v>EF12</v>
      </c>
      <c r="AA960" s="37" t="str">
        <f t="shared" si="163"/>
        <v>EF11</v>
      </c>
      <c r="AB960" s="498" t="str">
        <f t="shared" si="157"/>
        <v>EF117</v>
      </c>
      <c r="AC960" s="572"/>
      <c r="AD960" s="572"/>
      <c r="AE960" s="572"/>
      <c r="AF960" s="572"/>
    </row>
    <row r="961" spans="1:32" ht="25.5">
      <c r="A961" s="947">
        <f t="shared" si="164"/>
        <v>954</v>
      </c>
      <c r="B961" s="948">
        <v>22</v>
      </c>
      <c r="C961" s="949">
        <v>39193</v>
      </c>
      <c r="D961" s="949" t="s">
        <v>176</v>
      </c>
      <c r="E961" s="904">
        <v>21</v>
      </c>
      <c r="F961" s="644">
        <v>2007</v>
      </c>
      <c r="G961" s="948" t="s">
        <v>134</v>
      </c>
      <c r="H961" s="645" t="s">
        <v>191</v>
      </c>
      <c r="I961" s="951">
        <v>880</v>
      </c>
      <c r="J961" s="951">
        <v>13.56</v>
      </c>
      <c r="K961" s="952">
        <f t="shared" si="162"/>
        <v>6.78</v>
      </c>
      <c r="L961" s="644">
        <f t="shared" si="165"/>
        <v>17</v>
      </c>
      <c r="M961" s="935">
        <v>0.74930555555555556</v>
      </c>
      <c r="N961" s="936">
        <f t="shared" si="155"/>
        <v>0.74930555555555556</v>
      </c>
      <c r="O961" s="725">
        <v>0.76875000000000004</v>
      </c>
      <c r="P961" s="725">
        <f t="shared" si="158"/>
        <v>1.9444444444444486E-2</v>
      </c>
      <c r="Q961" s="622" t="s">
        <v>774</v>
      </c>
      <c r="R961" s="36"/>
      <c r="S961" s="37" t="str">
        <f t="shared" si="156"/>
        <v>HartleyEF1</v>
      </c>
      <c r="T961" s="37" t="str">
        <f t="shared" si="159"/>
        <v>2007EF1</v>
      </c>
      <c r="U961" s="429">
        <v>500</v>
      </c>
      <c r="V961" s="1029">
        <v>10</v>
      </c>
      <c r="W961" s="598">
        <v>5</v>
      </c>
      <c r="X961" s="429"/>
      <c r="Y961" s="37" t="str">
        <f t="shared" si="160"/>
        <v>EF1500</v>
      </c>
      <c r="Z961" s="37" t="str">
        <f t="shared" si="161"/>
        <v>EF110</v>
      </c>
      <c r="AA961" s="37" t="str">
        <f t="shared" si="163"/>
        <v>EF15</v>
      </c>
      <c r="AB961" s="498" t="str">
        <f t="shared" si="157"/>
        <v>EF117</v>
      </c>
      <c r="AC961" s="572"/>
      <c r="AD961" s="572"/>
      <c r="AE961" s="572"/>
      <c r="AF961" s="572"/>
    </row>
    <row r="962" spans="1:32" ht="25.5">
      <c r="A962" s="947">
        <f t="shared" si="164"/>
        <v>955</v>
      </c>
      <c r="B962" s="948">
        <v>23</v>
      </c>
      <c r="C962" s="949">
        <v>39193</v>
      </c>
      <c r="D962" s="949" t="s">
        <v>176</v>
      </c>
      <c r="E962" s="904">
        <v>21</v>
      </c>
      <c r="F962" s="644">
        <v>2007</v>
      </c>
      <c r="G962" s="948" t="s">
        <v>135</v>
      </c>
      <c r="H962" s="645" t="s">
        <v>189</v>
      </c>
      <c r="I962" s="951">
        <v>1320</v>
      </c>
      <c r="J962" s="951">
        <v>19.670000000000002</v>
      </c>
      <c r="K962" s="952">
        <f t="shared" si="162"/>
        <v>14.752500000000001</v>
      </c>
      <c r="L962" s="644">
        <f t="shared" si="165"/>
        <v>18</v>
      </c>
      <c r="M962" s="935">
        <v>0.76111111111111107</v>
      </c>
      <c r="N962" s="936">
        <f t="shared" si="155"/>
        <v>0.76111111111111107</v>
      </c>
      <c r="O962" s="725">
        <v>0.77777777777777779</v>
      </c>
      <c r="P962" s="725">
        <f t="shared" si="158"/>
        <v>1.6666666666666718E-2</v>
      </c>
      <c r="Q962" s="622" t="s">
        <v>775</v>
      </c>
      <c r="R962" s="36"/>
      <c r="S962" s="37" t="str">
        <f t="shared" si="156"/>
        <v>MooreEF2</v>
      </c>
      <c r="T962" s="37" t="str">
        <f t="shared" si="159"/>
        <v>2007EF2</v>
      </c>
      <c r="U962" s="429">
        <v>1000</v>
      </c>
      <c r="V962" s="1029">
        <v>10</v>
      </c>
      <c r="W962" s="598">
        <v>10</v>
      </c>
      <c r="X962" s="429"/>
      <c r="Y962" s="37" t="str">
        <f t="shared" si="160"/>
        <v>EF21000</v>
      </c>
      <c r="Z962" s="37" t="str">
        <f t="shared" si="161"/>
        <v>EF210</v>
      </c>
      <c r="AA962" s="37" t="str">
        <f t="shared" si="163"/>
        <v>EF210</v>
      </c>
      <c r="AB962" s="498" t="str">
        <f t="shared" si="157"/>
        <v>EF218</v>
      </c>
      <c r="AC962" s="572"/>
      <c r="AD962" s="572"/>
      <c r="AE962" s="572"/>
      <c r="AF962" s="572"/>
    </row>
    <row r="963" spans="1:32" ht="25.5">
      <c r="A963" s="947">
        <f t="shared" si="164"/>
        <v>956</v>
      </c>
      <c r="B963" s="948">
        <v>24</v>
      </c>
      <c r="C963" s="949">
        <v>39193</v>
      </c>
      <c r="D963" s="949" t="s">
        <v>176</v>
      </c>
      <c r="E963" s="904">
        <v>21</v>
      </c>
      <c r="F963" s="644">
        <v>2007</v>
      </c>
      <c r="G963" s="948" t="s">
        <v>130</v>
      </c>
      <c r="H963" s="645" t="s">
        <v>189</v>
      </c>
      <c r="I963" s="951">
        <v>1320</v>
      </c>
      <c r="J963" s="951">
        <v>7.05</v>
      </c>
      <c r="K963" s="952">
        <f t="shared" si="162"/>
        <v>5.2874999999999996</v>
      </c>
      <c r="L963" s="644">
        <f t="shared" si="165"/>
        <v>18</v>
      </c>
      <c r="M963" s="935">
        <v>0.77777777777777779</v>
      </c>
      <c r="N963" s="936">
        <f t="shared" si="155"/>
        <v>0.77777777777777779</v>
      </c>
      <c r="O963" s="725">
        <v>0.78611111111111109</v>
      </c>
      <c r="P963" s="725">
        <f t="shared" si="158"/>
        <v>8.3333333333333037E-3</v>
      </c>
      <c r="Q963" s="622" t="s">
        <v>776</v>
      </c>
      <c r="R963" s="36"/>
      <c r="S963" s="37" t="str">
        <f t="shared" si="156"/>
        <v>ShermanEF2</v>
      </c>
      <c r="T963" s="37" t="str">
        <f t="shared" si="159"/>
        <v>2007EF2</v>
      </c>
      <c r="U963" s="429">
        <v>1000</v>
      </c>
      <c r="V963" s="1029">
        <v>5</v>
      </c>
      <c r="W963" s="598">
        <v>5</v>
      </c>
      <c r="X963" s="429"/>
      <c r="Y963" s="37" t="str">
        <f t="shared" si="160"/>
        <v>EF21000</v>
      </c>
      <c r="Z963" s="37" t="str">
        <f t="shared" si="161"/>
        <v>EF25</v>
      </c>
      <c r="AA963" s="37" t="str">
        <f t="shared" si="163"/>
        <v>EF25</v>
      </c>
      <c r="AB963" s="498" t="str">
        <f t="shared" si="157"/>
        <v>EF218</v>
      </c>
      <c r="AC963" s="572"/>
      <c r="AD963" s="572"/>
      <c r="AE963" s="572"/>
      <c r="AF963" s="572"/>
    </row>
    <row r="964" spans="1:32">
      <c r="A964" s="947">
        <f t="shared" si="164"/>
        <v>957</v>
      </c>
      <c r="B964" s="948">
        <v>25</v>
      </c>
      <c r="C964" s="949">
        <v>39193</v>
      </c>
      <c r="D964" s="949" t="s">
        <v>176</v>
      </c>
      <c r="E964" s="904">
        <v>21</v>
      </c>
      <c r="F964" s="644">
        <v>2007</v>
      </c>
      <c r="G964" s="948" t="s">
        <v>135</v>
      </c>
      <c r="H964" s="645" t="s">
        <v>189</v>
      </c>
      <c r="I964" s="951">
        <v>704</v>
      </c>
      <c r="J964" s="951">
        <v>11.93</v>
      </c>
      <c r="K964" s="952">
        <f t="shared" si="162"/>
        <v>4.7720000000000002</v>
      </c>
      <c r="L964" s="644">
        <f t="shared" si="165"/>
        <v>18</v>
      </c>
      <c r="M964" s="935">
        <v>0.78472222222222221</v>
      </c>
      <c r="N964" s="936">
        <f t="shared" si="155"/>
        <v>0.78472222222222221</v>
      </c>
      <c r="O964" s="725">
        <v>0.80208333333333337</v>
      </c>
      <c r="P964" s="725">
        <f t="shared" si="158"/>
        <v>1.736111111111116E-2</v>
      </c>
      <c r="Q964" s="622" t="s">
        <v>398</v>
      </c>
      <c r="R964" s="36"/>
      <c r="S964" s="37" t="str">
        <f t="shared" si="156"/>
        <v>MooreEF2</v>
      </c>
      <c r="T964" s="37" t="str">
        <f t="shared" si="159"/>
        <v>2007EF2</v>
      </c>
      <c r="U964" s="429">
        <v>500</v>
      </c>
      <c r="V964" s="1029">
        <v>10</v>
      </c>
      <c r="W964" s="598">
        <v>2</v>
      </c>
      <c r="X964" s="429"/>
      <c r="Y964" s="37" t="str">
        <f t="shared" si="160"/>
        <v>EF2500</v>
      </c>
      <c r="Z964" s="37" t="str">
        <f t="shared" si="161"/>
        <v>EF210</v>
      </c>
      <c r="AA964" s="37" t="str">
        <f t="shared" si="163"/>
        <v>EF22</v>
      </c>
      <c r="AB964" s="498" t="str">
        <f t="shared" si="157"/>
        <v>EF218</v>
      </c>
      <c r="AC964" s="572"/>
      <c r="AD964" s="572"/>
      <c r="AE964" s="572"/>
      <c r="AF964" s="572"/>
    </row>
    <row r="965" spans="1:32">
      <c r="A965" s="947">
        <f t="shared" si="164"/>
        <v>958</v>
      </c>
      <c r="B965" s="948">
        <v>26</v>
      </c>
      <c r="C965" s="949">
        <v>39193</v>
      </c>
      <c r="D965" s="949" t="s">
        <v>176</v>
      </c>
      <c r="E965" s="904">
        <v>21</v>
      </c>
      <c r="F965" s="644">
        <v>2007</v>
      </c>
      <c r="G965" s="948" t="s">
        <v>135</v>
      </c>
      <c r="H965" s="645" t="s">
        <v>190</v>
      </c>
      <c r="I965" s="951">
        <v>50</v>
      </c>
      <c r="J965" s="951">
        <v>1</v>
      </c>
      <c r="K965" s="952">
        <f t="shared" si="162"/>
        <v>2.8409090909090908E-2</v>
      </c>
      <c r="L965" s="644">
        <f t="shared" si="165"/>
        <v>19</v>
      </c>
      <c r="M965" s="935">
        <v>0.79583333333333339</v>
      </c>
      <c r="N965" s="936">
        <f t="shared" si="155"/>
        <v>0.79583333333333339</v>
      </c>
      <c r="O965" s="725">
        <v>0.79722222222222217</v>
      </c>
      <c r="P965" s="725">
        <f t="shared" si="158"/>
        <v>1.3888888888887729E-3</v>
      </c>
      <c r="Q965" s="622" t="s">
        <v>399</v>
      </c>
      <c r="R965" s="36"/>
      <c r="S965" s="37" t="str">
        <f t="shared" si="156"/>
        <v>MooreEF0</v>
      </c>
      <c r="T965" s="37" t="str">
        <f t="shared" si="159"/>
        <v>2007EF0</v>
      </c>
      <c r="U965" s="429">
        <v>50</v>
      </c>
      <c r="V965" s="1029">
        <v>1</v>
      </c>
      <c r="W965" s="598">
        <v>0.02</v>
      </c>
      <c r="X965" s="429"/>
      <c r="Y965" s="37" t="str">
        <f t="shared" si="160"/>
        <v>EF050</v>
      </c>
      <c r="Z965" s="37" t="str">
        <f t="shared" si="161"/>
        <v>EF01</v>
      </c>
      <c r="AA965" s="37" t="str">
        <f t="shared" si="163"/>
        <v>EF00.02</v>
      </c>
      <c r="AB965" s="498" t="str">
        <f t="shared" si="157"/>
        <v>EF019</v>
      </c>
      <c r="AC965" s="572"/>
      <c r="AD965" s="572"/>
      <c r="AE965" s="572"/>
      <c r="AF965" s="572"/>
    </row>
    <row r="966" spans="1:32">
      <c r="A966" s="947">
        <f t="shared" si="164"/>
        <v>959</v>
      </c>
      <c r="B966" s="948">
        <v>27</v>
      </c>
      <c r="C966" s="949">
        <v>39193</v>
      </c>
      <c r="D966" s="949" t="s">
        <v>176</v>
      </c>
      <c r="E966" s="904">
        <v>21</v>
      </c>
      <c r="F966" s="644">
        <v>2007</v>
      </c>
      <c r="G966" s="948" t="s">
        <v>135</v>
      </c>
      <c r="H966" s="645" t="s">
        <v>190</v>
      </c>
      <c r="I966" s="951">
        <v>100</v>
      </c>
      <c r="J966" s="951">
        <v>1.53</v>
      </c>
      <c r="K966" s="952">
        <f t="shared" si="162"/>
        <v>8.693181818181818E-2</v>
      </c>
      <c r="L966" s="644">
        <f t="shared" si="165"/>
        <v>19</v>
      </c>
      <c r="M966" s="935">
        <v>0.80486111111111114</v>
      </c>
      <c r="N966" s="936">
        <f t="shared" si="155"/>
        <v>0.80486111111111114</v>
      </c>
      <c r="O966" s="725">
        <v>0.80763888888888891</v>
      </c>
      <c r="P966" s="725">
        <f t="shared" si="158"/>
        <v>2.7777777777777679E-3</v>
      </c>
      <c r="Q966" s="622" t="s">
        <v>400</v>
      </c>
      <c r="R966" s="36"/>
      <c r="S966" s="37" t="str">
        <f t="shared" si="156"/>
        <v>MooreEF0</v>
      </c>
      <c r="T966" s="37" t="str">
        <f t="shared" si="159"/>
        <v>2007EF0</v>
      </c>
      <c r="U966" s="429">
        <v>100</v>
      </c>
      <c r="V966" s="1029">
        <v>1</v>
      </c>
      <c r="W966" s="598">
        <v>0.05</v>
      </c>
      <c r="X966" s="429"/>
      <c r="Y966" s="37" t="str">
        <f t="shared" si="160"/>
        <v>EF0100</v>
      </c>
      <c r="Z966" s="37" t="str">
        <f t="shared" si="161"/>
        <v>EF01</v>
      </c>
      <c r="AA966" s="37" t="str">
        <f t="shared" si="163"/>
        <v>EF00.05</v>
      </c>
      <c r="AB966" s="498" t="str">
        <f t="shared" si="157"/>
        <v>EF019</v>
      </c>
      <c r="AC966" s="572"/>
      <c r="AD966" s="572"/>
      <c r="AE966" s="572"/>
      <c r="AF966" s="572"/>
    </row>
    <row r="967" spans="1:32" ht="25.5">
      <c r="A967" s="947">
        <f t="shared" si="164"/>
        <v>960</v>
      </c>
      <c r="B967" s="948">
        <v>28</v>
      </c>
      <c r="C967" s="949">
        <v>39193</v>
      </c>
      <c r="D967" s="949" t="s">
        <v>176</v>
      </c>
      <c r="E967" s="904">
        <v>21</v>
      </c>
      <c r="F967" s="644">
        <v>2007</v>
      </c>
      <c r="G967" s="948" t="s">
        <v>135</v>
      </c>
      <c r="H967" s="645" t="s">
        <v>191</v>
      </c>
      <c r="I967" s="951">
        <v>1320</v>
      </c>
      <c r="J967" s="951">
        <v>2.0099999999999998</v>
      </c>
      <c r="K967" s="952">
        <f t="shared" si="162"/>
        <v>1.5074999999999998</v>
      </c>
      <c r="L967" s="644">
        <f t="shared" si="165"/>
        <v>19</v>
      </c>
      <c r="M967" s="935">
        <v>0.81666666666666676</v>
      </c>
      <c r="N967" s="936">
        <f t="shared" ref="N967:N1036" si="166">+M967</f>
        <v>0.81666666666666676</v>
      </c>
      <c r="O967" s="725">
        <v>0.81874999999999998</v>
      </c>
      <c r="P967" s="725">
        <f t="shared" si="158"/>
        <v>2.0833333333332149E-3</v>
      </c>
      <c r="Q967" s="622" t="s">
        <v>777</v>
      </c>
      <c r="R967" s="36"/>
      <c r="S967" s="37" t="str">
        <f t="shared" ref="S967:S1016" si="167">CONCATENATE(G967,H967)</f>
        <v>MooreEF1</v>
      </c>
      <c r="T967" s="37" t="str">
        <f t="shared" si="159"/>
        <v>2007EF1</v>
      </c>
      <c r="U967" s="429">
        <v>1000</v>
      </c>
      <c r="V967" s="1029">
        <v>2</v>
      </c>
      <c r="W967" s="598">
        <v>1</v>
      </c>
      <c r="X967" s="429"/>
      <c r="Y967" s="37" t="str">
        <f t="shared" si="160"/>
        <v>EF11000</v>
      </c>
      <c r="Z967" s="37" t="str">
        <f t="shared" si="161"/>
        <v>EF12</v>
      </c>
      <c r="AA967" s="37" t="str">
        <f t="shared" si="163"/>
        <v>EF11</v>
      </c>
      <c r="AB967" s="498" t="str">
        <f t="shared" ref="AB967:AB1030" si="168">CONCATENATE(H967,L967)</f>
        <v>EF119</v>
      </c>
      <c r="AC967" s="572"/>
      <c r="AD967" s="572"/>
      <c r="AE967" s="572"/>
      <c r="AF967" s="572"/>
    </row>
    <row r="968" spans="1:32" ht="25.5">
      <c r="A968" s="947">
        <f t="shared" si="164"/>
        <v>961</v>
      </c>
      <c r="B968" s="948">
        <v>29</v>
      </c>
      <c r="C968" s="949">
        <v>39193</v>
      </c>
      <c r="D968" s="949" t="s">
        <v>176</v>
      </c>
      <c r="E968" s="904">
        <v>21</v>
      </c>
      <c r="F968" s="644">
        <v>2007</v>
      </c>
      <c r="G968" s="948" t="s">
        <v>130</v>
      </c>
      <c r="H968" s="645" t="s">
        <v>191</v>
      </c>
      <c r="I968" s="951">
        <v>1320</v>
      </c>
      <c r="J968" s="951">
        <v>7.3</v>
      </c>
      <c r="K968" s="952">
        <f t="shared" si="162"/>
        <v>5.4749999999999996</v>
      </c>
      <c r="L968" s="644">
        <f t="shared" si="165"/>
        <v>19</v>
      </c>
      <c r="M968" s="935">
        <v>0.81874999999999998</v>
      </c>
      <c r="N968" s="936">
        <f t="shared" si="166"/>
        <v>0.81874999999999998</v>
      </c>
      <c r="O968" s="725">
        <v>0.82638888888888884</v>
      </c>
      <c r="P968" s="725">
        <f t="shared" ref="P968:P1031" si="169">+O968-N968</f>
        <v>7.6388888888888618E-3</v>
      </c>
      <c r="Q968" s="622" t="s">
        <v>778</v>
      </c>
      <c r="R968" s="36"/>
      <c r="S968" s="37" t="str">
        <f t="shared" si="167"/>
        <v>ShermanEF1</v>
      </c>
      <c r="T968" s="37" t="str">
        <f t="shared" ref="T968:T1031" si="170">CONCATENATE(F968,H968)</f>
        <v>2007EF1</v>
      </c>
      <c r="U968" s="429">
        <v>1000</v>
      </c>
      <c r="V968" s="1029">
        <v>5</v>
      </c>
      <c r="W968" s="598">
        <v>5</v>
      </c>
      <c r="X968" s="429"/>
      <c r="Y968" s="37" t="str">
        <f t="shared" ref="Y968:Y1031" si="171">CONCATENATE(H968,U968)</f>
        <v>EF11000</v>
      </c>
      <c r="Z968" s="37" t="str">
        <f t="shared" ref="Z968:Z1031" si="172">CONCATENATE(H968,V968)</f>
        <v>EF15</v>
      </c>
      <c r="AA968" s="37" t="str">
        <f t="shared" si="163"/>
        <v>EF15</v>
      </c>
      <c r="AB968" s="498" t="str">
        <f t="shared" si="168"/>
        <v>EF119</v>
      </c>
      <c r="AC968" s="572"/>
      <c r="AD968" s="572"/>
      <c r="AE968" s="572"/>
      <c r="AF968" s="572"/>
    </row>
    <row r="969" spans="1:32">
      <c r="A969" s="947">
        <f t="shared" si="164"/>
        <v>962</v>
      </c>
      <c r="B969" s="948">
        <v>30</v>
      </c>
      <c r="C969" s="949">
        <v>39193</v>
      </c>
      <c r="D969" s="949" t="s">
        <v>176</v>
      </c>
      <c r="E969" s="904">
        <v>21</v>
      </c>
      <c r="F969" s="644">
        <v>2007</v>
      </c>
      <c r="G969" s="948" t="s">
        <v>146</v>
      </c>
      <c r="H969" s="645" t="s">
        <v>191</v>
      </c>
      <c r="I969" s="951">
        <v>440</v>
      </c>
      <c r="J969" s="951">
        <v>3.33</v>
      </c>
      <c r="K969" s="952">
        <f t="shared" ref="K969:K1032" si="173">+(I969/1760)*J969</f>
        <v>0.83250000000000002</v>
      </c>
      <c r="L969" s="644">
        <f t="shared" si="165"/>
        <v>19</v>
      </c>
      <c r="M969" s="935">
        <v>0.82291666666666663</v>
      </c>
      <c r="N969" s="936">
        <f t="shared" si="166"/>
        <v>0.82291666666666663</v>
      </c>
      <c r="O969" s="725">
        <v>0.82986111111111116</v>
      </c>
      <c r="P969" s="725">
        <f t="shared" si="169"/>
        <v>6.9444444444445308E-3</v>
      </c>
      <c r="Q969" s="622" t="s">
        <v>284</v>
      </c>
      <c r="R969" s="36"/>
      <c r="S969" s="37" t="str">
        <f t="shared" si="167"/>
        <v>ArmstrongEF1</v>
      </c>
      <c r="T969" s="37" t="str">
        <f t="shared" si="170"/>
        <v>2007EF1</v>
      </c>
      <c r="U969" s="429">
        <v>200</v>
      </c>
      <c r="V969" s="1029">
        <v>2</v>
      </c>
      <c r="W969" s="598">
        <v>0.5</v>
      </c>
      <c r="X969" s="429"/>
      <c r="Y969" s="37" t="str">
        <f t="shared" si="171"/>
        <v>EF1200</v>
      </c>
      <c r="Z969" s="37" t="str">
        <f t="shared" si="172"/>
        <v>EF12</v>
      </c>
      <c r="AA969" s="37" t="str">
        <f t="shared" ref="AA969:AA1032" si="174">CONCATENATE(H969,W969)</f>
        <v>EF10.5</v>
      </c>
      <c r="AB969" s="498" t="str">
        <f t="shared" si="168"/>
        <v>EF119</v>
      </c>
      <c r="AC969" s="572"/>
      <c r="AD969" s="572"/>
      <c r="AE969" s="572"/>
      <c r="AF969" s="572"/>
    </row>
    <row r="970" spans="1:32">
      <c r="A970" s="947">
        <f t="shared" ref="A970:A1033" si="175">+A969+1</f>
        <v>963</v>
      </c>
      <c r="B970" s="948">
        <v>31</v>
      </c>
      <c r="C970" s="949">
        <v>39193</v>
      </c>
      <c r="D970" s="949" t="s">
        <v>176</v>
      </c>
      <c r="E970" s="904">
        <v>21</v>
      </c>
      <c r="F970" s="644">
        <v>2007</v>
      </c>
      <c r="G970" s="948" t="s">
        <v>135</v>
      </c>
      <c r="H970" s="645" t="s">
        <v>191</v>
      </c>
      <c r="I970" s="951">
        <v>440</v>
      </c>
      <c r="J970" s="951">
        <v>12.23</v>
      </c>
      <c r="K970" s="952">
        <f t="shared" si="173"/>
        <v>3.0575000000000001</v>
      </c>
      <c r="L970" s="644">
        <f t="shared" si="165"/>
        <v>19</v>
      </c>
      <c r="M970" s="935">
        <v>0.82291666666666663</v>
      </c>
      <c r="N970" s="936">
        <f t="shared" si="166"/>
        <v>0.82291666666666663</v>
      </c>
      <c r="O970" s="725">
        <v>0.83333333333333337</v>
      </c>
      <c r="P970" s="725">
        <f t="shared" si="169"/>
        <v>1.0416666666666741E-2</v>
      </c>
      <c r="Q970" s="622" t="s">
        <v>401</v>
      </c>
      <c r="R970" s="36"/>
      <c r="S970" s="37" t="str">
        <f t="shared" si="167"/>
        <v>MooreEF1</v>
      </c>
      <c r="T970" s="37" t="str">
        <f t="shared" si="170"/>
        <v>2007EF1</v>
      </c>
      <c r="U970" s="429">
        <v>200</v>
      </c>
      <c r="V970" s="1029">
        <v>10</v>
      </c>
      <c r="W970" s="598">
        <v>2</v>
      </c>
      <c r="X970" s="429"/>
      <c r="Y970" s="37" t="str">
        <f t="shared" si="171"/>
        <v>EF1200</v>
      </c>
      <c r="Z970" s="37" t="str">
        <f t="shared" si="172"/>
        <v>EF110</v>
      </c>
      <c r="AA970" s="37" t="str">
        <f t="shared" si="174"/>
        <v>EF12</v>
      </c>
      <c r="AB970" s="498" t="str">
        <f t="shared" si="168"/>
        <v>EF119</v>
      </c>
      <c r="AC970" s="572"/>
      <c r="AD970" s="572"/>
      <c r="AE970" s="572"/>
      <c r="AF970" s="572"/>
    </row>
    <row r="971" spans="1:32">
      <c r="A971" s="947">
        <f t="shared" si="175"/>
        <v>964</v>
      </c>
      <c r="B971" s="948">
        <v>32</v>
      </c>
      <c r="C971" s="949">
        <v>39193</v>
      </c>
      <c r="D971" s="949" t="s">
        <v>176</v>
      </c>
      <c r="E971" s="904">
        <v>21</v>
      </c>
      <c r="F971" s="644">
        <v>2007</v>
      </c>
      <c r="G971" s="948" t="s">
        <v>130</v>
      </c>
      <c r="H971" s="645" t="s">
        <v>190</v>
      </c>
      <c r="I971" s="951">
        <v>700</v>
      </c>
      <c r="J971" s="951">
        <v>7.97</v>
      </c>
      <c r="K971" s="952">
        <f t="shared" si="173"/>
        <v>3.1698863636363632</v>
      </c>
      <c r="L971" s="644">
        <f t="shared" si="165"/>
        <v>19</v>
      </c>
      <c r="M971" s="935">
        <v>0.83194444444444438</v>
      </c>
      <c r="N971" s="936">
        <f t="shared" si="166"/>
        <v>0.83194444444444438</v>
      </c>
      <c r="O971" s="725">
        <v>0.84166666666666667</v>
      </c>
      <c r="P971" s="725">
        <f t="shared" si="169"/>
        <v>9.7222222222222987E-3</v>
      </c>
      <c r="Q971" s="622" t="s">
        <v>444</v>
      </c>
      <c r="R971" s="36"/>
      <c r="S971" s="37" t="str">
        <f t="shared" si="167"/>
        <v>ShermanEF0</v>
      </c>
      <c r="T971" s="37" t="str">
        <f t="shared" si="170"/>
        <v>2007EF0</v>
      </c>
      <c r="U971" s="429">
        <v>500</v>
      </c>
      <c r="V971" s="1029">
        <v>5</v>
      </c>
      <c r="W971" s="598">
        <v>2</v>
      </c>
      <c r="X971" s="429"/>
      <c r="Y971" s="37" t="str">
        <f t="shared" si="171"/>
        <v>EF0500</v>
      </c>
      <c r="Z971" s="37" t="str">
        <f t="shared" si="172"/>
        <v>EF05</v>
      </c>
      <c r="AA971" s="37" t="str">
        <f t="shared" si="174"/>
        <v>EF02</v>
      </c>
      <c r="AB971" s="498" t="str">
        <f t="shared" si="168"/>
        <v>EF019</v>
      </c>
      <c r="AC971" s="572"/>
      <c r="AD971" s="572"/>
      <c r="AE971" s="572"/>
      <c r="AF971" s="572"/>
    </row>
    <row r="972" spans="1:32">
      <c r="A972" s="947">
        <f t="shared" si="175"/>
        <v>965</v>
      </c>
      <c r="B972" s="948">
        <v>33</v>
      </c>
      <c r="C972" s="949">
        <v>39193</v>
      </c>
      <c r="D972" s="949" t="s">
        <v>176</v>
      </c>
      <c r="E972" s="904">
        <v>21</v>
      </c>
      <c r="F972" s="644">
        <v>2007</v>
      </c>
      <c r="G972" s="948" t="s">
        <v>135</v>
      </c>
      <c r="H972" s="645" t="s">
        <v>191</v>
      </c>
      <c r="I972" s="951">
        <v>704</v>
      </c>
      <c r="J972" s="951">
        <v>2</v>
      </c>
      <c r="K972" s="952">
        <f t="shared" si="173"/>
        <v>0.8</v>
      </c>
      <c r="L972" s="644">
        <f t="shared" si="165"/>
        <v>19</v>
      </c>
      <c r="M972" s="935">
        <v>0.83263888888888893</v>
      </c>
      <c r="N972" s="936">
        <f t="shared" si="166"/>
        <v>0.83263888888888893</v>
      </c>
      <c r="O972" s="725">
        <v>0.83472222222222225</v>
      </c>
      <c r="P972" s="725">
        <f t="shared" si="169"/>
        <v>2.0833333333333259E-3</v>
      </c>
      <c r="Q972" s="622" t="s">
        <v>402</v>
      </c>
      <c r="R972" s="36"/>
      <c r="S972" s="37" t="str">
        <f t="shared" si="167"/>
        <v>MooreEF1</v>
      </c>
      <c r="T972" s="37" t="str">
        <f t="shared" si="170"/>
        <v>2007EF1</v>
      </c>
      <c r="U972" s="429">
        <v>500</v>
      </c>
      <c r="V972" s="1029">
        <v>2</v>
      </c>
      <c r="W972" s="598">
        <v>0.5</v>
      </c>
      <c r="X972" s="429"/>
      <c r="Y972" s="37" t="str">
        <f t="shared" si="171"/>
        <v>EF1500</v>
      </c>
      <c r="Z972" s="37" t="str">
        <f t="shared" si="172"/>
        <v>EF12</v>
      </c>
      <c r="AA972" s="37" t="str">
        <f t="shared" si="174"/>
        <v>EF10.5</v>
      </c>
      <c r="AB972" s="498" t="str">
        <f t="shared" si="168"/>
        <v>EF119</v>
      </c>
      <c r="AC972" s="572"/>
      <c r="AD972" s="572"/>
      <c r="AE972" s="572"/>
      <c r="AF972" s="572"/>
    </row>
    <row r="973" spans="1:32">
      <c r="A973" s="947">
        <f t="shared" si="175"/>
        <v>966</v>
      </c>
      <c r="B973" s="948">
        <v>34</v>
      </c>
      <c r="C973" s="949">
        <v>39193</v>
      </c>
      <c r="D973" s="949" t="s">
        <v>176</v>
      </c>
      <c r="E973" s="904">
        <v>21</v>
      </c>
      <c r="F973" s="644">
        <v>2007</v>
      </c>
      <c r="G973" s="948" t="s">
        <v>145</v>
      </c>
      <c r="H973" s="645" t="s">
        <v>191</v>
      </c>
      <c r="I973" s="951">
        <v>880</v>
      </c>
      <c r="J973" s="951">
        <v>10.7</v>
      </c>
      <c r="K973" s="952">
        <f t="shared" si="173"/>
        <v>5.35</v>
      </c>
      <c r="L973" s="644">
        <f t="shared" si="165"/>
        <v>20</v>
      </c>
      <c r="M973" s="935">
        <v>0.83333333333333337</v>
      </c>
      <c r="N973" s="936">
        <f t="shared" si="166"/>
        <v>0.83333333333333337</v>
      </c>
      <c r="O973" s="725">
        <v>0.84375</v>
      </c>
      <c r="P973" s="725">
        <f t="shared" si="169"/>
        <v>1.041666666666663E-2</v>
      </c>
      <c r="Q973" s="622" t="s">
        <v>103</v>
      </c>
      <c r="R973" s="36"/>
      <c r="S973" s="37" t="str">
        <f t="shared" si="167"/>
        <v>RandallEF1</v>
      </c>
      <c r="T973" s="37" t="str">
        <f t="shared" si="170"/>
        <v>2007EF1</v>
      </c>
      <c r="U973" s="429">
        <v>500</v>
      </c>
      <c r="V973" s="1029">
        <v>10</v>
      </c>
      <c r="W973" s="598">
        <v>5</v>
      </c>
      <c r="X973" s="429"/>
      <c r="Y973" s="37" t="str">
        <f t="shared" si="171"/>
        <v>EF1500</v>
      </c>
      <c r="Z973" s="37" t="str">
        <f t="shared" si="172"/>
        <v>EF110</v>
      </c>
      <c r="AA973" s="37" t="str">
        <f t="shared" si="174"/>
        <v>EF15</v>
      </c>
      <c r="AB973" s="498" t="str">
        <f t="shared" si="168"/>
        <v>EF120</v>
      </c>
      <c r="AC973" s="572"/>
      <c r="AD973" s="572"/>
      <c r="AE973" s="572"/>
      <c r="AF973" s="572"/>
    </row>
    <row r="974" spans="1:32" ht="25.5">
      <c r="A974" s="947">
        <f t="shared" si="175"/>
        <v>967</v>
      </c>
      <c r="B974" s="948">
        <v>35</v>
      </c>
      <c r="C974" s="949">
        <v>39193</v>
      </c>
      <c r="D974" s="949" t="s">
        <v>176</v>
      </c>
      <c r="E974" s="904">
        <v>21</v>
      </c>
      <c r="F974" s="644">
        <v>2007</v>
      </c>
      <c r="G974" s="948" t="s">
        <v>146</v>
      </c>
      <c r="H974" s="645" t="s">
        <v>189</v>
      </c>
      <c r="I974" s="951">
        <v>440</v>
      </c>
      <c r="J974" s="951">
        <v>0.5</v>
      </c>
      <c r="K974" s="952">
        <f t="shared" si="173"/>
        <v>0.125</v>
      </c>
      <c r="L974" s="644">
        <f t="shared" si="165"/>
        <v>20</v>
      </c>
      <c r="M974" s="935">
        <v>0.85763888888888884</v>
      </c>
      <c r="N974" s="936">
        <f t="shared" si="166"/>
        <v>0.85763888888888884</v>
      </c>
      <c r="O974" s="725">
        <v>0.85902777777777783</v>
      </c>
      <c r="P974" s="725">
        <f t="shared" si="169"/>
        <v>1.388888888888995E-3</v>
      </c>
      <c r="Q974" s="622" t="s">
        <v>779</v>
      </c>
      <c r="R974" s="36"/>
      <c r="S974" s="37" t="str">
        <f t="shared" si="167"/>
        <v>ArmstrongEF2</v>
      </c>
      <c r="T974" s="37" t="str">
        <f t="shared" si="170"/>
        <v>2007EF2</v>
      </c>
      <c r="U974" s="429">
        <v>200</v>
      </c>
      <c r="V974" s="1029">
        <v>0.5</v>
      </c>
      <c r="W974" s="598">
        <v>0.1</v>
      </c>
      <c r="X974" s="429"/>
      <c r="Y974" s="37" t="str">
        <f t="shared" si="171"/>
        <v>EF2200</v>
      </c>
      <c r="Z974" s="37" t="str">
        <f t="shared" si="172"/>
        <v>EF20.5</v>
      </c>
      <c r="AA974" s="37" t="str">
        <f t="shared" si="174"/>
        <v>EF20.1</v>
      </c>
      <c r="AB974" s="498" t="str">
        <f t="shared" si="168"/>
        <v>EF220</v>
      </c>
      <c r="AC974" s="572"/>
      <c r="AD974" s="572"/>
      <c r="AE974" s="572"/>
      <c r="AF974" s="572"/>
    </row>
    <row r="975" spans="1:32" ht="25.5">
      <c r="A975" s="947">
        <f t="shared" si="175"/>
        <v>968</v>
      </c>
      <c r="B975" s="948">
        <v>36</v>
      </c>
      <c r="C975" s="949">
        <v>39193</v>
      </c>
      <c r="D975" s="949" t="s">
        <v>176</v>
      </c>
      <c r="E975" s="904">
        <v>21</v>
      </c>
      <c r="F975" s="644">
        <v>2007</v>
      </c>
      <c r="G975" s="948" t="s">
        <v>141</v>
      </c>
      <c r="H975" s="645" t="s">
        <v>189</v>
      </c>
      <c r="I975" s="951">
        <v>440</v>
      </c>
      <c r="J975" s="951">
        <v>12.38</v>
      </c>
      <c r="K975" s="952">
        <f t="shared" si="173"/>
        <v>3.0950000000000002</v>
      </c>
      <c r="L975" s="644">
        <f t="shared" si="165"/>
        <v>20</v>
      </c>
      <c r="M975" s="935">
        <v>0.85902777777777783</v>
      </c>
      <c r="N975" s="936">
        <f t="shared" si="166"/>
        <v>0.85902777777777783</v>
      </c>
      <c r="O975" s="725">
        <v>0.88194444444444453</v>
      </c>
      <c r="P975" s="725">
        <f t="shared" si="169"/>
        <v>2.2916666666666696E-2</v>
      </c>
      <c r="Q975" s="622" t="s">
        <v>780</v>
      </c>
      <c r="R975" s="36"/>
      <c r="S975" s="37" t="str">
        <f t="shared" si="167"/>
        <v>CarsonEF2</v>
      </c>
      <c r="T975" s="37" t="str">
        <f t="shared" si="170"/>
        <v>2007EF2</v>
      </c>
      <c r="U975" s="429">
        <v>200</v>
      </c>
      <c r="V975" s="1029">
        <v>10</v>
      </c>
      <c r="W975" s="598">
        <v>2</v>
      </c>
      <c r="X975" s="429"/>
      <c r="Y975" s="37" t="str">
        <f t="shared" si="171"/>
        <v>EF2200</v>
      </c>
      <c r="Z975" s="37" t="str">
        <f t="shared" si="172"/>
        <v>EF210</v>
      </c>
      <c r="AA975" s="37" t="str">
        <f t="shared" si="174"/>
        <v>EF22</v>
      </c>
      <c r="AB975" s="498" t="str">
        <f t="shared" si="168"/>
        <v>EF220</v>
      </c>
      <c r="AC975" s="572"/>
      <c r="AD975" s="572"/>
      <c r="AE975" s="572"/>
      <c r="AF975" s="572"/>
    </row>
    <row r="976" spans="1:32">
      <c r="A976" s="947">
        <f t="shared" si="175"/>
        <v>969</v>
      </c>
      <c r="B976" s="948">
        <v>37</v>
      </c>
      <c r="C976" s="949">
        <v>39193</v>
      </c>
      <c r="D976" s="949" t="s">
        <v>176</v>
      </c>
      <c r="E976" s="904">
        <v>21</v>
      </c>
      <c r="F976" s="644">
        <v>2007</v>
      </c>
      <c r="G976" s="948" t="s">
        <v>146</v>
      </c>
      <c r="H976" s="645" t="s">
        <v>190</v>
      </c>
      <c r="I976" s="951">
        <v>50</v>
      </c>
      <c r="J976" s="951">
        <v>4.21</v>
      </c>
      <c r="K976" s="952">
        <f t="shared" si="173"/>
        <v>0.11960227272727272</v>
      </c>
      <c r="L976" s="644">
        <f t="shared" si="165"/>
        <v>20</v>
      </c>
      <c r="M976" s="935">
        <v>0.86111111111111116</v>
      </c>
      <c r="N976" s="936">
        <f t="shared" si="166"/>
        <v>0.86111111111111116</v>
      </c>
      <c r="O976" s="725">
        <v>0.86458333333333337</v>
      </c>
      <c r="P976" s="725">
        <f t="shared" si="169"/>
        <v>3.4722222222222099E-3</v>
      </c>
      <c r="Q976" s="622" t="s">
        <v>104</v>
      </c>
      <c r="R976" s="36"/>
      <c r="S976" s="37" t="str">
        <f t="shared" si="167"/>
        <v>ArmstrongEF0</v>
      </c>
      <c r="T976" s="37" t="str">
        <f t="shared" si="170"/>
        <v>2007EF0</v>
      </c>
      <c r="U976" s="429">
        <v>50</v>
      </c>
      <c r="V976" s="1029">
        <v>2</v>
      </c>
      <c r="W976" s="598">
        <v>0.1</v>
      </c>
      <c r="X976" s="429"/>
      <c r="Y976" s="37" t="str">
        <f t="shared" si="171"/>
        <v>EF050</v>
      </c>
      <c r="Z976" s="37" t="str">
        <f t="shared" si="172"/>
        <v>EF02</v>
      </c>
      <c r="AA976" s="37" t="str">
        <f t="shared" si="174"/>
        <v>EF00.1</v>
      </c>
      <c r="AB976" s="498" t="str">
        <f t="shared" si="168"/>
        <v>EF020</v>
      </c>
      <c r="AC976" s="572"/>
      <c r="AD976" s="572"/>
      <c r="AE976" s="572"/>
      <c r="AF976" s="572"/>
    </row>
    <row r="977" spans="1:32">
      <c r="A977" s="947">
        <f t="shared" si="175"/>
        <v>970</v>
      </c>
      <c r="B977" s="948">
        <v>38</v>
      </c>
      <c r="C977" s="949">
        <v>39193</v>
      </c>
      <c r="D977" s="949" t="s">
        <v>176</v>
      </c>
      <c r="E977" s="904">
        <v>21</v>
      </c>
      <c r="F977" s="644">
        <v>2007</v>
      </c>
      <c r="G977" s="948" t="s">
        <v>142</v>
      </c>
      <c r="H977" s="645" t="s">
        <v>191</v>
      </c>
      <c r="I977" s="951">
        <v>50</v>
      </c>
      <c r="J977" s="951">
        <v>12.7</v>
      </c>
      <c r="K977" s="952">
        <f t="shared" si="173"/>
        <v>0.36079545454545453</v>
      </c>
      <c r="L977" s="644">
        <f t="shared" si="165"/>
        <v>20</v>
      </c>
      <c r="M977" s="935">
        <v>0.86805555555555547</v>
      </c>
      <c r="N977" s="936">
        <f t="shared" si="166"/>
        <v>0.86805555555555547</v>
      </c>
      <c r="O977" s="725">
        <v>0.88194444444444453</v>
      </c>
      <c r="P977" s="725">
        <f t="shared" si="169"/>
        <v>1.3888888888889062E-2</v>
      </c>
      <c r="Q977" s="622" t="s">
        <v>352</v>
      </c>
      <c r="R977" s="36"/>
      <c r="S977" s="37" t="str">
        <f t="shared" si="167"/>
        <v>GrayEF1</v>
      </c>
      <c r="T977" s="37" t="str">
        <f t="shared" si="170"/>
        <v>2007EF1</v>
      </c>
      <c r="U977" s="429">
        <v>50</v>
      </c>
      <c r="V977" s="1029">
        <v>10</v>
      </c>
      <c r="W977" s="598">
        <v>0.2</v>
      </c>
      <c r="X977" s="429"/>
      <c r="Y977" s="37" t="str">
        <f t="shared" si="171"/>
        <v>EF150</v>
      </c>
      <c r="Z977" s="37" t="str">
        <f t="shared" si="172"/>
        <v>EF110</v>
      </c>
      <c r="AA977" s="37" t="str">
        <f t="shared" si="174"/>
        <v>EF10.2</v>
      </c>
      <c r="AB977" s="498" t="str">
        <f t="shared" si="168"/>
        <v>EF120</v>
      </c>
      <c r="AC977" s="572"/>
      <c r="AD977" s="572"/>
      <c r="AE977" s="572"/>
      <c r="AF977" s="572"/>
    </row>
    <row r="978" spans="1:32">
      <c r="A978" s="947">
        <f t="shared" si="175"/>
        <v>971</v>
      </c>
      <c r="B978" s="948">
        <v>39</v>
      </c>
      <c r="C978" s="971">
        <v>39207</v>
      </c>
      <c r="D978" s="949" t="s">
        <v>177</v>
      </c>
      <c r="E978" s="904">
        <v>5</v>
      </c>
      <c r="F978" s="644">
        <v>2007</v>
      </c>
      <c r="G978" s="948" t="s">
        <v>148</v>
      </c>
      <c r="H978" s="645" t="s">
        <v>190</v>
      </c>
      <c r="I978" s="951">
        <v>100</v>
      </c>
      <c r="J978" s="951">
        <v>2.78</v>
      </c>
      <c r="K978" s="952">
        <f t="shared" si="173"/>
        <v>0.15795454545454543</v>
      </c>
      <c r="L978" s="644">
        <f t="shared" si="165"/>
        <v>18</v>
      </c>
      <c r="M978" s="935">
        <v>0.76388888888888884</v>
      </c>
      <c r="N978" s="936">
        <f t="shared" si="166"/>
        <v>0.76388888888888884</v>
      </c>
      <c r="O978" s="725">
        <v>0.76597222222222217</v>
      </c>
      <c r="P978" s="725">
        <f t="shared" si="169"/>
        <v>2.0833333333333259E-3</v>
      </c>
      <c r="Q978" s="622" t="s">
        <v>38</v>
      </c>
      <c r="R978" s="36"/>
      <c r="S978" s="37" t="str">
        <f t="shared" si="167"/>
        <v>CollingsworthEF0</v>
      </c>
      <c r="T978" s="37" t="str">
        <f t="shared" si="170"/>
        <v>2007EF0</v>
      </c>
      <c r="U978" s="429">
        <v>100</v>
      </c>
      <c r="V978" s="1029">
        <v>2</v>
      </c>
      <c r="W978" s="598">
        <v>0.1</v>
      </c>
      <c r="X978" s="429"/>
      <c r="Y978" s="37" t="str">
        <f t="shared" si="171"/>
        <v>EF0100</v>
      </c>
      <c r="Z978" s="37" t="str">
        <f t="shared" si="172"/>
        <v>EF02</v>
      </c>
      <c r="AA978" s="37" t="str">
        <f t="shared" si="174"/>
        <v>EF00.1</v>
      </c>
      <c r="AB978" s="498" t="str">
        <f t="shared" si="168"/>
        <v>EF018</v>
      </c>
      <c r="AC978" s="572"/>
      <c r="AD978" s="572"/>
      <c r="AE978" s="572"/>
      <c r="AF978" s="572"/>
    </row>
    <row r="979" spans="1:32" ht="25.5">
      <c r="A979" s="947">
        <f t="shared" si="175"/>
        <v>972</v>
      </c>
      <c r="B979" s="948">
        <v>40</v>
      </c>
      <c r="C979" s="971">
        <v>39207</v>
      </c>
      <c r="D979" s="949" t="s">
        <v>177</v>
      </c>
      <c r="E979" s="904">
        <v>5</v>
      </c>
      <c r="F979" s="644">
        <v>2007</v>
      </c>
      <c r="G979" s="948" t="s">
        <v>148</v>
      </c>
      <c r="H979" s="645" t="s">
        <v>191</v>
      </c>
      <c r="I979" s="951">
        <v>200</v>
      </c>
      <c r="J979" s="951">
        <v>0.74</v>
      </c>
      <c r="K979" s="952">
        <f t="shared" si="173"/>
        <v>8.4090909090909091E-2</v>
      </c>
      <c r="L979" s="644">
        <f t="shared" si="165"/>
        <v>18</v>
      </c>
      <c r="M979" s="935">
        <v>0.76875000000000004</v>
      </c>
      <c r="N979" s="936">
        <f t="shared" si="166"/>
        <v>0.76875000000000004</v>
      </c>
      <c r="O979" s="725">
        <v>0.76944444444444438</v>
      </c>
      <c r="P979" s="725">
        <f t="shared" si="169"/>
        <v>6.9444444444433095E-4</v>
      </c>
      <c r="Q979" s="622" t="s">
        <v>781</v>
      </c>
      <c r="R979" s="36"/>
      <c r="S979" s="37" t="str">
        <f t="shared" si="167"/>
        <v>CollingsworthEF1</v>
      </c>
      <c r="T979" s="37" t="str">
        <f t="shared" si="170"/>
        <v>2007EF1</v>
      </c>
      <c r="U979" s="429">
        <v>200</v>
      </c>
      <c r="V979" s="1029">
        <v>0.5</v>
      </c>
      <c r="W979" s="598">
        <v>0.05</v>
      </c>
      <c r="X979" s="429"/>
      <c r="Y979" s="37" t="str">
        <f t="shared" si="171"/>
        <v>EF1200</v>
      </c>
      <c r="Z979" s="37" t="str">
        <f t="shared" si="172"/>
        <v>EF10.5</v>
      </c>
      <c r="AA979" s="37" t="str">
        <f t="shared" si="174"/>
        <v>EF10.05</v>
      </c>
      <c r="AB979" s="498" t="str">
        <f t="shared" si="168"/>
        <v>EF118</v>
      </c>
      <c r="AC979" s="572"/>
      <c r="AD979" s="572"/>
      <c r="AE979" s="572"/>
      <c r="AF979" s="572"/>
    </row>
    <row r="980" spans="1:32" ht="25.5">
      <c r="A980" s="947">
        <f t="shared" si="175"/>
        <v>973</v>
      </c>
      <c r="B980" s="948">
        <v>41</v>
      </c>
      <c r="C980" s="971">
        <v>39207</v>
      </c>
      <c r="D980" s="949" t="s">
        <v>177</v>
      </c>
      <c r="E980" s="904">
        <v>5</v>
      </c>
      <c r="F980" s="644">
        <v>2007</v>
      </c>
      <c r="G980" s="948" t="s">
        <v>143</v>
      </c>
      <c r="H980" s="645" t="s">
        <v>191</v>
      </c>
      <c r="I980" s="951">
        <v>200</v>
      </c>
      <c r="J980" s="951">
        <v>6.25</v>
      </c>
      <c r="K980" s="952">
        <f t="shared" si="173"/>
        <v>0.71022727272727271</v>
      </c>
      <c r="L980" s="644">
        <f t="shared" si="165"/>
        <v>18</v>
      </c>
      <c r="M980" s="935">
        <v>0.76944444444444438</v>
      </c>
      <c r="N980" s="936">
        <f t="shared" si="166"/>
        <v>0.76944444444444438</v>
      </c>
      <c r="O980" s="725">
        <v>0.77500000000000002</v>
      </c>
      <c r="P980" s="725">
        <f t="shared" si="169"/>
        <v>5.5555555555556468E-3</v>
      </c>
      <c r="Q980" s="622" t="s">
        <v>782</v>
      </c>
      <c r="R980" s="36"/>
      <c r="S980" s="37" t="str">
        <f t="shared" si="167"/>
        <v>WheelerEF1</v>
      </c>
      <c r="T980" s="37" t="str">
        <f t="shared" si="170"/>
        <v>2007EF1</v>
      </c>
      <c r="U980" s="429">
        <v>200</v>
      </c>
      <c r="V980" s="1029">
        <v>5</v>
      </c>
      <c r="W980" s="598">
        <v>0.5</v>
      </c>
      <c r="X980" s="429"/>
      <c r="Y980" s="37" t="str">
        <f t="shared" si="171"/>
        <v>EF1200</v>
      </c>
      <c r="Z980" s="37" t="str">
        <f t="shared" si="172"/>
        <v>EF15</v>
      </c>
      <c r="AA980" s="37" t="str">
        <f t="shared" si="174"/>
        <v>EF10.5</v>
      </c>
      <c r="AB980" s="498" t="str">
        <f t="shared" si="168"/>
        <v>EF118</v>
      </c>
      <c r="AC980" s="572"/>
      <c r="AD980" s="572"/>
      <c r="AE980" s="572"/>
      <c r="AF980" s="572"/>
    </row>
    <row r="981" spans="1:32">
      <c r="A981" s="947">
        <f t="shared" si="175"/>
        <v>974</v>
      </c>
      <c r="B981" s="948">
        <v>42</v>
      </c>
      <c r="C981" s="971">
        <v>39207</v>
      </c>
      <c r="D981" s="949" t="s">
        <v>177</v>
      </c>
      <c r="E981" s="904">
        <v>5</v>
      </c>
      <c r="F981" s="644">
        <v>2007</v>
      </c>
      <c r="G981" s="948" t="s">
        <v>142</v>
      </c>
      <c r="H981" s="645" t="s">
        <v>190</v>
      </c>
      <c r="I981" s="951">
        <v>300</v>
      </c>
      <c r="J981" s="951">
        <v>2</v>
      </c>
      <c r="K981" s="952">
        <f t="shared" si="173"/>
        <v>0.34090909090909088</v>
      </c>
      <c r="L981" s="644">
        <f t="shared" si="165"/>
        <v>22</v>
      </c>
      <c r="M981" s="935">
        <v>0.94444444444444453</v>
      </c>
      <c r="N981" s="936">
        <f t="shared" si="166"/>
        <v>0.94444444444444453</v>
      </c>
      <c r="O981" s="725">
        <v>0.94861111111111107</v>
      </c>
      <c r="P981" s="725">
        <f t="shared" si="169"/>
        <v>4.1666666666665408E-3</v>
      </c>
      <c r="Q981" s="622" t="s">
        <v>353</v>
      </c>
      <c r="R981" s="36"/>
      <c r="S981" s="37" t="str">
        <f t="shared" si="167"/>
        <v>GrayEF0</v>
      </c>
      <c r="T981" s="37" t="str">
        <f t="shared" si="170"/>
        <v>2007EF0</v>
      </c>
      <c r="U981" s="429">
        <v>200</v>
      </c>
      <c r="V981" s="1029">
        <v>2</v>
      </c>
      <c r="W981" s="598">
        <v>0.2</v>
      </c>
      <c r="X981" s="429"/>
      <c r="Y981" s="37" t="str">
        <f t="shared" si="171"/>
        <v>EF0200</v>
      </c>
      <c r="Z981" s="37" t="str">
        <f t="shared" si="172"/>
        <v>EF02</v>
      </c>
      <c r="AA981" s="37" t="str">
        <f t="shared" si="174"/>
        <v>EF00.2</v>
      </c>
      <c r="AB981" s="498" t="str">
        <f t="shared" si="168"/>
        <v>EF022</v>
      </c>
      <c r="AC981" s="572"/>
      <c r="AD981" s="572"/>
      <c r="AE981" s="572"/>
      <c r="AF981" s="572"/>
    </row>
    <row r="982" spans="1:32" ht="80.099999999999994" customHeight="1">
      <c r="A982" s="947">
        <f t="shared" si="175"/>
        <v>975</v>
      </c>
      <c r="B982" s="948">
        <v>43</v>
      </c>
      <c r="C982" s="949">
        <v>39225</v>
      </c>
      <c r="D982" s="949" t="s">
        <v>177</v>
      </c>
      <c r="E982" s="904">
        <v>23</v>
      </c>
      <c r="F982" s="644">
        <v>2007</v>
      </c>
      <c r="G982" s="948" t="s">
        <v>137</v>
      </c>
      <c r="H982" s="645" t="s">
        <v>190</v>
      </c>
      <c r="I982" s="951">
        <v>25</v>
      </c>
      <c r="J982" s="951">
        <v>0.2</v>
      </c>
      <c r="K982" s="952">
        <f t="shared" si="173"/>
        <v>2.840909090909091E-3</v>
      </c>
      <c r="L982" s="644">
        <f t="shared" si="165"/>
        <v>15</v>
      </c>
      <c r="M982" s="935">
        <v>0.64444444444444449</v>
      </c>
      <c r="N982" s="936">
        <f t="shared" si="166"/>
        <v>0.64444444444444449</v>
      </c>
      <c r="O982" s="725">
        <v>0.64444444444444449</v>
      </c>
      <c r="P982" s="725">
        <f t="shared" si="169"/>
        <v>0</v>
      </c>
      <c r="Q982" s="622" t="s">
        <v>37</v>
      </c>
      <c r="R982" s="36"/>
      <c r="S982" s="37" t="str">
        <f t="shared" si="167"/>
        <v>RobertsEF0</v>
      </c>
      <c r="T982" s="37" t="str">
        <f t="shared" si="170"/>
        <v>2007EF0</v>
      </c>
      <c r="U982" s="429">
        <v>20</v>
      </c>
      <c r="V982" s="1029">
        <v>0.2</v>
      </c>
      <c r="W982" s="598">
        <v>2E-3</v>
      </c>
      <c r="X982" s="429"/>
      <c r="Y982" s="37" t="str">
        <f t="shared" si="171"/>
        <v>EF020</v>
      </c>
      <c r="Z982" s="37" t="str">
        <f t="shared" si="172"/>
        <v>EF00.2</v>
      </c>
      <c r="AA982" s="37" t="str">
        <f t="shared" si="174"/>
        <v>EF00.002</v>
      </c>
      <c r="AB982" s="498" t="str">
        <f t="shared" si="168"/>
        <v>EF015</v>
      </c>
      <c r="AC982" s="572"/>
      <c r="AD982" s="572"/>
      <c r="AE982" s="572"/>
      <c r="AF982" s="572"/>
    </row>
    <row r="983" spans="1:32">
      <c r="A983" s="947">
        <f t="shared" si="175"/>
        <v>976</v>
      </c>
      <c r="B983" s="948">
        <v>44</v>
      </c>
      <c r="C983" s="949">
        <v>39225</v>
      </c>
      <c r="D983" s="949" t="s">
        <v>177</v>
      </c>
      <c r="E983" s="904">
        <v>23</v>
      </c>
      <c r="F983" s="644">
        <v>2007</v>
      </c>
      <c r="G983" s="948" t="s">
        <v>132</v>
      </c>
      <c r="H983" s="645" t="s">
        <v>190</v>
      </c>
      <c r="I983" s="951">
        <v>50</v>
      </c>
      <c r="J983" s="951">
        <v>1</v>
      </c>
      <c r="K983" s="952">
        <f t="shared" si="173"/>
        <v>2.8409090909090908E-2</v>
      </c>
      <c r="L983" s="644">
        <f t="shared" si="165"/>
        <v>16</v>
      </c>
      <c r="M983" s="935">
        <v>0.68402777777777779</v>
      </c>
      <c r="N983" s="936">
        <f t="shared" si="166"/>
        <v>0.68402777777777779</v>
      </c>
      <c r="O983" s="725">
        <v>0.68541666666666667</v>
      </c>
      <c r="P983" s="725">
        <f t="shared" si="169"/>
        <v>1.388888888888884E-3</v>
      </c>
      <c r="Q983" s="622" t="s">
        <v>408</v>
      </c>
      <c r="R983" s="36"/>
      <c r="S983" s="37" t="str">
        <f t="shared" si="167"/>
        <v>OchiltreeEF0</v>
      </c>
      <c r="T983" s="37" t="str">
        <f t="shared" si="170"/>
        <v>2007EF0</v>
      </c>
      <c r="U983" s="429">
        <v>50</v>
      </c>
      <c r="V983" s="1029">
        <v>1</v>
      </c>
      <c r="W983" s="598">
        <v>0.02</v>
      </c>
      <c r="X983" s="429"/>
      <c r="Y983" s="37" t="str">
        <f t="shared" si="171"/>
        <v>EF050</v>
      </c>
      <c r="Z983" s="37" t="str">
        <f t="shared" si="172"/>
        <v>EF01</v>
      </c>
      <c r="AA983" s="37" t="str">
        <f t="shared" si="174"/>
        <v>EF00.02</v>
      </c>
      <c r="AB983" s="498" t="str">
        <f t="shared" si="168"/>
        <v>EF016</v>
      </c>
      <c r="AC983" s="572"/>
      <c r="AD983" s="572"/>
      <c r="AE983" s="572"/>
      <c r="AF983" s="572"/>
    </row>
    <row r="984" spans="1:32">
      <c r="A984" s="947">
        <f t="shared" si="175"/>
        <v>977</v>
      </c>
      <c r="B984" s="948">
        <v>45</v>
      </c>
      <c r="C984" s="949">
        <v>39225</v>
      </c>
      <c r="D984" s="949" t="s">
        <v>177</v>
      </c>
      <c r="E984" s="904">
        <v>23</v>
      </c>
      <c r="F984" s="644">
        <v>2007</v>
      </c>
      <c r="G984" s="948" t="s">
        <v>132</v>
      </c>
      <c r="H984" s="645" t="s">
        <v>190</v>
      </c>
      <c r="I984" s="951">
        <v>50</v>
      </c>
      <c r="J984" s="951">
        <v>1</v>
      </c>
      <c r="K984" s="952">
        <f t="shared" si="173"/>
        <v>2.8409090909090908E-2</v>
      </c>
      <c r="L984" s="644">
        <f t="shared" si="165"/>
        <v>16</v>
      </c>
      <c r="M984" s="935">
        <v>0.69374999999999998</v>
      </c>
      <c r="N984" s="936">
        <f t="shared" si="166"/>
        <v>0.69374999999999998</v>
      </c>
      <c r="O984" s="725">
        <v>0.69513888888888886</v>
      </c>
      <c r="P984" s="725">
        <f t="shared" si="169"/>
        <v>1.388888888888884E-3</v>
      </c>
      <c r="Q984" s="622" t="s">
        <v>409</v>
      </c>
      <c r="R984" s="36"/>
      <c r="S984" s="37" t="str">
        <f t="shared" si="167"/>
        <v>OchiltreeEF0</v>
      </c>
      <c r="T984" s="37" t="str">
        <f t="shared" si="170"/>
        <v>2007EF0</v>
      </c>
      <c r="U984" s="429">
        <v>50</v>
      </c>
      <c r="V984" s="1029">
        <v>1</v>
      </c>
      <c r="W984" s="598">
        <v>0.02</v>
      </c>
      <c r="X984" s="429"/>
      <c r="Y984" s="37" t="str">
        <f t="shared" si="171"/>
        <v>EF050</v>
      </c>
      <c r="Z984" s="37" t="str">
        <f t="shared" si="172"/>
        <v>EF01</v>
      </c>
      <c r="AA984" s="37" t="str">
        <f t="shared" si="174"/>
        <v>EF00.02</v>
      </c>
      <c r="AB984" s="498" t="str">
        <f t="shared" si="168"/>
        <v>EF016</v>
      </c>
      <c r="AC984" s="572"/>
      <c r="AD984" s="572"/>
      <c r="AE984" s="572"/>
      <c r="AF984" s="572"/>
    </row>
    <row r="985" spans="1:32">
      <c r="A985" s="947">
        <f t="shared" si="175"/>
        <v>978</v>
      </c>
      <c r="B985" s="948">
        <v>46</v>
      </c>
      <c r="C985" s="949">
        <v>39225</v>
      </c>
      <c r="D985" s="949" t="s">
        <v>177</v>
      </c>
      <c r="E985" s="904">
        <v>23</v>
      </c>
      <c r="F985" s="644">
        <v>2007</v>
      </c>
      <c r="G985" s="948" t="s">
        <v>133</v>
      </c>
      <c r="H985" s="645" t="s">
        <v>190</v>
      </c>
      <c r="I985" s="951">
        <v>50</v>
      </c>
      <c r="J985" s="951">
        <v>1</v>
      </c>
      <c r="K985" s="952">
        <f t="shared" si="173"/>
        <v>2.8409090909090908E-2</v>
      </c>
      <c r="L985" s="644">
        <f t="shared" si="165"/>
        <v>16</v>
      </c>
      <c r="M985" s="935">
        <v>0.7055555555555556</v>
      </c>
      <c r="N985" s="936">
        <f t="shared" si="166"/>
        <v>0.7055555555555556</v>
      </c>
      <c r="O985" s="725">
        <v>0.70625000000000004</v>
      </c>
      <c r="P985" s="725">
        <f t="shared" si="169"/>
        <v>6.9444444444444198E-4</v>
      </c>
      <c r="Q985" s="622" t="s">
        <v>105</v>
      </c>
      <c r="R985" s="36"/>
      <c r="S985" s="37" t="str">
        <f t="shared" si="167"/>
        <v>LipscombEF0</v>
      </c>
      <c r="T985" s="37" t="str">
        <f t="shared" si="170"/>
        <v>2007EF0</v>
      </c>
      <c r="U985" s="429">
        <v>50</v>
      </c>
      <c r="V985" s="1029">
        <v>1</v>
      </c>
      <c r="W985" s="598">
        <v>0.02</v>
      </c>
      <c r="X985" s="429"/>
      <c r="Y985" s="37" t="str">
        <f t="shared" si="171"/>
        <v>EF050</v>
      </c>
      <c r="Z985" s="37" t="str">
        <f t="shared" si="172"/>
        <v>EF01</v>
      </c>
      <c r="AA985" s="37" t="str">
        <f t="shared" si="174"/>
        <v>EF00.02</v>
      </c>
      <c r="AB985" s="498" t="str">
        <f t="shared" si="168"/>
        <v>EF016</v>
      </c>
      <c r="AC985" s="572"/>
      <c r="AD985" s="572"/>
      <c r="AE985" s="572"/>
      <c r="AF985" s="572"/>
    </row>
    <row r="986" spans="1:32">
      <c r="A986" s="947">
        <f t="shared" si="175"/>
        <v>979</v>
      </c>
      <c r="B986" s="948">
        <v>47</v>
      </c>
      <c r="C986" s="949">
        <v>39225</v>
      </c>
      <c r="D986" s="949" t="s">
        <v>177</v>
      </c>
      <c r="E986" s="904">
        <v>23</v>
      </c>
      <c r="F986" s="644">
        <v>2007</v>
      </c>
      <c r="G986" s="948" t="s">
        <v>132</v>
      </c>
      <c r="H986" s="645" t="s">
        <v>190</v>
      </c>
      <c r="I986" s="951">
        <v>50</v>
      </c>
      <c r="J986" s="951">
        <v>2</v>
      </c>
      <c r="K986" s="952">
        <f t="shared" si="173"/>
        <v>5.6818181818181816E-2</v>
      </c>
      <c r="L986" s="644">
        <f t="shared" si="165"/>
        <v>17</v>
      </c>
      <c r="M986" s="935">
        <v>0.71805555555555556</v>
      </c>
      <c r="N986" s="936">
        <f t="shared" si="166"/>
        <v>0.71805555555555556</v>
      </c>
      <c r="O986" s="725">
        <v>0.71875</v>
      </c>
      <c r="P986" s="725">
        <f t="shared" si="169"/>
        <v>6.9444444444444198E-4</v>
      </c>
      <c r="Q986" s="622" t="s">
        <v>106</v>
      </c>
      <c r="R986" s="36"/>
      <c r="S986" s="37" t="str">
        <f t="shared" si="167"/>
        <v>OchiltreeEF0</v>
      </c>
      <c r="T986" s="37" t="str">
        <f t="shared" si="170"/>
        <v>2007EF0</v>
      </c>
      <c r="U986" s="429">
        <v>50</v>
      </c>
      <c r="V986" s="1029">
        <v>2</v>
      </c>
      <c r="W986" s="598">
        <v>0.05</v>
      </c>
      <c r="X986" s="429"/>
      <c r="Y986" s="37" t="str">
        <f t="shared" si="171"/>
        <v>EF050</v>
      </c>
      <c r="Z986" s="37" t="str">
        <f t="shared" si="172"/>
        <v>EF02</v>
      </c>
      <c r="AA986" s="37" t="str">
        <f t="shared" si="174"/>
        <v>EF00.05</v>
      </c>
      <c r="AB986" s="498" t="str">
        <f t="shared" si="168"/>
        <v>EF017</v>
      </c>
      <c r="AC986" s="572"/>
      <c r="AD986" s="572"/>
      <c r="AE986" s="572"/>
      <c r="AF986" s="572"/>
    </row>
    <row r="987" spans="1:32">
      <c r="A987" s="947">
        <f t="shared" si="175"/>
        <v>980</v>
      </c>
      <c r="B987" s="948">
        <v>48</v>
      </c>
      <c r="C987" s="949">
        <v>39225</v>
      </c>
      <c r="D987" s="949" t="s">
        <v>177</v>
      </c>
      <c r="E987" s="904">
        <v>23</v>
      </c>
      <c r="F987" s="644">
        <v>2007</v>
      </c>
      <c r="G987" s="948" t="s">
        <v>132</v>
      </c>
      <c r="H987" s="645" t="s">
        <v>190</v>
      </c>
      <c r="I987" s="951">
        <v>50</v>
      </c>
      <c r="J987" s="951">
        <v>2</v>
      </c>
      <c r="K987" s="952">
        <f t="shared" si="173"/>
        <v>5.6818181818181816E-2</v>
      </c>
      <c r="L987" s="644">
        <f t="shared" si="165"/>
        <v>17</v>
      </c>
      <c r="M987" s="935">
        <v>0.73611111111111116</v>
      </c>
      <c r="N987" s="936">
        <f t="shared" si="166"/>
        <v>0.73611111111111116</v>
      </c>
      <c r="O987" s="725">
        <v>0.74305555555555547</v>
      </c>
      <c r="P987" s="725">
        <f t="shared" si="169"/>
        <v>6.9444444444443088E-3</v>
      </c>
      <c r="Q987" s="622" t="s">
        <v>410</v>
      </c>
      <c r="R987" s="36"/>
      <c r="S987" s="37" t="str">
        <f t="shared" si="167"/>
        <v>OchiltreeEF0</v>
      </c>
      <c r="T987" s="37" t="str">
        <f t="shared" si="170"/>
        <v>2007EF0</v>
      </c>
      <c r="U987" s="429">
        <v>50</v>
      </c>
      <c r="V987" s="1029">
        <v>2</v>
      </c>
      <c r="W987" s="598">
        <v>0.05</v>
      </c>
      <c r="X987" s="429"/>
      <c r="Y987" s="37" t="str">
        <f t="shared" si="171"/>
        <v>EF050</v>
      </c>
      <c r="Z987" s="37" t="str">
        <f t="shared" si="172"/>
        <v>EF02</v>
      </c>
      <c r="AA987" s="37" t="str">
        <f t="shared" si="174"/>
        <v>EF00.05</v>
      </c>
      <c r="AB987" s="498" t="str">
        <f t="shared" si="168"/>
        <v>EF017</v>
      </c>
      <c r="AC987" s="572"/>
      <c r="AD987" s="572"/>
      <c r="AE987" s="572"/>
      <c r="AF987" s="572"/>
    </row>
    <row r="988" spans="1:32">
      <c r="A988" s="947">
        <f t="shared" si="175"/>
        <v>981</v>
      </c>
      <c r="B988" s="948">
        <v>49</v>
      </c>
      <c r="C988" s="949">
        <v>39225</v>
      </c>
      <c r="D988" s="949" t="s">
        <v>177</v>
      </c>
      <c r="E988" s="904">
        <v>23</v>
      </c>
      <c r="F988" s="644">
        <v>2007</v>
      </c>
      <c r="G988" s="948" t="s">
        <v>133</v>
      </c>
      <c r="H988" s="645" t="s">
        <v>190</v>
      </c>
      <c r="I988" s="951">
        <v>50</v>
      </c>
      <c r="J988" s="951">
        <v>2</v>
      </c>
      <c r="K988" s="952">
        <f t="shared" si="173"/>
        <v>5.6818181818181816E-2</v>
      </c>
      <c r="L988" s="644">
        <f t="shared" si="165"/>
        <v>18</v>
      </c>
      <c r="M988" s="935">
        <v>0.77708333333333324</v>
      </c>
      <c r="N988" s="936">
        <f t="shared" si="166"/>
        <v>0.77708333333333324</v>
      </c>
      <c r="O988" s="725">
        <v>0.78125</v>
      </c>
      <c r="P988" s="725">
        <f t="shared" si="169"/>
        <v>4.1666666666667629E-3</v>
      </c>
      <c r="Q988" s="622" t="s">
        <v>389</v>
      </c>
      <c r="R988" s="36"/>
      <c r="S988" s="37" t="str">
        <f t="shared" si="167"/>
        <v>LipscombEF0</v>
      </c>
      <c r="T988" s="37" t="str">
        <f t="shared" si="170"/>
        <v>2007EF0</v>
      </c>
      <c r="U988" s="429">
        <v>50</v>
      </c>
      <c r="V988" s="1029">
        <v>2</v>
      </c>
      <c r="W988" s="598">
        <v>0.05</v>
      </c>
      <c r="X988" s="429"/>
      <c r="Y988" s="37" t="str">
        <f t="shared" si="171"/>
        <v>EF050</v>
      </c>
      <c r="Z988" s="37" t="str">
        <f t="shared" si="172"/>
        <v>EF02</v>
      </c>
      <c r="AA988" s="37" t="str">
        <f t="shared" si="174"/>
        <v>EF00.05</v>
      </c>
      <c r="AB988" s="498" t="str">
        <f t="shared" si="168"/>
        <v>EF018</v>
      </c>
      <c r="AC988" s="572"/>
      <c r="AD988" s="572"/>
      <c r="AE988" s="572"/>
      <c r="AF988" s="572"/>
    </row>
    <row r="989" spans="1:32" ht="25.5">
      <c r="A989" s="947">
        <f t="shared" si="175"/>
        <v>982</v>
      </c>
      <c r="B989" s="948">
        <v>50</v>
      </c>
      <c r="C989" s="949">
        <v>39225</v>
      </c>
      <c r="D989" s="949" t="s">
        <v>177</v>
      </c>
      <c r="E989" s="904">
        <v>23</v>
      </c>
      <c r="F989" s="644">
        <v>2007</v>
      </c>
      <c r="G989" s="948" t="s">
        <v>136</v>
      </c>
      <c r="H989" s="645" t="s">
        <v>190</v>
      </c>
      <c r="I989" s="951">
        <v>25</v>
      </c>
      <c r="J989" s="951">
        <v>0.1</v>
      </c>
      <c r="K989" s="952">
        <f t="shared" si="173"/>
        <v>1.4204545454545455E-3</v>
      </c>
      <c r="L989" s="644">
        <f t="shared" si="165"/>
        <v>19</v>
      </c>
      <c r="M989" s="935">
        <v>0.80208333333333337</v>
      </c>
      <c r="N989" s="936">
        <f t="shared" si="166"/>
        <v>0.80208333333333337</v>
      </c>
      <c r="O989" s="725">
        <v>0.80208333333333337</v>
      </c>
      <c r="P989" s="725">
        <f t="shared" si="169"/>
        <v>0</v>
      </c>
      <c r="Q989" s="622" t="s">
        <v>107</v>
      </c>
      <c r="R989" s="36"/>
      <c r="S989" s="37" t="str">
        <f t="shared" si="167"/>
        <v>HutchinsonEF0</v>
      </c>
      <c r="T989" s="37" t="str">
        <f t="shared" si="170"/>
        <v>2007EF0</v>
      </c>
      <c r="U989" s="429">
        <v>20</v>
      </c>
      <c r="V989" s="1029">
        <v>0.1</v>
      </c>
      <c r="W989" s="598">
        <v>1E-3</v>
      </c>
      <c r="X989" s="429"/>
      <c r="Y989" s="37" t="str">
        <f t="shared" si="171"/>
        <v>EF020</v>
      </c>
      <c r="Z989" s="37" t="str">
        <f t="shared" si="172"/>
        <v>EF00.1</v>
      </c>
      <c r="AA989" s="37" t="str">
        <f t="shared" si="174"/>
        <v>EF00.001</v>
      </c>
      <c r="AB989" s="498" t="str">
        <f t="shared" si="168"/>
        <v>EF019</v>
      </c>
      <c r="AC989" s="572"/>
      <c r="AD989" s="572"/>
      <c r="AE989" s="572"/>
      <c r="AF989" s="572"/>
    </row>
    <row r="990" spans="1:32" ht="25.5">
      <c r="A990" s="947">
        <f t="shared" si="175"/>
        <v>983</v>
      </c>
      <c r="B990" s="948">
        <v>51</v>
      </c>
      <c r="C990" s="949">
        <v>39225</v>
      </c>
      <c r="D990" s="949" t="s">
        <v>177</v>
      </c>
      <c r="E990" s="904">
        <v>23</v>
      </c>
      <c r="F990" s="644">
        <v>2007</v>
      </c>
      <c r="G990" s="948" t="s">
        <v>136</v>
      </c>
      <c r="H990" s="645" t="s">
        <v>190</v>
      </c>
      <c r="I990" s="951">
        <v>50</v>
      </c>
      <c r="J990" s="951">
        <v>0.1</v>
      </c>
      <c r="K990" s="952">
        <f t="shared" si="173"/>
        <v>2.840909090909091E-3</v>
      </c>
      <c r="L990" s="644">
        <f t="shared" ref="L990:L1036" si="176">HOUR(N990)</f>
        <v>19</v>
      </c>
      <c r="M990" s="935">
        <v>0.80347222222222225</v>
      </c>
      <c r="N990" s="936">
        <f t="shared" si="166"/>
        <v>0.80347222222222225</v>
      </c>
      <c r="O990" s="725">
        <v>0.80347222222222225</v>
      </c>
      <c r="P990" s="725">
        <f t="shared" si="169"/>
        <v>0</v>
      </c>
      <c r="Q990" s="622" t="s">
        <v>108</v>
      </c>
      <c r="R990" s="36"/>
      <c r="S990" s="37" t="str">
        <f t="shared" si="167"/>
        <v>HutchinsonEF0</v>
      </c>
      <c r="T990" s="37" t="str">
        <f t="shared" si="170"/>
        <v>2007EF0</v>
      </c>
      <c r="U990" s="429">
        <v>50</v>
      </c>
      <c r="V990" s="1029">
        <v>0.1</v>
      </c>
      <c r="W990" s="598">
        <v>2E-3</v>
      </c>
      <c r="X990" s="429"/>
      <c r="Y990" s="37" t="str">
        <f t="shared" si="171"/>
        <v>EF050</v>
      </c>
      <c r="Z990" s="37" t="str">
        <f t="shared" si="172"/>
        <v>EF00.1</v>
      </c>
      <c r="AA990" s="37" t="str">
        <f t="shared" si="174"/>
        <v>EF00.002</v>
      </c>
      <c r="AB990" s="498" t="str">
        <f t="shared" si="168"/>
        <v>EF019</v>
      </c>
      <c r="AC990" s="572"/>
      <c r="AD990" s="572"/>
      <c r="AE990" s="572"/>
      <c r="AF990" s="572"/>
    </row>
    <row r="991" spans="1:32">
      <c r="A991" s="947">
        <f t="shared" si="175"/>
        <v>984</v>
      </c>
      <c r="B991" s="948">
        <v>52</v>
      </c>
      <c r="C991" s="949">
        <v>39225</v>
      </c>
      <c r="D991" s="949" t="s">
        <v>177</v>
      </c>
      <c r="E991" s="904">
        <v>23</v>
      </c>
      <c r="F991" s="644">
        <v>2007</v>
      </c>
      <c r="G991" s="948" t="s">
        <v>137</v>
      </c>
      <c r="H991" s="645" t="s">
        <v>190</v>
      </c>
      <c r="I991" s="951">
        <v>100</v>
      </c>
      <c r="J991" s="951">
        <v>2</v>
      </c>
      <c r="K991" s="952">
        <f t="shared" si="173"/>
        <v>0.11363636363636363</v>
      </c>
      <c r="L991" s="644">
        <f t="shared" si="176"/>
        <v>20</v>
      </c>
      <c r="M991" s="935">
        <v>0.85277777777777775</v>
      </c>
      <c r="N991" s="936">
        <f t="shared" si="166"/>
        <v>0.85277777777777775</v>
      </c>
      <c r="O991" s="725">
        <v>0.85555555555555562</v>
      </c>
      <c r="P991" s="725">
        <f t="shared" si="169"/>
        <v>2.7777777777778789E-3</v>
      </c>
      <c r="Q991" s="622" t="s">
        <v>439</v>
      </c>
      <c r="R991" s="36"/>
      <c r="S991" s="37" t="str">
        <f t="shared" si="167"/>
        <v>RobertsEF0</v>
      </c>
      <c r="T991" s="37" t="str">
        <f t="shared" si="170"/>
        <v>2007EF0</v>
      </c>
      <c r="U991" s="429">
        <v>100</v>
      </c>
      <c r="V991" s="1029">
        <v>2</v>
      </c>
      <c r="W991" s="598">
        <v>0.1</v>
      </c>
      <c r="X991" s="429"/>
      <c r="Y991" s="37" t="str">
        <f t="shared" si="171"/>
        <v>EF0100</v>
      </c>
      <c r="Z991" s="37" t="str">
        <f t="shared" si="172"/>
        <v>EF02</v>
      </c>
      <c r="AA991" s="37" t="str">
        <f t="shared" si="174"/>
        <v>EF00.1</v>
      </c>
      <c r="AB991" s="498" t="str">
        <f t="shared" si="168"/>
        <v>EF020</v>
      </c>
      <c r="AC991" s="572"/>
      <c r="AD991" s="572"/>
      <c r="AE991" s="572"/>
      <c r="AF991" s="572"/>
    </row>
    <row r="992" spans="1:32">
      <c r="A992" s="947">
        <f t="shared" si="175"/>
        <v>985</v>
      </c>
      <c r="B992" s="948">
        <v>53</v>
      </c>
      <c r="C992" s="949">
        <v>39225</v>
      </c>
      <c r="D992" s="949" t="s">
        <v>177</v>
      </c>
      <c r="E992" s="904">
        <v>23</v>
      </c>
      <c r="F992" s="644">
        <v>2007</v>
      </c>
      <c r="G992" s="948" t="s">
        <v>132</v>
      </c>
      <c r="H992" s="645" t="s">
        <v>191</v>
      </c>
      <c r="I992" s="951">
        <v>880</v>
      </c>
      <c r="J992" s="951">
        <v>3</v>
      </c>
      <c r="K992" s="952">
        <f t="shared" si="173"/>
        <v>1.5</v>
      </c>
      <c r="L992" s="644">
        <f t="shared" si="176"/>
        <v>20</v>
      </c>
      <c r="M992" s="935">
        <v>0.86319444444444438</v>
      </c>
      <c r="N992" s="936">
        <f t="shared" si="166"/>
        <v>0.86319444444444438</v>
      </c>
      <c r="O992" s="725">
        <v>0.86805555555555547</v>
      </c>
      <c r="P992" s="725">
        <f t="shared" si="169"/>
        <v>4.8611111111110938E-3</v>
      </c>
      <c r="Q992" s="622" t="s">
        <v>411</v>
      </c>
      <c r="R992" s="36"/>
      <c r="S992" s="37" t="str">
        <f t="shared" si="167"/>
        <v>OchiltreeEF1</v>
      </c>
      <c r="T992" s="37" t="str">
        <f t="shared" si="170"/>
        <v>2007EF1</v>
      </c>
      <c r="U992" s="429">
        <v>500</v>
      </c>
      <c r="V992" s="1029">
        <v>2</v>
      </c>
      <c r="W992" s="598">
        <v>1</v>
      </c>
      <c r="X992" s="429"/>
      <c r="Y992" s="37" t="str">
        <f t="shared" si="171"/>
        <v>EF1500</v>
      </c>
      <c r="Z992" s="37" t="str">
        <f t="shared" si="172"/>
        <v>EF12</v>
      </c>
      <c r="AA992" s="37" t="str">
        <f t="shared" si="174"/>
        <v>EF11</v>
      </c>
      <c r="AB992" s="498" t="str">
        <f t="shared" si="168"/>
        <v>EF120</v>
      </c>
      <c r="AC992" s="572"/>
      <c r="AD992" s="572"/>
      <c r="AE992" s="572"/>
      <c r="AF992" s="572"/>
    </row>
    <row r="993" spans="1:32">
      <c r="A993" s="947">
        <f t="shared" si="175"/>
        <v>986</v>
      </c>
      <c r="B993" s="948">
        <v>54</v>
      </c>
      <c r="C993" s="949">
        <v>39225</v>
      </c>
      <c r="D993" s="949" t="s">
        <v>177</v>
      </c>
      <c r="E993" s="904">
        <v>23</v>
      </c>
      <c r="F993" s="644">
        <v>2007</v>
      </c>
      <c r="G993" s="948" t="s">
        <v>133</v>
      </c>
      <c r="H993" s="645" t="s">
        <v>189</v>
      </c>
      <c r="I993" s="951">
        <v>440</v>
      </c>
      <c r="J993" s="951">
        <v>7</v>
      </c>
      <c r="K993" s="952">
        <f t="shared" si="173"/>
        <v>1.75</v>
      </c>
      <c r="L993" s="644">
        <f t="shared" si="176"/>
        <v>21</v>
      </c>
      <c r="M993" s="935">
        <v>0.90277777777777779</v>
      </c>
      <c r="N993" s="936">
        <f t="shared" si="166"/>
        <v>0.90277777777777779</v>
      </c>
      <c r="O993" s="725">
        <v>0.90972222222222221</v>
      </c>
      <c r="P993" s="725">
        <f t="shared" si="169"/>
        <v>6.9444444444444198E-3</v>
      </c>
      <c r="Q993" s="622" t="s">
        <v>390</v>
      </c>
      <c r="R993" s="36"/>
      <c r="S993" s="37" t="str">
        <f t="shared" si="167"/>
        <v>LipscombEF2</v>
      </c>
      <c r="T993" s="37" t="str">
        <f t="shared" si="170"/>
        <v>2007EF2</v>
      </c>
      <c r="U993" s="429">
        <v>200</v>
      </c>
      <c r="V993" s="1029">
        <v>5</v>
      </c>
      <c r="W993" s="598">
        <v>1</v>
      </c>
      <c r="X993" s="429"/>
      <c r="Y993" s="37" t="str">
        <f t="shared" si="171"/>
        <v>EF2200</v>
      </c>
      <c r="Z993" s="37" t="str">
        <f t="shared" si="172"/>
        <v>EF25</v>
      </c>
      <c r="AA993" s="37" t="str">
        <f t="shared" si="174"/>
        <v>EF21</v>
      </c>
      <c r="AB993" s="498" t="str">
        <f t="shared" si="168"/>
        <v>EF221</v>
      </c>
      <c r="AC993" s="572"/>
      <c r="AD993" s="572"/>
      <c r="AE993" s="572"/>
      <c r="AF993" s="572"/>
    </row>
    <row r="994" spans="1:32">
      <c r="A994" s="947">
        <f t="shared" si="175"/>
        <v>987</v>
      </c>
      <c r="B994" s="948">
        <v>55</v>
      </c>
      <c r="C994" s="949">
        <v>39225</v>
      </c>
      <c r="D994" s="949" t="s">
        <v>177</v>
      </c>
      <c r="E994" s="904">
        <v>23</v>
      </c>
      <c r="F994" s="644">
        <v>2007</v>
      </c>
      <c r="G994" s="948" t="s">
        <v>133</v>
      </c>
      <c r="H994" s="645" t="s">
        <v>191</v>
      </c>
      <c r="I994" s="951">
        <v>150</v>
      </c>
      <c r="J994" s="951">
        <v>4</v>
      </c>
      <c r="K994" s="952">
        <f t="shared" si="173"/>
        <v>0.34090909090909088</v>
      </c>
      <c r="L994" s="644">
        <f t="shared" si="176"/>
        <v>21</v>
      </c>
      <c r="M994" s="935">
        <v>0.91319444444444453</v>
      </c>
      <c r="N994" s="936">
        <f t="shared" si="166"/>
        <v>0.91319444444444453</v>
      </c>
      <c r="O994" s="725">
        <v>0.92013888888888884</v>
      </c>
      <c r="P994" s="725">
        <f t="shared" si="169"/>
        <v>6.9444444444443088E-3</v>
      </c>
      <c r="Q994" s="622" t="s">
        <v>391</v>
      </c>
      <c r="R994" s="36"/>
      <c r="S994" s="37" t="str">
        <f t="shared" si="167"/>
        <v>LipscombEF1</v>
      </c>
      <c r="T994" s="37" t="str">
        <f t="shared" si="170"/>
        <v>2007EF1</v>
      </c>
      <c r="U994" s="429">
        <v>100</v>
      </c>
      <c r="V994" s="1029">
        <v>2</v>
      </c>
      <c r="W994" s="598">
        <v>0.2</v>
      </c>
      <c r="X994" s="429"/>
      <c r="Y994" s="37" t="str">
        <f t="shared" si="171"/>
        <v>EF1100</v>
      </c>
      <c r="Z994" s="37" t="str">
        <f t="shared" si="172"/>
        <v>EF12</v>
      </c>
      <c r="AA994" s="37" t="str">
        <f t="shared" si="174"/>
        <v>EF10.2</v>
      </c>
      <c r="AB994" s="498" t="str">
        <f t="shared" si="168"/>
        <v>EF121</v>
      </c>
      <c r="AC994" s="572"/>
      <c r="AD994" s="572"/>
      <c r="AE994" s="572"/>
      <c r="AF994" s="572"/>
    </row>
    <row r="995" spans="1:32">
      <c r="A995" s="947">
        <f t="shared" si="175"/>
        <v>988</v>
      </c>
      <c r="B995" s="948">
        <v>56</v>
      </c>
      <c r="C995" s="949">
        <v>39225</v>
      </c>
      <c r="D995" s="949" t="s">
        <v>177</v>
      </c>
      <c r="E995" s="904">
        <v>23</v>
      </c>
      <c r="F995" s="644">
        <v>2007</v>
      </c>
      <c r="G995" s="948" t="s">
        <v>133</v>
      </c>
      <c r="H995" s="645" t="s">
        <v>189</v>
      </c>
      <c r="I995" s="951">
        <v>528</v>
      </c>
      <c r="J995" s="951">
        <v>8</v>
      </c>
      <c r="K995" s="952">
        <f t="shared" si="173"/>
        <v>2.4</v>
      </c>
      <c r="L995" s="644">
        <f t="shared" si="176"/>
        <v>22</v>
      </c>
      <c r="M995" s="935">
        <v>0.9243055555555556</v>
      </c>
      <c r="N995" s="936">
        <f t="shared" si="166"/>
        <v>0.9243055555555556</v>
      </c>
      <c r="O995" s="725">
        <v>0.93472222222222223</v>
      </c>
      <c r="P995" s="725">
        <f t="shared" si="169"/>
        <v>1.041666666666663E-2</v>
      </c>
      <c r="Q995" s="622" t="s">
        <v>392</v>
      </c>
      <c r="R995" s="36"/>
      <c r="S995" s="37" t="str">
        <f t="shared" si="167"/>
        <v>LipscombEF2</v>
      </c>
      <c r="T995" s="37" t="str">
        <f t="shared" si="170"/>
        <v>2007EF2</v>
      </c>
      <c r="U995" s="429">
        <v>500</v>
      </c>
      <c r="V995" s="1029">
        <v>5</v>
      </c>
      <c r="W995" s="598">
        <v>2</v>
      </c>
      <c r="X995" s="429"/>
      <c r="Y995" s="37" t="str">
        <f t="shared" si="171"/>
        <v>EF2500</v>
      </c>
      <c r="Z995" s="37" t="str">
        <f t="shared" si="172"/>
        <v>EF25</v>
      </c>
      <c r="AA995" s="37" t="str">
        <f t="shared" si="174"/>
        <v>EF22</v>
      </c>
      <c r="AB995" s="498" t="str">
        <f t="shared" si="168"/>
        <v>EF222</v>
      </c>
      <c r="AC995" s="572"/>
      <c r="AD995" s="572"/>
      <c r="AE995" s="572"/>
      <c r="AF995" s="572"/>
    </row>
    <row r="996" spans="1:32" ht="25.5">
      <c r="A996" s="947">
        <f t="shared" si="175"/>
        <v>989</v>
      </c>
      <c r="B996" s="948">
        <v>57</v>
      </c>
      <c r="C996" s="949">
        <v>39233</v>
      </c>
      <c r="D996" s="949" t="s">
        <v>177</v>
      </c>
      <c r="E996" s="904">
        <v>31</v>
      </c>
      <c r="F996" s="644">
        <v>2007</v>
      </c>
      <c r="G996" s="948" t="s">
        <v>126</v>
      </c>
      <c r="H996" s="645" t="s">
        <v>190</v>
      </c>
      <c r="I996" s="951">
        <v>100</v>
      </c>
      <c r="J996" s="951">
        <v>0.1</v>
      </c>
      <c r="K996" s="952">
        <f t="shared" si="173"/>
        <v>5.681818181818182E-3</v>
      </c>
      <c r="L996" s="644">
        <f t="shared" si="176"/>
        <v>17</v>
      </c>
      <c r="M996" s="935">
        <v>0.74652777777777779</v>
      </c>
      <c r="N996" s="936">
        <f t="shared" si="166"/>
        <v>0.74652777777777779</v>
      </c>
      <c r="O996" s="725">
        <v>0.74652777777777779</v>
      </c>
      <c r="P996" s="725">
        <f t="shared" si="169"/>
        <v>0</v>
      </c>
      <c r="Q996" s="622" t="s">
        <v>109</v>
      </c>
      <c r="R996" s="36"/>
      <c r="S996" s="37" t="str">
        <f t="shared" si="167"/>
        <v>CimarronEF0</v>
      </c>
      <c r="T996" s="37" t="str">
        <f t="shared" si="170"/>
        <v>2007EF0</v>
      </c>
      <c r="U996" s="429">
        <v>100</v>
      </c>
      <c r="V996" s="1029">
        <v>0.1</v>
      </c>
      <c r="W996" s="598">
        <v>5.0000000000000001E-3</v>
      </c>
      <c r="X996" s="429"/>
      <c r="Y996" s="37" t="str">
        <f t="shared" si="171"/>
        <v>EF0100</v>
      </c>
      <c r="Z996" s="37" t="str">
        <f t="shared" si="172"/>
        <v>EF00.1</v>
      </c>
      <c r="AA996" s="37" t="str">
        <f t="shared" si="174"/>
        <v>EF00.005</v>
      </c>
      <c r="AB996" s="498" t="str">
        <f t="shared" si="168"/>
        <v>EF017</v>
      </c>
      <c r="AC996" s="572"/>
      <c r="AD996" s="572"/>
      <c r="AE996" s="572"/>
      <c r="AF996" s="572"/>
    </row>
    <row r="997" spans="1:32">
      <c r="A997" s="947">
        <f t="shared" si="175"/>
        <v>990</v>
      </c>
      <c r="B997" s="948">
        <v>58</v>
      </c>
      <c r="C997" s="949">
        <v>39233</v>
      </c>
      <c r="D997" s="949" t="s">
        <v>177</v>
      </c>
      <c r="E997" s="904">
        <v>31</v>
      </c>
      <c r="F997" s="644">
        <v>2007</v>
      </c>
      <c r="G997" s="948" t="s">
        <v>126</v>
      </c>
      <c r="H997" s="645" t="s">
        <v>190</v>
      </c>
      <c r="I997" s="951">
        <v>100</v>
      </c>
      <c r="J997" s="951">
        <v>0.3</v>
      </c>
      <c r="K997" s="952">
        <f t="shared" si="173"/>
        <v>1.7045454545454544E-2</v>
      </c>
      <c r="L997" s="644">
        <f t="shared" si="176"/>
        <v>18</v>
      </c>
      <c r="M997" s="935">
        <v>0.75763888888888886</v>
      </c>
      <c r="N997" s="936">
        <f t="shared" si="166"/>
        <v>0.75763888888888886</v>
      </c>
      <c r="O997" s="725">
        <v>0.7583333333333333</v>
      </c>
      <c r="P997" s="725">
        <f t="shared" si="169"/>
        <v>6.9444444444444198E-4</v>
      </c>
      <c r="Q997" s="622" t="s">
        <v>236</v>
      </c>
      <c r="R997" s="36"/>
      <c r="S997" s="37" t="str">
        <f t="shared" si="167"/>
        <v>CimarronEF0</v>
      </c>
      <c r="T997" s="37" t="str">
        <f t="shared" si="170"/>
        <v>2007EF0</v>
      </c>
      <c r="U997" s="429">
        <v>100</v>
      </c>
      <c r="V997" s="1029">
        <v>0.2</v>
      </c>
      <c r="W997" s="598">
        <v>0.01</v>
      </c>
      <c r="X997" s="429"/>
      <c r="Y997" s="37" t="str">
        <f t="shared" si="171"/>
        <v>EF0100</v>
      </c>
      <c r="Z997" s="37" t="str">
        <f t="shared" si="172"/>
        <v>EF00.2</v>
      </c>
      <c r="AA997" s="37" t="str">
        <f t="shared" si="174"/>
        <v>EF00.01</v>
      </c>
      <c r="AB997" s="498" t="str">
        <f t="shared" si="168"/>
        <v>EF018</v>
      </c>
      <c r="AC997" s="572"/>
      <c r="AD997" s="572"/>
      <c r="AE997" s="572"/>
      <c r="AF997" s="572"/>
    </row>
    <row r="998" spans="1:32" ht="25.5">
      <c r="A998" s="947">
        <f t="shared" si="175"/>
        <v>991</v>
      </c>
      <c r="B998" s="948">
        <v>59</v>
      </c>
      <c r="C998" s="949">
        <v>39233</v>
      </c>
      <c r="D998" s="949" t="s">
        <v>177</v>
      </c>
      <c r="E998" s="904">
        <v>31</v>
      </c>
      <c r="F998" s="644">
        <v>2007</v>
      </c>
      <c r="G998" s="948" t="s">
        <v>127</v>
      </c>
      <c r="H998" s="645" t="s">
        <v>190</v>
      </c>
      <c r="I998" s="951">
        <v>50</v>
      </c>
      <c r="J998" s="951">
        <v>0.1</v>
      </c>
      <c r="K998" s="952">
        <f t="shared" si="173"/>
        <v>2.840909090909091E-3</v>
      </c>
      <c r="L998" s="644">
        <f t="shared" si="176"/>
        <v>18</v>
      </c>
      <c r="M998" s="935">
        <v>0.77916666666666667</v>
      </c>
      <c r="N998" s="936">
        <f t="shared" si="166"/>
        <v>0.77916666666666667</v>
      </c>
      <c r="O998" s="725">
        <v>0.77916666666666667</v>
      </c>
      <c r="P998" s="725">
        <f t="shared" si="169"/>
        <v>0</v>
      </c>
      <c r="Q998" s="622" t="s">
        <v>110</v>
      </c>
      <c r="R998" s="36"/>
      <c r="S998" s="37" t="str">
        <f t="shared" si="167"/>
        <v>TexasEF0</v>
      </c>
      <c r="T998" s="37" t="str">
        <f t="shared" si="170"/>
        <v>2007EF0</v>
      </c>
      <c r="U998" s="429">
        <v>50</v>
      </c>
      <c r="V998" s="1029">
        <v>0.1</v>
      </c>
      <c r="W998" s="598">
        <v>2E-3</v>
      </c>
      <c r="X998" s="429"/>
      <c r="Y998" s="37" t="str">
        <f t="shared" si="171"/>
        <v>EF050</v>
      </c>
      <c r="Z998" s="37" t="str">
        <f t="shared" si="172"/>
        <v>EF00.1</v>
      </c>
      <c r="AA998" s="37" t="str">
        <f t="shared" si="174"/>
        <v>EF00.002</v>
      </c>
      <c r="AB998" s="498" t="str">
        <f t="shared" si="168"/>
        <v>EF018</v>
      </c>
      <c r="AC998" s="572"/>
      <c r="AD998" s="572"/>
      <c r="AE998" s="572"/>
      <c r="AF998" s="572"/>
    </row>
    <row r="999" spans="1:32" ht="25.5">
      <c r="A999" s="947">
        <f t="shared" si="175"/>
        <v>992</v>
      </c>
      <c r="B999" s="948">
        <v>60</v>
      </c>
      <c r="C999" s="949">
        <v>39233</v>
      </c>
      <c r="D999" s="949" t="s">
        <v>177</v>
      </c>
      <c r="E999" s="904">
        <v>31</v>
      </c>
      <c r="F999" s="644">
        <v>2007</v>
      </c>
      <c r="G999" s="948" t="s">
        <v>127</v>
      </c>
      <c r="H999" s="645" t="s">
        <v>190</v>
      </c>
      <c r="I999" s="951">
        <v>75</v>
      </c>
      <c r="J999" s="951">
        <v>0.1</v>
      </c>
      <c r="K999" s="952">
        <f t="shared" si="173"/>
        <v>4.261363636363636E-3</v>
      </c>
      <c r="L999" s="644">
        <f t="shared" si="176"/>
        <v>18</v>
      </c>
      <c r="M999" s="935">
        <v>0.78402777777777777</v>
      </c>
      <c r="N999" s="936">
        <f t="shared" si="166"/>
        <v>0.78402777777777777</v>
      </c>
      <c r="O999" s="725">
        <v>0.78402777777777777</v>
      </c>
      <c r="P999" s="725">
        <f t="shared" si="169"/>
        <v>0</v>
      </c>
      <c r="Q999" s="622" t="s">
        <v>111</v>
      </c>
      <c r="R999" s="36"/>
      <c r="S999" s="37" t="str">
        <f t="shared" si="167"/>
        <v>TexasEF0</v>
      </c>
      <c r="T999" s="37" t="str">
        <f t="shared" si="170"/>
        <v>2007EF0</v>
      </c>
      <c r="U999" s="429">
        <v>50</v>
      </c>
      <c r="V999" s="1029">
        <v>0.1</v>
      </c>
      <c r="W999" s="598">
        <v>2E-3</v>
      </c>
      <c r="X999" s="429"/>
      <c r="Y999" s="37" t="str">
        <f t="shared" si="171"/>
        <v>EF050</v>
      </c>
      <c r="Z999" s="37" t="str">
        <f t="shared" si="172"/>
        <v>EF00.1</v>
      </c>
      <c r="AA999" s="37" t="str">
        <f t="shared" si="174"/>
        <v>EF00.002</v>
      </c>
      <c r="AB999" s="498" t="str">
        <f t="shared" si="168"/>
        <v>EF018</v>
      </c>
      <c r="AC999" s="572"/>
      <c r="AD999" s="572"/>
      <c r="AE999" s="572"/>
      <c r="AF999" s="572"/>
    </row>
    <row r="1000" spans="1:32">
      <c r="A1000" s="947">
        <f t="shared" si="175"/>
        <v>993</v>
      </c>
      <c r="B1000" s="948">
        <v>61</v>
      </c>
      <c r="C1000" s="949">
        <v>39233</v>
      </c>
      <c r="D1000" s="949" t="s">
        <v>177</v>
      </c>
      <c r="E1000" s="904">
        <v>31</v>
      </c>
      <c r="F1000" s="644">
        <v>2007</v>
      </c>
      <c r="G1000" s="948" t="s">
        <v>127</v>
      </c>
      <c r="H1000" s="645" t="s">
        <v>190</v>
      </c>
      <c r="I1000" s="951">
        <v>150</v>
      </c>
      <c r="J1000" s="951">
        <v>0.5</v>
      </c>
      <c r="K1000" s="952">
        <f t="shared" si="173"/>
        <v>4.261363636363636E-2</v>
      </c>
      <c r="L1000" s="644">
        <f t="shared" si="176"/>
        <v>18</v>
      </c>
      <c r="M1000" s="935">
        <v>0.79027777777777775</v>
      </c>
      <c r="N1000" s="936">
        <f t="shared" si="166"/>
        <v>0.79027777777777775</v>
      </c>
      <c r="O1000" s="725">
        <v>0.79166666666666663</v>
      </c>
      <c r="P1000" s="725">
        <f t="shared" si="169"/>
        <v>1.388888888888884E-3</v>
      </c>
      <c r="Q1000" s="622" t="s">
        <v>262</v>
      </c>
      <c r="R1000" s="36"/>
      <c r="S1000" s="37" t="str">
        <f t="shared" si="167"/>
        <v>TexasEF0</v>
      </c>
      <c r="T1000" s="37" t="str">
        <f t="shared" si="170"/>
        <v>2007EF0</v>
      </c>
      <c r="U1000" s="429">
        <v>100</v>
      </c>
      <c r="V1000" s="1029">
        <v>0.5</v>
      </c>
      <c r="W1000" s="598">
        <v>0.02</v>
      </c>
      <c r="X1000" s="429"/>
      <c r="Y1000" s="37" t="str">
        <f t="shared" si="171"/>
        <v>EF0100</v>
      </c>
      <c r="Z1000" s="37" t="str">
        <f t="shared" si="172"/>
        <v>EF00.5</v>
      </c>
      <c r="AA1000" s="37" t="str">
        <f t="shared" si="174"/>
        <v>EF00.02</v>
      </c>
      <c r="AB1000" s="498" t="str">
        <f t="shared" si="168"/>
        <v>EF018</v>
      </c>
      <c r="AC1000" s="572"/>
      <c r="AD1000" s="572"/>
      <c r="AE1000" s="572"/>
      <c r="AF1000" s="572"/>
    </row>
    <row r="1001" spans="1:32">
      <c r="A1001" s="947">
        <f t="shared" si="175"/>
        <v>994</v>
      </c>
      <c r="B1001" s="948">
        <v>62</v>
      </c>
      <c r="C1001" s="949">
        <v>39233</v>
      </c>
      <c r="D1001" s="949" t="s">
        <v>177</v>
      </c>
      <c r="E1001" s="904">
        <v>31</v>
      </c>
      <c r="F1001" s="644">
        <v>2007</v>
      </c>
      <c r="G1001" s="948" t="s">
        <v>127</v>
      </c>
      <c r="H1001" s="645" t="s">
        <v>191</v>
      </c>
      <c r="I1001" s="951">
        <v>300</v>
      </c>
      <c r="J1001" s="951">
        <v>5.27</v>
      </c>
      <c r="K1001" s="952">
        <f t="shared" si="173"/>
        <v>0.89829545454545445</v>
      </c>
      <c r="L1001" s="644">
        <f t="shared" si="176"/>
        <v>19</v>
      </c>
      <c r="M1001" s="935">
        <v>0.79583333333333339</v>
      </c>
      <c r="N1001" s="936">
        <f t="shared" si="166"/>
        <v>0.79583333333333339</v>
      </c>
      <c r="O1001" s="725">
        <v>0.80347222222222225</v>
      </c>
      <c r="P1001" s="725">
        <f t="shared" si="169"/>
        <v>7.6388888888888618E-3</v>
      </c>
      <c r="Q1001" s="622" t="s">
        <v>263</v>
      </c>
      <c r="R1001" s="36"/>
      <c r="S1001" s="37" t="str">
        <f t="shared" si="167"/>
        <v>TexasEF1</v>
      </c>
      <c r="T1001" s="37" t="str">
        <f t="shared" si="170"/>
        <v>2007EF1</v>
      </c>
      <c r="U1001" s="429">
        <v>200</v>
      </c>
      <c r="V1001" s="1029">
        <v>5</v>
      </c>
      <c r="W1001" s="598">
        <v>0.5</v>
      </c>
      <c r="X1001" s="429"/>
      <c r="Y1001" s="37" t="str">
        <f t="shared" si="171"/>
        <v>EF1200</v>
      </c>
      <c r="Z1001" s="37" t="str">
        <f t="shared" si="172"/>
        <v>EF15</v>
      </c>
      <c r="AA1001" s="37" t="str">
        <f t="shared" si="174"/>
        <v>EF10.5</v>
      </c>
      <c r="AB1001" s="498" t="str">
        <f t="shared" si="168"/>
        <v>EF119</v>
      </c>
      <c r="AC1001" s="572"/>
      <c r="AD1001" s="572"/>
      <c r="AE1001" s="572"/>
      <c r="AF1001" s="572"/>
    </row>
    <row r="1002" spans="1:32">
      <c r="A1002" s="947">
        <f t="shared" si="175"/>
        <v>995</v>
      </c>
      <c r="B1002" s="948">
        <v>63</v>
      </c>
      <c r="C1002" s="949">
        <v>39233</v>
      </c>
      <c r="D1002" s="949" t="s">
        <v>177</v>
      </c>
      <c r="E1002" s="904">
        <v>31</v>
      </c>
      <c r="F1002" s="644">
        <v>2007</v>
      </c>
      <c r="G1002" s="948" t="s">
        <v>127</v>
      </c>
      <c r="H1002" s="645" t="s">
        <v>190</v>
      </c>
      <c r="I1002" s="951">
        <v>75</v>
      </c>
      <c r="J1002" s="951">
        <v>0.1</v>
      </c>
      <c r="K1002" s="952">
        <f t="shared" si="173"/>
        <v>4.261363636363636E-3</v>
      </c>
      <c r="L1002" s="644">
        <f t="shared" si="176"/>
        <v>19</v>
      </c>
      <c r="M1002" s="935">
        <v>0.80833333333333324</v>
      </c>
      <c r="N1002" s="936">
        <f t="shared" si="166"/>
        <v>0.80833333333333324</v>
      </c>
      <c r="O1002" s="725">
        <v>0.80902777777777779</v>
      </c>
      <c r="P1002" s="725">
        <f t="shared" si="169"/>
        <v>6.94444444444553E-4</v>
      </c>
      <c r="Q1002" s="622" t="s">
        <v>264</v>
      </c>
      <c r="R1002" s="36"/>
      <c r="S1002" s="37" t="str">
        <f t="shared" si="167"/>
        <v>TexasEF0</v>
      </c>
      <c r="T1002" s="37" t="str">
        <f t="shared" si="170"/>
        <v>2007EF0</v>
      </c>
      <c r="U1002" s="429">
        <v>50</v>
      </c>
      <c r="V1002" s="1029">
        <v>0.1</v>
      </c>
      <c r="W1002" s="598">
        <v>2E-3</v>
      </c>
      <c r="X1002" s="429"/>
      <c r="Y1002" s="37" t="str">
        <f t="shared" si="171"/>
        <v>EF050</v>
      </c>
      <c r="Z1002" s="37" t="str">
        <f t="shared" si="172"/>
        <v>EF00.1</v>
      </c>
      <c r="AA1002" s="37" t="str">
        <f t="shared" si="174"/>
        <v>EF00.002</v>
      </c>
      <c r="AB1002" s="498" t="str">
        <f t="shared" si="168"/>
        <v>EF019</v>
      </c>
      <c r="AC1002" s="572"/>
      <c r="AD1002" s="572"/>
      <c r="AE1002" s="572"/>
      <c r="AF1002" s="572"/>
    </row>
    <row r="1003" spans="1:32">
      <c r="A1003" s="947">
        <f t="shared" si="175"/>
        <v>996</v>
      </c>
      <c r="B1003" s="948">
        <v>64</v>
      </c>
      <c r="C1003" s="949">
        <v>39252</v>
      </c>
      <c r="D1003" s="949" t="s">
        <v>178</v>
      </c>
      <c r="E1003" s="904">
        <v>19</v>
      </c>
      <c r="F1003" s="644">
        <v>2007</v>
      </c>
      <c r="G1003" s="948" t="s">
        <v>127</v>
      </c>
      <c r="H1003" s="645" t="s">
        <v>190</v>
      </c>
      <c r="I1003" s="951">
        <v>50</v>
      </c>
      <c r="J1003" s="951">
        <v>2.2400000000000002</v>
      </c>
      <c r="K1003" s="952">
        <f t="shared" si="173"/>
        <v>6.3636363636363644E-2</v>
      </c>
      <c r="L1003" s="644">
        <f t="shared" si="176"/>
        <v>20</v>
      </c>
      <c r="M1003" s="935">
        <v>0.85972222222222217</v>
      </c>
      <c r="N1003" s="936">
        <f t="shared" si="166"/>
        <v>0.85972222222222217</v>
      </c>
      <c r="O1003" s="725">
        <v>0.86458333333333337</v>
      </c>
      <c r="P1003" s="725">
        <f t="shared" si="169"/>
        <v>4.8611111111112049E-3</v>
      </c>
      <c r="Q1003" s="622" t="s">
        <v>265</v>
      </c>
      <c r="R1003" s="36"/>
      <c r="S1003" s="37" t="str">
        <f t="shared" si="167"/>
        <v>TexasEF0</v>
      </c>
      <c r="T1003" s="37" t="str">
        <f t="shared" si="170"/>
        <v>2007EF0</v>
      </c>
      <c r="U1003" s="429">
        <v>50</v>
      </c>
      <c r="V1003" s="1029">
        <v>2</v>
      </c>
      <c r="W1003" s="598">
        <v>0.05</v>
      </c>
      <c r="X1003" s="429"/>
      <c r="Y1003" s="37" t="str">
        <f t="shared" si="171"/>
        <v>EF050</v>
      </c>
      <c r="Z1003" s="37" t="str">
        <f t="shared" si="172"/>
        <v>EF02</v>
      </c>
      <c r="AA1003" s="37" t="str">
        <f t="shared" si="174"/>
        <v>EF00.05</v>
      </c>
      <c r="AB1003" s="498" t="str">
        <f t="shared" si="168"/>
        <v>EF020</v>
      </c>
      <c r="AC1003" s="572"/>
      <c r="AD1003" s="572"/>
      <c r="AE1003" s="572"/>
      <c r="AF1003" s="572"/>
    </row>
    <row r="1004" spans="1:32">
      <c r="A1004" s="947">
        <f t="shared" si="175"/>
        <v>997</v>
      </c>
      <c r="B1004" s="948">
        <v>65</v>
      </c>
      <c r="C1004" s="949">
        <v>39372</v>
      </c>
      <c r="D1004" s="949" t="s">
        <v>182</v>
      </c>
      <c r="E1004" s="904">
        <v>17</v>
      </c>
      <c r="F1004" s="644">
        <v>2007</v>
      </c>
      <c r="G1004" s="948" t="s">
        <v>145</v>
      </c>
      <c r="H1004" s="645" t="s">
        <v>191</v>
      </c>
      <c r="I1004" s="951">
        <v>300</v>
      </c>
      <c r="J1004" s="951">
        <v>11.46</v>
      </c>
      <c r="K1004" s="952">
        <f t="shared" si="173"/>
        <v>1.9534090909090909</v>
      </c>
      <c r="L1004" s="644">
        <f t="shared" si="176"/>
        <v>23</v>
      </c>
      <c r="M1004" s="935">
        <v>0.96944444444444444</v>
      </c>
      <c r="N1004" s="936">
        <f t="shared" si="166"/>
        <v>0.96944444444444444</v>
      </c>
      <c r="O1004" s="725">
        <v>0.98263888888888884</v>
      </c>
      <c r="P1004" s="725">
        <f t="shared" si="169"/>
        <v>1.3194444444444398E-2</v>
      </c>
      <c r="Q1004" s="622" t="s">
        <v>467</v>
      </c>
      <c r="R1004" s="36"/>
      <c r="S1004" s="37" t="str">
        <f t="shared" si="167"/>
        <v>RandallEF1</v>
      </c>
      <c r="T1004" s="37" t="str">
        <f t="shared" si="170"/>
        <v>2007EF1</v>
      </c>
      <c r="U1004" s="429">
        <v>200</v>
      </c>
      <c r="V1004" s="1029">
        <v>10</v>
      </c>
      <c r="W1004" s="598">
        <v>1</v>
      </c>
      <c r="X1004" s="429"/>
      <c r="Y1004" s="37" t="str">
        <f t="shared" si="171"/>
        <v>EF1200</v>
      </c>
      <c r="Z1004" s="37" t="str">
        <f t="shared" si="172"/>
        <v>EF110</v>
      </c>
      <c r="AA1004" s="37" t="str">
        <f t="shared" si="174"/>
        <v>EF11</v>
      </c>
      <c r="AB1004" s="498" t="str">
        <f t="shared" si="168"/>
        <v>EF123</v>
      </c>
      <c r="AC1004" s="572"/>
      <c r="AD1004" s="572"/>
      <c r="AE1004" s="572"/>
      <c r="AF1004" s="572"/>
    </row>
    <row r="1005" spans="1:32">
      <c r="A1005" s="947">
        <f t="shared" si="175"/>
        <v>998</v>
      </c>
      <c r="B1005" s="948">
        <v>1</v>
      </c>
      <c r="C1005" s="949">
        <v>39564</v>
      </c>
      <c r="D1005" s="949" t="s">
        <v>176</v>
      </c>
      <c r="E1005" s="904">
        <v>26</v>
      </c>
      <c r="F1005" s="644">
        <v>2008</v>
      </c>
      <c r="G1005" s="948" t="s">
        <v>132</v>
      </c>
      <c r="H1005" s="645" t="s">
        <v>190</v>
      </c>
      <c r="I1005" s="951">
        <v>20</v>
      </c>
      <c r="J1005" s="951">
        <v>0.1</v>
      </c>
      <c r="K1005" s="952">
        <f t="shared" si="173"/>
        <v>1.1363636363636365E-3</v>
      </c>
      <c r="L1005" s="644">
        <f t="shared" si="176"/>
        <v>13</v>
      </c>
      <c r="M1005" s="935">
        <v>0.5625</v>
      </c>
      <c r="N1005" s="936">
        <f t="shared" si="166"/>
        <v>0.5625</v>
      </c>
      <c r="O1005" s="725">
        <v>0.56597222222222221</v>
      </c>
      <c r="P1005" s="725">
        <f t="shared" si="169"/>
        <v>3.4722222222222099E-3</v>
      </c>
      <c r="Q1005" s="622" t="s">
        <v>412</v>
      </c>
      <c r="R1005" s="36"/>
      <c r="S1005" s="37" t="str">
        <f t="shared" si="167"/>
        <v>OchiltreeEF0</v>
      </c>
      <c r="T1005" s="37" t="str">
        <f t="shared" si="170"/>
        <v>2008EF0</v>
      </c>
      <c r="U1005" s="429">
        <v>20</v>
      </c>
      <c r="V1005" s="1029">
        <v>0.1</v>
      </c>
      <c r="W1005" s="598">
        <v>1E-3</v>
      </c>
      <c r="X1005" s="429"/>
      <c r="Y1005" s="37" t="str">
        <f t="shared" si="171"/>
        <v>EF020</v>
      </c>
      <c r="Z1005" s="37" t="str">
        <f t="shared" si="172"/>
        <v>EF00.1</v>
      </c>
      <c r="AA1005" s="37" t="str">
        <f t="shared" si="174"/>
        <v>EF00.001</v>
      </c>
      <c r="AB1005" s="498" t="str">
        <f t="shared" si="168"/>
        <v>EF013</v>
      </c>
      <c r="AC1005" s="572"/>
      <c r="AD1005" s="572"/>
      <c r="AE1005" s="572"/>
      <c r="AF1005" s="572"/>
    </row>
    <row r="1006" spans="1:32">
      <c r="A1006" s="947">
        <f t="shared" si="175"/>
        <v>999</v>
      </c>
      <c r="B1006" s="948">
        <v>2</v>
      </c>
      <c r="C1006" s="949">
        <v>39593</v>
      </c>
      <c r="D1006" s="949" t="s">
        <v>177</v>
      </c>
      <c r="E1006" s="904">
        <v>25</v>
      </c>
      <c r="F1006" s="644">
        <v>2008</v>
      </c>
      <c r="G1006" s="948" t="s">
        <v>134</v>
      </c>
      <c r="H1006" s="645" t="s">
        <v>190</v>
      </c>
      <c r="I1006" s="951">
        <v>50</v>
      </c>
      <c r="J1006" s="951">
        <v>1.73</v>
      </c>
      <c r="K1006" s="952">
        <f t="shared" si="173"/>
        <v>4.9147727272727273E-2</v>
      </c>
      <c r="L1006" s="644">
        <f t="shared" si="176"/>
        <v>14</v>
      </c>
      <c r="M1006" s="935">
        <v>0.60347222222222219</v>
      </c>
      <c r="N1006" s="936">
        <f t="shared" si="166"/>
        <v>0.60347222222222219</v>
      </c>
      <c r="O1006" s="725">
        <v>0.60763888888888895</v>
      </c>
      <c r="P1006" s="725">
        <f t="shared" si="169"/>
        <v>4.1666666666667629E-3</v>
      </c>
      <c r="Q1006" s="634" t="s">
        <v>207</v>
      </c>
      <c r="R1006" s="36"/>
      <c r="S1006" s="37" t="str">
        <f t="shared" si="167"/>
        <v>HartleyEF0</v>
      </c>
      <c r="T1006" s="37" t="str">
        <f t="shared" si="170"/>
        <v>2008EF0</v>
      </c>
      <c r="U1006" s="429">
        <v>50</v>
      </c>
      <c r="V1006" s="1029">
        <v>1</v>
      </c>
      <c r="W1006" s="598">
        <v>0.02</v>
      </c>
      <c r="X1006" s="429"/>
      <c r="Y1006" s="37" t="str">
        <f t="shared" si="171"/>
        <v>EF050</v>
      </c>
      <c r="Z1006" s="37" t="str">
        <f t="shared" si="172"/>
        <v>EF01</v>
      </c>
      <c r="AA1006" s="37" t="str">
        <f t="shared" si="174"/>
        <v>EF00.02</v>
      </c>
      <c r="AB1006" s="498" t="str">
        <f t="shared" si="168"/>
        <v>EF014</v>
      </c>
      <c r="AC1006" s="572"/>
      <c r="AD1006" s="572"/>
      <c r="AE1006" s="572"/>
      <c r="AF1006" s="572"/>
    </row>
    <row r="1007" spans="1:32" ht="25.5">
      <c r="A1007" s="947">
        <f t="shared" si="175"/>
        <v>1000</v>
      </c>
      <c r="B1007" s="948">
        <v>3</v>
      </c>
      <c r="C1007" s="949">
        <v>39593</v>
      </c>
      <c r="D1007" s="949" t="s">
        <v>177</v>
      </c>
      <c r="E1007" s="904">
        <v>25</v>
      </c>
      <c r="F1007" s="644">
        <v>2008</v>
      </c>
      <c r="G1007" s="948" t="s">
        <v>134</v>
      </c>
      <c r="H1007" s="645" t="s">
        <v>190</v>
      </c>
      <c r="I1007" s="951">
        <v>75</v>
      </c>
      <c r="J1007" s="951">
        <v>5.31</v>
      </c>
      <c r="K1007" s="952">
        <f t="shared" si="173"/>
        <v>0.22627840909090904</v>
      </c>
      <c r="L1007" s="644">
        <f t="shared" si="176"/>
        <v>14</v>
      </c>
      <c r="M1007" s="935">
        <v>0.60902777777777783</v>
      </c>
      <c r="N1007" s="936">
        <f t="shared" si="166"/>
        <v>0.60902777777777783</v>
      </c>
      <c r="O1007" s="725">
        <v>0.61388888888888882</v>
      </c>
      <c r="P1007" s="725">
        <f t="shared" si="169"/>
        <v>4.8611111111109828E-3</v>
      </c>
      <c r="Q1007" s="634" t="s">
        <v>783</v>
      </c>
      <c r="R1007" s="36"/>
      <c r="S1007" s="37" t="str">
        <f t="shared" si="167"/>
        <v>HartleyEF0</v>
      </c>
      <c r="T1007" s="37" t="str">
        <f t="shared" si="170"/>
        <v>2008EF0</v>
      </c>
      <c r="U1007" s="429">
        <v>50</v>
      </c>
      <c r="V1007" s="1029">
        <v>5</v>
      </c>
      <c r="W1007" s="598">
        <v>0.2</v>
      </c>
      <c r="X1007" s="429"/>
      <c r="Y1007" s="37" t="str">
        <f t="shared" si="171"/>
        <v>EF050</v>
      </c>
      <c r="Z1007" s="37" t="str">
        <f t="shared" si="172"/>
        <v>EF05</v>
      </c>
      <c r="AA1007" s="37" t="str">
        <f t="shared" si="174"/>
        <v>EF00.2</v>
      </c>
      <c r="AB1007" s="498" t="str">
        <f t="shared" si="168"/>
        <v>EF014</v>
      </c>
      <c r="AC1007" s="572"/>
      <c r="AD1007" s="572"/>
      <c r="AE1007" s="572"/>
      <c r="AF1007" s="572"/>
    </row>
    <row r="1008" spans="1:32" ht="25.5">
      <c r="A1008" s="947">
        <f t="shared" si="175"/>
        <v>1001</v>
      </c>
      <c r="B1008" s="948">
        <v>4</v>
      </c>
      <c r="C1008" s="949">
        <v>39593</v>
      </c>
      <c r="D1008" s="949" t="s">
        <v>177</v>
      </c>
      <c r="E1008" s="904">
        <v>25</v>
      </c>
      <c r="F1008" s="644">
        <v>2008</v>
      </c>
      <c r="G1008" s="948" t="s">
        <v>135</v>
      </c>
      <c r="H1008" s="645" t="s">
        <v>190</v>
      </c>
      <c r="I1008" s="951">
        <v>75</v>
      </c>
      <c r="J1008" s="951">
        <v>2.34</v>
      </c>
      <c r="K1008" s="952">
        <f t="shared" si="173"/>
        <v>9.9715909090909077E-2</v>
      </c>
      <c r="L1008" s="644">
        <f t="shared" si="176"/>
        <v>14</v>
      </c>
      <c r="M1008" s="935">
        <v>0.61388888888888882</v>
      </c>
      <c r="N1008" s="936">
        <f t="shared" si="166"/>
        <v>0.61388888888888882</v>
      </c>
      <c r="O1008" s="725">
        <v>0.61736111111111114</v>
      </c>
      <c r="P1008" s="725">
        <f t="shared" si="169"/>
        <v>3.4722222222223209E-3</v>
      </c>
      <c r="Q1008" s="634" t="s">
        <v>784</v>
      </c>
      <c r="R1008" s="36"/>
      <c r="S1008" s="37" t="str">
        <f t="shared" si="167"/>
        <v>MooreEF0</v>
      </c>
      <c r="T1008" s="37" t="str">
        <f t="shared" si="170"/>
        <v>2008EF0</v>
      </c>
      <c r="U1008" s="429">
        <v>50</v>
      </c>
      <c r="V1008" s="1029">
        <v>2</v>
      </c>
      <c r="W1008" s="598">
        <v>0.1</v>
      </c>
      <c r="X1008" s="429"/>
      <c r="Y1008" s="37" t="str">
        <f t="shared" si="171"/>
        <v>EF050</v>
      </c>
      <c r="Z1008" s="37" t="str">
        <f t="shared" si="172"/>
        <v>EF02</v>
      </c>
      <c r="AA1008" s="37" t="str">
        <f t="shared" si="174"/>
        <v>EF00.1</v>
      </c>
      <c r="AB1008" s="498" t="str">
        <f t="shared" si="168"/>
        <v>EF014</v>
      </c>
      <c r="AC1008" s="572"/>
      <c r="AD1008" s="572"/>
      <c r="AE1008" s="572"/>
      <c r="AF1008" s="572"/>
    </row>
    <row r="1009" spans="1:32">
      <c r="A1009" s="947">
        <f t="shared" si="175"/>
        <v>1002</v>
      </c>
      <c r="B1009" s="948">
        <v>5</v>
      </c>
      <c r="C1009" s="949">
        <v>39593</v>
      </c>
      <c r="D1009" s="949" t="s">
        <v>177</v>
      </c>
      <c r="E1009" s="904">
        <v>25</v>
      </c>
      <c r="F1009" s="644">
        <v>2008</v>
      </c>
      <c r="G1009" s="948" t="s">
        <v>136</v>
      </c>
      <c r="H1009" s="645" t="s">
        <v>190</v>
      </c>
      <c r="I1009" s="951">
        <v>50</v>
      </c>
      <c r="J1009" s="951">
        <v>0.5</v>
      </c>
      <c r="K1009" s="952">
        <f t="shared" si="173"/>
        <v>1.4204545454545454E-2</v>
      </c>
      <c r="L1009" s="644">
        <f t="shared" si="176"/>
        <v>15</v>
      </c>
      <c r="M1009" s="935">
        <v>0.66180555555555554</v>
      </c>
      <c r="N1009" s="936">
        <f t="shared" si="166"/>
        <v>0.66180555555555554</v>
      </c>
      <c r="O1009" s="725">
        <v>0.66249999999999998</v>
      </c>
      <c r="P1009" s="725">
        <f t="shared" si="169"/>
        <v>6.9444444444444198E-4</v>
      </c>
      <c r="Q1009" s="634" t="s">
        <v>206</v>
      </c>
      <c r="R1009" s="36"/>
      <c r="S1009" s="37" t="str">
        <f t="shared" si="167"/>
        <v>HutchinsonEF0</v>
      </c>
      <c r="T1009" s="37" t="str">
        <f t="shared" si="170"/>
        <v>2008EF0</v>
      </c>
      <c r="U1009" s="429">
        <v>50</v>
      </c>
      <c r="V1009" s="1029">
        <v>0.5</v>
      </c>
      <c r="W1009" s="598">
        <v>0.01</v>
      </c>
      <c r="X1009" s="429"/>
      <c r="Y1009" s="37" t="str">
        <f t="shared" si="171"/>
        <v>EF050</v>
      </c>
      <c r="Z1009" s="37" t="str">
        <f t="shared" si="172"/>
        <v>EF00.5</v>
      </c>
      <c r="AA1009" s="37" t="str">
        <f t="shared" si="174"/>
        <v>EF00.01</v>
      </c>
      <c r="AB1009" s="498" t="str">
        <f t="shared" si="168"/>
        <v>EF015</v>
      </c>
      <c r="AC1009" s="572"/>
      <c r="AD1009" s="572"/>
      <c r="AE1009" s="572"/>
      <c r="AF1009" s="572"/>
    </row>
    <row r="1010" spans="1:32">
      <c r="A1010" s="947">
        <f t="shared" si="175"/>
        <v>1003</v>
      </c>
      <c r="B1010" s="948">
        <v>6</v>
      </c>
      <c r="C1010" s="949">
        <v>39594</v>
      </c>
      <c r="D1010" s="949" t="s">
        <v>177</v>
      </c>
      <c r="E1010" s="904">
        <v>26</v>
      </c>
      <c r="F1010" s="644">
        <v>2008</v>
      </c>
      <c r="G1010" s="948" t="s">
        <v>148</v>
      </c>
      <c r="H1010" s="645" t="s">
        <v>190</v>
      </c>
      <c r="I1010" s="951">
        <v>25</v>
      </c>
      <c r="J1010" s="951">
        <v>0.05</v>
      </c>
      <c r="K1010" s="952">
        <f t="shared" si="173"/>
        <v>7.1022727272727275E-4</v>
      </c>
      <c r="L1010" s="644">
        <f t="shared" si="176"/>
        <v>17</v>
      </c>
      <c r="M1010" s="935">
        <v>0.72638888888888886</v>
      </c>
      <c r="N1010" s="936">
        <f t="shared" si="166"/>
        <v>0.72638888888888886</v>
      </c>
      <c r="O1010" s="725">
        <v>0.7270833333333333</v>
      </c>
      <c r="P1010" s="725">
        <f t="shared" si="169"/>
        <v>6.9444444444444198E-4</v>
      </c>
      <c r="Q1010" s="634" t="s">
        <v>208</v>
      </c>
      <c r="R1010" s="36"/>
      <c r="S1010" s="37" t="str">
        <f t="shared" si="167"/>
        <v>CollingsworthEF0</v>
      </c>
      <c r="T1010" s="37" t="str">
        <f t="shared" si="170"/>
        <v>2008EF0</v>
      </c>
      <c r="U1010" s="429">
        <v>20</v>
      </c>
      <c r="V1010" s="1029">
        <v>0</v>
      </c>
      <c r="W1010" s="598">
        <v>1E-3</v>
      </c>
      <c r="X1010" s="429"/>
      <c r="Y1010" s="37" t="str">
        <f t="shared" si="171"/>
        <v>EF020</v>
      </c>
      <c r="Z1010" s="37" t="str">
        <f t="shared" si="172"/>
        <v>EF00</v>
      </c>
      <c r="AA1010" s="37" t="str">
        <f t="shared" si="174"/>
        <v>EF00.001</v>
      </c>
      <c r="AB1010" s="498" t="str">
        <f t="shared" si="168"/>
        <v>EF017</v>
      </c>
      <c r="AC1010" s="572"/>
      <c r="AD1010" s="572"/>
      <c r="AE1010" s="572"/>
      <c r="AF1010" s="572"/>
    </row>
    <row r="1011" spans="1:32">
      <c r="A1011" s="947">
        <f t="shared" si="175"/>
        <v>1004</v>
      </c>
      <c r="B1011" s="948">
        <v>7</v>
      </c>
      <c r="C1011" s="949">
        <v>39594</v>
      </c>
      <c r="D1011" s="949" t="s">
        <v>177</v>
      </c>
      <c r="E1011" s="904">
        <v>26</v>
      </c>
      <c r="F1011" s="644">
        <v>2008</v>
      </c>
      <c r="G1011" s="948" t="s">
        <v>148</v>
      </c>
      <c r="H1011" s="645" t="s">
        <v>190</v>
      </c>
      <c r="I1011" s="951">
        <v>25</v>
      </c>
      <c r="J1011" s="951">
        <v>0.04</v>
      </c>
      <c r="K1011" s="952">
        <f t="shared" si="173"/>
        <v>5.6818181818181815E-4</v>
      </c>
      <c r="L1011" s="644">
        <f t="shared" si="176"/>
        <v>17</v>
      </c>
      <c r="M1011" s="935">
        <v>0.73819444444444438</v>
      </c>
      <c r="N1011" s="936">
        <f t="shared" si="166"/>
        <v>0.73819444444444438</v>
      </c>
      <c r="O1011" s="725">
        <v>0.73888888888888893</v>
      </c>
      <c r="P1011" s="725">
        <f t="shared" si="169"/>
        <v>6.94444444444553E-4</v>
      </c>
      <c r="Q1011" s="634" t="s">
        <v>209</v>
      </c>
      <c r="R1011" s="36"/>
      <c r="S1011" s="37" t="str">
        <f t="shared" si="167"/>
        <v>CollingsworthEF0</v>
      </c>
      <c r="T1011" s="37" t="str">
        <f t="shared" si="170"/>
        <v>2008EF0</v>
      </c>
      <c r="U1011" s="429">
        <v>20</v>
      </c>
      <c r="V1011" s="1029">
        <v>0</v>
      </c>
      <c r="W1011" s="598">
        <v>1E-3</v>
      </c>
      <c r="X1011" s="429"/>
      <c r="Y1011" s="37" t="str">
        <f t="shared" si="171"/>
        <v>EF020</v>
      </c>
      <c r="Z1011" s="37" t="str">
        <f t="shared" si="172"/>
        <v>EF00</v>
      </c>
      <c r="AA1011" s="37" t="str">
        <f t="shared" si="174"/>
        <v>EF00.001</v>
      </c>
      <c r="AB1011" s="498" t="str">
        <f t="shared" si="168"/>
        <v>EF017</v>
      </c>
      <c r="AC1011" s="572"/>
      <c r="AD1011" s="572"/>
      <c r="AE1011" s="572"/>
      <c r="AF1011" s="572"/>
    </row>
    <row r="1012" spans="1:32">
      <c r="A1012" s="947">
        <f t="shared" si="175"/>
        <v>1005</v>
      </c>
      <c r="B1012" s="948">
        <v>8</v>
      </c>
      <c r="C1012" s="971">
        <v>39613</v>
      </c>
      <c r="D1012" s="949" t="s">
        <v>178</v>
      </c>
      <c r="E1012" s="904">
        <v>14</v>
      </c>
      <c r="F1012" s="644">
        <v>2008</v>
      </c>
      <c r="G1012" s="948" t="s">
        <v>146</v>
      </c>
      <c r="H1012" s="645" t="s">
        <v>190</v>
      </c>
      <c r="I1012" s="951">
        <v>20</v>
      </c>
      <c r="J1012" s="951">
        <v>0.16</v>
      </c>
      <c r="K1012" s="952">
        <f t="shared" si="173"/>
        <v>1.8181818181818182E-3</v>
      </c>
      <c r="L1012" s="644">
        <f t="shared" si="176"/>
        <v>16</v>
      </c>
      <c r="M1012" s="935">
        <v>0.69791666666666663</v>
      </c>
      <c r="N1012" s="936">
        <f t="shared" si="166"/>
        <v>0.69791666666666663</v>
      </c>
      <c r="O1012" s="725">
        <v>0.69861111111111107</v>
      </c>
      <c r="P1012" s="725">
        <f t="shared" si="169"/>
        <v>6.9444444444444198E-4</v>
      </c>
      <c r="Q1012" s="634" t="s">
        <v>232</v>
      </c>
      <c r="R1012" s="36"/>
      <c r="S1012" s="37" t="str">
        <f t="shared" si="167"/>
        <v>ArmstrongEF0</v>
      </c>
      <c r="T1012" s="37" t="str">
        <f t="shared" si="170"/>
        <v>2008EF0</v>
      </c>
      <c r="U1012" s="429">
        <v>20</v>
      </c>
      <c r="V1012" s="1029">
        <v>0.1</v>
      </c>
      <c r="W1012" s="598">
        <v>2E-3</v>
      </c>
      <c r="X1012" s="429"/>
      <c r="Y1012" s="37" t="str">
        <f t="shared" si="171"/>
        <v>EF020</v>
      </c>
      <c r="Z1012" s="37" t="str">
        <f t="shared" si="172"/>
        <v>EF00.1</v>
      </c>
      <c r="AA1012" s="37" t="str">
        <f t="shared" si="174"/>
        <v>EF00.002</v>
      </c>
      <c r="AB1012" s="498" t="str">
        <f t="shared" si="168"/>
        <v>EF016</v>
      </c>
      <c r="AC1012" s="572"/>
      <c r="AD1012" s="572"/>
      <c r="AE1012" s="572"/>
      <c r="AF1012" s="572"/>
    </row>
    <row r="1013" spans="1:32" ht="15" customHeight="1">
      <c r="A1013" s="947">
        <f t="shared" si="175"/>
        <v>1006</v>
      </c>
      <c r="B1013" s="948">
        <v>9</v>
      </c>
      <c r="C1013" s="949">
        <v>39614</v>
      </c>
      <c r="D1013" s="949" t="s">
        <v>178</v>
      </c>
      <c r="E1013" s="904">
        <v>15</v>
      </c>
      <c r="F1013" s="644">
        <v>2008</v>
      </c>
      <c r="G1013" s="948" t="s">
        <v>128</v>
      </c>
      <c r="H1013" s="645" t="s">
        <v>190</v>
      </c>
      <c r="I1013" s="951">
        <v>50</v>
      </c>
      <c r="J1013" s="951">
        <v>3.2</v>
      </c>
      <c r="K1013" s="952">
        <f t="shared" si="173"/>
        <v>9.0909090909090912E-2</v>
      </c>
      <c r="L1013" s="644">
        <f t="shared" si="176"/>
        <v>17</v>
      </c>
      <c r="M1013" s="935">
        <v>0.73402777777777783</v>
      </c>
      <c r="N1013" s="936">
        <f t="shared" si="166"/>
        <v>0.73402777777777783</v>
      </c>
      <c r="O1013" s="725">
        <v>0.74861111111111101</v>
      </c>
      <c r="P1013" s="725">
        <f t="shared" si="169"/>
        <v>1.4583333333333171E-2</v>
      </c>
      <c r="Q1013" s="634" t="s">
        <v>233</v>
      </c>
      <c r="R1013" s="36"/>
      <c r="S1013" s="37" t="str">
        <f t="shared" si="167"/>
        <v>BeaverEF0</v>
      </c>
      <c r="T1013" s="37" t="str">
        <f t="shared" si="170"/>
        <v>2008EF0</v>
      </c>
      <c r="U1013" s="429">
        <v>50</v>
      </c>
      <c r="V1013" s="1029">
        <v>2</v>
      </c>
      <c r="W1013" s="598">
        <v>0.05</v>
      </c>
      <c r="X1013" s="429"/>
      <c r="Y1013" s="37" t="str">
        <f t="shared" si="171"/>
        <v>EF050</v>
      </c>
      <c r="Z1013" s="37" t="str">
        <f t="shared" si="172"/>
        <v>EF02</v>
      </c>
      <c r="AA1013" s="37" t="str">
        <f t="shared" si="174"/>
        <v>EF00.05</v>
      </c>
      <c r="AB1013" s="498" t="str">
        <f t="shared" si="168"/>
        <v>EF017</v>
      </c>
      <c r="AC1013" s="572"/>
      <c r="AD1013" s="572"/>
      <c r="AE1013" s="572"/>
      <c r="AF1013" s="572"/>
    </row>
    <row r="1014" spans="1:32">
      <c r="A1014" s="947">
        <f t="shared" si="175"/>
        <v>1007</v>
      </c>
      <c r="B1014" s="948">
        <v>10</v>
      </c>
      <c r="C1014" s="949">
        <v>39614</v>
      </c>
      <c r="D1014" s="949" t="s">
        <v>178</v>
      </c>
      <c r="E1014" s="904">
        <v>15</v>
      </c>
      <c r="F1014" s="644">
        <v>2008</v>
      </c>
      <c r="G1014" s="948" t="s">
        <v>132</v>
      </c>
      <c r="H1014" s="645" t="s">
        <v>190</v>
      </c>
      <c r="I1014" s="951">
        <v>50</v>
      </c>
      <c r="J1014" s="951">
        <v>1.28</v>
      </c>
      <c r="K1014" s="952">
        <f t="shared" si="173"/>
        <v>3.6363636363636362E-2</v>
      </c>
      <c r="L1014" s="644">
        <f t="shared" si="176"/>
        <v>18</v>
      </c>
      <c r="M1014" s="935">
        <v>0.75694444444444453</v>
      </c>
      <c r="N1014" s="936">
        <f t="shared" si="166"/>
        <v>0.75694444444444453</v>
      </c>
      <c r="O1014" s="725">
        <v>0.76041666666666663</v>
      </c>
      <c r="P1014" s="725">
        <f t="shared" si="169"/>
        <v>3.4722222222220989E-3</v>
      </c>
      <c r="Q1014" s="634" t="s">
        <v>413</v>
      </c>
      <c r="R1014" s="36"/>
      <c r="S1014" s="37" t="str">
        <f t="shared" si="167"/>
        <v>OchiltreeEF0</v>
      </c>
      <c r="T1014" s="37" t="str">
        <f t="shared" si="170"/>
        <v>2008EF0</v>
      </c>
      <c r="U1014" s="429">
        <v>50</v>
      </c>
      <c r="V1014" s="1029">
        <v>1</v>
      </c>
      <c r="W1014" s="598">
        <v>0.02</v>
      </c>
      <c r="X1014" s="429"/>
      <c r="Y1014" s="37" t="str">
        <f t="shared" si="171"/>
        <v>EF050</v>
      </c>
      <c r="Z1014" s="37" t="str">
        <f t="shared" si="172"/>
        <v>EF01</v>
      </c>
      <c r="AA1014" s="37" t="str">
        <f t="shared" si="174"/>
        <v>EF00.02</v>
      </c>
      <c r="AB1014" s="498" t="str">
        <f t="shared" si="168"/>
        <v>EF018</v>
      </c>
      <c r="AC1014" s="572"/>
      <c r="AD1014" s="572"/>
      <c r="AE1014" s="572"/>
      <c r="AF1014" s="572"/>
    </row>
    <row r="1015" spans="1:32" ht="25.5">
      <c r="A1015" s="947">
        <f t="shared" si="175"/>
        <v>1008</v>
      </c>
      <c r="B1015" s="948">
        <v>11</v>
      </c>
      <c r="C1015" s="949">
        <v>39617</v>
      </c>
      <c r="D1015" s="949" t="s">
        <v>178</v>
      </c>
      <c r="E1015" s="904">
        <v>18</v>
      </c>
      <c r="F1015" s="644">
        <v>2008</v>
      </c>
      <c r="G1015" s="948" t="s">
        <v>128</v>
      </c>
      <c r="H1015" s="645" t="s">
        <v>189</v>
      </c>
      <c r="I1015" s="951">
        <v>200</v>
      </c>
      <c r="J1015" s="951">
        <v>12.02</v>
      </c>
      <c r="K1015" s="952">
        <f t="shared" si="173"/>
        <v>1.3659090909090907</v>
      </c>
      <c r="L1015" s="644">
        <f t="shared" si="176"/>
        <v>20</v>
      </c>
      <c r="M1015" s="935">
        <v>0.83333333333333337</v>
      </c>
      <c r="N1015" s="936">
        <f t="shared" si="166"/>
        <v>0.83333333333333337</v>
      </c>
      <c r="O1015" s="725">
        <v>0.84375</v>
      </c>
      <c r="P1015" s="725">
        <f t="shared" si="169"/>
        <v>1.041666666666663E-2</v>
      </c>
      <c r="Q1015" s="634" t="s">
        <v>117</v>
      </c>
      <c r="R1015" s="36"/>
      <c r="S1015" s="37" t="str">
        <f t="shared" si="167"/>
        <v>BeaverEF2</v>
      </c>
      <c r="T1015" s="37" t="str">
        <f t="shared" si="170"/>
        <v>2008EF2</v>
      </c>
      <c r="U1015" s="429">
        <v>200</v>
      </c>
      <c r="V1015" s="1029">
        <v>10</v>
      </c>
      <c r="W1015" s="598">
        <v>1</v>
      </c>
      <c r="X1015" s="429"/>
      <c r="Y1015" s="37" t="str">
        <f t="shared" si="171"/>
        <v>EF2200</v>
      </c>
      <c r="Z1015" s="37" t="str">
        <f t="shared" si="172"/>
        <v>EF210</v>
      </c>
      <c r="AA1015" s="37" t="str">
        <f t="shared" si="174"/>
        <v>EF21</v>
      </c>
      <c r="AB1015" s="498" t="str">
        <f t="shared" si="168"/>
        <v>EF220</v>
      </c>
      <c r="AC1015" s="572"/>
      <c r="AD1015" s="572"/>
      <c r="AE1015" s="572"/>
      <c r="AF1015" s="572"/>
    </row>
    <row r="1016" spans="1:32">
      <c r="A1016" s="947">
        <f t="shared" si="175"/>
        <v>1009</v>
      </c>
      <c r="B1016" s="948">
        <v>12</v>
      </c>
      <c r="C1016" s="949">
        <v>39618</v>
      </c>
      <c r="D1016" s="949" t="s">
        <v>178</v>
      </c>
      <c r="E1016" s="904">
        <v>19</v>
      </c>
      <c r="F1016" s="644">
        <v>2008</v>
      </c>
      <c r="G1016" s="948" t="s">
        <v>126</v>
      </c>
      <c r="H1016" s="645" t="s">
        <v>190</v>
      </c>
      <c r="I1016" s="951">
        <v>25</v>
      </c>
      <c r="J1016" s="951">
        <v>0.27</v>
      </c>
      <c r="K1016" s="952">
        <f t="shared" si="173"/>
        <v>3.8352272727272727E-3</v>
      </c>
      <c r="L1016" s="644">
        <f t="shared" si="176"/>
        <v>17</v>
      </c>
      <c r="M1016" s="935">
        <v>0.72916666666666663</v>
      </c>
      <c r="N1016" s="936">
        <f t="shared" si="166"/>
        <v>0.72916666666666663</v>
      </c>
      <c r="O1016" s="725">
        <v>0.72986111111111107</v>
      </c>
      <c r="P1016" s="725">
        <f t="shared" si="169"/>
        <v>6.9444444444444198E-4</v>
      </c>
      <c r="Q1016" s="634" t="s">
        <v>466</v>
      </c>
      <c r="R1016" s="36"/>
      <c r="S1016" s="37" t="str">
        <f t="shared" si="167"/>
        <v>CimarronEF0</v>
      </c>
      <c r="T1016" s="37" t="str">
        <f t="shared" si="170"/>
        <v>2008EF0</v>
      </c>
      <c r="U1016" s="429">
        <v>20</v>
      </c>
      <c r="V1016" s="1029">
        <v>0.2</v>
      </c>
      <c r="W1016" s="598">
        <v>2E-3</v>
      </c>
      <c r="X1016" s="429"/>
      <c r="Y1016" s="37" t="str">
        <f t="shared" si="171"/>
        <v>EF020</v>
      </c>
      <c r="Z1016" s="37" t="str">
        <f t="shared" si="172"/>
        <v>EF00.2</v>
      </c>
      <c r="AA1016" s="37" t="str">
        <f t="shared" si="174"/>
        <v>EF00.002</v>
      </c>
      <c r="AB1016" s="498" t="str">
        <f t="shared" si="168"/>
        <v>EF017</v>
      </c>
      <c r="AC1016" s="572"/>
      <c r="AD1016" s="572"/>
      <c r="AE1016" s="572"/>
      <c r="AF1016" s="572"/>
    </row>
    <row r="1017" spans="1:32">
      <c r="A1017" s="947">
        <f t="shared" si="175"/>
        <v>1010</v>
      </c>
      <c r="B1017" s="948">
        <v>1</v>
      </c>
      <c r="C1017" s="949">
        <v>39932</v>
      </c>
      <c r="D1017" s="949" t="s">
        <v>176</v>
      </c>
      <c r="E1017" s="904">
        <v>29</v>
      </c>
      <c r="F1017" s="644">
        <v>2009</v>
      </c>
      <c r="G1017" s="948" t="s">
        <v>141</v>
      </c>
      <c r="H1017" s="645" t="s">
        <v>191</v>
      </c>
      <c r="I1017" s="951">
        <v>25</v>
      </c>
      <c r="J1017" s="951">
        <v>0.9</v>
      </c>
      <c r="K1017" s="952">
        <f t="shared" si="173"/>
        <v>1.2784090909090908E-2</v>
      </c>
      <c r="L1017" s="644">
        <f t="shared" si="176"/>
        <v>17</v>
      </c>
      <c r="M1017" s="935">
        <v>0.72916666666666663</v>
      </c>
      <c r="N1017" s="936">
        <f t="shared" si="166"/>
        <v>0.72916666666666663</v>
      </c>
      <c r="O1017" s="725">
        <v>0.72986111111111107</v>
      </c>
      <c r="P1017" s="725">
        <f t="shared" si="169"/>
        <v>6.9444444444444198E-4</v>
      </c>
      <c r="Q1017" s="634" t="s">
        <v>587</v>
      </c>
      <c r="R1017" s="36"/>
      <c r="S1017" s="37" t="str">
        <f t="shared" ref="S1017:S1035" si="177">CONCATENATE(G1017,H1017)</f>
        <v>CarsonEF1</v>
      </c>
      <c r="T1017" s="37" t="str">
        <f t="shared" si="170"/>
        <v>2009EF1</v>
      </c>
      <c r="U1017" s="429">
        <v>20</v>
      </c>
      <c r="V1017" s="1029">
        <v>0.5</v>
      </c>
      <c r="W1017" s="598">
        <v>0.01</v>
      </c>
      <c r="X1017" s="429"/>
      <c r="Y1017" s="37" t="str">
        <f t="shared" si="171"/>
        <v>EF120</v>
      </c>
      <c r="Z1017" s="37" t="str">
        <f t="shared" si="172"/>
        <v>EF10.5</v>
      </c>
      <c r="AA1017" s="37" t="str">
        <f t="shared" si="174"/>
        <v>EF10.01</v>
      </c>
      <c r="AB1017" s="498" t="str">
        <f t="shared" si="168"/>
        <v>EF117</v>
      </c>
      <c r="AC1017" s="572"/>
      <c r="AD1017" s="572"/>
      <c r="AE1017" s="572"/>
      <c r="AF1017" s="572"/>
    </row>
    <row r="1018" spans="1:32">
      <c r="A1018" s="947">
        <f t="shared" si="175"/>
        <v>1011</v>
      </c>
      <c r="B1018" s="948">
        <v>2</v>
      </c>
      <c r="C1018" s="949">
        <v>39932</v>
      </c>
      <c r="D1018" s="949" t="s">
        <v>176</v>
      </c>
      <c r="E1018" s="904">
        <v>29</v>
      </c>
      <c r="F1018" s="644">
        <v>2009</v>
      </c>
      <c r="G1018" s="948" t="s">
        <v>141</v>
      </c>
      <c r="H1018" s="645" t="s">
        <v>190</v>
      </c>
      <c r="I1018" s="951">
        <v>25</v>
      </c>
      <c r="J1018" s="951">
        <v>0.1</v>
      </c>
      <c r="K1018" s="952">
        <f t="shared" si="173"/>
        <v>1.4204545454545455E-3</v>
      </c>
      <c r="L1018" s="644">
        <f t="shared" si="176"/>
        <v>17</v>
      </c>
      <c r="M1018" s="935">
        <v>0.73333333333333339</v>
      </c>
      <c r="N1018" s="936">
        <f t="shared" si="166"/>
        <v>0.73333333333333339</v>
      </c>
      <c r="O1018" s="725">
        <v>0.73333333333333339</v>
      </c>
      <c r="P1018" s="725">
        <f t="shared" si="169"/>
        <v>0</v>
      </c>
      <c r="Q1018" s="634" t="s">
        <v>588</v>
      </c>
      <c r="R1018" s="36"/>
      <c r="S1018" s="37" t="str">
        <f t="shared" si="177"/>
        <v>CarsonEF0</v>
      </c>
      <c r="T1018" s="37" t="str">
        <f t="shared" si="170"/>
        <v>2009EF0</v>
      </c>
      <c r="U1018" s="429">
        <v>20</v>
      </c>
      <c r="V1018" s="1029">
        <v>0.1</v>
      </c>
      <c r="W1018" s="598">
        <v>1E-3</v>
      </c>
      <c r="X1018" s="429"/>
      <c r="Y1018" s="37" t="str">
        <f t="shared" si="171"/>
        <v>EF020</v>
      </c>
      <c r="Z1018" s="37" t="str">
        <f t="shared" si="172"/>
        <v>EF00.1</v>
      </c>
      <c r="AA1018" s="37" t="str">
        <f t="shared" si="174"/>
        <v>EF00.001</v>
      </c>
      <c r="AB1018" s="498" t="str">
        <f t="shared" si="168"/>
        <v>EF017</v>
      </c>
      <c r="AC1018" s="572"/>
      <c r="AD1018" s="572"/>
      <c r="AE1018" s="572"/>
      <c r="AF1018" s="572"/>
    </row>
    <row r="1019" spans="1:32" ht="95.1" customHeight="1">
      <c r="A1019" s="947">
        <f t="shared" si="175"/>
        <v>1012</v>
      </c>
      <c r="B1019" s="948">
        <v>3</v>
      </c>
      <c r="C1019" s="949">
        <v>39948</v>
      </c>
      <c r="D1019" s="949" t="s">
        <v>177</v>
      </c>
      <c r="E1019" s="904">
        <v>15</v>
      </c>
      <c r="F1019" s="644">
        <v>2009</v>
      </c>
      <c r="G1019" s="948" t="s">
        <v>137</v>
      </c>
      <c r="H1019" s="645" t="s">
        <v>190</v>
      </c>
      <c r="I1019" s="951">
        <v>100</v>
      </c>
      <c r="J1019" s="951">
        <v>0.25</v>
      </c>
      <c r="K1019" s="952">
        <f t="shared" si="173"/>
        <v>1.4204545454545454E-2</v>
      </c>
      <c r="L1019" s="644">
        <f t="shared" si="176"/>
        <v>15</v>
      </c>
      <c r="M1019" s="935">
        <v>0.65625</v>
      </c>
      <c r="N1019" s="936">
        <f t="shared" si="166"/>
        <v>0.65625</v>
      </c>
      <c r="O1019" s="725">
        <v>0.65694444444444444</v>
      </c>
      <c r="P1019" s="725">
        <f t="shared" si="169"/>
        <v>6.9444444444444198E-4</v>
      </c>
      <c r="Q1019" s="634" t="s">
        <v>586</v>
      </c>
      <c r="R1019" s="36"/>
      <c r="S1019" s="37" t="str">
        <f t="shared" si="177"/>
        <v>RobertsEF0</v>
      </c>
      <c r="T1019" s="37" t="str">
        <f t="shared" si="170"/>
        <v>2009EF0</v>
      </c>
      <c r="U1019" s="429">
        <v>100</v>
      </c>
      <c r="V1019" s="1029">
        <v>0.2</v>
      </c>
      <c r="W1019" s="598">
        <v>0.01</v>
      </c>
      <c r="X1019" s="429"/>
      <c r="Y1019" s="37" t="str">
        <f t="shared" si="171"/>
        <v>EF0100</v>
      </c>
      <c r="Z1019" s="37" t="str">
        <f t="shared" si="172"/>
        <v>EF00.2</v>
      </c>
      <c r="AA1019" s="37" t="str">
        <f t="shared" si="174"/>
        <v>EF00.01</v>
      </c>
      <c r="AB1019" s="498" t="str">
        <f t="shared" si="168"/>
        <v>EF015</v>
      </c>
      <c r="AC1019" s="572"/>
      <c r="AD1019" s="572"/>
      <c r="AE1019" s="572"/>
      <c r="AF1019" s="572"/>
    </row>
    <row r="1020" spans="1:32">
      <c r="A1020" s="947">
        <f t="shared" si="175"/>
        <v>1013</v>
      </c>
      <c r="B1020" s="948">
        <v>4</v>
      </c>
      <c r="C1020" s="949">
        <v>39948</v>
      </c>
      <c r="D1020" s="949" t="s">
        <v>177</v>
      </c>
      <c r="E1020" s="904">
        <v>15</v>
      </c>
      <c r="F1020" s="644">
        <v>2009</v>
      </c>
      <c r="G1020" s="948" t="s">
        <v>137</v>
      </c>
      <c r="H1020" s="645" t="s">
        <v>190</v>
      </c>
      <c r="I1020" s="951">
        <v>100</v>
      </c>
      <c r="J1020" s="951">
        <v>0.5</v>
      </c>
      <c r="K1020" s="952">
        <f t="shared" si="173"/>
        <v>2.8409090909090908E-2</v>
      </c>
      <c r="L1020" s="644">
        <f t="shared" si="176"/>
        <v>15</v>
      </c>
      <c r="M1020" s="935">
        <v>0.65763888888888888</v>
      </c>
      <c r="N1020" s="936">
        <f t="shared" si="166"/>
        <v>0.65763888888888888</v>
      </c>
      <c r="O1020" s="725">
        <v>0.65902777777777777</v>
      </c>
      <c r="P1020" s="725">
        <f t="shared" si="169"/>
        <v>1.388888888888884E-3</v>
      </c>
      <c r="Q1020" s="634" t="s">
        <v>89</v>
      </c>
      <c r="R1020" s="36"/>
      <c r="S1020" s="37" t="str">
        <f t="shared" si="177"/>
        <v>RobertsEF0</v>
      </c>
      <c r="T1020" s="37" t="str">
        <f t="shared" si="170"/>
        <v>2009EF0</v>
      </c>
      <c r="U1020" s="429">
        <v>100</v>
      </c>
      <c r="V1020" s="1029">
        <v>0.5</v>
      </c>
      <c r="W1020" s="598">
        <v>0.02</v>
      </c>
      <c r="X1020" s="429"/>
      <c r="Y1020" s="37" t="str">
        <f t="shared" si="171"/>
        <v>EF0100</v>
      </c>
      <c r="Z1020" s="37" t="str">
        <f t="shared" si="172"/>
        <v>EF00.5</v>
      </c>
      <c r="AA1020" s="37" t="str">
        <f t="shared" si="174"/>
        <v>EF00.02</v>
      </c>
      <c r="AB1020" s="498" t="str">
        <f t="shared" si="168"/>
        <v>EF015</v>
      </c>
      <c r="AC1020" s="572"/>
      <c r="AD1020" s="572"/>
      <c r="AE1020" s="572"/>
      <c r="AF1020" s="572"/>
    </row>
    <row r="1021" spans="1:32">
      <c r="A1021" s="947">
        <f t="shared" si="175"/>
        <v>1014</v>
      </c>
      <c r="B1021" s="948">
        <v>5</v>
      </c>
      <c r="C1021" s="949">
        <v>39948</v>
      </c>
      <c r="D1021" s="949" t="s">
        <v>177</v>
      </c>
      <c r="E1021" s="904">
        <v>15</v>
      </c>
      <c r="F1021" s="644">
        <v>2009</v>
      </c>
      <c r="G1021" s="948" t="s">
        <v>142</v>
      </c>
      <c r="H1021" s="645" t="s">
        <v>190</v>
      </c>
      <c r="I1021" s="951">
        <v>440</v>
      </c>
      <c r="J1021" s="951">
        <v>1</v>
      </c>
      <c r="K1021" s="952">
        <f t="shared" si="173"/>
        <v>0.25</v>
      </c>
      <c r="L1021" s="644">
        <f t="shared" si="176"/>
        <v>16</v>
      </c>
      <c r="M1021" s="935">
        <v>0.66805555555555562</v>
      </c>
      <c r="N1021" s="936">
        <f t="shared" si="166"/>
        <v>0.66805555555555562</v>
      </c>
      <c r="O1021" s="725">
        <v>0.67083333333333339</v>
      </c>
      <c r="P1021" s="725">
        <f t="shared" si="169"/>
        <v>2.7777777777777679E-3</v>
      </c>
      <c r="Q1021" s="634" t="s">
        <v>79</v>
      </c>
      <c r="R1021" s="36"/>
      <c r="S1021" s="37" t="str">
        <f t="shared" si="177"/>
        <v>GrayEF0</v>
      </c>
      <c r="T1021" s="37" t="str">
        <f t="shared" si="170"/>
        <v>2009EF0</v>
      </c>
      <c r="U1021" s="429">
        <v>200</v>
      </c>
      <c r="V1021" s="1029">
        <v>1</v>
      </c>
      <c r="W1021" s="598">
        <v>0.2</v>
      </c>
      <c r="X1021" s="429"/>
      <c r="Y1021" s="37" t="str">
        <f t="shared" si="171"/>
        <v>EF0200</v>
      </c>
      <c r="Z1021" s="37" t="str">
        <f t="shared" si="172"/>
        <v>EF01</v>
      </c>
      <c r="AA1021" s="37" t="str">
        <f t="shared" si="174"/>
        <v>EF00.2</v>
      </c>
      <c r="AB1021" s="498" t="str">
        <f t="shared" si="168"/>
        <v>EF016</v>
      </c>
      <c r="AC1021" s="572"/>
      <c r="AD1021" s="572"/>
      <c r="AE1021" s="572"/>
      <c r="AF1021" s="572"/>
    </row>
    <row r="1022" spans="1:32" ht="15" customHeight="1">
      <c r="A1022" s="947">
        <f t="shared" si="175"/>
        <v>1015</v>
      </c>
      <c r="B1022" s="948">
        <v>6</v>
      </c>
      <c r="C1022" s="949">
        <v>39948</v>
      </c>
      <c r="D1022" s="949" t="s">
        <v>177</v>
      </c>
      <c r="E1022" s="904">
        <v>15</v>
      </c>
      <c r="F1022" s="644">
        <v>2009</v>
      </c>
      <c r="G1022" s="948" t="s">
        <v>142</v>
      </c>
      <c r="H1022" s="645" t="s">
        <v>189</v>
      </c>
      <c r="I1022" s="951">
        <v>880</v>
      </c>
      <c r="J1022" s="951">
        <v>3</v>
      </c>
      <c r="K1022" s="952">
        <f t="shared" si="173"/>
        <v>1.5</v>
      </c>
      <c r="L1022" s="644">
        <f t="shared" si="176"/>
        <v>16</v>
      </c>
      <c r="M1022" s="935">
        <v>0.67291666666666661</v>
      </c>
      <c r="N1022" s="936">
        <f t="shared" si="166"/>
        <v>0.67291666666666661</v>
      </c>
      <c r="O1022" s="725">
        <v>0.67847222222222225</v>
      </c>
      <c r="P1022" s="725">
        <f t="shared" si="169"/>
        <v>5.5555555555556468E-3</v>
      </c>
      <c r="Q1022" s="634" t="s">
        <v>78</v>
      </c>
      <c r="R1022" s="36"/>
      <c r="S1022" s="37" t="str">
        <f t="shared" si="177"/>
        <v>GrayEF2</v>
      </c>
      <c r="T1022" s="37" t="str">
        <f t="shared" si="170"/>
        <v>2009EF2</v>
      </c>
      <c r="U1022" s="429">
        <v>500</v>
      </c>
      <c r="V1022" s="1029">
        <v>2</v>
      </c>
      <c r="W1022" s="598">
        <v>1</v>
      </c>
      <c r="X1022" s="429"/>
      <c r="Y1022" s="37" t="str">
        <f t="shared" si="171"/>
        <v>EF2500</v>
      </c>
      <c r="Z1022" s="37" t="str">
        <f t="shared" si="172"/>
        <v>EF22</v>
      </c>
      <c r="AA1022" s="37" t="str">
        <f t="shared" si="174"/>
        <v>EF21</v>
      </c>
      <c r="AB1022" s="498" t="str">
        <f t="shared" si="168"/>
        <v>EF216</v>
      </c>
      <c r="AC1022" s="572"/>
      <c r="AD1022" s="572"/>
      <c r="AE1022" s="572"/>
      <c r="AF1022" s="572"/>
    </row>
    <row r="1023" spans="1:32">
      <c r="A1023" s="947">
        <f t="shared" si="175"/>
        <v>1016</v>
      </c>
      <c r="B1023" s="948">
        <v>7</v>
      </c>
      <c r="C1023" s="949">
        <v>39948</v>
      </c>
      <c r="D1023" s="949" t="s">
        <v>177</v>
      </c>
      <c r="E1023" s="904">
        <v>15</v>
      </c>
      <c r="F1023" s="644">
        <v>2009</v>
      </c>
      <c r="G1023" s="948" t="s">
        <v>142</v>
      </c>
      <c r="H1023" s="645" t="s">
        <v>191</v>
      </c>
      <c r="I1023" s="951">
        <v>440</v>
      </c>
      <c r="J1023" s="951">
        <v>6</v>
      </c>
      <c r="K1023" s="952">
        <f t="shared" si="173"/>
        <v>1.5</v>
      </c>
      <c r="L1023" s="644">
        <f t="shared" si="176"/>
        <v>16</v>
      </c>
      <c r="M1023" s="935">
        <v>0.68402777777777779</v>
      </c>
      <c r="N1023" s="936">
        <f t="shared" si="166"/>
        <v>0.68402777777777779</v>
      </c>
      <c r="O1023" s="725">
        <v>0.69791666666666663</v>
      </c>
      <c r="P1023" s="725">
        <f t="shared" si="169"/>
        <v>1.388888888888884E-2</v>
      </c>
      <c r="Q1023" s="634" t="s">
        <v>77</v>
      </c>
      <c r="R1023" s="36"/>
      <c r="S1023" s="37" t="str">
        <f t="shared" si="177"/>
        <v>GrayEF1</v>
      </c>
      <c r="T1023" s="37" t="str">
        <f t="shared" si="170"/>
        <v>2009EF1</v>
      </c>
      <c r="U1023" s="429">
        <v>200</v>
      </c>
      <c r="V1023" s="1029">
        <v>5</v>
      </c>
      <c r="W1023" s="598">
        <v>1</v>
      </c>
      <c r="X1023" s="429"/>
      <c r="Y1023" s="37" t="str">
        <f t="shared" si="171"/>
        <v>EF1200</v>
      </c>
      <c r="Z1023" s="37" t="str">
        <f t="shared" si="172"/>
        <v>EF15</v>
      </c>
      <c r="AA1023" s="37" t="str">
        <f t="shared" si="174"/>
        <v>EF11</v>
      </c>
      <c r="AB1023" s="498" t="str">
        <f t="shared" si="168"/>
        <v>EF116</v>
      </c>
      <c r="AC1023" s="572"/>
      <c r="AD1023" s="572"/>
      <c r="AE1023" s="572"/>
      <c r="AF1023" s="572"/>
    </row>
    <row r="1024" spans="1:32" ht="54.95" customHeight="1">
      <c r="A1024" s="947">
        <f t="shared" si="175"/>
        <v>1017</v>
      </c>
      <c r="B1024" s="948">
        <v>8</v>
      </c>
      <c r="C1024" s="949">
        <v>39968</v>
      </c>
      <c r="D1024" s="949" t="s">
        <v>178</v>
      </c>
      <c r="E1024" s="904">
        <v>4</v>
      </c>
      <c r="F1024" s="644">
        <v>2009</v>
      </c>
      <c r="G1024" s="948" t="s">
        <v>134</v>
      </c>
      <c r="H1024" s="645" t="s">
        <v>190</v>
      </c>
      <c r="I1024" s="951">
        <v>100</v>
      </c>
      <c r="J1024" s="951">
        <v>0.52</v>
      </c>
      <c r="K1024" s="952">
        <f t="shared" si="173"/>
        <v>2.9545454545454545E-2</v>
      </c>
      <c r="L1024" s="644">
        <f t="shared" si="176"/>
        <v>15</v>
      </c>
      <c r="M1024" s="935">
        <v>0.63680555555555551</v>
      </c>
      <c r="N1024" s="936">
        <f t="shared" si="166"/>
        <v>0.63680555555555551</v>
      </c>
      <c r="O1024" s="725">
        <v>0.6381944444444444</v>
      </c>
      <c r="P1024" s="725">
        <f t="shared" si="169"/>
        <v>1.388888888888884E-3</v>
      </c>
      <c r="Q1024" s="634" t="s">
        <v>591</v>
      </c>
      <c r="R1024" s="36"/>
      <c r="S1024" s="37" t="str">
        <f t="shared" si="177"/>
        <v>HartleyEF0</v>
      </c>
      <c r="T1024" s="37" t="str">
        <f t="shared" si="170"/>
        <v>2009EF0</v>
      </c>
      <c r="U1024" s="429">
        <v>100</v>
      </c>
      <c r="V1024" s="1029">
        <v>0.5</v>
      </c>
      <c r="W1024" s="598">
        <v>0.02</v>
      </c>
      <c r="X1024" s="429"/>
      <c r="Y1024" s="37" t="str">
        <f t="shared" si="171"/>
        <v>EF0100</v>
      </c>
      <c r="Z1024" s="37" t="str">
        <f t="shared" si="172"/>
        <v>EF00.5</v>
      </c>
      <c r="AA1024" s="37" t="str">
        <f t="shared" si="174"/>
        <v>EF00.02</v>
      </c>
      <c r="AB1024" s="498" t="str">
        <f t="shared" si="168"/>
        <v>EF015</v>
      </c>
      <c r="AC1024" s="572"/>
      <c r="AD1024" s="572"/>
      <c r="AE1024" s="572"/>
      <c r="AF1024" s="572"/>
    </row>
    <row r="1025" spans="1:32" ht="15" customHeight="1">
      <c r="A1025" s="947">
        <f t="shared" si="175"/>
        <v>1018</v>
      </c>
      <c r="B1025" s="948">
        <v>9</v>
      </c>
      <c r="C1025" s="949">
        <v>39968</v>
      </c>
      <c r="D1025" s="949" t="s">
        <v>178</v>
      </c>
      <c r="E1025" s="904">
        <v>4</v>
      </c>
      <c r="F1025" s="644">
        <v>2009</v>
      </c>
      <c r="G1025" s="948" t="s">
        <v>139</v>
      </c>
      <c r="H1025" s="645" t="s">
        <v>190</v>
      </c>
      <c r="I1025" s="951">
        <v>100</v>
      </c>
      <c r="J1025" s="951">
        <v>1</v>
      </c>
      <c r="K1025" s="952">
        <f t="shared" si="173"/>
        <v>5.6818181818181816E-2</v>
      </c>
      <c r="L1025" s="644">
        <f t="shared" si="176"/>
        <v>17</v>
      </c>
      <c r="M1025" s="935">
        <v>0.71388888888888891</v>
      </c>
      <c r="N1025" s="936">
        <f t="shared" si="166"/>
        <v>0.71388888888888891</v>
      </c>
      <c r="O1025" s="725">
        <v>0.71597222222222223</v>
      </c>
      <c r="P1025" s="725">
        <f t="shared" si="169"/>
        <v>2.0833333333333259E-3</v>
      </c>
      <c r="Q1025" s="634" t="s">
        <v>589</v>
      </c>
      <c r="R1025" s="36"/>
      <c r="S1025" s="37" t="str">
        <f t="shared" si="177"/>
        <v>OldhamEF0</v>
      </c>
      <c r="T1025" s="37" t="str">
        <f t="shared" si="170"/>
        <v>2009EF0</v>
      </c>
      <c r="U1025" s="429">
        <v>100</v>
      </c>
      <c r="V1025" s="1029">
        <v>1</v>
      </c>
      <c r="W1025" s="598">
        <v>0.05</v>
      </c>
      <c r="X1025" s="429"/>
      <c r="Y1025" s="37" t="str">
        <f t="shared" si="171"/>
        <v>EF0100</v>
      </c>
      <c r="Z1025" s="37" t="str">
        <f t="shared" si="172"/>
        <v>EF01</v>
      </c>
      <c r="AA1025" s="37" t="str">
        <f t="shared" si="174"/>
        <v>EF00.05</v>
      </c>
      <c r="AB1025" s="498" t="str">
        <f t="shared" si="168"/>
        <v>EF017</v>
      </c>
      <c r="AC1025" s="572"/>
      <c r="AD1025" s="572"/>
      <c r="AE1025" s="572"/>
      <c r="AF1025" s="572"/>
    </row>
    <row r="1026" spans="1:32" ht="15" customHeight="1">
      <c r="A1026" s="947">
        <f t="shared" si="175"/>
        <v>1019</v>
      </c>
      <c r="B1026" s="948">
        <v>10</v>
      </c>
      <c r="C1026" s="949">
        <v>39968</v>
      </c>
      <c r="D1026" s="949" t="s">
        <v>178</v>
      </c>
      <c r="E1026" s="904">
        <v>4</v>
      </c>
      <c r="F1026" s="644">
        <v>2009</v>
      </c>
      <c r="G1026" s="948" t="s">
        <v>145</v>
      </c>
      <c r="H1026" s="645" t="s">
        <v>190</v>
      </c>
      <c r="I1026" s="951">
        <v>100</v>
      </c>
      <c r="J1026" s="951">
        <v>0.13</v>
      </c>
      <c r="K1026" s="952">
        <f t="shared" si="173"/>
        <v>7.3863636363636362E-3</v>
      </c>
      <c r="L1026" s="644">
        <f t="shared" si="176"/>
        <v>17</v>
      </c>
      <c r="M1026" s="935">
        <v>0.73125000000000007</v>
      </c>
      <c r="N1026" s="936">
        <f t="shared" si="166"/>
        <v>0.73125000000000007</v>
      </c>
      <c r="O1026" s="725">
        <v>0.73125000000000007</v>
      </c>
      <c r="P1026" s="725">
        <f t="shared" si="169"/>
        <v>0</v>
      </c>
      <c r="Q1026" s="634" t="s">
        <v>82</v>
      </c>
      <c r="R1026" s="36"/>
      <c r="S1026" s="37" t="str">
        <f t="shared" si="177"/>
        <v>RandallEF0</v>
      </c>
      <c r="T1026" s="37" t="str">
        <f t="shared" si="170"/>
        <v>2009EF0</v>
      </c>
      <c r="U1026" s="429">
        <v>100</v>
      </c>
      <c r="V1026" s="1029">
        <v>0.1</v>
      </c>
      <c r="W1026" s="598">
        <v>5.0000000000000001E-3</v>
      </c>
      <c r="X1026" s="429"/>
      <c r="Y1026" s="37" t="str">
        <f t="shared" si="171"/>
        <v>EF0100</v>
      </c>
      <c r="Z1026" s="37" t="str">
        <f t="shared" si="172"/>
        <v>EF00.1</v>
      </c>
      <c r="AA1026" s="37" t="str">
        <f t="shared" si="174"/>
        <v>EF00.005</v>
      </c>
      <c r="AB1026" s="498" t="str">
        <f t="shared" si="168"/>
        <v>EF017</v>
      </c>
      <c r="AC1026" s="572"/>
      <c r="AD1026" s="572"/>
      <c r="AE1026" s="572"/>
      <c r="AF1026" s="572"/>
    </row>
    <row r="1027" spans="1:32">
      <c r="A1027" s="947">
        <f t="shared" si="175"/>
        <v>1020</v>
      </c>
      <c r="B1027" s="948">
        <v>11</v>
      </c>
      <c r="C1027" s="949">
        <v>39968</v>
      </c>
      <c r="D1027" s="949" t="s">
        <v>178</v>
      </c>
      <c r="E1027" s="904">
        <v>4</v>
      </c>
      <c r="F1027" s="644">
        <v>2009</v>
      </c>
      <c r="G1027" s="948" t="s">
        <v>145</v>
      </c>
      <c r="H1027" s="645" t="s">
        <v>190</v>
      </c>
      <c r="I1027" s="951">
        <v>100</v>
      </c>
      <c r="J1027" s="951">
        <v>0.75</v>
      </c>
      <c r="K1027" s="952">
        <f t="shared" si="173"/>
        <v>4.261363636363636E-2</v>
      </c>
      <c r="L1027" s="644">
        <f t="shared" si="176"/>
        <v>17</v>
      </c>
      <c r="M1027" s="935">
        <v>0.73611111111111116</v>
      </c>
      <c r="N1027" s="936">
        <f t="shared" si="166"/>
        <v>0.73611111111111116</v>
      </c>
      <c r="O1027" s="725">
        <v>0.73749999999999993</v>
      </c>
      <c r="P1027" s="725">
        <f t="shared" si="169"/>
        <v>1.3888888888887729E-3</v>
      </c>
      <c r="Q1027" s="634" t="s">
        <v>83</v>
      </c>
      <c r="R1027" s="36"/>
      <c r="S1027" s="37" t="str">
        <f t="shared" si="177"/>
        <v>RandallEF0</v>
      </c>
      <c r="T1027" s="37" t="str">
        <f t="shared" si="170"/>
        <v>2009EF0</v>
      </c>
      <c r="U1027" s="429">
        <v>100</v>
      </c>
      <c r="V1027" s="1029">
        <v>0.5</v>
      </c>
      <c r="W1027" s="598">
        <v>0.02</v>
      </c>
      <c r="X1027" s="429"/>
      <c r="Y1027" s="37" t="str">
        <f t="shared" si="171"/>
        <v>EF0100</v>
      </c>
      <c r="Z1027" s="37" t="str">
        <f t="shared" si="172"/>
        <v>EF00.5</v>
      </c>
      <c r="AA1027" s="37" t="str">
        <f t="shared" si="174"/>
        <v>EF00.02</v>
      </c>
      <c r="AB1027" s="498" t="str">
        <f t="shared" si="168"/>
        <v>EF017</v>
      </c>
      <c r="AC1027" s="572"/>
      <c r="AD1027" s="572"/>
      <c r="AE1027" s="572"/>
      <c r="AF1027" s="572"/>
    </row>
    <row r="1028" spans="1:32" ht="54.95" customHeight="1">
      <c r="A1028" s="947">
        <f t="shared" si="175"/>
        <v>1021</v>
      </c>
      <c r="B1028" s="948">
        <v>12</v>
      </c>
      <c r="C1028" s="949">
        <v>39969</v>
      </c>
      <c r="D1028" s="949" t="s">
        <v>178</v>
      </c>
      <c r="E1028" s="904">
        <v>5</v>
      </c>
      <c r="F1028" s="644">
        <v>2009</v>
      </c>
      <c r="G1028" s="948" t="s">
        <v>141</v>
      </c>
      <c r="H1028" s="645" t="s">
        <v>190</v>
      </c>
      <c r="I1028" s="951">
        <v>25</v>
      </c>
      <c r="J1028" s="951">
        <v>1.29</v>
      </c>
      <c r="K1028" s="952">
        <f t="shared" si="173"/>
        <v>1.8323863636363635E-2</v>
      </c>
      <c r="L1028" s="644">
        <f t="shared" si="176"/>
        <v>20</v>
      </c>
      <c r="M1028" s="935">
        <v>0.86041666666666661</v>
      </c>
      <c r="N1028" s="936">
        <f t="shared" si="166"/>
        <v>0.86041666666666661</v>
      </c>
      <c r="O1028" s="725">
        <v>0.8666666666666667</v>
      </c>
      <c r="P1028" s="725">
        <f t="shared" si="169"/>
        <v>6.2500000000000888E-3</v>
      </c>
      <c r="Q1028" s="647" t="s">
        <v>625</v>
      </c>
      <c r="R1028" s="36"/>
      <c r="S1028" s="37" t="str">
        <f t="shared" si="177"/>
        <v>CarsonEF0</v>
      </c>
      <c r="T1028" s="37" t="str">
        <f t="shared" si="170"/>
        <v>2009EF0</v>
      </c>
      <c r="U1028" s="429">
        <v>20</v>
      </c>
      <c r="V1028" s="1029">
        <v>1</v>
      </c>
      <c r="W1028" s="598">
        <v>0.01</v>
      </c>
      <c r="X1028" s="429"/>
      <c r="Y1028" s="37" t="str">
        <f t="shared" si="171"/>
        <v>EF020</v>
      </c>
      <c r="Z1028" s="37" t="str">
        <f t="shared" si="172"/>
        <v>EF01</v>
      </c>
      <c r="AA1028" s="37" t="str">
        <f t="shared" si="174"/>
        <v>EF00.01</v>
      </c>
      <c r="AB1028" s="498" t="str">
        <f t="shared" si="168"/>
        <v>EF020</v>
      </c>
      <c r="AC1028" s="572"/>
      <c r="AD1028" s="572"/>
      <c r="AE1028" s="572"/>
      <c r="AF1028" s="572"/>
    </row>
    <row r="1029" spans="1:32">
      <c r="A1029" s="947">
        <f t="shared" si="175"/>
        <v>1022</v>
      </c>
      <c r="B1029" s="948">
        <v>13</v>
      </c>
      <c r="C1029" s="949">
        <v>39979</v>
      </c>
      <c r="D1029" s="949" t="s">
        <v>178</v>
      </c>
      <c r="E1029" s="904">
        <v>15</v>
      </c>
      <c r="F1029" s="644">
        <v>2009</v>
      </c>
      <c r="G1029" s="948" t="s">
        <v>132</v>
      </c>
      <c r="H1029" s="645" t="s">
        <v>190</v>
      </c>
      <c r="I1029" s="951">
        <v>50</v>
      </c>
      <c r="J1029" s="951">
        <v>0.25</v>
      </c>
      <c r="K1029" s="952">
        <f t="shared" si="173"/>
        <v>7.102272727272727E-3</v>
      </c>
      <c r="L1029" s="644">
        <f t="shared" si="176"/>
        <v>17</v>
      </c>
      <c r="M1029" s="935">
        <v>0.72430555555555554</v>
      </c>
      <c r="N1029" s="936">
        <f t="shared" si="166"/>
        <v>0.72430555555555554</v>
      </c>
      <c r="O1029" s="725">
        <v>0.7284722222222223</v>
      </c>
      <c r="P1029" s="725">
        <f t="shared" si="169"/>
        <v>4.1666666666667629E-3</v>
      </c>
      <c r="Q1029" s="634" t="s">
        <v>590</v>
      </c>
      <c r="R1029" s="36"/>
      <c r="S1029" s="37" t="str">
        <f t="shared" si="177"/>
        <v>OchiltreeEF0</v>
      </c>
      <c r="T1029" s="37" t="str">
        <f t="shared" si="170"/>
        <v>2009EF0</v>
      </c>
      <c r="U1029" s="429">
        <v>50</v>
      </c>
      <c r="V1029" s="1029">
        <v>0.2</v>
      </c>
      <c r="W1029" s="598">
        <v>5.0000000000000001E-3</v>
      </c>
      <c r="X1029" s="429"/>
      <c r="Y1029" s="37" t="str">
        <f t="shared" si="171"/>
        <v>EF050</v>
      </c>
      <c r="Z1029" s="37" t="str">
        <f t="shared" si="172"/>
        <v>EF00.2</v>
      </c>
      <c r="AA1029" s="37" t="str">
        <f t="shared" si="174"/>
        <v>EF00.005</v>
      </c>
      <c r="AB1029" s="498" t="str">
        <f t="shared" si="168"/>
        <v>EF017</v>
      </c>
      <c r="AC1029" s="572"/>
      <c r="AD1029" s="572"/>
      <c r="AE1029" s="572"/>
      <c r="AF1029" s="572"/>
    </row>
    <row r="1030" spans="1:32" s="32" customFormat="1" ht="120" customHeight="1">
      <c r="A1030" s="947">
        <f t="shared" si="175"/>
        <v>1023</v>
      </c>
      <c r="B1030" s="948">
        <v>1</v>
      </c>
      <c r="C1030" s="949">
        <v>40288</v>
      </c>
      <c r="D1030" s="949" t="s">
        <v>176</v>
      </c>
      <c r="E1030" s="904">
        <v>20</v>
      </c>
      <c r="F1030" s="644">
        <v>2010</v>
      </c>
      <c r="G1030" s="964" t="s">
        <v>140</v>
      </c>
      <c r="H1030" s="645" t="s">
        <v>190</v>
      </c>
      <c r="I1030" s="951">
        <v>50</v>
      </c>
      <c r="J1030" s="951">
        <v>1.05</v>
      </c>
      <c r="K1030" s="952">
        <f t="shared" si="173"/>
        <v>2.9829545454545456E-2</v>
      </c>
      <c r="L1030" s="644">
        <f t="shared" si="176"/>
        <v>18</v>
      </c>
      <c r="M1030" s="935">
        <v>0.75277777777777777</v>
      </c>
      <c r="N1030" s="936">
        <f t="shared" si="166"/>
        <v>0.75277777777777777</v>
      </c>
      <c r="O1030" s="725">
        <v>0.75624999999999998</v>
      </c>
      <c r="P1030" s="725">
        <f t="shared" si="169"/>
        <v>3.4722222222222099E-3</v>
      </c>
      <c r="Q1030" s="634" t="s">
        <v>944</v>
      </c>
      <c r="R1030" s="324"/>
      <c r="S1030" s="38" t="str">
        <f t="shared" si="177"/>
        <v>PotterEF0</v>
      </c>
      <c r="T1030" s="38" t="str">
        <f t="shared" si="170"/>
        <v>2010EF0</v>
      </c>
      <c r="U1030" s="429">
        <v>50</v>
      </c>
      <c r="V1030" s="1029">
        <v>1</v>
      </c>
      <c r="W1030" s="598">
        <v>0.02</v>
      </c>
      <c r="X1030" s="429"/>
      <c r="Y1030" s="38" t="str">
        <f t="shared" si="171"/>
        <v>EF050</v>
      </c>
      <c r="Z1030" s="38" t="str">
        <f t="shared" si="172"/>
        <v>EF01</v>
      </c>
      <c r="AA1030" s="38" t="str">
        <f t="shared" si="174"/>
        <v>EF00.02</v>
      </c>
      <c r="AB1030" s="726" t="str">
        <f t="shared" si="168"/>
        <v>EF018</v>
      </c>
      <c r="AC1030" s="727"/>
      <c r="AD1030" s="727"/>
      <c r="AE1030" s="727"/>
      <c r="AF1030" s="727"/>
    </row>
    <row r="1031" spans="1:32" s="32" customFormat="1" ht="25.5">
      <c r="A1031" s="947">
        <f t="shared" si="175"/>
        <v>1024</v>
      </c>
      <c r="B1031" s="948">
        <v>2</v>
      </c>
      <c r="C1031" s="949">
        <v>40288</v>
      </c>
      <c r="D1031" s="949" t="s">
        <v>176</v>
      </c>
      <c r="E1031" s="904">
        <v>20</v>
      </c>
      <c r="F1031" s="644">
        <v>2010</v>
      </c>
      <c r="G1031" s="964" t="s">
        <v>145</v>
      </c>
      <c r="H1031" s="645" t="s">
        <v>190</v>
      </c>
      <c r="I1031" s="951">
        <v>50</v>
      </c>
      <c r="J1031" s="951">
        <v>0.9</v>
      </c>
      <c r="K1031" s="952">
        <f t="shared" si="173"/>
        <v>2.5568181818181816E-2</v>
      </c>
      <c r="L1031" s="644">
        <f t="shared" si="176"/>
        <v>18</v>
      </c>
      <c r="M1031" s="935">
        <v>0.78263888888888899</v>
      </c>
      <c r="N1031" s="936">
        <f t="shared" si="166"/>
        <v>0.78263888888888899</v>
      </c>
      <c r="O1031" s="725">
        <v>0.78402777777777777</v>
      </c>
      <c r="P1031" s="725">
        <f t="shared" si="169"/>
        <v>1.3888888888887729E-3</v>
      </c>
      <c r="Q1031" s="634" t="s">
        <v>915</v>
      </c>
      <c r="R1031" s="324"/>
      <c r="S1031" s="38" t="str">
        <f t="shared" si="177"/>
        <v>RandallEF0</v>
      </c>
      <c r="T1031" s="38" t="str">
        <f t="shared" si="170"/>
        <v>2010EF0</v>
      </c>
      <c r="U1031" s="429">
        <v>50</v>
      </c>
      <c r="V1031" s="1029">
        <v>0.5</v>
      </c>
      <c r="W1031" s="598">
        <v>0.02</v>
      </c>
      <c r="X1031" s="429"/>
      <c r="Y1031" s="38" t="str">
        <f t="shared" si="171"/>
        <v>EF050</v>
      </c>
      <c r="Z1031" s="38" t="str">
        <f t="shared" si="172"/>
        <v>EF00.5</v>
      </c>
      <c r="AA1031" s="38" t="str">
        <f t="shared" si="174"/>
        <v>EF00.02</v>
      </c>
      <c r="AB1031" s="726" t="str">
        <f t="shared" ref="AB1031:AB1093" si="178">CONCATENATE(H1031,L1031)</f>
        <v>EF018</v>
      </c>
      <c r="AC1031" s="727"/>
      <c r="AD1031" s="727"/>
      <c r="AE1031" s="727"/>
      <c r="AF1031" s="727"/>
    </row>
    <row r="1032" spans="1:32" s="32" customFormat="1" ht="95.1" customHeight="1">
      <c r="A1032" s="947">
        <f t="shared" si="175"/>
        <v>1025</v>
      </c>
      <c r="B1032" s="948">
        <v>3</v>
      </c>
      <c r="C1032" s="949">
        <v>40290</v>
      </c>
      <c r="D1032" s="949" t="s">
        <v>176</v>
      </c>
      <c r="E1032" s="904">
        <v>22</v>
      </c>
      <c r="F1032" s="644">
        <v>2010</v>
      </c>
      <c r="G1032" s="948" t="s">
        <v>146</v>
      </c>
      <c r="H1032" s="645" t="s">
        <v>190</v>
      </c>
      <c r="I1032" s="951">
        <v>50</v>
      </c>
      <c r="J1032" s="951">
        <v>1.83</v>
      </c>
      <c r="K1032" s="952">
        <f t="shared" si="173"/>
        <v>5.1988636363636362E-2</v>
      </c>
      <c r="L1032" s="644">
        <f t="shared" si="176"/>
        <v>15</v>
      </c>
      <c r="M1032" s="935">
        <v>0.66597222222222219</v>
      </c>
      <c r="N1032" s="936">
        <f t="shared" si="166"/>
        <v>0.66597222222222219</v>
      </c>
      <c r="O1032" s="725">
        <v>0.66805555555555562</v>
      </c>
      <c r="P1032" s="725">
        <f t="shared" ref="P1032:P1094" si="179">+O1032-N1032</f>
        <v>2.083333333333437E-3</v>
      </c>
      <c r="Q1032" s="634" t="s">
        <v>917</v>
      </c>
      <c r="R1032" s="324"/>
      <c r="S1032" s="38" t="str">
        <f t="shared" si="177"/>
        <v>ArmstrongEF0</v>
      </c>
      <c r="T1032" s="38" t="str">
        <f t="shared" ref="T1032:T1094" si="180">CONCATENATE(F1032,H1032)</f>
        <v>2010EF0</v>
      </c>
      <c r="U1032" s="429">
        <v>50</v>
      </c>
      <c r="V1032" s="1029">
        <v>1</v>
      </c>
      <c r="W1032" s="598">
        <v>0.05</v>
      </c>
      <c r="X1032" s="429"/>
      <c r="Y1032" s="38" t="str">
        <f t="shared" ref="Y1032:Y1094" si="181">CONCATENATE(H1032,U1032)</f>
        <v>EF050</v>
      </c>
      <c r="Z1032" s="38" t="str">
        <f t="shared" ref="Z1032:Z1094" si="182">CONCATENATE(H1032,V1032)</f>
        <v>EF01</v>
      </c>
      <c r="AA1032" s="38" t="str">
        <f t="shared" si="174"/>
        <v>EF00.05</v>
      </c>
      <c r="AB1032" s="726" t="str">
        <f t="shared" si="178"/>
        <v>EF015</v>
      </c>
      <c r="AC1032" s="727"/>
      <c r="AD1032" s="727"/>
      <c r="AE1032" s="727"/>
      <c r="AF1032" s="727"/>
    </row>
    <row r="1033" spans="1:32" s="32" customFormat="1">
      <c r="A1033" s="947">
        <f t="shared" si="175"/>
        <v>1026</v>
      </c>
      <c r="B1033" s="948">
        <v>4</v>
      </c>
      <c r="C1033" s="949">
        <v>40290</v>
      </c>
      <c r="D1033" s="949" t="s">
        <v>176</v>
      </c>
      <c r="E1033" s="904">
        <v>22</v>
      </c>
      <c r="F1033" s="644">
        <v>2010</v>
      </c>
      <c r="G1033" s="948" t="s">
        <v>147</v>
      </c>
      <c r="H1033" s="645" t="s">
        <v>190</v>
      </c>
      <c r="I1033" s="948">
        <v>100</v>
      </c>
      <c r="J1033" s="948">
        <v>5.24</v>
      </c>
      <c r="K1033" s="952">
        <f t="shared" ref="K1033:K1095" si="183">+(I1033/1760)*J1033</f>
        <v>0.29772727272727273</v>
      </c>
      <c r="L1033" s="644">
        <f t="shared" si="176"/>
        <v>16</v>
      </c>
      <c r="M1033" s="935">
        <v>0.67361111111111116</v>
      </c>
      <c r="N1033" s="936">
        <f t="shared" si="166"/>
        <v>0.67361111111111116</v>
      </c>
      <c r="O1033" s="725">
        <v>0.68472222222222223</v>
      </c>
      <c r="P1033" s="725">
        <f t="shared" si="179"/>
        <v>1.1111111111111072E-2</v>
      </c>
      <c r="Q1033" s="634" t="s">
        <v>945</v>
      </c>
      <c r="R1033" s="324"/>
      <c r="S1033" s="38" t="str">
        <f t="shared" si="177"/>
        <v>DonleyEF0</v>
      </c>
      <c r="T1033" s="38" t="str">
        <f t="shared" si="180"/>
        <v>2010EF0</v>
      </c>
      <c r="U1033" s="429">
        <v>100</v>
      </c>
      <c r="V1033" s="1029">
        <v>5</v>
      </c>
      <c r="W1033" s="598">
        <v>0.2</v>
      </c>
      <c r="X1033" s="429"/>
      <c r="Y1033" s="38" t="str">
        <f t="shared" si="181"/>
        <v>EF0100</v>
      </c>
      <c r="Z1033" s="38" t="str">
        <f t="shared" si="182"/>
        <v>EF05</v>
      </c>
      <c r="AA1033" s="38" t="str">
        <f t="shared" ref="AA1033:AA1095" si="184">CONCATENATE(H1033,W1033)</f>
        <v>EF00.2</v>
      </c>
      <c r="AB1033" s="726" t="str">
        <f t="shared" si="178"/>
        <v>EF016</v>
      </c>
      <c r="AC1033" s="727"/>
      <c r="AD1033" s="727"/>
      <c r="AE1033" s="727"/>
      <c r="AF1033" s="727"/>
    </row>
    <row r="1034" spans="1:32" s="32" customFormat="1" ht="15" customHeight="1">
      <c r="A1034" s="947">
        <f t="shared" ref="A1034:A1097" si="185">+A1033+1</f>
        <v>1027</v>
      </c>
      <c r="B1034" s="948">
        <v>5</v>
      </c>
      <c r="C1034" s="949">
        <v>40290</v>
      </c>
      <c r="D1034" s="949" t="s">
        <v>176</v>
      </c>
      <c r="E1034" s="904">
        <v>22</v>
      </c>
      <c r="F1034" s="644">
        <v>2010</v>
      </c>
      <c r="G1034" s="948" t="s">
        <v>146</v>
      </c>
      <c r="H1034" s="645" t="s">
        <v>191</v>
      </c>
      <c r="I1034" s="948">
        <v>100</v>
      </c>
      <c r="J1034" s="948">
        <v>10.34</v>
      </c>
      <c r="K1034" s="952">
        <f t="shared" si="183"/>
        <v>0.58750000000000002</v>
      </c>
      <c r="L1034" s="644">
        <f t="shared" si="176"/>
        <v>16</v>
      </c>
      <c r="M1034" s="935">
        <v>0.68055555555555547</v>
      </c>
      <c r="N1034" s="936">
        <f t="shared" si="166"/>
        <v>0.68055555555555547</v>
      </c>
      <c r="O1034" s="725">
        <v>0.69652777777777775</v>
      </c>
      <c r="P1034" s="725">
        <f t="shared" si="179"/>
        <v>1.5972222222222276E-2</v>
      </c>
      <c r="Q1034" s="634" t="s">
        <v>916</v>
      </c>
      <c r="R1034" s="324"/>
      <c r="S1034" s="38" t="str">
        <f t="shared" si="177"/>
        <v>ArmstrongEF1</v>
      </c>
      <c r="T1034" s="38" t="str">
        <f t="shared" si="180"/>
        <v>2010EF1</v>
      </c>
      <c r="U1034" s="429">
        <v>100</v>
      </c>
      <c r="V1034" s="1029">
        <v>10</v>
      </c>
      <c r="W1034" s="598">
        <v>0.5</v>
      </c>
      <c r="X1034" s="429"/>
      <c r="Y1034" s="38" t="str">
        <f t="shared" si="181"/>
        <v>EF1100</v>
      </c>
      <c r="Z1034" s="38" t="str">
        <f t="shared" si="182"/>
        <v>EF110</v>
      </c>
      <c r="AA1034" s="38" t="str">
        <f t="shared" si="184"/>
        <v>EF10.5</v>
      </c>
      <c r="AB1034" s="726" t="str">
        <f t="shared" si="178"/>
        <v>EF116</v>
      </c>
      <c r="AC1034" s="727"/>
      <c r="AD1034" s="727"/>
      <c r="AE1034" s="727"/>
      <c r="AF1034" s="727"/>
    </row>
    <row r="1035" spans="1:32" s="32" customFormat="1">
      <c r="A1035" s="947">
        <f t="shared" si="185"/>
        <v>1028</v>
      </c>
      <c r="B1035" s="948">
        <v>6</v>
      </c>
      <c r="C1035" s="949">
        <v>40290</v>
      </c>
      <c r="D1035" s="949" t="s">
        <v>176</v>
      </c>
      <c r="E1035" s="904">
        <v>22</v>
      </c>
      <c r="F1035" s="644">
        <v>2010</v>
      </c>
      <c r="G1035" s="948" t="s">
        <v>128</v>
      </c>
      <c r="H1035" s="645" t="s">
        <v>190</v>
      </c>
      <c r="I1035" s="948">
        <v>25</v>
      </c>
      <c r="J1035" s="948">
        <v>0.23</v>
      </c>
      <c r="K1035" s="952">
        <f t="shared" si="183"/>
        <v>3.2670454545454548E-3</v>
      </c>
      <c r="L1035" s="644">
        <f t="shared" si="176"/>
        <v>16</v>
      </c>
      <c r="M1035" s="935">
        <v>0.70208333333333339</v>
      </c>
      <c r="N1035" s="936">
        <f t="shared" si="166"/>
        <v>0.70208333333333339</v>
      </c>
      <c r="O1035" s="725">
        <v>0.70277777777777783</v>
      </c>
      <c r="P1035" s="725">
        <f t="shared" si="179"/>
        <v>6.9444444444444198E-4</v>
      </c>
      <c r="Q1035" s="634" t="s">
        <v>943</v>
      </c>
      <c r="R1035" s="324"/>
      <c r="S1035" s="38" t="str">
        <f t="shared" si="177"/>
        <v>BeaverEF0</v>
      </c>
      <c r="T1035" s="38" t="str">
        <f t="shared" si="180"/>
        <v>2010EF0</v>
      </c>
      <c r="U1035" s="429">
        <v>20</v>
      </c>
      <c r="V1035" s="1029">
        <v>0.2</v>
      </c>
      <c r="W1035" s="598">
        <v>2E-3</v>
      </c>
      <c r="X1035" s="429"/>
      <c r="Y1035" s="38" t="str">
        <f t="shared" si="181"/>
        <v>EF020</v>
      </c>
      <c r="Z1035" s="38" t="str">
        <f t="shared" si="182"/>
        <v>EF00.2</v>
      </c>
      <c r="AA1035" s="38" t="str">
        <f t="shared" si="184"/>
        <v>EF00.002</v>
      </c>
      <c r="AB1035" s="726" t="str">
        <f t="shared" si="178"/>
        <v>EF016</v>
      </c>
      <c r="AC1035" s="727"/>
      <c r="AD1035" s="727"/>
      <c r="AE1035" s="727"/>
      <c r="AF1035" s="727"/>
    </row>
    <row r="1036" spans="1:32" s="32" customFormat="1">
      <c r="A1036" s="947">
        <f t="shared" si="185"/>
        <v>1029</v>
      </c>
      <c r="B1036" s="972">
        <v>7</v>
      </c>
      <c r="C1036" s="949">
        <v>40290</v>
      </c>
      <c r="D1036" s="949" t="s">
        <v>176</v>
      </c>
      <c r="E1036" s="904">
        <v>22</v>
      </c>
      <c r="F1036" s="644">
        <v>2010</v>
      </c>
      <c r="G1036" s="972" t="s">
        <v>142</v>
      </c>
      <c r="H1036" s="729" t="s">
        <v>190</v>
      </c>
      <c r="I1036" s="972">
        <v>25</v>
      </c>
      <c r="J1036" s="972">
        <v>0.49</v>
      </c>
      <c r="K1036" s="973">
        <f t="shared" si="183"/>
        <v>6.9602272727272724E-3</v>
      </c>
      <c r="L1036" s="974">
        <f t="shared" si="176"/>
        <v>16</v>
      </c>
      <c r="M1036" s="975">
        <v>0.69305555555555554</v>
      </c>
      <c r="N1036" s="976">
        <f t="shared" si="166"/>
        <v>0.69305555555555554</v>
      </c>
      <c r="O1036" s="725">
        <v>0.69444444444444453</v>
      </c>
      <c r="P1036" s="977">
        <f t="shared" si="179"/>
        <v>1.388888888888995E-3</v>
      </c>
      <c r="Q1036" s="634" t="s">
        <v>946</v>
      </c>
      <c r="R1036" s="324"/>
      <c r="S1036" s="38" t="str">
        <f t="shared" ref="S1036:S1044" si="186">CONCATENATE(G1036,H1036)</f>
        <v>GrayEF0</v>
      </c>
      <c r="T1036" s="38" t="str">
        <f t="shared" ref="T1036:T1044" si="187">CONCATENATE(F1036,H1036)</f>
        <v>2010EF0</v>
      </c>
      <c r="U1036" s="429">
        <v>20</v>
      </c>
      <c r="V1036" s="1029">
        <v>0.2</v>
      </c>
      <c r="W1036" s="598">
        <v>5.0000000000000001E-3</v>
      </c>
      <c r="X1036" s="429"/>
      <c r="Y1036" s="38" t="str">
        <f>CONCATENATE(H1038,U1036)</f>
        <v>EF020</v>
      </c>
      <c r="Z1036" s="38" t="str">
        <f>CONCATENATE(H1038,V1036)</f>
        <v>EF00.2</v>
      </c>
      <c r="AA1036" s="38" t="str">
        <f>CONCATENATE(H1038,W1036)</f>
        <v>EF00.005</v>
      </c>
      <c r="AB1036" s="726" t="str">
        <f>CONCATENATE(H1038,L1038)</f>
        <v>EF017</v>
      </c>
      <c r="AC1036" s="727"/>
      <c r="AD1036" s="727"/>
      <c r="AE1036" s="727"/>
      <c r="AF1036" s="727"/>
    </row>
    <row r="1037" spans="1:32" s="32" customFormat="1">
      <c r="A1037" s="947">
        <f t="shared" si="185"/>
        <v>1030</v>
      </c>
      <c r="B1037" s="972">
        <v>8</v>
      </c>
      <c r="C1037" s="949">
        <v>40290</v>
      </c>
      <c r="D1037" s="949" t="s">
        <v>176</v>
      </c>
      <c r="E1037" s="904">
        <v>22</v>
      </c>
      <c r="F1037" s="644">
        <v>2010</v>
      </c>
      <c r="G1037" s="972" t="s">
        <v>147</v>
      </c>
      <c r="H1037" s="729" t="s">
        <v>190</v>
      </c>
      <c r="I1037" s="972">
        <v>25</v>
      </c>
      <c r="J1037" s="972">
        <v>0.59</v>
      </c>
      <c r="K1037" s="973">
        <f>+(I1037/1760)*J1037</f>
        <v>8.3806818181818166E-3</v>
      </c>
      <c r="L1037" s="974">
        <f>HOUR(N1037)</f>
        <v>17</v>
      </c>
      <c r="M1037" s="975">
        <v>0.71319444444444446</v>
      </c>
      <c r="N1037" s="976">
        <f>+M1037</f>
        <v>0.71319444444444446</v>
      </c>
      <c r="O1037" s="725">
        <v>0.71458333333333324</v>
      </c>
      <c r="P1037" s="977">
        <f>+O1037-N1037</f>
        <v>1.3888888888887729E-3</v>
      </c>
      <c r="Q1037" s="634" t="s">
        <v>945</v>
      </c>
      <c r="R1037" s="324"/>
      <c r="S1037" s="38" t="str">
        <f>CONCATENATE(G1037,H1037)</f>
        <v>DonleyEF0</v>
      </c>
      <c r="T1037" s="38" t="str">
        <f>CONCATENATE(F1037,H1037)</f>
        <v>2010EF0</v>
      </c>
      <c r="U1037" s="429">
        <v>20</v>
      </c>
      <c r="V1037" s="1029">
        <v>0.5</v>
      </c>
      <c r="W1037" s="598">
        <v>5.0000000000000001E-3</v>
      </c>
      <c r="X1037" s="429"/>
      <c r="Y1037" s="38" t="str">
        <f>CONCATENATE(H1039,U1037)</f>
        <v>EF020</v>
      </c>
      <c r="Z1037" s="38" t="str">
        <f>CONCATENATE(H1039,V1037)</f>
        <v>EF00.5</v>
      </c>
      <c r="AA1037" s="38" t="str">
        <f>CONCATENATE(H1039,W1037)</f>
        <v>EF00.005</v>
      </c>
      <c r="AB1037" s="726" t="str">
        <f>CONCATENATE(H1039,L1039)</f>
        <v>EF017</v>
      </c>
      <c r="AC1037" s="727"/>
      <c r="AD1037" s="727"/>
      <c r="AE1037" s="727"/>
      <c r="AF1037" s="727"/>
    </row>
    <row r="1038" spans="1:32" s="32" customFormat="1">
      <c r="A1038" s="947">
        <f>+A1037+1</f>
        <v>1031</v>
      </c>
      <c r="B1038" s="948">
        <v>9</v>
      </c>
      <c r="C1038" s="949">
        <v>40290</v>
      </c>
      <c r="D1038" s="949" t="s">
        <v>176</v>
      </c>
      <c r="E1038" s="904">
        <v>22</v>
      </c>
      <c r="F1038" s="644">
        <v>2010</v>
      </c>
      <c r="G1038" s="948" t="s">
        <v>142</v>
      </c>
      <c r="H1038" s="645" t="s">
        <v>190</v>
      </c>
      <c r="I1038" s="948">
        <v>440</v>
      </c>
      <c r="J1038" s="948">
        <v>4.01</v>
      </c>
      <c r="K1038" s="952">
        <f>+(I1038/1760)*J1038</f>
        <v>1.0024999999999999</v>
      </c>
      <c r="L1038" s="644">
        <f>HOUR(N1038)</f>
        <v>17</v>
      </c>
      <c r="M1038" s="935">
        <v>0.72916666666666663</v>
      </c>
      <c r="N1038" s="936">
        <f>+M1038</f>
        <v>0.72916666666666663</v>
      </c>
      <c r="O1038" s="725">
        <v>0.74444444444444446</v>
      </c>
      <c r="P1038" s="725">
        <f>+O1038-N1038</f>
        <v>1.5277777777777835E-2</v>
      </c>
      <c r="Q1038" s="634" t="s">
        <v>947</v>
      </c>
      <c r="R1038" s="324"/>
      <c r="S1038" s="38" t="str">
        <f t="shared" si="186"/>
        <v>GrayEF0</v>
      </c>
      <c r="T1038" s="38" t="str">
        <f t="shared" si="187"/>
        <v>2010EF0</v>
      </c>
      <c r="U1038" s="429">
        <v>200</v>
      </c>
      <c r="V1038" s="1029">
        <v>2</v>
      </c>
      <c r="W1038" s="598">
        <v>1</v>
      </c>
      <c r="X1038" s="429"/>
      <c r="Y1038" s="38" t="str">
        <f>CONCATENATE(H1039,U1038)</f>
        <v>EF0200</v>
      </c>
      <c r="Z1038" s="38" t="str">
        <f>CONCATENATE(H1039,V1038)</f>
        <v>EF02</v>
      </c>
      <c r="AA1038" s="38" t="str">
        <f>CONCATENATE(H1039,W1038)</f>
        <v>EF01</v>
      </c>
      <c r="AB1038" s="726" t="str">
        <f>CONCATENATE(H1039,L1039)</f>
        <v>EF017</v>
      </c>
      <c r="AC1038" s="727"/>
      <c r="AD1038" s="727"/>
      <c r="AE1038" s="727"/>
      <c r="AF1038" s="727"/>
    </row>
    <row r="1039" spans="1:32" s="32" customFormat="1">
      <c r="A1039" s="947">
        <f t="shared" si="185"/>
        <v>1032</v>
      </c>
      <c r="B1039" s="948">
        <v>10</v>
      </c>
      <c r="C1039" s="949">
        <v>40290</v>
      </c>
      <c r="D1039" s="949" t="s">
        <v>176</v>
      </c>
      <c r="E1039" s="904">
        <v>22</v>
      </c>
      <c r="F1039" s="644">
        <v>2010</v>
      </c>
      <c r="G1039" s="948" t="s">
        <v>142</v>
      </c>
      <c r="H1039" s="645" t="s">
        <v>190</v>
      </c>
      <c r="I1039" s="951">
        <v>100</v>
      </c>
      <c r="J1039" s="951">
        <v>4.47</v>
      </c>
      <c r="K1039" s="952">
        <f>+(I1039/1760)*J1039</f>
        <v>0.25397727272727272</v>
      </c>
      <c r="L1039" s="644">
        <f>HOUR(N1039)</f>
        <v>17</v>
      </c>
      <c r="M1039" s="935">
        <v>0.23611111111111113</v>
      </c>
      <c r="N1039" s="936">
        <v>0.73611111111111116</v>
      </c>
      <c r="O1039" s="725">
        <v>0.74305555555555547</v>
      </c>
      <c r="P1039" s="725">
        <f>+O1039-N1039</f>
        <v>6.9444444444443088E-3</v>
      </c>
      <c r="Q1039" s="634" t="s">
        <v>948</v>
      </c>
      <c r="R1039" s="324"/>
      <c r="S1039" s="38" t="str">
        <f t="shared" si="186"/>
        <v>GrayEF0</v>
      </c>
      <c r="T1039" s="38" t="str">
        <f t="shared" si="187"/>
        <v>2010EF0</v>
      </c>
      <c r="U1039" s="429">
        <v>100</v>
      </c>
      <c r="V1039" s="1029">
        <v>2</v>
      </c>
      <c r="W1039" s="598">
        <v>0.2</v>
      </c>
      <c r="X1039" s="429"/>
      <c r="Y1039" s="38" t="str">
        <f>CONCATENATE(H1040,U1039)</f>
        <v>EF0100</v>
      </c>
      <c r="Z1039" s="38" t="str">
        <f>CONCATENATE(H1040,V1039)</f>
        <v>EF02</v>
      </c>
      <c r="AA1039" s="38" t="str">
        <f>CONCATENATE(H1040,W1039)</f>
        <v>EF00.2</v>
      </c>
      <c r="AB1039" s="726" t="str">
        <f>CONCATENATE(H1040,L1040)</f>
        <v>EF016</v>
      </c>
      <c r="AC1039" s="727"/>
      <c r="AD1039" s="727"/>
      <c r="AE1039" s="727"/>
      <c r="AF1039" s="727"/>
    </row>
    <row r="1040" spans="1:32" s="32" customFormat="1" ht="93.75" customHeight="1">
      <c r="A1040" s="947">
        <f t="shared" si="185"/>
        <v>1033</v>
      </c>
      <c r="B1040" s="948">
        <v>11</v>
      </c>
      <c r="C1040" s="949">
        <v>40316</v>
      </c>
      <c r="D1040" s="949" t="s">
        <v>918</v>
      </c>
      <c r="E1040" s="904">
        <v>18</v>
      </c>
      <c r="F1040" s="644">
        <v>2010</v>
      </c>
      <c r="G1040" s="948" t="s">
        <v>134</v>
      </c>
      <c r="H1040" s="645" t="s">
        <v>190</v>
      </c>
      <c r="I1040" s="951">
        <v>50</v>
      </c>
      <c r="J1040" s="951">
        <v>1.0900000000000001</v>
      </c>
      <c r="K1040" s="952">
        <f t="shared" si="183"/>
        <v>3.0965909090909093E-2</v>
      </c>
      <c r="L1040" s="644">
        <f>HOUR(N1040)</f>
        <v>16</v>
      </c>
      <c r="M1040" s="935">
        <v>0.68888888888888899</v>
      </c>
      <c r="N1040" s="936">
        <f t="shared" ref="N1040:N1110" si="188">+M1040</f>
        <v>0.68888888888888899</v>
      </c>
      <c r="O1040" s="725">
        <v>0.69166666666666676</v>
      </c>
      <c r="P1040" s="725">
        <f t="shared" si="179"/>
        <v>2.7777777777777679E-3</v>
      </c>
      <c r="Q1040" s="634" t="s">
        <v>929</v>
      </c>
      <c r="R1040" s="324"/>
      <c r="S1040" s="38" t="str">
        <f t="shared" si="186"/>
        <v>HartleyEF0</v>
      </c>
      <c r="T1040" s="38" t="str">
        <f t="shared" si="187"/>
        <v>2010EF0</v>
      </c>
      <c r="U1040" s="429">
        <v>50</v>
      </c>
      <c r="V1040" s="1029">
        <v>1</v>
      </c>
      <c r="W1040" s="598">
        <v>0.02</v>
      </c>
      <c r="X1040" s="429"/>
      <c r="Y1040" s="38" t="str">
        <f t="shared" si="181"/>
        <v>EF050</v>
      </c>
      <c r="Z1040" s="38" t="str">
        <f t="shared" si="182"/>
        <v>EF01</v>
      </c>
      <c r="AA1040" s="38" t="str">
        <f t="shared" si="184"/>
        <v>EF00.02</v>
      </c>
      <c r="AB1040" s="726" t="str">
        <f t="shared" si="178"/>
        <v>EF016</v>
      </c>
      <c r="AC1040" s="727"/>
      <c r="AD1040" s="727"/>
      <c r="AE1040" s="727"/>
      <c r="AF1040" s="727"/>
    </row>
    <row r="1041" spans="1:32" s="32" customFormat="1">
      <c r="A1041" s="947">
        <f t="shared" si="185"/>
        <v>1034</v>
      </c>
      <c r="B1041" s="948">
        <v>12</v>
      </c>
      <c r="C1041" s="949">
        <v>40316</v>
      </c>
      <c r="D1041" s="949" t="s">
        <v>918</v>
      </c>
      <c r="E1041" s="904">
        <v>18</v>
      </c>
      <c r="F1041" s="644">
        <v>2010</v>
      </c>
      <c r="G1041" s="948" t="s">
        <v>134</v>
      </c>
      <c r="H1041" s="645" t="s">
        <v>190</v>
      </c>
      <c r="I1041" s="951">
        <v>100</v>
      </c>
      <c r="J1041" s="951">
        <v>1.01</v>
      </c>
      <c r="K1041" s="952">
        <f t="shared" si="183"/>
        <v>5.7386363636363638E-2</v>
      </c>
      <c r="L1041" s="644">
        <f t="shared" ref="L1041:L1110" si="189">HOUR(N1041)</f>
        <v>16</v>
      </c>
      <c r="M1041" s="935">
        <v>0.69513888888888886</v>
      </c>
      <c r="N1041" s="936">
        <f t="shared" si="188"/>
        <v>0.69513888888888886</v>
      </c>
      <c r="O1041" s="725">
        <v>0.6972222222222223</v>
      </c>
      <c r="P1041" s="725">
        <f t="shared" si="179"/>
        <v>2.083333333333437E-3</v>
      </c>
      <c r="Q1041" s="634" t="s">
        <v>949</v>
      </c>
      <c r="R1041" s="324"/>
      <c r="S1041" s="38" t="str">
        <f t="shared" si="186"/>
        <v>HartleyEF0</v>
      </c>
      <c r="T1041" s="38" t="str">
        <f t="shared" si="187"/>
        <v>2010EF0</v>
      </c>
      <c r="U1041" s="429">
        <v>100</v>
      </c>
      <c r="V1041" s="1029">
        <v>1</v>
      </c>
      <c r="W1041" s="598">
        <v>0.05</v>
      </c>
      <c r="X1041" s="429"/>
      <c r="Y1041" s="38" t="str">
        <f t="shared" si="181"/>
        <v>EF0100</v>
      </c>
      <c r="Z1041" s="38" t="str">
        <f t="shared" si="182"/>
        <v>EF01</v>
      </c>
      <c r="AA1041" s="38" t="str">
        <f t="shared" si="184"/>
        <v>EF00.05</v>
      </c>
      <c r="AB1041" s="726" t="str">
        <f t="shared" si="178"/>
        <v>EF016</v>
      </c>
      <c r="AC1041" s="727"/>
      <c r="AD1041" s="727"/>
      <c r="AE1041" s="727"/>
      <c r="AF1041" s="727"/>
    </row>
    <row r="1042" spans="1:32" s="32" customFormat="1">
      <c r="A1042" s="947">
        <f t="shared" si="185"/>
        <v>1035</v>
      </c>
      <c r="B1042" s="948">
        <v>13</v>
      </c>
      <c r="C1042" s="949">
        <v>40316</v>
      </c>
      <c r="D1042" s="949" t="s">
        <v>918</v>
      </c>
      <c r="E1042" s="904">
        <v>18</v>
      </c>
      <c r="F1042" s="644">
        <v>2010</v>
      </c>
      <c r="G1042" s="948" t="s">
        <v>135</v>
      </c>
      <c r="H1042" s="645" t="s">
        <v>190</v>
      </c>
      <c r="I1042" s="951">
        <v>25</v>
      </c>
      <c r="J1042" s="951">
        <v>0.53</v>
      </c>
      <c r="K1042" s="952">
        <f t="shared" si="183"/>
        <v>7.5284090909090908E-3</v>
      </c>
      <c r="L1042" s="644">
        <f t="shared" si="189"/>
        <v>16</v>
      </c>
      <c r="M1042" s="935">
        <v>0.70486111111111116</v>
      </c>
      <c r="N1042" s="936">
        <f t="shared" si="188"/>
        <v>0.70486111111111116</v>
      </c>
      <c r="O1042" s="725">
        <v>0.70624999999999993</v>
      </c>
      <c r="P1042" s="725">
        <f t="shared" si="179"/>
        <v>1.3888888888887729E-3</v>
      </c>
      <c r="Q1042" s="634" t="s">
        <v>919</v>
      </c>
      <c r="R1042" s="324"/>
      <c r="S1042" s="38" t="str">
        <f t="shared" si="186"/>
        <v>MooreEF0</v>
      </c>
      <c r="T1042" s="38" t="str">
        <f t="shared" si="187"/>
        <v>2010EF0</v>
      </c>
      <c r="U1042" s="429">
        <v>20</v>
      </c>
      <c r="V1042" s="1029">
        <v>0.5</v>
      </c>
      <c r="W1042" s="598">
        <v>5.0000000000000001E-3</v>
      </c>
      <c r="X1042" s="429"/>
      <c r="Y1042" s="38" t="str">
        <f t="shared" si="181"/>
        <v>EF020</v>
      </c>
      <c r="Z1042" s="38" t="str">
        <f t="shared" si="182"/>
        <v>EF00.5</v>
      </c>
      <c r="AA1042" s="38" t="str">
        <f t="shared" si="184"/>
        <v>EF00.005</v>
      </c>
      <c r="AB1042" s="726" t="str">
        <f t="shared" si="178"/>
        <v>EF016</v>
      </c>
      <c r="AC1042" s="727"/>
      <c r="AD1042" s="727"/>
      <c r="AE1042" s="727"/>
      <c r="AF1042" s="727"/>
    </row>
    <row r="1043" spans="1:32" s="32" customFormat="1">
      <c r="A1043" s="947">
        <f t="shared" si="185"/>
        <v>1036</v>
      </c>
      <c r="B1043" s="948">
        <v>14</v>
      </c>
      <c r="C1043" s="949">
        <v>40316</v>
      </c>
      <c r="D1043" s="949" t="s">
        <v>918</v>
      </c>
      <c r="E1043" s="904">
        <v>18</v>
      </c>
      <c r="F1043" s="644">
        <v>2010</v>
      </c>
      <c r="G1043" s="948" t="s">
        <v>135</v>
      </c>
      <c r="H1043" s="645" t="s">
        <v>190</v>
      </c>
      <c r="I1043" s="951">
        <v>25</v>
      </c>
      <c r="J1043" s="951">
        <v>2.2200000000000002</v>
      </c>
      <c r="K1043" s="952">
        <f t="shared" si="183"/>
        <v>3.1534090909090907E-2</v>
      </c>
      <c r="L1043" s="644">
        <f t="shared" si="189"/>
        <v>17</v>
      </c>
      <c r="M1043" s="935">
        <v>0.72777777777777775</v>
      </c>
      <c r="N1043" s="936">
        <f t="shared" si="188"/>
        <v>0.72777777777777775</v>
      </c>
      <c r="O1043" s="725">
        <v>0.72916666666666663</v>
      </c>
      <c r="P1043" s="725">
        <f t="shared" si="179"/>
        <v>1.388888888888884E-3</v>
      </c>
      <c r="Q1043" s="634" t="s">
        <v>923</v>
      </c>
      <c r="R1043" s="324"/>
      <c r="S1043" s="38" t="str">
        <f t="shared" si="186"/>
        <v>MooreEF0</v>
      </c>
      <c r="T1043" s="38" t="str">
        <f t="shared" si="187"/>
        <v>2010EF0</v>
      </c>
      <c r="U1043" s="429">
        <v>20</v>
      </c>
      <c r="V1043" s="1029">
        <v>2</v>
      </c>
      <c r="W1043" s="598">
        <v>0.02</v>
      </c>
      <c r="X1043" s="429"/>
      <c r="Y1043" s="38" t="str">
        <f t="shared" si="181"/>
        <v>EF020</v>
      </c>
      <c r="Z1043" s="38" t="str">
        <f t="shared" si="182"/>
        <v>EF02</v>
      </c>
      <c r="AA1043" s="38" t="str">
        <f t="shared" si="184"/>
        <v>EF00.02</v>
      </c>
      <c r="AB1043" s="726" t="str">
        <f t="shared" si="178"/>
        <v>EF017</v>
      </c>
      <c r="AC1043" s="727"/>
      <c r="AD1043" s="727"/>
      <c r="AE1043" s="727"/>
      <c r="AF1043" s="727"/>
    </row>
    <row r="1044" spans="1:32" s="32" customFormat="1">
      <c r="A1044" s="947">
        <f t="shared" si="185"/>
        <v>1037</v>
      </c>
      <c r="B1044" s="948">
        <v>15</v>
      </c>
      <c r="C1044" s="949">
        <v>40316</v>
      </c>
      <c r="D1044" s="949" t="s">
        <v>918</v>
      </c>
      <c r="E1044" s="904">
        <v>18</v>
      </c>
      <c r="F1044" s="644">
        <v>2010</v>
      </c>
      <c r="G1044" s="948" t="s">
        <v>135</v>
      </c>
      <c r="H1044" s="645" t="s">
        <v>190</v>
      </c>
      <c r="I1044" s="951">
        <v>200</v>
      </c>
      <c r="J1044" s="951">
        <v>1.23</v>
      </c>
      <c r="K1044" s="952">
        <f t="shared" si="183"/>
        <v>0.13977272727272727</v>
      </c>
      <c r="L1044" s="644">
        <f t="shared" si="189"/>
        <v>17</v>
      </c>
      <c r="M1044" s="935">
        <v>0.73749999999999993</v>
      </c>
      <c r="N1044" s="936">
        <f t="shared" si="188"/>
        <v>0.73749999999999993</v>
      </c>
      <c r="O1044" s="725">
        <v>0.73958333333333337</v>
      </c>
      <c r="P1044" s="725">
        <f t="shared" si="179"/>
        <v>2.083333333333437E-3</v>
      </c>
      <c r="Q1044" s="634" t="s">
        <v>920</v>
      </c>
      <c r="R1044" s="324"/>
      <c r="S1044" s="38" t="str">
        <f t="shared" si="186"/>
        <v>MooreEF0</v>
      </c>
      <c r="T1044" s="38" t="str">
        <f t="shared" si="187"/>
        <v>2010EF0</v>
      </c>
      <c r="U1044" s="429">
        <v>200</v>
      </c>
      <c r="V1044" s="1029">
        <v>1</v>
      </c>
      <c r="W1044" s="598">
        <v>0.1</v>
      </c>
      <c r="X1044" s="429"/>
      <c r="Y1044" s="38" t="str">
        <f t="shared" si="181"/>
        <v>EF0200</v>
      </c>
      <c r="Z1044" s="38" t="str">
        <f t="shared" si="182"/>
        <v>EF01</v>
      </c>
      <c r="AA1044" s="38" t="str">
        <f t="shared" si="184"/>
        <v>EF00.1</v>
      </c>
      <c r="AB1044" s="726" t="str">
        <f t="shared" si="178"/>
        <v>EF017</v>
      </c>
      <c r="AC1044" s="727"/>
      <c r="AD1044" s="727"/>
      <c r="AE1044" s="727"/>
      <c r="AF1044" s="727"/>
    </row>
    <row r="1045" spans="1:32" s="32" customFormat="1">
      <c r="A1045" s="947">
        <f t="shared" si="185"/>
        <v>1038</v>
      </c>
      <c r="B1045" s="948">
        <v>16</v>
      </c>
      <c r="C1045" s="949">
        <v>40316</v>
      </c>
      <c r="D1045" s="949" t="s">
        <v>918</v>
      </c>
      <c r="E1045" s="904">
        <v>18</v>
      </c>
      <c r="F1045" s="644">
        <v>2010</v>
      </c>
      <c r="G1045" s="948" t="s">
        <v>136</v>
      </c>
      <c r="H1045" s="645" t="s">
        <v>189</v>
      </c>
      <c r="I1045" s="951">
        <v>300</v>
      </c>
      <c r="J1045" s="951">
        <v>4.99</v>
      </c>
      <c r="K1045" s="952">
        <f t="shared" si="183"/>
        <v>0.85056818181818183</v>
      </c>
      <c r="L1045" s="644">
        <f t="shared" si="189"/>
        <v>18</v>
      </c>
      <c r="M1045" s="935">
        <v>0.78055555555555556</v>
      </c>
      <c r="N1045" s="936">
        <f t="shared" si="188"/>
        <v>0.78055555555555556</v>
      </c>
      <c r="O1045" s="725">
        <v>0.79166666666666663</v>
      </c>
      <c r="P1045" s="725">
        <f t="shared" si="179"/>
        <v>1.1111111111111072E-2</v>
      </c>
      <c r="Q1045" s="634" t="s">
        <v>926</v>
      </c>
      <c r="R1045" s="324"/>
      <c r="S1045" s="38" t="str">
        <f t="shared" ref="S1045:S1098" si="190">CONCATENATE(G1045,H1045)</f>
        <v>HutchinsonEF2</v>
      </c>
      <c r="T1045" s="38" t="str">
        <f t="shared" si="180"/>
        <v>2010EF2</v>
      </c>
      <c r="U1045" s="429">
        <v>200</v>
      </c>
      <c r="V1045" s="1029">
        <v>2</v>
      </c>
      <c r="W1045" s="598">
        <v>0.5</v>
      </c>
      <c r="X1045" s="429"/>
      <c r="Y1045" s="38" t="str">
        <f t="shared" si="181"/>
        <v>EF2200</v>
      </c>
      <c r="Z1045" s="38" t="str">
        <f t="shared" si="182"/>
        <v>EF22</v>
      </c>
      <c r="AA1045" s="38" t="str">
        <f t="shared" si="184"/>
        <v>EF20.5</v>
      </c>
      <c r="AB1045" s="726" t="str">
        <f t="shared" si="178"/>
        <v>EF218</v>
      </c>
      <c r="AC1045" s="727"/>
      <c r="AD1045" s="727"/>
      <c r="AE1045" s="727"/>
      <c r="AF1045" s="727"/>
    </row>
    <row r="1046" spans="1:32" s="32" customFormat="1" ht="25.5">
      <c r="A1046" s="947">
        <f t="shared" si="185"/>
        <v>1039</v>
      </c>
      <c r="B1046" s="948">
        <v>17</v>
      </c>
      <c r="C1046" s="949">
        <v>40316</v>
      </c>
      <c r="D1046" s="949" t="s">
        <v>918</v>
      </c>
      <c r="E1046" s="904">
        <v>18</v>
      </c>
      <c r="F1046" s="644">
        <v>2010</v>
      </c>
      <c r="G1046" s="948" t="s">
        <v>127</v>
      </c>
      <c r="H1046" s="645" t="s">
        <v>190</v>
      </c>
      <c r="I1046" s="951">
        <v>25</v>
      </c>
      <c r="J1046" s="951">
        <v>0.55000000000000004</v>
      </c>
      <c r="K1046" s="952">
        <f t="shared" si="183"/>
        <v>7.8125E-3</v>
      </c>
      <c r="L1046" s="644">
        <f t="shared" si="189"/>
        <v>18</v>
      </c>
      <c r="M1046" s="935">
        <v>0.78055555555555556</v>
      </c>
      <c r="N1046" s="936">
        <f t="shared" si="188"/>
        <v>0.78055555555555556</v>
      </c>
      <c r="O1046" s="725">
        <v>0.78194444444444444</v>
      </c>
      <c r="P1046" s="725">
        <f t="shared" si="179"/>
        <v>1.388888888888884E-3</v>
      </c>
      <c r="Q1046" s="634" t="s">
        <v>922</v>
      </c>
      <c r="R1046" s="324"/>
      <c r="S1046" s="38" t="str">
        <f t="shared" si="190"/>
        <v>TexasEF0</v>
      </c>
      <c r="T1046" s="38" t="str">
        <f t="shared" si="180"/>
        <v>2010EF0</v>
      </c>
      <c r="U1046" s="429">
        <v>20</v>
      </c>
      <c r="V1046" s="1029">
        <v>0.5</v>
      </c>
      <c r="W1046" s="598">
        <v>5.0000000000000001E-3</v>
      </c>
      <c r="X1046" s="429"/>
      <c r="Y1046" s="38" t="str">
        <f t="shared" si="181"/>
        <v>EF020</v>
      </c>
      <c r="Z1046" s="38" t="str">
        <f t="shared" si="182"/>
        <v>EF00.5</v>
      </c>
      <c r="AA1046" s="38" t="str">
        <f t="shared" si="184"/>
        <v>EF00.005</v>
      </c>
      <c r="AB1046" s="726" t="str">
        <f t="shared" si="178"/>
        <v>EF018</v>
      </c>
      <c r="AC1046" s="727"/>
      <c r="AD1046" s="727"/>
      <c r="AE1046" s="727"/>
      <c r="AF1046" s="727"/>
    </row>
    <row r="1047" spans="1:32" s="32" customFormat="1">
      <c r="A1047" s="947">
        <f t="shared" si="185"/>
        <v>1040</v>
      </c>
      <c r="B1047" s="948">
        <v>18</v>
      </c>
      <c r="C1047" s="949">
        <v>40316</v>
      </c>
      <c r="D1047" s="949" t="s">
        <v>918</v>
      </c>
      <c r="E1047" s="904">
        <v>18</v>
      </c>
      <c r="F1047" s="644">
        <v>2010</v>
      </c>
      <c r="G1047" s="948" t="s">
        <v>129</v>
      </c>
      <c r="H1047" s="645" t="s">
        <v>190</v>
      </c>
      <c r="I1047" s="951">
        <v>25</v>
      </c>
      <c r="J1047" s="951">
        <v>0.52</v>
      </c>
      <c r="K1047" s="952">
        <f t="shared" si="183"/>
        <v>7.3863636363636362E-3</v>
      </c>
      <c r="L1047" s="644">
        <f t="shared" si="189"/>
        <v>19</v>
      </c>
      <c r="M1047" s="935">
        <v>0.82777777777777783</v>
      </c>
      <c r="N1047" s="936">
        <f t="shared" si="188"/>
        <v>0.82777777777777783</v>
      </c>
      <c r="O1047" s="725">
        <v>0.82847222222222217</v>
      </c>
      <c r="P1047" s="725">
        <f t="shared" si="179"/>
        <v>6.9444444444433095E-4</v>
      </c>
      <c r="Q1047" s="634" t="s">
        <v>924</v>
      </c>
      <c r="R1047" s="324"/>
      <c r="S1047" s="38" t="str">
        <f t="shared" si="190"/>
        <v>DallamEF0</v>
      </c>
      <c r="T1047" s="38" t="str">
        <f t="shared" si="180"/>
        <v>2010EF0</v>
      </c>
      <c r="U1047" s="429">
        <v>20</v>
      </c>
      <c r="V1047" s="1029">
        <v>0.5</v>
      </c>
      <c r="W1047" s="598">
        <v>5.0000000000000001E-3</v>
      </c>
      <c r="X1047" s="429"/>
      <c r="Y1047" s="38" t="str">
        <f t="shared" si="181"/>
        <v>EF020</v>
      </c>
      <c r="Z1047" s="38" t="str">
        <f t="shared" si="182"/>
        <v>EF00.5</v>
      </c>
      <c r="AA1047" s="38" t="str">
        <f t="shared" si="184"/>
        <v>EF00.005</v>
      </c>
      <c r="AB1047" s="726" t="str">
        <f t="shared" si="178"/>
        <v>EF019</v>
      </c>
      <c r="AC1047" s="727"/>
      <c r="AD1047" s="727"/>
      <c r="AE1047" s="727"/>
      <c r="AF1047" s="727"/>
    </row>
    <row r="1048" spans="1:32" s="32" customFormat="1" ht="25.5">
      <c r="A1048" s="947">
        <f t="shared" si="185"/>
        <v>1041</v>
      </c>
      <c r="B1048" s="948">
        <v>19</v>
      </c>
      <c r="C1048" s="949">
        <v>40316</v>
      </c>
      <c r="D1048" s="949" t="s">
        <v>918</v>
      </c>
      <c r="E1048" s="904">
        <v>18</v>
      </c>
      <c r="F1048" s="644">
        <v>2010</v>
      </c>
      <c r="G1048" s="948" t="s">
        <v>129</v>
      </c>
      <c r="H1048" s="645" t="s">
        <v>190</v>
      </c>
      <c r="I1048" s="951">
        <v>25</v>
      </c>
      <c r="J1048" s="951">
        <v>4.08</v>
      </c>
      <c r="K1048" s="952">
        <f t="shared" si="183"/>
        <v>5.7954545454545453E-2</v>
      </c>
      <c r="L1048" s="644">
        <f t="shared" si="189"/>
        <v>20</v>
      </c>
      <c r="M1048" s="935">
        <v>0.85416666666666663</v>
      </c>
      <c r="N1048" s="936">
        <f t="shared" si="188"/>
        <v>0.85416666666666663</v>
      </c>
      <c r="O1048" s="725">
        <v>0.86249999999999993</v>
      </c>
      <c r="P1048" s="725">
        <f t="shared" si="179"/>
        <v>8.3333333333333037E-3</v>
      </c>
      <c r="Q1048" s="634" t="s">
        <v>927</v>
      </c>
      <c r="R1048" s="324"/>
      <c r="S1048" s="38" t="str">
        <f t="shared" si="190"/>
        <v>DallamEF0</v>
      </c>
      <c r="T1048" s="38" t="str">
        <f t="shared" si="180"/>
        <v>2010EF0</v>
      </c>
      <c r="U1048" s="429">
        <v>20</v>
      </c>
      <c r="V1048" s="1029">
        <v>2</v>
      </c>
      <c r="W1048" s="598">
        <v>0.05</v>
      </c>
      <c r="X1048" s="429"/>
      <c r="Y1048" s="38" t="str">
        <f t="shared" si="181"/>
        <v>EF020</v>
      </c>
      <c r="Z1048" s="38" t="str">
        <f t="shared" si="182"/>
        <v>EF02</v>
      </c>
      <c r="AA1048" s="38" t="str">
        <f t="shared" si="184"/>
        <v>EF00.05</v>
      </c>
      <c r="AB1048" s="726" t="str">
        <f t="shared" si="178"/>
        <v>EF020</v>
      </c>
      <c r="AC1048" s="727"/>
      <c r="AD1048" s="727"/>
      <c r="AE1048" s="727"/>
      <c r="AF1048" s="727"/>
    </row>
    <row r="1049" spans="1:32" s="32" customFormat="1" ht="25.5">
      <c r="A1049" s="947">
        <f t="shared" si="185"/>
        <v>1042</v>
      </c>
      <c r="B1049" s="948">
        <v>20</v>
      </c>
      <c r="C1049" s="949">
        <v>40316</v>
      </c>
      <c r="D1049" s="949" t="s">
        <v>918</v>
      </c>
      <c r="E1049" s="904">
        <v>18</v>
      </c>
      <c r="F1049" s="644">
        <v>2010</v>
      </c>
      <c r="G1049" s="948" t="s">
        <v>130</v>
      </c>
      <c r="H1049" s="645" t="s">
        <v>190</v>
      </c>
      <c r="I1049" s="951">
        <v>50</v>
      </c>
      <c r="J1049" s="951">
        <v>1.06</v>
      </c>
      <c r="K1049" s="952">
        <f t="shared" si="183"/>
        <v>3.0113636363636363E-2</v>
      </c>
      <c r="L1049" s="644">
        <f t="shared" si="189"/>
        <v>21</v>
      </c>
      <c r="M1049" s="935">
        <v>0.90277777777777779</v>
      </c>
      <c r="N1049" s="936">
        <f t="shared" si="188"/>
        <v>0.90277777777777779</v>
      </c>
      <c r="O1049" s="725">
        <v>0.90486111111111101</v>
      </c>
      <c r="P1049" s="725">
        <f t="shared" si="179"/>
        <v>2.0833333333332149E-3</v>
      </c>
      <c r="Q1049" s="634" t="s">
        <v>928</v>
      </c>
      <c r="R1049" s="324"/>
      <c r="S1049" s="38" t="str">
        <f t="shared" si="190"/>
        <v>ShermanEF0</v>
      </c>
      <c r="T1049" s="38" t="str">
        <f t="shared" si="180"/>
        <v>2010EF0</v>
      </c>
      <c r="U1049" s="429">
        <v>50</v>
      </c>
      <c r="V1049" s="1029">
        <v>1</v>
      </c>
      <c r="W1049" s="598">
        <v>0.02</v>
      </c>
      <c r="X1049" s="429"/>
      <c r="Y1049" s="38" t="str">
        <f t="shared" si="181"/>
        <v>EF050</v>
      </c>
      <c r="Z1049" s="38" t="str">
        <f t="shared" si="182"/>
        <v>EF01</v>
      </c>
      <c r="AA1049" s="38" t="str">
        <f t="shared" si="184"/>
        <v>EF00.02</v>
      </c>
      <c r="AB1049" s="726" t="str">
        <f t="shared" si="178"/>
        <v>EF021</v>
      </c>
      <c r="AC1049" s="727"/>
      <c r="AD1049" s="727"/>
      <c r="AE1049" s="727"/>
      <c r="AF1049" s="727"/>
    </row>
    <row r="1050" spans="1:32" s="32" customFormat="1">
      <c r="A1050" s="947">
        <f t="shared" si="185"/>
        <v>1043</v>
      </c>
      <c r="B1050" s="948">
        <v>21</v>
      </c>
      <c r="C1050" s="949">
        <v>40316</v>
      </c>
      <c r="D1050" s="949" t="s">
        <v>918</v>
      </c>
      <c r="E1050" s="904">
        <v>18</v>
      </c>
      <c r="F1050" s="644">
        <v>2010</v>
      </c>
      <c r="G1050" s="948" t="s">
        <v>130</v>
      </c>
      <c r="H1050" s="645" t="s">
        <v>190</v>
      </c>
      <c r="I1050" s="951">
        <v>880</v>
      </c>
      <c r="J1050" s="951">
        <v>1.4</v>
      </c>
      <c r="K1050" s="952">
        <f t="shared" si="183"/>
        <v>0.7</v>
      </c>
      <c r="L1050" s="644">
        <f t="shared" si="189"/>
        <v>22</v>
      </c>
      <c r="M1050" s="935">
        <v>0.93541666666666667</v>
      </c>
      <c r="N1050" s="936">
        <f t="shared" si="188"/>
        <v>0.93541666666666667</v>
      </c>
      <c r="O1050" s="725">
        <v>0.93819444444444444</v>
      </c>
      <c r="P1050" s="725">
        <f t="shared" si="179"/>
        <v>2.7777777777777679E-3</v>
      </c>
      <c r="Q1050" s="634" t="s">
        <v>921</v>
      </c>
      <c r="R1050" s="324"/>
      <c r="S1050" s="38" t="str">
        <f t="shared" si="190"/>
        <v>ShermanEF0</v>
      </c>
      <c r="T1050" s="38" t="str">
        <f t="shared" si="180"/>
        <v>2010EF0</v>
      </c>
      <c r="U1050" s="429">
        <v>500</v>
      </c>
      <c r="V1050" s="1029">
        <v>1</v>
      </c>
      <c r="W1050" s="598">
        <v>0.5</v>
      </c>
      <c r="X1050" s="429"/>
      <c r="Y1050" s="38" t="str">
        <f t="shared" si="181"/>
        <v>EF0500</v>
      </c>
      <c r="Z1050" s="38" t="str">
        <f t="shared" si="182"/>
        <v>EF01</v>
      </c>
      <c r="AA1050" s="38" t="str">
        <f t="shared" si="184"/>
        <v>EF00.5</v>
      </c>
      <c r="AB1050" s="726" t="str">
        <f t="shared" si="178"/>
        <v>EF022</v>
      </c>
      <c r="AC1050" s="727"/>
      <c r="AD1050" s="727"/>
      <c r="AE1050" s="727"/>
      <c r="AF1050" s="727"/>
    </row>
    <row r="1051" spans="1:32" s="32" customFormat="1">
      <c r="A1051" s="947">
        <f t="shared" si="185"/>
        <v>1044</v>
      </c>
      <c r="B1051" s="948">
        <v>22</v>
      </c>
      <c r="C1051" s="949">
        <v>40316</v>
      </c>
      <c r="D1051" s="949" t="s">
        <v>918</v>
      </c>
      <c r="E1051" s="904">
        <v>18</v>
      </c>
      <c r="F1051" s="644">
        <v>2010</v>
      </c>
      <c r="G1051" s="948" t="s">
        <v>131</v>
      </c>
      <c r="H1051" s="645" t="s">
        <v>190</v>
      </c>
      <c r="I1051" s="951">
        <v>25</v>
      </c>
      <c r="J1051" s="951">
        <v>0.55000000000000004</v>
      </c>
      <c r="K1051" s="952">
        <f t="shared" si="183"/>
        <v>7.8125E-3</v>
      </c>
      <c r="L1051" s="644">
        <f t="shared" si="189"/>
        <v>23</v>
      </c>
      <c r="M1051" s="935">
        <v>0.96666666666666667</v>
      </c>
      <c r="N1051" s="936">
        <f t="shared" si="188"/>
        <v>0.96666666666666667</v>
      </c>
      <c r="O1051" s="725">
        <v>0.96805555555555556</v>
      </c>
      <c r="P1051" s="725">
        <f t="shared" si="179"/>
        <v>1.388888888888884E-3</v>
      </c>
      <c r="Q1051" s="634" t="s">
        <v>925</v>
      </c>
      <c r="R1051" s="324"/>
      <c r="S1051" s="38" t="str">
        <f t="shared" si="190"/>
        <v>HansfordEF0</v>
      </c>
      <c r="T1051" s="38" t="str">
        <f t="shared" si="180"/>
        <v>2010EF0</v>
      </c>
      <c r="U1051" s="429">
        <v>20</v>
      </c>
      <c r="V1051" s="1029">
        <v>0.5</v>
      </c>
      <c r="W1051" s="598">
        <v>5.0000000000000001E-3</v>
      </c>
      <c r="X1051" s="429"/>
      <c r="Y1051" s="38" t="str">
        <f t="shared" si="181"/>
        <v>EF020</v>
      </c>
      <c r="Z1051" s="38" t="str">
        <f t="shared" si="182"/>
        <v>EF00.5</v>
      </c>
      <c r="AA1051" s="38" t="str">
        <f t="shared" si="184"/>
        <v>EF00.005</v>
      </c>
      <c r="AB1051" s="726" t="str">
        <f t="shared" si="178"/>
        <v>EF023</v>
      </c>
      <c r="AC1051" s="727"/>
      <c r="AD1051" s="727"/>
      <c r="AE1051" s="727"/>
      <c r="AF1051" s="727"/>
    </row>
    <row r="1052" spans="1:32" s="32" customFormat="1">
      <c r="A1052" s="947">
        <f t="shared" si="185"/>
        <v>1045</v>
      </c>
      <c r="B1052" s="948">
        <v>23</v>
      </c>
      <c r="C1052" s="949">
        <v>40317</v>
      </c>
      <c r="D1052" s="949" t="s">
        <v>177</v>
      </c>
      <c r="E1052" s="904">
        <v>19</v>
      </c>
      <c r="F1052" s="644">
        <v>2010</v>
      </c>
      <c r="G1052" s="948" t="s">
        <v>136</v>
      </c>
      <c r="H1052" s="645" t="s">
        <v>191</v>
      </c>
      <c r="I1052" s="951">
        <v>100</v>
      </c>
      <c r="J1052" s="951">
        <v>0.44</v>
      </c>
      <c r="K1052" s="952">
        <f t="shared" si="183"/>
        <v>2.4999999999999998E-2</v>
      </c>
      <c r="L1052" s="644">
        <f t="shared" si="189"/>
        <v>0</v>
      </c>
      <c r="M1052" s="935">
        <v>3.888888888888889E-2</v>
      </c>
      <c r="N1052" s="936">
        <f t="shared" si="188"/>
        <v>3.888888888888889E-2</v>
      </c>
      <c r="O1052" s="725">
        <v>3.9583333333333331E-2</v>
      </c>
      <c r="P1052" s="725">
        <f t="shared" si="179"/>
        <v>6.9444444444444198E-4</v>
      </c>
      <c r="Q1052" s="634" t="s">
        <v>926</v>
      </c>
      <c r="R1052" s="324"/>
      <c r="S1052" s="38" t="str">
        <f t="shared" si="190"/>
        <v>HutchinsonEF1</v>
      </c>
      <c r="T1052" s="38" t="str">
        <f t="shared" si="180"/>
        <v>2010EF1</v>
      </c>
      <c r="U1052" s="429">
        <v>100</v>
      </c>
      <c r="V1052" s="1029">
        <v>0.2</v>
      </c>
      <c r="W1052" s="598">
        <v>0.02</v>
      </c>
      <c r="X1052" s="429"/>
      <c r="Y1052" s="38" t="str">
        <f t="shared" si="181"/>
        <v>EF1100</v>
      </c>
      <c r="Z1052" s="38" t="str">
        <f t="shared" si="182"/>
        <v>EF10.2</v>
      </c>
      <c r="AA1052" s="38" t="str">
        <f t="shared" si="184"/>
        <v>EF10.02</v>
      </c>
      <c r="AB1052" s="726" t="str">
        <f t="shared" si="178"/>
        <v>EF10</v>
      </c>
      <c r="AC1052" s="727"/>
      <c r="AD1052" s="727"/>
      <c r="AE1052" s="727"/>
      <c r="AF1052" s="727"/>
    </row>
    <row r="1053" spans="1:32" s="32" customFormat="1" ht="25.5">
      <c r="A1053" s="947">
        <f t="shared" si="185"/>
        <v>1046</v>
      </c>
      <c r="B1053" s="948">
        <v>24</v>
      </c>
      <c r="C1053" s="949">
        <v>40317</v>
      </c>
      <c r="D1053" s="949" t="s">
        <v>177</v>
      </c>
      <c r="E1053" s="904">
        <v>19</v>
      </c>
      <c r="F1053" s="644">
        <v>2010</v>
      </c>
      <c r="G1053" s="948" t="s">
        <v>132</v>
      </c>
      <c r="H1053" s="645" t="s">
        <v>190</v>
      </c>
      <c r="I1053" s="951">
        <v>50</v>
      </c>
      <c r="J1053" s="951">
        <v>1.1200000000000001</v>
      </c>
      <c r="K1053" s="952">
        <f t="shared" si="183"/>
        <v>3.1818181818181822E-2</v>
      </c>
      <c r="L1053" s="644">
        <f t="shared" si="189"/>
        <v>2</v>
      </c>
      <c r="M1053" s="935">
        <v>0.10555555555555556</v>
      </c>
      <c r="N1053" s="936">
        <f t="shared" si="188"/>
        <v>0.10555555555555556</v>
      </c>
      <c r="O1053" s="725">
        <v>0.10694444444444444</v>
      </c>
      <c r="P1053" s="725">
        <f t="shared" si="179"/>
        <v>1.388888888888884E-3</v>
      </c>
      <c r="Q1053" s="634" t="s">
        <v>950</v>
      </c>
      <c r="R1053" s="324"/>
      <c r="S1053" s="38" t="str">
        <f t="shared" si="190"/>
        <v>OchiltreeEF0</v>
      </c>
      <c r="T1053" s="38" t="str">
        <f t="shared" si="180"/>
        <v>2010EF0</v>
      </c>
      <c r="U1053" s="429">
        <v>50</v>
      </c>
      <c r="V1053" s="1029">
        <v>1</v>
      </c>
      <c r="W1053" s="598">
        <v>0.02</v>
      </c>
      <c r="X1053" s="429"/>
      <c r="Y1053" s="38" t="str">
        <f t="shared" si="181"/>
        <v>EF050</v>
      </c>
      <c r="Z1053" s="38" t="str">
        <f t="shared" si="182"/>
        <v>EF01</v>
      </c>
      <c r="AA1053" s="38" t="str">
        <f t="shared" si="184"/>
        <v>EF00.02</v>
      </c>
      <c r="AB1053" s="726" t="str">
        <f t="shared" si="178"/>
        <v>EF02</v>
      </c>
      <c r="AC1053" s="727"/>
      <c r="AD1053" s="727"/>
      <c r="AE1053" s="727"/>
      <c r="AF1053" s="727"/>
    </row>
    <row r="1054" spans="1:32" s="32" customFormat="1" ht="83.25" customHeight="1">
      <c r="A1054" s="947">
        <f t="shared" si="185"/>
        <v>1047</v>
      </c>
      <c r="B1054" s="948">
        <v>25</v>
      </c>
      <c r="C1054" s="949">
        <v>40321</v>
      </c>
      <c r="D1054" s="949" t="s">
        <v>177</v>
      </c>
      <c r="E1054" s="904">
        <v>23</v>
      </c>
      <c r="F1054" s="644">
        <v>2010</v>
      </c>
      <c r="G1054" s="948" t="s">
        <v>126</v>
      </c>
      <c r="H1054" s="645" t="s">
        <v>190</v>
      </c>
      <c r="I1054" s="951">
        <v>25</v>
      </c>
      <c r="J1054" s="951">
        <v>2.0499999999999998</v>
      </c>
      <c r="K1054" s="952">
        <f>+(I1054/1760)*J1054</f>
        <v>2.9119318181818177E-2</v>
      </c>
      <c r="L1054" s="644">
        <f>HOUR(N1054)</f>
        <v>19</v>
      </c>
      <c r="M1054" s="935">
        <v>0.8125</v>
      </c>
      <c r="N1054" s="936">
        <f>+M1054</f>
        <v>0.8125</v>
      </c>
      <c r="O1054" s="725">
        <v>0.81597222222222221</v>
      </c>
      <c r="P1054" s="725">
        <f>+O1054-N1054</f>
        <v>3.4722222222222099E-3</v>
      </c>
      <c r="Q1054" s="634" t="s">
        <v>932</v>
      </c>
      <c r="R1054" s="324"/>
      <c r="S1054" s="38" t="str">
        <f>CONCATENATE(G1054,H1054)</f>
        <v>CimarronEF0</v>
      </c>
      <c r="T1054" s="38" t="str">
        <f>CONCATENATE(F1054,H1054)</f>
        <v>2010EF0</v>
      </c>
      <c r="U1054" s="429">
        <v>20</v>
      </c>
      <c r="V1054" s="1029">
        <v>2</v>
      </c>
      <c r="W1054" s="598">
        <v>0.02</v>
      </c>
      <c r="X1054" s="429"/>
      <c r="Y1054" s="38" t="str">
        <f>CONCATENATE(H1054,U1054)</f>
        <v>EF020</v>
      </c>
      <c r="Z1054" s="38" t="str">
        <f>CONCATENATE(H1054,V1054)</f>
        <v>EF02</v>
      </c>
      <c r="AA1054" s="38" t="str">
        <f>CONCATENATE(H1054,W1054)</f>
        <v>EF00.02</v>
      </c>
      <c r="AB1054" s="726" t="str">
        <f>CONCATENATE(H1054,L1054)</f>
        <v>EF019</v>
      </c>
      <c r="AC1054" s="727"/>
      <c r="AD1054" s="727"/>
      <c r="AE1054" s="727"/>
      <c r="AF1054" s="727"/>
    </row>
    <row r="1055" spans="1:32" s="32" customFormat="1" ht="15" customHeight="1">
      <c r="A1055" s="947">
        <f t="shared" si="185"/>
        <v>1048</v>
      </c>
      <c r="B1055" s="948">
        <v>26</v>
      </c>
      <c r="C1055" s="949">
        <v>40321</v>
      </c>
      <c r="D1055" s="949" t="s">
        <v>177</v>
      </c>
      <c r="E1055" s="904">
        <v>23</v>
      </c>
      <c r="F1055" s="644">
        <v>2010</v>
      </c>
      <c r="G1055" s="948" t="s">
        <v>126</v>
      </c>
      <c r="H1055" s="645" t="s">
        <v>191</v>
      </c>
      <c r="I1055" s="951">
        <v>440</v>
      </c>
      <c r="J1055" s="951">
        <v>6.01</v>
      </c>
      <c r="K1055" s="952">
        <f t="shared" si="183"/>
        <v>1.5024999999999999</v>
      </c>
      <c r="L1055" s="644">
        <f t="shared" si="189"/>
        <v>20</v>
      </c>
      <c r="M1055" s="935">
        <v>0.85763888888888884</v>
      </c>
      <c r="N1055" s="936">
        <f t="shared" si="188"/>
        <v>0.85763888888888884</v>
      </c>
      <c r="O1055" s="725">
        <v>0.86597222222222225</v>
      </c>
      <c r="P1055" s="725">
        <f t="shared" si="179"/>
        <v>8.3333333333334147E-3</v>
      </c>
      <c r="Q1055" s="634" t="s">
        <v>951</v>
      </c>
      <c r="R1055" s="324"/>
      <c r="S1055" s="38" t="str">
        <f t="shared" si="190"/>
        <v>CimarronEF1</v>
      </c>
      <c r="T1055" s="38" t="str">
        <f t="shared" si="180"/>
        <v>2010EF1</v>
      </c>
      <c r="U1055" s="429">
        <v>200</v>
      </c>
      <c r="V1055" s="1029">
        <v>5</v>
      </c>
      <c r="W1055" s="598">
        <v>1</v>
      </c>
      <c r="X1055" s="429"/>
      <c r="Y1055" s="38" t="str">
        <f t="shared" si="181"/>
        <v>EF1200</v>
      </c>
      <c r="Z1055" s="38" t="str">
        <f t="shared" si="182"/>
        <v>EF15</v>
      </c>
      <c r="AA1055" s="38" t="str">
        <f t="shared" si="184"/>
        <v>EF11</v>
      </c>
      <c r="AB1055" s="726" t="str">
        <f t="shared" si="178"/>
        <v>EF120</v>
      </c>
      <c r="AC1055" s="727"/>
      <c r="AD1055" s="727"/>
      <c r="AE1055" s="727"/>
      <c r="AF1055" s="727"/>
    </row>
    <row r="1056" spans="1:32" s="32" customFormat="1" ht="78.75" customHeight="1">
      <c r="A1056" s="947">
        <f t="shared" si="185"/>
        <v>1049</v>
      </c>
      <c r="B1056" s="948">
        <v>27</v>
      </c>
      <c r="C1056" s="949">
        <v>40322</v>
      </c>
      <c r="D1056" s="949" t="s">
        <v>177</v>
      </c>
      <c r="E1056" s="904">
        <v>24</v>
      </c>
      <c r="F1056" s="644">
        <v>2010</v>
      </c>
      <c r="G1056" s="948" t="s">
        <v>131</v>
      </c>
      <c r="H1056" s="645" t="s">
        <v>190</v>
      </c>
      <c r="I1056" s="951">
        <v>100</v>
      </c>
      <c r="J1056" s="951">
        <v>3.06</v>
      </c>
      <c r="K1056" s="952">
        <f t="shared" si="183"/>
        <v>0.17386363636363636</v>
      </c>
      <c r="L1056" s="644">
        <f t="shared" si="189"/>
        <v>19</v>
      </c>
      <c r="M1056" s="935">
        <v>0.81180555555555556</v>
      </c>
      <c r="N1056" s="936">
        <f t="shared" si="188"/>
        <v>0.81180555555555556</v>
      </c>
      <c r="O1056" s="725">
        <v>0.8208333333333333</v>
      </c>
      <c r="P1056" s="725">
        <f t="shared" si="179"/>
        <v>9.0277777777777457E-3</v>
      </c>
      <c r="Q1056" s="634" t="s">
        <v>952</v>
      </c>
      <c r="R1056" s="324"/>
      <c r="S1056" s="38" t="str">
        <f t="shared" si="190"/>
        <v>HansfordEF0</v>
      </c>
      <c r="T1056" s="38" t="str">
        <f t="shared" si="180"/>
        <v>2010EF0</v>
      </c>
      <c r="U1056" s="429">
        <v>100</v>
      </c>
      <c r="V1056" s="1029">
        <v>2</v>
      </c>
      <c r="W1056" s="598">
        <v>0.1</v>
      </c>
      <c r="X1056" s="429"/>
      <c r="Y1056" s="38" t="str">
        <f t="shared" si="181"/>
        <v>EF0100</v>
      </c>
      <c r="Z1056" s="38" t="str">
        <f t="shared" si="182"/>
        <v>EF02</v>
      </c>
      <c r="AA1056" s="38" t="str">
        <f t="shared" si="184"/>
        <v>EF00.1</v>
      </c>
      <c r="AB1056" s="726" t="str">
        <f t="shared" si="178"/>
        <v>EF019</v>
      </c>
      <c r="AC1056" s="727"/>
      <c r="AD1056" s="727"/>
      <c r="AE1056" s="727"/>
      <c r="AF1056" s="727"/>
    </row>
    <row r="1057" spans="1:32" s="32" customFormat="1">
      <c r="A1057" s="947">
        <f t="shared" si="185"/>
        <v>1050</v>
      </c>
      <c r="B1057" s="948">
        <v>28</v>
      </c>
      <c r="C1057" s="949">
        <v>40322</v>
      </c>
      <c r="D1057" s="949" t="s">
        <v>177</v>
      </c>
      <c r="E1057" s="904">
        <v>24</v>
      </c>
      <c r="F1057" s="644">
        <v>2010</v>
      </c>
      <c r="G1057" s="948" t="s">
        <v>131</v>
      </c>
      <c r="H1057" s="645" t="s">
        <v>190</v>
      </c>
      <c r="I1057" s="951">
        <v>25</v>
      </c>
      <c r="J1057" s="951">
        <v>0.21</v>
      </c>
      <c r="K1057" s="952">
        <f t="shared" si="183"/>
        <v>2.9829545454545451E-3</v>
      </c>
      <c r="L1057" s="644">
        <f t="shared" si="189"/>
        <v>19</v>
      </c>
      <c r="M1057" s="935">
        <v>0.81736111111111109</v>
      </c>
      <c r="N1057" s="936">
        <f t="shared" si="188"/>
        <v>0.81736111111111109</v>
      </c>
      <c r="O1057" s="725">
        <v>0.81805555555555554</v>
      </c>
      <c r="P1057" s="725">
        <f t="shared" si="179"/>
        <v>6.9444444444444198E-4</v>
      </c>
      <c r="Q1057" s="634" t="s">
        <v>953</v>
      </c>
      <c r="R1057" s="324"/>
      <c r="S1057" s="38" t="str">
        <f t="shared" si="190"/>
        <v>HansfordEF0</v>
      </c>
      <c r="T1057" s="38" t="str">
        <f t="shared" si="180"/>
        <v>2010EF0</v>
      </c>
      <c r="U1057" s="429">
        <v>20</v>
      </c>
      <c r="V1057" s="1029">
        <v>0.2</v>
      </c>
      <c r="W1057" s="598">
        <v>2E-3</v>
      </c>
      <c r="X1057" s="429"/>
      <c r="Y1057" s="38" t="str">
        <f t="shared" si="181"/>
        <v>EF020</v>
      </c>
      <c r="Z1057" s="38" t="str">
        <f t="shared" si="182"/>
        <v>EF00.2</v>
      </c>
      <c r="AA1057" s="38" t="str">
        <f t="shared" si="184"/>
        <v>EF00.002</v>
      </c>
      <c r="AB1057" s="726" t="str">
        <f t="shared" si="178"/>
        <v>EF019</v>
      </c>
      <c r="AC1057" s="727"/>
      <c r="AD1057" s="727"/>
      <c r="AE1057" s="727"/>
      <c r="AF1057" s="727"/>
    </row>
    <row r="1058" spans="1:32" s="32" customFormat="1">
      <c r="A1058" s="947">
        <f t="shared" si="185"/>
        <v>1051</v>
      </c>
      <c r="B1058" s="948">
        <v>29</v>
      </c>
      <c r="C1058" s="949">
        <v>40322</v>
      </c>
      <c r="D1058" s="949" t="s">
        <v>177</v>
      </c>
      <c r="E1058" s="904">
        <v>24</v>
      </c>
      <c r="F1058" s="644">
        <v>2010</v>
      </c>
      <c r="G1058" s="948" t="s">
        <v>131</v>
      </c>
      <c r="H1058" s="645" t="s">
        <v>190</v>
      </c>
      <c r="I1058" s="951">
        <v>25</v>
      </c>
      <c r="J1058" s="951">
        <v>0.38</v>
      </c>
      <c r="K1058" s="952">
        <f t="shared" si="183"/>
        <v>5.3977272727272728E-3</v>
      </c>
      <c r="L1058" s="644">
        <f t="shared" si="189"/>
        <v>19</v>
      </c>
      <c r="M1058" s="935">
        <v>0.82430555555555562</v>
      </c>
      <c r="N1058" s="936">
        <f t="shared" si="188"/>
        <v>0.82430555555555562</v>
      </c>
      <c r="O1058" s="725">
        <v>0.8256944444444444</v>
      </c>
      <c r="P1058" s="725">
        <f t="shared" si="179"/>
        <v>1.3888888888887729E-3</v>
      </c>
      <c r="Q1058" s="634" t="s">
        <v>954</v>
      </c>
      <c r="R1058" s="324"/>
      <c r="S1058" s="38" t="str">
        <f t="shared" si="190"/>
        <v>HansfordEF0</v>
      </c>
      <c r="T1058" s="38" t="str">
        <f t="shared" si="180"/>
        <v>2010EF0</v>
      </c>
      <c r="U1058" s="429">
        <v>20</v>
      </c>
      <c r="V1058" s="1029">
        <v>0.2</v>
      </c>
      <c r="W1058" s="598">
        <v>5.0000000000000001E-3</v>
      </c>
      <c r="X1058" s="429"/>
      <c r="Y1058" s="38" t="str">
        <f t="shared" si="181"/>
        <v>EF020</v>
      </c>
      <c r="Z1058" s="38" t="str">
        <f t="shared" si="182"/>
        <v>EF00.2</v>
      </c>
      <c r="AA1058" s="38" t="str">
        <f t="shared" si="184"/>
        <v>EF00.005</v>
      </c>
      <c r="AB1058" s="726" t="str">
        <f t="shared" si="178"/>
        <v>EF019</v>
      </c>
      <c r="AC1058" s="727"/>
      <c r="AD1058" s="727"/>
      <c r="AE1058" s="727"/>
      <c r="AF1058" s="727"/>
    </row>
    <row r="1059" spans="1:32" s="32" customFormat="1">
      <c r="A1059" s="947">
        <f t="shared" si="185"/>
        <v>1052</v>
      </c>
      <c r="B1059" s="948">
        <v>30</v>
      </c>
      <c r="C1059" s="949">
        <v>40322</v>
      </c>
      <c r="D1059" s="949" t="s">
        <v>177</v>
      </c>
      <c r="E1059" s="904">
        <v>24</v>
      </c>
      <c r="F1059" s="644">
        <v>2010</v>
      </c>
      <c r="G1059" s="948" t="s">
        <v>131</v>
      </c>
      <c r="H1059" s="645" t="s">
        <v>190</v>
      </c>
      <c r="I1059" s="951">
        <v>25</v>
      </c>
      <c r="J1059" s="951">
        <v>0.14000000000000001</v>
      </c>
      <c r="K1059" s="952">
        <f t="shared" si="183"/>
        <v>1.9886363636363639E-3</v>
      </c>
      <c r="L1059" s="644">
        <f t="shared" si="189"/>
        <v>19</v>
      </c>
      <c r="M1059" s="935">
        <v>0.8305555555555556</v>
      </c>
      <c r="N1059" s="936">
        <f t="shared" si="188"/>
        <v>0.8305555555555556</v>
      </c>
      <c r="O1059" s="725">
        <v>0.83194444444444438</v>
      </c>
      <c r="P1059" s="725">
        <f t="shared" si="179"/>
        <v>1.3888888888887729E-3</v>
      </c>
      <c r="Q1059" s="634" t="s">
        <v>930</v>
      </c>
      <c r="R1059" s="324"/>
      <c r="S1059" s="38" t="str">
        <f t="shared" si="190"/>
        <v>HansfordEF0</v>
      </c>
      <c r="T1059" s="38" t="str">
        <f t="shared" si="180"/>
        <v>2010EF0</v>
      </c>
      <c r="U1059" s="429">
        <v>20</v>
      </c>
      <c r="V1059" s="1029">
        <v>0.1</v>
      </c>
      <c r="W1059" s="598">
        <v>2E-3</v>
      </c>
      <c r="X1059" s="429"/>
      <c r="Y1059" s="38" t="str">
        <f t="shared" si="181"/>
        <v>EF020</v>
      </c>
      <c r="Z1059" s="38" t="str">
        <f t="shared" si="182"/>
        <v>EF00.1</v>
      </c>
      <c r="AA1059" s="38" t="str">
        <f t="shared" si="184"/>
        <v>EF00.002</v>
      </c>
      <c r="AB1059" s="726" t="str">
        <f t="shared" si="178"/>
        <v>EF019</v>
      </c>
      <c r="AC1059" s="727"/>
      <c r="AD1059" s="727"/>
      <c r="AE1059" s="727"/>
      <c r="AF1059" s="727"/>
    </row>
    <row r="1060" spans="1:32" s="32" customFormat="1" ht="51">
      <c r="A1060" s="947">
        <f t="shared" si="185"/>
        <v>1053</v>
      </c>
      <c r="B1060" s="948">
        <v>31</v>
      </c>
      <c r="C1060" s="949">
        <v>40329</v>
      </c>
      <c r="D1060" s="949" t="s">
        <v>177</v>
      </c>
      <c r="E1060" s="904">
        <v>31</v>
      </c>
      <c r="F1060" s="644">
        <v>2010</v>
      </c>
      <c r="G1060" s="948" t="s">
        <v>126</v>
      </c>
      <c r="H1060" s="645" t="s">
        <v>190</v>
      </c>
      <c r="I1060" s="951">
        <v>25</v>
      </c>
      <c r="J1060" s="951">
        <v>1.75</v>
      </c>
      <c r="K1060" s="952">
        <f t="shared" si="183"/>
        <v>2.4857954545454544E-2</v>
      </c>
      <c r="L1060" s="644">
        <f t="shared" si="189"/>
        <v>18</v>
      </c>
      <c r="M1060" s="935">
        <v>0.79027777777777775</v>
      </c>
      <c r="N1060" s="936">
        <f t="shared" si="188"/>
        <v>0.79027777777777775</v>
      </c>
      <c r="O1060" s="725">
        <v>0.79166666666666663</v>
      </c>
      <c r="P1060" s="725">
        <f t="shared" si="179"/>
        <v>1.388888888888884E-3</v>
      </c>
      <c r="Q1060" s="634" t="s">
        <v>933</v>
      </c>
      <c r="R1060" s="324"/>
      <c r="S1060" s="38" t="str">
        <f t="shared" si="190"/>
        <v>CimarronEF0</v>
      </c>
      <c r="T1060" s="38" t="str">
        <f t="shared" si="180"/>
        <v>2010EF0</v>
      </c>
      <c r="U1060" s="429">
        <v>20</v>
      </c>
      <c r="V1060" s="1029">
        <v>1</v>
      </c>
      <c r="W1060" s="598">
        <v>0.02</v>
      </c>
      <c r="X1060" s="429"/>
      <c r="Y1060" s="38" t="str">
        <f t="shared" si="181"/>
        <v>EF020</v>
      </c>
      <c r="Z1060" s="38" t="str">
        <f t="shared" si="182"/>
        <v>EF01</v>
      </c>
      <c r="AA1060" s="38" t="str">
        <f t="shared" si="184"/>
        <v>EF00.02</v>
      </c>
      <c r="AB1060" s="726" t="str">
        <f t="shared" si="178"/>
        <v>EF018</v>
      </c>
      <c r="AC1060" s="727"/>
      <c r="AD1060" s="727"/>
      <c r="AE1060" s="727"/>
      <c r="AF1060" s="727"/>
    </row>
    <row r="1061" spans="1:32" s="32" customFormat="1">
      <c r="A1061" s="947">
        <f t="shared" si="185"/>
        <v>1054</v>
      </c>
      <c r="B1061" s="948">
        <v>32</v>
      </c>
      <c r="C1061" s="949">
        <v>40329</v>
      </c>
      <c r="D1061" s="949" t="s">
        <v>177</v>
      </c>
      <c r="E1061" s="904">
        <v>31</v>
      </c>
      <c r="F1061" s="644">
        <v>2010</v>
      </c>
      <c r="G1061" s="948" t="s">
        <v>127</v>
      </c>
      <c r="H1061" s="645" t="s">
        <v>190</v>
      </c>
      <c r="I1061" s="951">
        <v>25</v>
      </c>
      <c r="J1061" s="951">
        <v>1.7</v>
      </c>
      <c r="K1061" s="952">
        <f t="shared" si="183"/>
        <v>2.4147727272727272E-2</v>
      </c>
      <c r="L1061" s="644">
        <f t="shared" si="189"/>
        <v>19</v>
      </c>
      <c r="M1061" s="935">
        <v>0.82708333333333339</v>
      </c>
      <c r="N1061" s="936">
        <f t="shared" si="188"/>
        <v>0.82708333333333339</v>
      </c>
      <c r="O1061" s="725">
        <v>0.82847222222222217</v>
      </c>
      <c r="P1061" s="725">
        <f t="shared" si="179"/>
        <v>1.3888888888887729E-3</v>
      </c>
      <c r="Q1061" s="634" t="s">
        <v>931</v>
      </c>
      <c r="R1061" s="324"/>
      <c r="S1061" s="38" t="str">
        <f t="shared" si="190"/>
        <v>TexasEF0</v>
      </c>
      <c r="T1061" s="38" t="str">
        <f t="shared" si="180"/>
        <v>2010EF0</v>
      </c>
      <c r="U1061" s="429">
        <v>20</v>
      </c>
      <c r="V1061" s="1029">
        <v>1</v>
      </c>
      <c r="W1061" s="598">
        <v>0.02</v>
      </c>
      <c r="X1061" s="429"/>
      <c r="Y1061" s="38" t="str">
        <f t="shared" si="181"/>
        <v>EF020</v>
      </c>
      <c r="Z1061" s="38" t="str">
        <f t="shared" si="182"/>
        <v>EF01</v>
      </c>
      <c r="AA1061" s="38" t="str">
        <f t="shared" si="184"/>
        <v>EF00.02</v>
      </c>
      <c r="AB1061" s="726" t="str">
        <f t="shared" si="178"/>
        <v>EF019</v>
      </c>
      <c r="AC1061" s="727"/>
      <c r="AD1061" s="727"/>
      <c r="AE1061" s="727"/>
      <c r="AF1061" s="727"/>
    </row>
    <row r="1062" spans="1:32" s="32" customFormat="1" ht="79.5" customHeight="1">
      <c r="A1062" s="947">
        <f t="shared" si="185"/>
        <v>1055</v>
      </c>
      <c r="B1062" s="948">
        <v>33</v>
      </c>
      <c r="C1062" s="949">
        <v>40341</v>
      </c>
      <c r="D1062" s="949" t="s">
        <v>178</v>
      </c>
      <c r="E1062" s="904">
        <v>12</v>
      </c>
      <c r="F1062" s="644">
        <v>2010</v>
      </c>
      <c r="G1062" s="948" t="s">
        <v>135</v>
      </c>
      <c r="H1062" s="645" t="s">
        <v>190</v>
      </c>
      <c r="I1062" s="951">
        <v>25</v>
      </c>
      <c r="J1062" s="951">
        <v>0.56000000000000005</v>
      </c>
      <c r="K1062" s="952">
        <f t="shared" si="183"/>
        <v>7.9545454545454555E-3</v>
      </c>
      <c r="L1062" s="644">
        <f t="shared" si="189"/>
        <v>14</v>
      </c>
      <c r="M1062" s="935">
        <v>0.59305555555555556</v>
      </c>
      <c r="N1062" s="936">
        <f t="shared" si="188"/>
        <v>0.59305555555555556</v>
      </c>
      <c r="O1062" s="725">
        <v>0.59444444444444444</v>
      </c>
      <c r="P1062" s="725">
        <f t="shared" si="179"/>
        <v>1.388888888888884E-3</v>
      </c>
      <c r="Q1062" s="634" t="s">
        <v>941</v>
      </c>
      <c r="R1062" s="324"/>
      <c r="S1062" s="38" t="str">
        <f t="shared" si="190"/>
        <v>MooreEF0</v>
      </c>
      <c r="T1062" s="38" t="str">
        <f t="shared" si="180"/>
        <v>2010EF0</v>
      </c>
      <c r="U1062" s="429">
        <v>20</v>
      </c>
      <c r="V1062" s="1029">
        <v>0.5</v>
      </c>
      <c r="W1062" s="598">
        <v>5.0000000000000001E-3</v>
      </c>
      <c r="X1062" s="429"/>
      <c r="Y1062" s="38" t="str">
        <f t="shared" si="181"/>
        <v>EF020</v>
      </c>
      <c r="Z1062" s="38" t="str">
        <f t="shared" si="182"/>
        <v>EF00.5</v>
      </c>
      <c r="AA1062" s="38" t="str">
        <f t="shared" si="184"/>
        <v>EF00.005</v>
      </c>
      <c r="AB1062" s="726" t="str">
        <f t="shared" si="178"/>
        <v>EF014</v>
      </c>
      <c r="AC1062" s="727"/>
      <c r="AD1062" s="727"/>
      <c r="AE1062" s="727"/>
      <c r="AF1062" s="727"/>
    </row>
    <row r="1063" spans="1:32" s="32" customFormat="1" ht="92.25" customHeight="1">
      <c r="A1063" s="947">
        <f t="shared" si="185"/>
        <v>1056</v>
      </c>
      <c r="B1063" s="948">
        <v>34</v>
      </c>
      <c r="C1063" s="949">
        <v>40342</v>
      </c>
      <c r="D1063" s="949" t="s">
        <v>178</v>
      </c>
      <c r="E1063" s="904">
        <v>13</v>
      </c>
      <c r="F1063" s="644">
        <v>2010</v>
      </c>
      <c r="G1063" s="948" t="s">
        <v>128</v>
      </c>
      <c r="H1063" s="645" t="s">
        <v>190</v>
      </c>
      <c r="I1063" s="951">
        <v>25</v>
      </c>
      <c r="J1063" s="951">
        <v>5.1100000000000003</v>
      </c>
      <c r="K1063" s="952">
        <f t="shared" si="183"/>
        <v>7.2585227272727273E-2</v>
      </c>
      <c r="L1063" s="644">
        <f t="shared" si="189"/>
        <v>14</v>
      </c>
      <c r="M1063" s="935">
        <v>0.61944444444444446</v>
      </c>
      <c r="N1063" s="936">
        <f t="shared" si="188"/>
        <v>0.61944444444444446</v>
      </c>
      <c r="O1063" s="725">
        <v>0.62361111111111112</v>
      </c>
      <c r="P1063" s="725">
        <f t="shared" si="179"/>
        <v>4.1666666666666519E-3</v>
      </c>
      <c r="Q1063" s="634" t="s">
        <v>955</v>
      </c>
      <c r="R1063" s="324"/>
      <c r="S1063" s="38" t="str">
        <f t="shared" si="190"/>
        <v>BeaverEF0</v>
      </c>
      <c r="T1063" s="38" t="str">
        <f t="shared" si="180"/>
        <v>2010EF0</v>
      </c>
      <c r="U1063" s="429">
        <v>20</v>
      </c>
      <c r="V1063" s="1029">
        <v>5</v>
      </c>
      <c r="W1063" s="598">
        <v>0.05</v>
      </c>
      <c r="X1063" s="429"/>
      <c r="Y1063" s="38" t="str">
        <f t="shared" si="181"/>
        <v>EF020</v>
      </c>
      <c r="Z1063" s="38" t="str">
        <f t="shared" si="182"/>
        <v>EF05</v>
      </c>
      <c r="AA1063" s="38" t="str">
        <f t="shared" si="184"/>
        <v>EF00.05</v>
      </c>
      <c r="AB1063" s="726" t="str">
        <f t="shared" si="178"/>
        <v>EF014</v>
      </c>
      <c r="AC1063" s="727"/>
      <c r="AD1063" s="727"/>
      <c r="AE1063" s="727"/>
      <c r="AF1063" s="727"/>
    </row>
    <row r="1064" spans="1:32" s="32" customFormat="1">
      <c r="A1064" s="947">
        <f t="shared" si="185"/>
        <v>1057</v>
      </c>
      <c r="B1064" s="948">
        <v>35</v>
      </c>
      <c r="C1064" s="949">
        <v>40342</v>
      </c>
      <c r="D1064" s="949" t="s">
        <v>178</v>
      </c>
      <c r="E1064" s="904">
        <v>13</v>
      </c>
      <c r="F1064" s="644">
        <v>2010</v>
      </c>
      <c r="G1064" s="948" t="s">
        <v>128</v>
      </c>
      <c r="H1064" s="645" t="s">
        <v>190</v>
      </c>
      <c r="I1064" s="951">
        <v>25</v>
      </c>
      <c r="J1064" s="951">
        <v>3.07</v>
      </c>
      <c r="K1064" s="952">
        <f t="shared" si="183"/>
        <v>4.360795454545454E-2</v>
      </c>
      <c r="L1064" s="644">
        <f t="shared" si="189"/>
        <v>15</v>
      </c>
      <c r="M1064" s="935">
        <v>0.63680555555555551</v>
      </c>
      <c r="N1064" s="936">
        <f t="shared" si="188"/>
        <v>0.63680555555555551</v>
      </c>
      <c r="O1064" s="725">
        <v>0.64027777777777783</v>
      </c>
      <c r="P1064" s="725">
        <f t="shared" si="179"/>
        <v>3.4722222222223209E-3</v>
      </c>
      <c r="Q1064" s="634" t="s">
        <v>938</v>
      </c>
      <c r="R1064" s="324"/>
      <c r="S1064" s="38" t="str">
        <f t="shared" si="190"/>
        <v>BeaverEF0</v>
      </c>
      <c r="T1064" s="38" t="str">
        <f t="shared" si="180"/>
        <v>2010EF0</v>
      </c>
      <c r="U1064" s="429">
        <v>20</v>
      </c>
      <c r="V1064" s="1029">
        <v>2</v>
      </c>
      <c r="W1064" s="598">
        <v>0.02</v>
      </c>
      <c r="X1064" s="429"/>
      <c r="Y1064" s="38" t="str">
        <f t="shared" si="181"/>
        <v>EF020</v>
      </c>
      <c r="Z1064" s="38" t="str">
        <f t="shared" si="182"/>
        <v>EF02</v>
      </c>
      <c r="AA1064" s="38" t="str">
        <f t="shared" si="184"/>
        <v>EF00.02</v>
      </c>
      <c r="AB1064" s="726" t="str">
        <f t="shared" si="178"/>
        <v>EF015</v>
      </c>
      <c r="AC1064" s="727"/>
      <c r="AD1064" s="727"/>
      <c r="AE1064" s="727"/>
      <c r="AF1064" s="727"/>
    </row>
    <row r="1065" spans="1:32" s="32" customFormat="1">
      <c r="A1065" s="947">
        <f t="shared" si="185"/>
        <v>1058</v>
      </c>
      <c r="B1065" s="948">
        <v>36</v>
      </c>
      <c r="C1065" s="949">
        <v>40342</v>
      </c>
      <c r="D1065" s="949" t="s">
        <v>178</v>
      </c>
      <c r="E1065" s="904">
        <v>13</v>
      </c>
      <c r="F1065" s="644">
        <v>2010</v>
      </c>
      <c r="G1065" s="948" t="s">
        <v>128</v>
      </c>
      <c r="H1065" s="645" t="s">
        <v>190</v>
      </c>
      <c r="I1065" s="951">
        <v>25</v>
      </c>
      <c r="J1065" s="951">
        <v>2.5099999999999998</v>
      </c>
      <c r="K1065" s="952">
        <f t="shared" si="183"/>
        <v>3.565340909090909E-2</v>
      </c>
      <c r="L1065" s="644">
        <f t="shared" si="189"/>
        <v>15</v>
      </c>
      <c r="M1065" s="935">
        <v>0.64027777777777783</v>
      </c>
      <c r="N1065" s="936">
        <f t="shared" si="188"/>
        <v>0.64027777777777783</v>
      </c>
      <c r="O1065" s="725">
        <v>0.64374999999999993</v>
      </c>
      <c r="P1065" s="725">
        <f t="shared" si="179"/>
        <v>3.4722222222220989E-3</v>
      </c>
      <c r="Q1065" s="634" t="s">
        <v>939</v>
      </c>
      <c r="R1065" s="324"/>
      <c r="S1065" s="38" t="str">
        <f t="shared" si="190"/>
        <v>BeaverEF0</v>
      </c>
      <c r="T1065" s="38" t="str">
        <f t="shared" si="180"/>
        <v>2010EF0</v>
      </c>
      <c r="U1065" s="429">
        <v>20</v>
      </c>
      <c r="V1065" s="1029">
        <v>2</v>
      </c>
      <c r="W1065" s="598">
        <v>0.02</v>
      </c>
      <c r="X1065" s="429"/>
      <c r="Y1065" s="38" t="str">
        <f t="shared" si="181"/>
        <v>EF020</v>
      </c>
      <c r="Z1065" s="38" t="str">
        <f t="shared" si="182"/>
        <v>EF02</v>
      </c>
      <c r="AA1065" s="38" t="str">
        <f t="shared" si="184"/>
        <v>EF00.02</v>
      </c>
      <c r="AB1065" s="726" t="str">
        <f t="shared" si="178"/>
        <v>EF015</v>
      </c>
      <c r="AC1065" s="727"/>
      <c r="AD1065" s="727"/>
      <c r="AE1065" s="727"/>
      <c r="AF1065" s="727"/>
    </row>
    <row r="1066" spans="1:32" s="32" customFormat="1">
      <c r="A1066" s="947">
        <f t="shared" si="185"/>
        <v>1059</v>
      </c>
      <c r="B1066" s="948">
        <v>37</v>
      </c>
      <c r="C1066" s="949">
        <v>40342</v>
      </c>
      <c r="D1066" s="949" t="s">
        <v>178</v>
      </c>
      <c r="E1066" s="904">
        <v>13</v>
      </c>
      <c r="F1066" s="644">
        <v>2010</v>
      </c>
      <c r="G1066" s="948" t="s">
        <v>128</v>
      </c>
      <c r="H1066" s="645" t="s">
        <v>190</v>
      </c>
      <c r="I1066" s="951">
        <v>25</v>
      </c>
      <c r="J1066" s="951">
        <v>2.79</v>
      </c>
      <c r="K1066" s="952">
        <f t="shared" si="183"/>
        <v>3.9630681818181815E-2</v>
      </c>
      <c r="L1066" s="644">
        <f t="shared" si="189"/>
        <v>15</v>
      </c>
      <c r="M1066" s="935">
        <v>0.65347222222222223</v>
      </c>
      <c r="N1066" s="936">
        <f t="shared" si="188"/>
        <v>0.65347222222222223</v>
      </c>
      <c r="O1066" s="725">
        <v>0.65694444444444444</v>
      </c>
      <c r="P1066" s="725">
        <f t="shared" si="179"/>
        <v>3.4722222222222099E-3</v>
      </c>
      <c r="Q1066" s="634" t="s">
        <v>940</v>
      </c>
      <c r="R1066" s="324"/>
      <c r="S1066" s="38" t="str">
        <f t="shared" si="190"/>
        <v>BeaverEF0</v>
      </c>
      <c r="T1066" s="38" t="str">
        <f t="shared" si="180"/>
        <v>2010EF0</v>
      </c>
      <c r="U1066" s="429">
        <v>20</v>
      </c>
      <c r="V1066" s="1029">
        <v>2</v>
      </c>
      <c r="W1066" s="598">
        <v>0.02</v>
      </c>
      <c r="X1066" s="429"/>
      <c r="Y1066" s="38" t="str">
        <f t="shared" si="181"/>
        <v>EF020</v>
      </c>
      <c r="Z1066" s="38" t="str">
        <f t="shared" si="182"/>
        <v>EF02</v>
      </c>
      <c r="AA1066" s="38" t="str">
        <f t="shared" si="184"/>
        <v>EF00.02</v>
      </c>
      <c r="AB1066" s="726" t="str">
        <f t="shared" si="178"/>
        <v>EF015</v>
      </c>
      <c r="AC1066" s="727"/>
      <c r="AD1066" s="727"/>
      <c r="AE1066" s="727"/>
      <c r="AF1066" s="727"/>
    </row>
    <row r="1067" spans="1:32" s="32" customFormat="1">
      <c r="A1067" s="947">
        <f t="shared" si="185"/>
        <v>1060</v>
      </c>
      <c r="B1067" s="948">
        <v>38</v>
      </c>
      <c r="C1067" s="949">
        <v>40342</v>
      </c>
      <c r="D1067" s="949" t="s">
        <v>178</v>
      </c>
      <c r="E1067" s="904">
        <v>13</v>
      </c>
      <c r="F1067" s="644">
        <v>2010</v>
      </c>
      <c r="G1067" s="948" t="s">
        <v>133</v>
      </c>
      <c r="H1067" s="645" t="s">
        <v>190</v>
      </c>
      <c r="I1067" s="948">
        <v>25</v>
      </c>
      <c r="J1067" s="948">
        <v>0.32</v>
      </c>
      <c r="K1067" s="952">
        <f t="shared" si="183"/>
        <v>4.5454545454545452E-3</v>
      </c>
      <c r="L1067" s="644">
        <f t="shared" si="189"/>
        <v>16</v>
      </c>
      <c r="M1067" s="935">
        <v>0.68333333333333324</v>
      </c>
      <c r="N1067" s="936">
        <f t="shared" si="188"/>
        <v>0.68333333333333324</v>
      </c>
      <c r="O1067" s="725">
        <v>0.68472222222222223</v>
      </c>
      <c r="P1067" s="725">
        <f t="shared" si="179"/>
        <v>1.388888888888995E-3</v>
      </c>
      <c r="Q1067" s="634" t="s">
        <v>956</v>
      </c>
      <c r="R1067" s="324"/>
      <c r="S1067" s="38" t="str">
        <f t="shared" si="190"/>
        <v>LipscombEF0</v>
      </c>
      <c r="T1067" s="38" t="str">
        <f t="shared" si="180"/>
        <v>2010EF0</v>
      </c>
      <c r="U1067" s="429">
        <v>20</v>
      </c>
      <c r="V1067" s="1029">
        <v>0.2</v>
      </c>
      <c r="W1067" s="598">
        <v>5.0000000000000001E-3</v>
      </c>
      <c r="X1067" s="429"/>
      <c r="Y1067" s="38" t="str">
        <f t="shared" si="181"/>
        <v>EF020</v>
      </c>
      <c r="Z1067" s="38" t="str">
        <f t="shared" si="182"/>
        <v>EF00.2</v>
      </c>
      <c r="AA1067" s="38" t="str">
        <f t="shared" si="184"/>
        <v>EF00.005</v>
      </c>
      <c r="AB1067" s="726" t="str">
        <f t="shared" si="178"/>
        <v>EF016</v>
      </c>
      <c r="AC1067" s="727"/>
      <c r="AD1067" s="727"/>
      <c r="AE1067" s="727"/>
      <c r="AF1067" s="727"/>
    </row>
    <row r="1068" spans="1:32" ht="51">
      <c r="A1068" s="947">
        <f t="shared" si="185"/>
        <v>1061</v>
      </c>
      <c r="B1068" s="948">
        <v>1</v>
      </c>
      <c r="C1068" s="949">
        <v>40705</v>
      </c>
      <c r="D1068" s="949" t="s">
        <v>178</v>
      </c>
      <c r="E1068" s="904">
        <v>11</v>
      </c>
      <c r="F1068" s="644">
        <v>2011</v>
      </c>
      <c r="G1068" s="948" t="s">
        <v>133</v>
      </c>
      <c r="H1068" s="645" t="s">
        <v>190</v>
      </c>
      <c r="I1068" s="948">
        <v>50</v>
      </c>
      <c r="J1068" s="948">
        <v>0.51</v>
      </c>
      <c r="K1068" s="952">
        <f t="shared" si="183"/>
        <v>1.4488636363636363E-2</v>
      </c>
      <c r="L1068" s="644">
        <f t="shared" si="189"/>
        <v>17</v>
      </c>
      <c r="M1068" s="935">
        <v>0.74236111111111114</v>
      </c>
      <c r="N1068" s="936">
        <f t="shared" si="188"/>
        <v>0.74236111111111114</v>
      </c>
      <c r="O1068" s="725">
        <v>0.74375000000000002</v>
      </c>
      <c r="P1068" s="725">
        <f t="shared" si="179"/>
        <v>1.388888888888884E-3</v>
      </c>
      <c r="Q1068" s="634" t="s">
        <v>1016</v>
      </c>
      <c r="R1068" s="36"/>
      <c r="S1068" s="37" t="str">
        <f t="shared" si="190"/>
        <v>LipscombEF0</v>
      </c>
      <c r="T1068" s="37" t="str">
        <f t="shared" si="180"/>
        <v>2011EF0</v>
      </c>
      <c r="U1068" s="429">
        <v>50</v>
      </c>
      <c r="V1068" s="1029">
        <v>0.5</v>
      </c>
      <c r="W1068" s="598">
        <v>0.01</v>
      </c>
      <c r="X1068" s="38"/>
      <c r="Y1068" s="37" t="str">
        <f t="shared" si="181"/>
        <v>EF050</v>
      </c>
      <c r="Z1068" s="37" t="str">
        <f t="shared" si="182"/>
        <v>EF00.5</v>
      </c>
      <c r="AA1068" s="37" t="str">
        <f t="shared" si="184"/>
        <v>EF00.01</v>
      </c>
      <c r="AB1068" s="498" t="str">
        <f t="shared" si="178"/>
        <v>EF017</v>
      </c>
      <c r="AC1068" s="572"/>
      <c r="AD1068" s="572"/>
      <c r="AE1068" s="572"/>
      <c r="AF1068" s="572"/>
    </row>
    <row r="1069" spans="1:32">
      <c r="A1069" s="947">
        <f t="shared" si="185"/>
        <v>1062</v>
      </c>
      <c r="B1069" s="948">
        <v>2</v>
      </c>
      <c r="C1069" s="949">
        <v>40705</v>
      </c>
      <c r="D1069" s="949" t="s">
        <v>178</v>
      </c>
      <c r="E1069" s="904">
        <v>11</v>
      </c>
      <c r="F1069" s="644">
        <v>2011</v>
      </c>
      <c r="G1069" s="948" t="s">
        <v>127</v>
      </c>
      <c r="H1069" s="645" t="s">
        <v>190</v>
      </c>
      <c r="I1069" s="948">
        <v>50</v>
      </c>
      <c r="J1069" s="948">
        <v>2.1</v>
      </c>
      <c r="K1069" s="952">
        <f t="shared" si="183"/>
        <v>5.9659090909090912E-2</v>
      </c>
      <c r="L1069" s="644">
        <f t="shared" si="189"/>
        <v>18</v>
      </c>
      <c r="M1069" s="935">
        <v>0.75763888888888886</v>
      </c>
      <c r="N1069" s="936">
        <f t="shared" si="188"/>
        <v>0.75763888888888886</v>
      </c>
      <c r="O1069" s="725">
        <v>0.76736111111111116</v>
      </c>
      <c r="P1069" s="725">
        <f t="shared" si="179"/>
        <v>9.7222222222222987E-3</v>
      </c>
      <c r="Q1069" s="634" t="s">
        <v>997</v>
      </c>
      <c r="R1069" s="36"/>
      <c r="S1069" s="37" t="str">
        <f t="shared" si="190"/>
        <v>TexasEF0</v>
      </c>
      <c r="T1069" s="37" t="str">
        <f t="shared" si="180"/>
        <v>2011EF0</v>
      </c>
      <c r="U1069" s="429">
        <v>50</v>
      </c>
      <c r="V1069" s="1029">
        <v>2</v>
      </c>
      <c r="W1069" s="598">
        <v>0.05</v>
      </c>
      <c r="X1069" s="38"/>
      <c r="Y1069" s="37" t="str">
        <f t="shared" si="181"/>
        <v>EF050</v>
      </c>
      <c r="Z1069" s="37" t="str">
        <f t="shared" si="182"/>
        <v>EF02</v>
      </c>
      <c r="AA1069" s="37" t="str">
        <f t="shared" si="184"/>
        <v>EF00.05</v>
      </c>
      <c r="AB1069" s="498" t="str">
        <f t="shared" si="178"/>
        <v>EF018</v>
      </c>
      <c r="AC1069" s="572"/>
      <c r="AD1069" s="572"/>
      <c r="AE1069" s="572"/>
      <c r="AF1069" s="572"/>
    </row>
    <row r="1070" spans="1:32">
      <c r="A1070" s="947">
        <f t="shared" si="185"/>
        <v>1063</v>
      </c>
      <c r="B1070" s="948">
        <v>3</v>
      </c>
      <c r="C1070" s="949">
        <v>40705</v>
      </c>
      <c r="D1070" s="949" t="s">
        <v>178</v>
      </c>
      <c r="E1070" s="904">
        <v>11</v>
      </c>
      <c r="F1070" s="644">
        <v>2011</v>
      </c>
      <c r="G1070" s="948" t="s">
        <v>128</v>
      </c>
      <c r="H1070" s="645" t="s">
        <v>190</v>
      </c>
      <c r="I1070" s="948">
        <v>25</v>
      </c>
      <c r="J1070" s="948">
        <v>0.1</v>
      </c>
      <c r="K1070" s="952">
        <f t="shared" si="183"/>
        <v>1.4204545454545455E-3</v>
      </c>
      <c r="L1070" s="644">
        <f t="shared" si="189"/>
        <v>18</v>
      </c>
      <c r="M1070" s="935">
        <v>0.78472222222222221</v>
      </c>
      <c r="N1070" s="936">
        <f t="shared" si="188"/>
        <v>0.78472222222222221</v>
      </c>
      <c r="O1070" s="725">
        <v>0.78611111111111109</v>
      </c>
      <c r="P1070" s="725">
        <f t="shared" si="179"/>
        <v>1.388888888888884E-3</v>
      </c>
      <c r="Q1070" s="634" t="s">
        <v>998</v>
      </c>
      <c r="R1070" s="36"/>
      <c r="S1070" s="37" t="str">
        <f t="shared" si="190"/>
        <v>BeaverEF0</v>
      </c>
      <c r="T1070" s="37" t="str">
        <f t="shared" si="180"/>
        <v>2011EF0</v>
      </c>
      <c r="U1070" s="429">
        <v>20</v>
      </c>
      <c r="V1070" s="1029">
        <v>0.1</v>
      </c>
      <c r="W1070" s="598">
        <v>1E-3</v>
      </c>
      <c r="X1070" s="38"/>
      <c r="Y1070" s="37" t="str">
        <f t="shared" si="181"/>
        <v>EF020</v>
      </c>
      <c r="Z1070" s="37" t="str">
        <f t="shared" si="182"/>
        <v>EF00.1</v>
      </c>
      <c r="AA1070" s="37" t="str">
        <f t="shared" si="184"/>
        <v>EF00.001</v>
      </c>
      <c r="AB1070" s="498" t="str">
        <f t="shared" si="178"/>
        <v>EF018</v>
      </c>
      <c r="AC1070" s="572"/>
      <c r="AD1070" s="572"/>
      <c r="AE1070" s="572"/>
      <c r="AF1070" s="572"/>
    </row>
    <row r="1071" spans="1:32">
      <c r="A1071" s="947">
        <f t="shared" si="185"/>
        <v>1064</v>
      </c>
      <c r="B1071" s="948">
        <v>4</v>
      </c>
      <c r="C1071" s="949">
        <v>40705</v>
      </c>
      <c r="D1071" s="949" t="s">
        <v>178</v>
      </c>
      <c r="E1071" s="904">
        <v>11</v>
      </c>
      <c r="F1071" s="644">
        <v>2011</v>
      </c>
      <c r="G1071" s="948" t="s">
        <v>133</v>
      </c>
      <c r="H1071" s="645" t="s">
        <v>190</v>
      </c>
      <c r="I1071" s="948">
        <v>50</v>
      </c>
      <c r="J1071" s="948">
        <v>0.17</v>
      </c>
      <c r="K1071" s="952">
        <f t="shared" si="183"/>
        <v>4.8295454545454544E-3</v>
      </c>
      <c r="L1071" s="644">
        <f t="shared" si="189"/>
        <v>18</v>
      </c>
      <c r="M1071" s="935">
        <v>0.78472222222222221</v>
      </c>
      <c r="N1071" s="936">
        <f t="shared" si="188"/>
        <v>0.78472222222222221</v>
      </c>
      <c r="O1071" s="725">
        <v>0.78611111111111109</v>
      </c>
      <c r="P1071" s="725">
        <f t="shared" si="179"/>
        <v>1.388888888888884E-3</v>
      </c>
      <c r="Q1071" s="634" t="s">
        <v>999</v>
      </c>
      <c r="R1071" s="36"/>
      <c r="S1071" s="37" t="str">
        <f t="shared" si="190"/>
        <v>LipscombEF0</v>
      </c>
      <c r="T1071" s="37" t="str">
        <f t="shared" si="180"/>
        <v>2011EF0</v>
      </c>
      <c r="U1071" s="429">
        <v>50</v>
      </c>
      <c r="V1071" s="1029">
        <v>0.1</v>
      </c>
      <c r="W1071" s="598">
        <v>5.0000000000000001E-3</v>
      </c>
      <c r="X1071" s="38"/>
      <c r="Y1071" s="37" t="str">
        <f t="shared" si="181"/>
        <v>EF050</v>
      </c>
      <c r="Z1071" s="37" t="str">
        <f t="shared" si="182"/>
        <v>EF00.1</v>
      </c>
      <c r="AA1071" s="37" t="str">
        <f t="shared" si="184"/>
        <v>EF00.005</v>
      </c>
      <c r="AB1071" s="498" t="str">
        <f t="shared" si="178"/>
        <v>EF018</v>
      </c>
      <c r="AC1071" s="572"/>
      <c r="AD1071" s="572"/>
      <c r="AE1071" s="572"/>
      <c r="AF1071" s="572"/>
    </row>
    <row r="1072" spans="1:32" ht="25.5">
      <c r="A1072" s="947">
        <f t="shared" si="185"/>
        <v>1065</v>
      </c>
      <c r="B1072" s="978">
        <v>1</v>
      </c>
      <c r="C1072" s="979">
        <v>40942</v>
      </c>
      <c r="D1072" s="979" t="s">
        <v>174</v>
      </c>
      <c r="E1072" s="863">
        <v>3</v>
      </c>
      <c r="F1072" s="864">
        <v>2012</v>
      </c>
      <c r="G1072" s="978" t="s">
        <v>142</v>
      </c>
      <c r="H1072" s="865" t="s">
        <v>191</v>
      </c>
      <c r="I1072" s="978">
        <v>100</v>
      </c>
      <c r="J1072" s="978">
        <v>8.3000000000000007</v>
      </c>
      <c r="K1072" s="980">
        <f t="shared" si="183"/>
        <v>0.47159090909090912</v>
      </c>
      <c r="L1072" s="864">
        <f t="shared" si="189"/>
        <v>0</v>
      </c>
      <c r="M1072" s="981">
        <v>2.9166666666666664E-2</v>
      </c>
      <c r="N1072" s="982">
        <f t="shared" si="188"/>
        <v>2.9166666666666664E-2</v>
      </c>
      <c r="O1072" s="983">
        <v>3.8194444444444441E-2</v>
      </c>
      <c r="P1072" s="725">
        <f t="shared" si="179"/>
        <v>9.0277777777777769E-3</v>
      </c>
      <c r="Q1072" s="860" t="s">
        <v>1144</v>
      </c>
      <c r="R1072" s="36"/>
      <c r="S1072" s="37" t="str">
        <f t="shared" si="190"/>
        <v>GrayEF1</v>
      </c>
      <c r="T1072" s="37" t="str">
        <f t="shared" si="180"/>
        <v>2012EF1</v>
      </c>
      <c r="U1072" s="851">
        <v>100</v>
      </c>
      <c r="V1072" s="1030">
        <v>5</v>
      </c>
      <c r="W1072" s="852">
        <v>0.2</v>
      </c>
      <c r="X1072" s="38"/>
      <c r="Y1072" s="37" t="str">
        <f t="shared" si="181"/>
        <v>EF1100</v>
      </c>
      <c r="Z1072" s="37" t="str">
        <f t="shared" si="182"/>
        <v>EF15</v>
      </c>
      <c r="AA1072" s="37" t="str">
        <f t="shared" si="184"/>
        <v>EF10.2</v>
      </c>
      <c r="AB1072" s="498" t="str">
        <f t="shared" si="178"/>
        <v>EF10</v>
      </c>
      <c r="AC1072" s="572"/>
      <c r="AD1072" s="572"/>
      <c r="AE1072" s="572"/>
      <c r="AF1072" s="572"/>
    </row>
    <row r="1073" spans="1:32" ht="25.5">
      <c r="A1073" s="947">
        <f t="shared" si="185"/>
        <v>1066</v>
      </c>
      <c r="B1073" s="978">
        <v>2</v>
      </c>
      <c r="C1073" s="979">
        <v>40942</v>
      </c>
      <c r="D1073" s="979" t="s">
        <v>174</v>
      </c>
      <c r="E1073" s="863">
        <v>3</v>
      </c>
      <c r="F1073" s="864">
        <v>2012</v>
      </c>
      <c r="G1073" s="978" t="s">
        <v>137</v>
      </c>
      <c r="H1073" s="865" t="s">
        <v>190</v>
      </c>
      <c r="I1073" s="978">
        <v>100</v>
      </c>
      <c r="J1073" s="978">
        <v>2.5499999999999998</v>
      </c>
      <c r="K1073" s="980">
        <f t="shared" si="183"/>
        <v>0.14488636363636362</v>
      </c>
      <c r="L1073" s="864">
        <f t="shared" si="189"/>
        <v>0</v>
      </c>
      <c r="M1073" s="981">
        <v>3.8194444444444441E-2</v>
      </c>
      <c r="N1073" s="982">
        <f t="shared" si="188"/>
        <v>3.8194444444444441E-2</v>
      </c>
      <c r="O1073" s="983">
        <v>4.1666666666666664E-2</v>
      </c>
      <c r="P1073" s="725">
        <f t="shared" si="179"/>
        <v>3.4722222222222238E-3</v>
      </c>
      <c r="Q1073" s="860" t="s">
        <v>1146</v>
      </c>
      <c r="R1073" s="36"/>
      <c r="S1073" s="37" t="str">
        <f t="shared" si="190"/>
        <v>RobertsEF0</v>
      </c>
      <c r="T1073" s="37" t="str">
        <f t="shared" si="180"/>
        <v>2012EF0</v>
      </c>
      <c r="U1073" s="851">
        <v>100</v>
      </c>
      <c r="V1073" s="1030">
        <v>2</v>
      </c>
      <c r="W1073" s="852">
        <v>0.1</v>
      </c>
      <c r="X1073" s="38"/>
      <c r="Y1073" s="37" t="str">
        <f t="shared" si="181"/>
        <v>EF0100</v>
      </c>
      <c r="Z1073" s="37" t="str">
        <f t="shared" si="182"/>
        <v>EF02</v>
      </c>
      <c r="AA1073" s="37" t="str">
        <f t="shared" si="184"/>
        <v>EF00.1</v>
      </c>
      <c r="AB1073" s="498" t="str">
        <f t="shared" si="178"/>
        <v>EF00</v>
      </c>
      <c r="AC1073" s="572"/>
      <c r="AD1073" s="572"/>
      <c r="AE1073" s="572"/>
      <c r="AF1073" s="572"/>
    </row>
    <row r="1074" spans="1:32" ht="38.25">
      <c r="A1074" s="947">
        <f t="shared" si="185"/>
        <v>1067</v>
      </c>
      <c r="B1074" s="978">
        <v>3</v>
      </c>
      <c r="C1074" s="979">
        <v>40942</v>
      </c>
      <c r="D1074" s="979" t="s">
        <v>174</v>
      </c>
      <c r="E1074" s="863">
        <v>3</v>
      </c>
      <c r="F1074" s="864">
        <v>2012</v>
      </c>
      <c r="G1074" s="978" t="s">
        <v>138</v>
      </c>
      <c r="H1074" s="865" t="s">
        <v>190</v>
      </c>
      <c r="I1074" s="978">
        <v>100</v>
      </c>
      <c r="J1074" s="978">
        <v>1.82</v>
      </c>
      <c r="K1074" s="980">
        <f t="shared" si="183"/>
        <v>0.10340909090909091</v>
      </c>
      <c r="L1074" s="864">
        <f t="shared" si="189"/>
        <v>1</v>
      </c>
      <c r="M1074" s="981">
        <v>4.1666666666666664E-2</v>
      </c>
      <c r="N1074" s="982">
        <f t="shared" si="188"/>
        <v>4.1666666666666664E-2</v>
      </c>
      <c r="O1074" s="983">
        <v>4.3750000000000004E-2</v>
      </c>
      <c r="P1074" s="725">
        <f t="shared" si="179"/>
        <v>2.0833333333333398E-3</v>
      </c>
      <c r="Q1074" s="860" t="s">
        <v>1147</v>
      </c>
      <c r="R1074" s="36"/>
      <c r="S1074" s="37" t="str">
        <f t="shared" si="190"/>
        <v>HemphillEF0</v>
      </c>
      <c r="T1074" s="37" t="str">
        <f t="shared" si="180"/>
        <v>2012EF0</v>
      </c>
      <c r="U1074" s="851">
        <v>100</v>
      </c>
      <c r="V1074" s="1030">
        <v>1</v>
      </c>
      <c r="W1074" s="852">
        <v>0.1</v>
      </c>
      <c r="X1074" s="38"/>
      <c r="Y1074" s="37" t="str">
        <f t="shared" si="181"/>
        <v>EF0100</v>
      </c>
      <c r="Z1074" s="37" t="str">
        <f t="shared" si="182"/>
        <v>EF01</v>
      </c>
      <c r="AA1074" s="37" t="str">
        <f t="shared" si="184"/>
        <v>EF00.1</v>
      </c>
      <c r="AB1074" s="498" t="str">
        <f t="shared" si="178"/>
        <v>EF01</v>
      </c>
      <c r="AC1074" s="572"/>
      <c r="AD1074" s="572"/>
      <c r="AE1074" s="572"/>
      <c r="AF1074" s="572"/>
    </row>
    <row r="1075" spans="1:32">
      <c r="A1075" s="947">
        <f t="shared" si="185"/>
        <v>1068</v>
      </c>
      <c r="B1075" s="978">
        <v>4</v>
      </c>
      <c r="C1075" s="979">
        <v>41029</v>
      </c>
      <c r="D1075" s="979" t="s">
        <v>176</v>
      </c>
      <c r="E1075" s="863">
        <v>30</v>
      </c>
      <c r="F1075" s="864">
        <v>2012</v>
      </c>
      <c r="G1075" s="978" t="s">
        <v>148</v>
      </c>
      <c r="H1075" s="865" t="s">
        <v>190</v>
      </c>
      <c r="I1075" s="978">
        <v>150</v>
      </c>
      <c r="J1075" s="978">
        <v>1.26</v>
      </c>
      <c r="K1075" s="980">
        <f t="shared" si="183"/>
        <v>0.10738636363636363</v>
      </c>
      <c r="L1075" s="864">
        <f t="shared" si="189"/>
        <v>19</v>
      </c>
      <c r="M1075" s="981">
        <v>0.8125</v>
      </c>
      <c r="N1075" s="982">
        <f t="shared" si="188"/>
        <v>0.8125</v>
      </c>
      <c r="O1075" s="983">
        <v>0.81458333333333333</v>
      </c>
      <c r="P1075" s="725">
        <f t="shared" si="179"/>
        <v>2.0833333333333259E-3</v>
      </c>
      <c r="Q1075" s="860" t="s">
        <v>1042</v>
      </c>
      <c r="R1075" s="36"/>
      <c r="S1075" s="37" t="str">
        <f t="shared" si="190"/>
        <v>CollingsworthEF0</v>
      </c>
      <c r="T1075" s="37" t="str">
        <f t="shared" si="180"/>
        <v>2012EF0</v>
      </c>
      <c r="U1075" s="851">
        <v>100</v>
      </c>
      <c r="V1075" s="1030">
        <v>1</v>
      </c>
      <c r="W1075" s="852">
        <v>0.1</v>
      </c>
      <c r="X1075" s="38"/>
      <c r="Y1075" s="37" t="str">
        <f t="shared" si="181"/>
        <v>EF0100</v>
      </c>
      <c r="Z1075" s="37" t="str">
        <f t="shared" si="182"/>
        <v>EF01</v>
      </c>
      <c r="AA1075" s="37" t="str">
        <f t="shared" si="184"/>
        <v>EF00.1</v>
      </c>
      <c r="AB1075" s="498" t="str">
        <f t="shared" si="178"/>
        <v>EF019</v>
      </c>
      <c r="AC1075" s="572"/>
      <c r="AD1075" s="572"/>
      <c r="AE1075" s="572"/>
      <c r="AF1075" s="572"/>
    </row>
    <row r="1076" spans="1:32">
      <c r="A1076" s="947">
        <f t="shared" si="185"/>
        <v>1069</v>
      </c>
      <c r="B1076" s="978">
        <v>5</v>
      </c>
      <c r="C1076" s="979">
        <v>41050</v>
      </c>
      <c r="D1076" s="979" t="s">
        <v>177</v>
      </c>
      <c r="E1076" s="863">
        <v>21</v>
      </c>
      <c r="F1076" s="864">
        <v>2012</v>
      </c>
      <c r="G1076" s="978" t="s">
        <v>139</v>
      </c>
      <c r="H1076" s="865" t="s">
        <v>190</v>
      </c>
      <c r="I1076" s="978">
        <v>100</v>
      </c>
      <c r="J1076" s="978">
        <v>0.56999999999999995</v>
      </c>
      <c r="K1076" s="980">
        <f t="shared" si="183"/>
        <v>3.238636363636363E-2</v>
      </c>
      <c r="L1076" s="864">
        <f t="shared" si="189"/>
        <v>19</v>
      </c>
      <c r="M1076" s="981">
        <v>0.81736111111111109</v>
      </c>
      <c r="N1076" s="982">
        <f t="shared" si="188"/>
        <v>0.81736111111111109</v>
      </c>
      <c r="O1076" s="983">
        <v>0.81944444444444453</v>
      </c>
      <c r="P1076" s="725">
        <f t="shared" si="179"/>
        <v>2.083333333333437E-3</v>
      </c>
      <c r="Q1076" s="860" t="s">
        <v>1043</v>
      </c>
      <c r="R1076" s="36"/>
      <c r="S1076" s="37" t="str">
        <f t="shared" si="190"/>
        <v>OldhamEF0</v>
      </c>
      <c r="T1076" s="37" t="str">
        <f t="shared" si="180"/>
        <v>2012EF0</v>
      </c>
      <c r="U1076" s="851">
        <v>100</v>
      </c>
      <c r="V1076" s="1030">
        <v>0.5</v>
      </c>
      <c r="W1076" s="852">
        <v>0.02</v>
      </c>
      <c r="X1076" s="38"/>
      <c r="Y1076" s="37" t="str">
        <f t="shared" si="181"/>
        <v>EF0100</v>
      </c>
      <c r="Z1076" s="37" t="str">
        <f t="shared" si="182"/>
        <v>EF00.5</v>
      </c>
      <c r="AA1076" s="37" t="str">
        <f t="shared" si="184"/>
        <v>EF00.02</v>
      </c>
      <c r="AB1076" s="498" t="str">
        <f t="shared" si="178"/>
        <v>EF019</v>
      </c>
      <c r="AC1076" s="572"/>
      <c r="AD1076" s="572"/>
      <c r="AE1076" s="572"/>
      <c r="AF1076" s="572"/>
    </row>
    <row r="1077" spans="1:32">
      <c r="A1077" s="947">
        <f t="shared" si="185"/>
        <v>1070</v>
      </c>
      <c r="B1077" s="978">
        <v>6</v>
      </c>
      <c r="C1077" s="979">
        <v>41257</v>
      </c>
      <c r="D1077" s="979" t="s">
        <v>184</v>
      </c>
      <c r="E1077" s="863">
        <v>14</v>
      </c>
      <c r="F1077" s="864">
        <v>2012</v>
      </c>
      <c r="G1077" s="978" t="s">
        <v>141</v>
      </c>
      <c r="H1077" s="865" t="s">
        <v>190</v>
      </c>
      <c r="I1077" s="978">
        <v>200</v>
      </c>
      <c r="J1077" s="978">
        <v>3</v>
      </c>
      <c r="K1077" s="980">
        <f t="shared" si="183"/>
        <v>0.34090909090909088</v>
      </c>
      <c r="L1077" s="864">
        <f t="shared" si="189"/>
        <v>16</v>
      </c>
      <c r="M1077" s="981">
        <v>0.67847222222222225</v>
      </c>
      <c r="N1077" s="982">
        <f t="shared" si="188"/>
        <v>0.67847222222222225</v>
      </c>
      <c r="O1077" s="983">
        <v>0.68194444444444446</v>
      </c>
      <c r="P1077" s="725">
        <f t="shared" si="179"/>
        <v>3.4722222222222099E-3</v>
      </c>
      <c r="Q1077" s="860" t="s">
        <v>1044</v>
      </c>
      <c r="R1077" s="36"/>
      <c r="S1077" s="37" t="str">
        <f t="shared" si="190"/>
        <v>CarsonEF0</v>
      </c>
      <c r="T1077" s="37" t="str">
        <f t="shared" si="180"/>
        <v>2012EF0</v>
      </c>
      <c r="U1077" s="851">
        <v>200</v>
      </c>
      <c r="V1077" s="1030">
        <v>2</v>
      </c>
      <c r="W1077" s="852">
        <v>0.2</v>
      </c>
      <c r="X1077" s="38"/>
      <c r="Y1077" s="37" t="str">
        <f t="shared" si="181"/>
        <v>EF0200</v>
      </c>
      <c r="Z1077" s="37" t="str">
        <f t="shared" si="182"/>
        <v>EF02</v>
      </c>
      <c r="AA1077" s="37" t="str">
        <f t="shared" si="184"/>
        <v>EF00.2</v>
      </c>
      <c r="AB1077" s="498" t="str">
        <f t="shared" si="178"/>
        <v>EF016</v>
      </c>
      <c r="AC1077" s="572"/>
      <c r="AD1077" s="572"/>
      <c r="AE1077" s="572"/>
      <c r="AF1077" s="572"/>
    </row>
    <row r="1078" spans="1:32">
      <c r="A1078" s="947">
        <f t="shared" si="185"/>
        <v>1071</v>
      </c>
      <c r="B1078" s="978">
        <v>7</v>
      </c>
      <c r="C1078" s="979">
        <v>41257</v>
      </c>
      <c r="D1078" s="979" t="s">
        <v>184</v>
      </c>
      <c r="E1078" s="863">
        <v>14</v>
      </c>
      <c r="F1078" s="864">
        <v>2012</v>
      </c>
      <c r="G1078" s="978" t="s">
        <v>147</v>
      </c>
      <c r="H1078" s="865" t="s">
        <v>190</v>
      </c>
      <c r="I1078" s="978">
        <v>50</v>
      </c>
      <c r="J1078" s="978">
        <v>0.75</v>
      </c>
      <c r="K1078" s="980">
        <f t="shared" si="183"/>
        <v>2.130681818181818E-2</v>
      </c>
      <c r="L1078" s="864">
        <f t="shared" si="189"/>
        <v>16</v>
      </c>
      <c r="M1078" s="981">
        <v>0.70347222222222217</v>
      </c>
      <c r="N1078" s="982">
        <f t="shared" si="188"/>
        <v>0.70347222222222217</v>
      </c>
      <c r="O1078" s="983">
        <v>0.70347222222222217</v>
      </c>
      <c r="P1078" s="725">
        <f t="shared" si="179"/>
        <v>0</v>
      </c>
      <c r="Q1078" s="860" t="s">
        <v>1045</v>
      </c>
      <c r="R1078" s="36"/>
      <c r="S1078" s="37" t="str">
        <f t="shared" si="190"/>
        <v>DonleyEF0</v>
      </c>
      <c r="T1078" s="37" t="str">
        <f t="shared" si="180"/>
        <v>2012EF0</v>
      </c>
      <c r="U1078" s="851">
        <v>50</v>
      </c>
      <c r="V1078" s="1030">
        <v>0.5</v>
      </c>
      <c r="W1078" s="852">
        <v>0.02</v>
      </c>
      <c r="X1078" s="38"/>
      <c r="Y1078" s="37" t="str">
        <f t="shared" si="181"/>
        <v>EF050</v>
      </c>
      <c r="Z1078" s="37" t="str">
        <f t="shared" si="182"/>
        <v>EF00.5</v>
      </c>
      <c r="AA1078" s="37" t="str">
        <f t="shared" si="184"/>
        <v>EF00.02</v>
      </c>
      <c r="AB1078" s="498" t="str">
        <f t="shared" si="178"/>
        <v>EF016</v>
      </c>
      <c r="AC1078" s="572"/>
      <c r="AD1078" s="572"/>
      <c r="AE1078" s="572"/>
      <c r="AF1078" s="572"/>
    </row>
    <row r="1079" spans="1:32">
      <c r="A1079" s="947">
        <f t="shared" si="185"/>
        <v>1072</v>
      </c>
      <c r="B1079" s="978">
        <v>8</v>
      </c>
      <c r="C1079" s="979">
        <v>41257</v>
      </c>
      <c r="D1079" s="979" t="s">
        <v>184</v>
      </c>
      <c r="E1079" s="863">
        <v>14</v>
      </c>
      <c r="F1079" s="864">
        <v>2012</v>
      </c>
      <c r="G1079" s="978" t="s">
        <v>147</v>
      </c>
      <c r="H1079" s="865" t="s">
        <v>190</v>
      </c>
      <c r="I1079" s="978">
        <v>50</v>
      </c>
      <c r="J1079" s="978">
        <v>0.3</v>
      </c>
      <c r="K1079" s="980">
        <f t="shared" si="183"/>
        <v>8.5227272727272721E-3</v>
      </c>
      <c r="L1079" s="864">
        <f t="shared" si="189"/>
        <v>16</v>
      </c>
      <c r="M1079" s="981">
        <v>0.70694444444444438</v>
      </c>
      <c r="N1079" s="982">
        <f t="shared" si="188"/>
        <v>0.70694444444444438</v>
      </c>
      <c r="O1079" s="983">
        <v>0.70763888888888893</v>
      </c>
      <c r="P1079" s="725">
        <f t="shared" si="179"/>
        <v>6.94444444444553E-4</v>
      </c>
      <c r="Q1079" s="860" t="s">
        <v>1046</v>
      </c>
      <c r="R1079" s="36"/>
      <c r="S1079" s="37" t="str">
        <f t="shared" si="190"/>
        <v>DonleyEF0</v>
      </c>
      <c r="T1079" s="37" t="str">
        <f t="shared" si="180"/>
        <v>2012EF0</v>
      </c>
      <c r="U1079" s="851">
        <v>50</v>
      </c>
      <c r="V1079" s="1030">
        <v>0.2</v>
      </c>
      <c r="W1079" s="852">
        <v>5.0000000000000001E-3</v>
      </c>
      <c r="X1079" s="38"/>
      <c r="Y1079" s="37" t="str">
        <f t="shared" si="181"/>
        <v>EF050</v>
      </c>
      <c r="Z1079" s="37" t="str">
        <f t="shared" si="182"/>
        <v>EF00.2</v>
      </c>
      <c r="AA1079" s="37" t="str">
        <f t="shared" si="184"/>
        <v>EF00.005</v>
      </c>
      <c r="AB1079" s="498" t="str">
        <f t="shared" si="178"/>
        <v>EF016</v>
      </c>
      <c r="AC1079" s="572"/>
      <c r="AD1079" s="572"/>
      <c r="AE1079" s="572"/>
      <c r="AF1079" s="572"/>
    </row>
    <row r="1080" spans="1:32" ht="25.5">
      <c r="A1080" s="947">
        <f t="shared" si="185"/>
        <v>1073</v>
      </c>
      <c r="B1080" s="948">
        <v>1</v>
      </c>
      <c r="C1080" s="949">
        <v>41422</v>
      </c>
      <c r="D1080" s="949" t="s">
        <v>177</v>
      </c>
      <c r="E1080" s="904">
        <v>28</v>
      </c>
      <c r="F1080" s="644">
        <v>2013</v>
      </c>
      <c r="G1080" s="948" t="s">
        <v>128</v>
      </c>
      <c r="H1080" s="645" t="s">
        <v>190</v>
      </c>
      <c r="I1080" s="948">
        <v>25</v>
      </c>
      <c r="J1080" s="948">
        <v>0.82</v>
      </c>
      <c r="K1080" s="952">
        <f t="shared" si="183"/>
        <v>1.1647727272727271E-2</v>
      </c>
      <c r="L1080" s="644">
        <f t="shared" si="189"/>
        <v>14</v>
      </c>
      <c r="M1080" s="935">
        <v>0.58888888888888891</v>
      </c>
      <c r="N1080" s="936">
        <f t="shared" si="188"/>
        <v>0.58888888888888891</v>
      </c>
      <c r="O1080" s="725">
        <v>0.59097222222222223</v>
      </c>
      <c r="P1080" s="725">
        <f t="shared" si="179"/>
        <v>2.0833333333333259E-3</v>
      </c>
      <c r="Q1080" s="634" t="s">
        <v>1160</v>
      </c>
      <c r="R1080" s="36"/>
      <c r="S1080" s="37" t="str">
        <f t="shared" si="190"/>
        <v>BeaverEF0</v>
      </c>
      <c r="T1080" s="37" t="str">
        <f t="shared" si="180"/>
        <v>2013EF0</v>
      </c>
      <c r="U1080" s="429">
        <v>20</v>
      </c>
      <c r="V1080" s="1029">
        <v>0.5</v>
      </c>
      <c r="W1080" s="598">
        <v>0.01</v>
      </c>
      <c r="X1080" s="38"/>
      <c r="Y1080" s="37" t="str">
        <f t="shared" si="181"/>
        <v>EF020</v>
      </c>
      <c r="Z1080" s="37" t="str">
        <f t="shared" si="182"/>
        <v>EF00.5</v>
      </c>
      <c r="AA1080" s="37" t="str">
        <f t="shared" si="184"/>
        <v>EF00.01</v>
      </c>
      <c r="AB1080" s="498" t="str">
        <f t="shared" si="178"/>
        <v>EF014</v>
      </c>
      <c r="AC1080" s="572"/>
      <c r="AD1080" s="572"/>
      <c r="AE1080" s="572"/>
      <c r="AF1080" s="572"/>
    </row>
    <row r="1081" spans="1:32" ht="25.5">
      <c r="A1081" s="947">
        <f t="shared" si="185"/>
        <v>1074</v>
      </c>
      <c r="B1081" s="948">
        <v>2</v>
      </c>
      <c r="C1081" s="949">
        <v>41422</v>
      </c>
      <c r="D1081" s="949" t="s">
        <v>177</v>
      </c>
      <c r="E1081" s="904">
        <v>28</v>
      </c>
      <c r="F1081" s="644">
        <v>2013</v>
      </c>
      <c r="G1081" s="948" t="s">
        <v>128</v>
      </c>
      <c r="H1081" s="645" t="s">
        <v>190</v>
      </c>
      <c r="I1081" s="948">
        <v>25</v>
      </c>
      <c r="J1081" s="948">
        <v>1.77</v>
      </c>
      <c r="K1081" s="952">
        <f t="shared" si="183"/>
        <v>2.5142045454545455E-2</v>
      </c>
      <c r="L1081" s="644">
        <f t="shared" si="189"/>
        <v>14</v>
      </c>
      <c r="M1081" s="935">
        <v>0.60347222222222219</v>
      </c>
      <c r="N1081" s="936">
        <f t="shared" si="188"/>
        <v>0.60347222222222219</v>
      </c>
      <c r="O1081" s="725">
        <v>0.61111111111111105</v>
      </c>
      <c r="P1081" s="725">
        <f t="shared" si="179"/>
        <v>7.6388888888888618E-3</v>
      </c>
      <c r="Q1081" s="634" t="s">
        <v>1161</v>
      </c>
      <c r="R1081" s="36"/>
      <c r="S1081" s="37" t="str">
        <f t="shared" si="190"/>
        <v>BeaverEF0</v>
      </c>
      <c r="T1081" s="37" t="str">
        <f t="shared" si="180"/>
        <v>2013EF0</v>
      </c>
      <c r="U1081" s="429">
        <v>20</v>
      </c>
      <c r="V1081" s="1029">
        <v>1</v>
      </c>
      <c r="W1081" s="598">
        <v>0.02</v>
      </c>
      <c r="X1081" s="38"/>
      <c r="Y1081" s="37" t="str">
        <f t="shared" si="181"/>
        <v>EF020</v>
      </c>
      <c r="Z1081" s="37" t="str">
        <f t="shared" si="182"/>
        <v>EF01</v>
      </c>
      <c r="AA1081" s="37" t="str">
        <f t="shared" si="184"/>
        <v>EF00.02</v>
      </c>
      <c r="AB1081" s="498" t="str">
        <f t="shared" si="178"/>
        <v>EF014</v>
      </c>
      <c r="AC1081" s="572"/>
      <c r="AD1081" s="572"/>
      <c r="AE1081" s="572"/>
      <c r="AF1081" s="572"/>
    </row>
    <row r="1082" spans="1:32" ht="25.5">
      <c r="A1082" s="947">
        <f t="shared" si="185"/>
        <v>1075</v>
      </c>
      <c r="B1082" s="948">
        <v>3</v>
      </c>
      <c r="C1082" s="949">
        <v>41422</v>
      </c>
      <c r="D1082" s="949" t="s">
        <v>177</v>
      </c>
      <c r="E1082" s="904">
        <v>28</v>
      </c>
      <c r="F1082" s="644">
        <v>2013</v>
      </c>
      <c r="G1082" s="948" t="s">
        <v>144</v>
      </c>
      <c r="H1082" s="645" t="s">
        <v>190</v>
      </c>
      <c r="I1082" s="948">
        <v>75</v>
      </c>
      <c r="J1082" s="948">
        <v>2.14</v>
      </c>
      <c r="K1082" s="952">
        <f t="shared" si="183"/>
        <v>9.1193181818181812E-2</v>
      </c>
      <c r="L1082" s="644">
        <f t="shared" si="189"/>
        <v>17</v>
      </c>
      <c r="M1082" s="935">
        <v>0.73958333333333337</v>
      </c>
      <c r="N1082" s="936">
        <f t="shared" si="188"/>
        <v>0.73958333333333337</v>
      </c>
      <c r="O1082" s="725">
        <v>0.74305555555555547</v>
      </c>
      <c r="P1082" s="725">
        <f t="shared" si="179"/>
        <v>3.4722222222220989E-3</v>
      </c>
      <c r="Q1082" s="634" t="s">
        <v>1162</v>
      </c>
      <c r="R1082" s="36"/>
      <c r="S1082" s="37" t="str">
        <f t="shared" si="190"/>
        <v>Deaf SmithEF0</v>
      </c>
      <c r="T1082" s="37" t="str">
        <f t="shared" si="180"/>
        <v>2013EF0</v>
      </c>
      <c r="U1082" s="429">
        <v>50</v>
      </c>
      <c r="V1082" s="1029">
        <v>2</v>
      </c>
      <c r="W1082" s="598">
        <v>0.05</v>
      </c>
      <c r="X1082" s="38"/>
      <c r="Y1082" s="37" t="str">
        <f t="shared" si="181"/>
        <v>EF050</v>
      </c>
      <c r="Z1082" s="37" t="str">
        <f t="shared" si="182"/>
        <v>EF02</v>
      </c>
      <c r="AA1082" s="37" t="str">
        <f t="shared" si="184"/>
        <v>EF00.05</v>
      </c>
      <c r="AB1082" s="498" t="str">
        <f t="shared" si="178"/>
        <v>EF017</v>
      </c>
      <c r="AC1082" s="572"/>
      <c r="AD1082" s="572"/>
      <c r="AE1082" s="572"/>
      <c r="AF1082" s="572"/>
    </row>
    <row r="1083" spans="1:32" ht="89.25">
      <c r="A1083" s="947">
        <f t="shared" si="185"/>
        <v>1076</v>
      </c>
      <c r="B1083" s="948">
        <v>4</v>
      </c>
      <c r="C1083" s="949">
        <v>41422</v>
      </c>
      <c r="D1083" s="949" t="s">
        <v>177</v>
      </c>
      <c r="E1083" s="904">
        <v>28</v>
      </c>
      <c r="F1083" s="644">
        <v>2013</v>
      </c>
      <c r="G1083" s="948" t="s">
        <v>144</v>
      </c>
      <c r="H1083" s="645" t="s">
        <v>190</v>
      </c>
      <c r="I1083" s="948">
        <v>150</v>
      </c>
      <c r="J1083" s="948">
        <v>2.06</v>
      </c>
      <c r="K1083" s="952">
        <f t="shared" si="183"/>
        <v>0.17556818181818182</v>
      </c>
      <c r="L1083" s="644">
        <f t="shared" si="189"/>
        <v>20</v>
      </c>
      <c r="M1083" s="935">
        <v>0.83750000000000002</v>
      </c>
      <c r="N1083" s="936">
        <f t="shared" si="188"/>
        <v>0.83750000000000002</v>
      </c>
      <c r="O1083" s="725">
        <v>0.84097222222222223</v>
      </c>
      <c r="P1083" s="725">
        <f t="shared" si="179"/>
        <v>3.4722222222222099E-3</v>
      </c>
      <c r="Q1083" s="634" t="s">
        <v>1163</v>
      </c>
      <c r="R1083" s="36"/>
      <c r="S1083" s="37" t="str">
        <f t="shared" si="190"/>
        <v>Deaf SmithEF0</v>
      </c>
      <c r="T1083" s="37" t="str">
        <f t="shared" si="180"/>
        <v>2013EF0</v>
      </c>
      <c r="U1083" s="429">
        <v>100</v>
      </c>
      <c r="V1083" s="1029">
        <v>2</v>
      </c>
      <c r="W1083" s="598">
        <v>0.1</v>
      </c>
      <c r="X1083" s="38"/>
      <c r="Y1083" s="37" t="str">
        <f t="shared" si="181"/>
        <v>EF0100</v>
      </c>
      <c r="Z1083" s="37" t="str">
        <f t="shared" si="182"/>
        <v>EF02</v>
      </c>
      <c r="AA1083" s="37" t="str">
        <f t="shared" si="184"/>
        <v>EF00.1</v>
      </c>
      <c r="AB1083" s="498" t="str">
        <f t="shared" si="178"/>
        <v>EF020</v>
      </c>
      <c r="AC1083" s="572"/>
      <c r="AD1083" s="572"/>
      <c r="AE1083" s="572"/>
      <c r="AF1083" s="572"/>
    </row>
    <row r="1084" spans="1:32">
      <c r="A1084" s="947">
        <f t="shared" si="185"/>
        <v>1077</v>
      </c>
      <c r="B1084" s="948">
        <v>5</v>
      </c>
      <c r="C1084" s="949">
        <v>41493</v>
      </c>
      <c r="D1084" s="949" t="s">
        <v>180</v>
      </c>
      <c r="E1084" s="904">
        <v>7</v>
      </c>
      <c r="F1084" s="644">
        <v>2013</v>
      </c>
      <c r="G1084" s="948" t="s">
        <v>128</v>
      </c>
      <c r="H1084" s="645" t="s">
        <v>190</v>
      </c>
      <c r="I1084" s="948">
        <v>25</v>
      </c>
      <c r="J1084" s="948">
        <v>0.11</v>
      </c>
      <c r="K1084" s="952">
        <f t="shared" si="183"/>
        <v>1.5624999999999999E-3</v>
      </c>
      <c r="L1084" s="644">
        <f t="shared" si="189"/>
        <v>18</v>
      </c>
      <c r="M1084" s="935">
        <v>0.77500000000000002</v>
      </c>
      <c r="N1084" s="936">
        <f t="shared" si="188"/>
        <v>0.77500000000000002</v>
      </c>
      <c r="O1084" s="725">
        <v>0.77916666666666667</v>
      </c>
      <c r="P1084" s="725">
        <f t="shared" si="179"/>
        <v>4.1666666666666519E-3</v>
      </c>
      <c r="Q1084" s="634" t="s">
        <v>1285</v>
      </c>
      <c r="R1084" s="36"/>
      <c r="S1084" s="37" t="str">
        <f t="shared" si="190"/>
        <v>BeaverEF0</v>
      </c>
      <c r="T1084" s="37" t="str">
        <f t="shared" si="180"/>
        <v>2013EF0</v>
      </c>
      <c r="U1084" s="429">
        <v>20</v>
      </c>
      <c r="V1084" s="1029">
        <v>0.1</v>
      </c>
      <c r="W1084" s="598">
        <v>2E-3</v>
      </c>
      <c r="X1084" s="38"/>
      <c r="Y1084" s="37" t="str">
        <f t="shared" si="181"/>
        <v>EF020</v>
      </c>
      <c r="Z1084" s="37" t="str">
        <f t="shared" si="182"/>
        <v>EF00.1</v>
      </c>
      <c r="AA1084" s="37" t="str">
        <f t="shared" si="184"/>
        <v>EF00.002</v>
      </c>
      <c r="AB1084" s="498" t="str">
        <f t="shared" si="178"/>
        <v>EF018</v>
      </c>
      <c r="AC1084" s="572"/>
      <c r="AD1084" s="572"/>
      <c r="AE1084" s="572"/>
      <c r="AF1084" s="572"/>
    </row>
    <row r="1085" spans="1:32">
      <c r="A1085" s="947">
        <f t="shared" si="185"/>
        <v>1078</v>
      </c>
      <c r="B1085" s="948">
        <v>6</v>
      </c>
      <c r="C1085" s="949">
        <v>41500</v>
      </c>
      <c r="D1085" s="949" t="s">
        <v>180</v>
      </c>
      <c r="E1085" s="904">
        <v>14</v>
      </c>
      <c r="F1085" s="644">
        <v>2013</v>
      </c>
      <c r="G1085" s="948" t="s">
        <v>130</v>
      </c>
      <c r="H1085" s="645" t="s">
        <v>190</v>
      </c>
      <c r="I1085" s="948">
        <v>50</v>
      </c>
      <c r="J1085" s="948">
        <v>1</v>
      </c>
      <c r="K1085" s="952">
        <f t="shared" si="183"/>
        <v>2.8409090909090908E-2</v>
      </c>
      <c r="L1085" s="644">
        <f t="shared" si="189"/>
        <v>16</v>
      </c>
      <c r="M1085" s="935">
        <v>0.69791666666666663</v>
      </c>
      <c r="N1085" s="936">
        <f t="shared" si="188"/>
        <v>0.69791666666666663</v>
      </c>
      <c r="O1085" s="725">
        <v>0.70000000000000007</v>
      </c>
      <c r="P1085" s="725">
        <f t="shared" si="179"/>
        <v>2.083333333333437E-3</v>
      </c>
      <c r="Q1085" s="634" t="s">
        <v>1286</v>
      </c>
      <c r="R1085" s="36"/>
      <c r="S1085" s="37" t="str">
        <f t="shared" si="190"/>
        <v>ShermanEF0</v>
      </c>
      <c r="T1085" s="37" t="str">
        <f t="shared" si="180"/>
        <v>2013EF0</v>
      </c>
      <c r="U1085" s="429">
        <v>50</v>
      </c>
      <c r="V1085" s="1029">
        <v>1</v>
      </c>
      <c r="W1085" s="598">
        <v>0.02</v>
      </c>
      <c r="X1085" s="38"/>
      <c r="Y1085" s="37" t="str">
        <f t="shared" si="181"/>
        <v>EF050</v>
      </c>
      <c r="Z1085" s="37" t="str">
        <f t="shared" si="182"/>
        <v>EF01</v>
      </c>
      <c r="AA1085" s="37" t="str">
        <f t="shared" si="184"/>
        <v>EF00.02</v>
      </c>
      <c r="AB1085" s="498" t="str">
        <f t="shared" si="178"/>
        <v>EF016</v>
      </c>
      <c r="AC1085" s="572"/>
      <c r="AD1085" s="572"/>
      <c r="AE1085" s="572"/>
      <c r="AF1085" s="572"/>
    </row>
    <row r="1086" spans="1:32" ht="63.75">
      <c r="A1086" s="947">
        <f t="shared" si="185"/>
        <v>1079</v>
      </c>
      <c r="B1086" s="948">
        <v>7</v>
      </c>
      <c r="C1086" s="949">
        <v>41500</v>
      </c>
      <c r="D1086" s="949" t="s">
        <v>180</v>
      </c>
      <c r="E1086" s="904">
        <v>14</v>
      </c>
      <c r="F1086" s="644">
        <v>2013</v>
      </c>
      <c r="G1086" s="948" t="s">
        <v>136</v>
      </c>
      <c r="H1086" s="645" t="s">
        <v>190</v>
      </c>
      <c r="I1086" s="948">
        <v>40</v>
      </c>
      <c r="J1086" s="948">
        <v>0.11</v>
      </c>
      <c r="K1086" s="952">
        <f t="shared" si="183"/>
        <v>2.5000000000000001E-3</v>
      </c>
      <c r="L1086" s="644">
        <f t="shared" si="189"/>
        <v>17</v>
      </c>
      <c r="M1086" s="935">
        <v>0.73611111111111116</v>
      </c>
      <c r="N1086" s="936">
        <f t="shared" si="188"/>
        <v>0.73611111111111116</v>
      </c>
      <c r="O1086" s="725">
        <v>0.7368055555555556</v>
      </c>
      <c r="P1086" s="725">
        <f t="shared" si="179"/>
        <v>6.9444444444444198E-4</v>
      </c>
      <c r="Q1086" s="634" t="s">
        <v>1287</v>
      </c>
      <c r="R1086" s="36"/>
      <c r="S1086" s="37" t="str">
        <f t="shared" si="190"/>
        <v>HutchinsonEF0</v>
      </c>
      <c r="T1086" s="37" t="str">
        <f t="shared" si="180"/>
        <v>2013EF0</v>
      </c>
      <c r="U1086" s="429">
        <v>20</v>
      </c>
      <c r="V1086" s="1029">
        <v>0.1</v>
      </c>
      <c r="W1086" s="598">
        <v>2E-3</v>
      </c>
      <c r="X1086" s="38"/>
      <c r="Y1086" s="37" t="str">
        <f t="shared" si="181"/>
        <v>EF020</v>
      </c>
      <c r="Z1086" s="37" t="str">
        <f t="shared" si="182"/>
        <v>EF00.1</v>
      </c>
      <c r="AA1086" s="37" t="str">
        <f t="shared" si="184"/>
        <v>EF00.002</v>
      </c>
      <c r="AB1086" s="498" t="str">
        <f t="shared" si="178"/>
        <v>EF017</v>
      </c>
      <c r="AC1086" s="572"/>
      <c r="AD1086" s="572"/>
      <c r="AE1086" s="572"/>
      <c r="AF1086" s="572"/>
    </row>
    <row r="1087" spans="1:32" ht="51">
      <c r="A1087" s="947">
        <f t="shared" si="185"/>
        <v>1080</v>
      </c>
      <c r="B1087" s="948">
        <v>1</v>
      </c>
      <c r="C1087" s="949">
        <v>41796</v>
      </c>
      <c r="D1087" s="949" t="s">
        <v>178</v>
      </c>
      <c r="E1087" s="904">
        <v>6</v>
      </c>
      <c r="F1087" s="644">
        <v>2014</v>
      </c>
      <c r="G1087" s="948" t="s">
        <v>134</v>
      </c>
      <c r="H1087" s="645" t="s">
        <v>190</v>
      </c>
      <c r="I1087" s="948">
        <v>25</v>
      </c>
      <c r="J1087" s="948">
        <v>2.46</v>
      </c>
      <c r="K1087" s="952">
        <f t="shared" si="183"/>
        <v>3.4943181818181818E-2</v>
      </c>
      <c r="L1087" s="644">
        <f t="shared" si="189"/>
        <v>18</v>
      </c>
      <c r="M1087" s="935">
        <v>0.76041666666666663</v>
      </c>
      <c r="N1087" s="936">
        <f t="shared" si="188"/>
        <v>0.76041666666666663</v>
      </c>
      <c r="O1087" s="725">
        <v>0.76388888888888884</v>
      </c>
      <c r="P1087" s="725">
        <f t="shared" si="179"/>
        <v>3.4722222222222099E-3</v>
      </c>
      <c r="Q1087" s="634" t="s">
        <v>1267</v>
      </c>
      <c r="R1087" s="36"/>
      <c r="S1087" s="37" t="str">
        <f t="shared" si="190"/>
        <v>HartleyEF0</v>
      </c>
      <c r="T1087" s="37" t="str">
        <f t="shared" si="180"/>
        <v>2014EF0</v>
      </c>
      <c r="U1087" s="429">
        <v>20</v>
      </c>
      <c r="V1087" s="1029">
        <v>2</v>
      </c>
      <c r="W1087" s="598">
        <v>0.02</v>
      </c>
      <c r="X1087" s="38"/>
      <c r="Y1087" s="37" t="str">
        <f t="shared" si="181"/>
        <v>EF020</v>
      </c>
      <c r="Z1087" s="37" t="str">
        <f t="shared" si="182"/>
        <v>EF02</v>
      </c>
      <c r="AA1087" s="37" t="str">
        <f t="shared" si="184"/>
        <v>EF00.02</v>
      </c>
      <c r="AB1087" s="498" t="str">
        <f t="shared" si="178"/>
        <v>EF018</v>
      </c>
      <c r="AC1087" s="572"/>
      <c r="AD1087" s="572"/>
      <c r="AE1087" s="572"/>
      <c r="AF1087" s="572"/>
    </row>
    <row r="1088" spans="1:32">
      <c r="A1088" s="947">
        <f t="shared" si="185"/>
        <v>1081</v>
      </c>
      <c r="B1088" s="948">
        <v>2</v>
      </c>
      <c r="C1088" s="949">
        <v>41796</v>
      </c>
      <c r="D1088" s="949" t="s">
        <v>178</v>
      </c>
      <c r="E1088" s="904">
        <v>6</v>
      </c>
      <c r="F1088" s="644">
        <v>2014</v>
      </c>
      <c r="G1088" s="948" t="s">
        <v>132</v>
      </c>
      <c r="H1088" s="645" t="s">
        <v>190</v>
      </c>
      <c r="I1088" s="948">
        <v>70</v>
      </c>
      <c r="J1088" s="948">
        <v>1.65</v>
      </c>
      <c r="K1088" s="952">
        <f t="shared" si="183"/>
        <v>6.5624999999999989E-2</v>
      </c>
      <c r="L1088" s="644">
        <f t="shared" si="189"/>
        <v>18</v>
      </c>
      <c r="M1088" s="935">
        <v>0.78611111111111109</v>
      </c>
      <c r="N1088" s="936">
        <f t="shared" si="188"/>
        <v>0.78611111111111109</v>
      </c>
      <c r="O1088" s="725">
        <v>0.79166666666666663</v>
      </c>
      <c r="P1088" s="725">
        <f t="shared" si="179"/>
        <v>5.5555555555555358E-3</v>
      </c>
      <c r="Q1088" s="634"/>
      <c r="R1088" s="36"/>
      <c r="S1088" s="37" t="str">
        <f t="shared" si="190"/>
        <v>OchiltreeEF0</v>
      </c>
      <c r="T1088" s="37" t="str">
        <f t="shared" si="180"/>
        <v>2014EF0</v>
      </c>
      <c r="U1088" s="429">
        <v>50</v>
      </c>
      <c r="V1088" s="1029">
        <v>1</v>
      </c>
      <c r="W1088" s="598">
        <v>0.05</v>
      </c>
      <c r="X1088" s="38"/>
      <c r="Y1088" s="37" t="str">
        <f t="shared" si="181"/>
        <v>EF050</v>
      </c>
      <c r="Z1088" s="37" t="str">
        <f t="shared" si="182"/>
        <v>EF01</v>
      </c>
      <c r="AA1088" s="37" t="str">
        <f t="shared" si="184"/>
        <v>EF00.05</v>
      </c>
      <c r="AB1088" s="498" t="str">
        <f t="shared" si="178"/>
        <v>EF018</v>
      </c>
      <c r="AC1088" s="572"/>
      <c r="AD1088" s="572"/>
      <c r="AE1088" s="572"/>
      <c r="AF1088" s="572"/>
    </row>
    <row r="1089" spans="1:32" ht="76.5">
      <c r="A1089" s="947">
        <f t="shared" si="185"/>
        <v>1082</v>
      </c>
      <c r="B1089" s="948">
        <v>3</v>
      </c>
      <c r="C1089" s="949">
        <v>41812</v>
      </c>
      <c r="D1089" s="949" t="s">
        <v>178</v>
      </c>
      <c r="E1089" s="904">
        <v>22</v>
      </c>
      <c r="F1089" s="644">
        <v>2014</v>
      </c>
      <c r="G1089" s="948" t="s">
        <v>128</v>
      </c>
      <c r="H1089" s="645" t="s">
        <v>190</v>
      </c>
      <c r="I1089" s="948">
        <v>100</v>
      </c>
      <c r="J1089" s="948">
        <v>2.0099999999999998</v>
      </c>
      <c r="K1089" s="952">
        <f t="shared" si="183"/>
        <v>0.11420454545454543</v>
      </c>
      <c r="L1089" s="644">
        <f t="shared" si="189"/>
        <v>16</v>
      </c>
      <c r="M1089" s="935">
        <v>0.6958333333333333</v>
      </c>
      <c r="N1089" s="936">
        <f t="shared" si="188"/>
        <v>0.6958333333333333</v>
      </c>
      <c r="O1089" s="725">
        <v>0.70138888888888884</v>
      </c>
      <c r="P1089" s="725">
        <f t="shared" si="179"/>
        <v>5.5555555555555358E-3</v>
      </c>
      <c r="Q1089" s="634" t="s">
        <v>1290</v>
      </c>
      <c r="R1089" s="36"/>
      <c r="S1089" s="37" t="str">
        <f t="shared" si="190"/>
        <v>BeaverEF0</v>
      </c>
      <c r="T1089" s="37" t="str">
        <f t="shared" si="180"/>
        <v>2014EF0</v>
      </c>
      <c r="U1089" s="429">
        <v>100</v>
      </c>
      <c r="V1089" s="1029">
        <v>2</v>
      </c>
      <c r="W1089" s="598">
        <v>0.1</v>
      </c>
      <c r="X1089" s="38"/>
      <c r="Y1089" s="37" t="str">
        <f t="shared" si="181"/>
        <v>EF0100</v>
      </c>
      <c r="Z1089" s="37" t="str">
        <f t="shared" si="182"/>
        <v>EF02</v>
      </c>
      <c r="AA1089" s="37" t="str">
        <f t="shared" si="184"/>
        <v>EF00.1</v>
      </c>
      <c r="AB1089" s="498" t="str">
        <f t="shared" si="178"/>
        <v>EF016</v>
      </c>
      <c r="AC1089" s="572"/>
      <c r="AD1089" s="572"/>
      <c r="AE1089" s="572"/>
      <c r="AF1089" s="572"/>
    </row>
    <row r="1090" spans="1:32">
      <c r="A1090" s="947">
        <f t="shared" si="185"/>
        <v>1083</v>
      </c>
      <c r="B1090" s="948">
        <v>4</v>
      </c>
      <c r="C1090" s="949">
        <v>41812</v>
      </c>
      <c r="D1090" s="949" t="s">
        <v>178</v>
      </c>
      <c r="E1090" s="904">
        <v>22</v>
      </c>
      <c r="F1090" s="644">
        <v>2014</v>
      </c>
      <c r="G1090" s="948" t="s">
        <v>128</v>
      </c>
      <c r="H1090" s="645" t="s">
        <v>191</v>
      </c>
      <c r="I1090" s="948">
        <v>150</v>
      </c>
      <c r="J1090" s="948">
        <v>3.77</v>
      </c>
      <c r="K1090" s="952">
        <f t="shared" si="183"/>
        <v>0.32130681818181817</v>
      </c>
      <c r="L1090" s="644">
        <f t="shared" si="189"/>
        <v>17</v>
      </c>
      <c r="M1090" s="935">
        <v>0.7104166666666667</v>
      </c>
      <c r="N1090" s="936">
        <v>0.7104166666666667</v>
      </c>
      <c r="O1090" s="725">
        <v>0.71736111111111101</v>
      </c>
      <c r="P1090" s="725">
        <f t="shared" si="179"/>
        <v>6.9444444444443088E-3</v>
      </c>
      <c r="Q1090" s="634" t="s">
        <v>1271</v>
      </c>
      <c r="R1090" s="36"/>
      <c r="S1090" s="37" t="str">
        <f t="shared" si="190"/>
        <v>BeaverEF1</v>
      </c>
      <c r="T1090" s="37" t="str">
        <f t="shared" si="180"/>
        <v>2014EF1</v>
      </c>
      <c r="U1090" s="429">
        <v>100</v>
      </c>
      <c r="V1090" s="1029">
        <v>2</v>
      </c>
      <c r="W1090" s="598">
        <v>0.2</v>
      </c>
      <c r="X1090" s="38"/>
      <c r="Y1090" s="37" t="str">
        <f t="shared" si="181"/>
        <v>EF1100</v>
      </c>
      <c r="Z1090" s="37" t="str">
        <f t="shared" si="182"/>
        <v>EF12</v>
      </c>
      <c r="AA1090" s="37" t="str">
        <f t="shared" si="184"/>
        <v>EF10.2</v>
      </c>
      <c r="AB1090" s="498" t="str">
        <f t="shared" si="178"/>
        <v>EF117</v>
      </c>
      <c r="AC1090" s="572"/>
      <c r="AD1090" s="572"/>
      <c r="AE1090" s="572"/>
      <c r="AF1090" s="572"/>
    </row>
    <row r="1091" spans="1:32" ht="15" customHeight="1">
      <c r="A1091" s="947">
        <f t="shared" si="185"/>
        <v>1084</v>
      </c>
      <c r="B1091" s="948">
        <v>5</v>
      </c>
      <c r="C1091" s="949">
        <v>41812</v>
      </c>
      <c r="D1091" s="949" t="s">
        <v>178</v>
      </c>
      <c r="E1091" s="904">
        <v>22</v>
      </c>
      <c r="F1091" s="644">
        <v>2014</v>
      </c>
      <c r="G1091" s="948" t="s">
        <v>128</v>
      </c>
      <c r="H1091" s="645" t="s">
        <v>190</v>
      </c>
      <c r="I1091" s="948">
        <v>50</v>
      </c>
      <c r="J1091" s="948">
        <v>0.44</v>
      </c>
      <c r="K1091" s="952">
        <f t="shared" si="183"/>
        <v>1.2499999999999999E-2</v>
      </c>
      <c r="L1091" s="644">
        <f t="shared" si="189"/>
        <v>17</v>
      </c>
      <c r="M1091" s="935">
        <v>0.72986111111111107</v>
      </c>
      <c r="N1091" s="936">
        <f t="shared" si="188"/>
        <v>0.72986111111111107</v>
      </c>
      <c r="O1091" s="725">
        <v>0.73055555555555562</v>
      </c>
      <c r="P1091" s="725">
        <f t="shared" si="179"/>
        <v>6.94444444444553E-4</v>
      </c>
      <c r="Q1091" s="634" t="s">
        <v>1268</v>
      </c>
      <c r="R1091" s="36"/>
      <c r="S1091" s="37" t="str">
        <f t="shared" si="190"/>
        <v>BeaverEF0</v>
      </c>
      <c r="T1091" s="37" t="str">
        <f t="shared" si="180"/>
        <v>2014EF0</v>
      </c>
      <c r="U1091" s="429">
        <v>50</v>
      </c>
      <c r="V1091" s="1029">
        <v>0.2</v>
      </c>
      <c r="W1091" s="598">
        <v>0.01</v>
      </c>
      <c r="X1091" s="38"/>
      <c r="Y1091" s="37" t="str">
        <f t="shared" si="181"/>
        <v>EF050</v>
      </c>
      <c r="Z1091" s="37" t="str">
        <f t="shared" si="182"/>
        <v>EF00.2</v>
      </c>
      <c r="AA1091" s="37" t="str">
        <f t="shared" si="184"/>
        <v>EF00.01</v>
      </c>
      <c r="AB1091" s="498" t="str">
        <f t="shared" si="178"/>
        <v>EF017</v>
      </c>
      <c r="AC1091" s="572"/>
      <c r="AD1091" s="572"/>
      <c r="AE1091" s="572"/>
      <c r="AF1091" s="572"/>
    </row>
    <row r="1092" spans="1:32">
      <c r="A1092" s="947">
        <f t="shared" si="185"/>
        <v>1085</v>
      </c>
      <c r="B1092" s="948">
        <v>6</v>
      </c>
      <c r="C1092" s="949">
        <v>41812</v>
      </c>
      <c r="D1092" s="949" t="s">
        <v>178</v>
      </c>
      <c r="E1092" s="904">
        <v>22</v>
      </c>
      <c r="F1092" s="644">
        <v>2014</v>
      </c>
      <c r="G1092" s="948" t="s">
        <v>133</v>
      </c>
      <c r="H1092" s="645" t="s">
        <v>190</v>
      </c>
      <c r="I1092" s="948">
        <v>50</v>
      </c>
      <c r="J1092" s="948">
        <v>2</v>
      </c>
      <c r="K1092" s="952">
        <f t="shared" si="183"/>
        <v>5.6818181818181816E-2</v>
      </c>
      <c r="L1092" s="644">
        <f t="shared" si="189"/>
        <v>17</v>
      </c>
      <c r="M1092" s="935">
        <v>0.74791666666666667</v>
      </c>
      <c r="N1092" s="936">
        <f t="shared" si="188"/>
        <v>0.74791666666666667</v>
      </c>
      <c r="O1092" s="725">
        <v>0.75208333333333333</v>
      </c>
      <c r="P1092" s="725">
        <f t="shared" si="179"/>
        <v>4.1666666666666519E-3</v>
      </c>
      <c r="Q1092" s="634" t="s">
        <v>1269</v>
      </c>
      <c r="R1092" s="36"/>
      <c r="S1092" s="37" t="str">
        <f t="shared" si="190"/>
        <v>LipscombEF0</v>
      </c>
      <c r="T1092" s="37" t="str">
        <f t="shared" si="180"/>
        <v>2014EF0</v>
      </c>
      <c r="U1092" s="429">
        <v>50</v>
      </c>
      <c r="V1092" s="1029">
        <v>2</v>
      </c>
      <c r="W1092" s="598">
        <v>0.05</v>
      </c>
      <c r="X1092" s="38"/>
      <c r="Y1092" s="37" t="str">
        <f t="shared" si="181"/>
        <v>EF050</v>
      </c>
      <c r="Z1092" s="37" t="str">
        <f t="shared" si="182"/>
        <v>EF02</v>
      </c>
      <c r="AA1092" s="37" t="str">
        <f t="shared" si="184"/>
        <v>EF00.05</v>
      </c>
      <c r="AB1092" s="498" t="str">
        <f t="shared" si="178"/>
        <v>EF017</v>
      </c>
      <c r="AC1092" s="572"/>
      <c r="AD1092" s="572"/>
      <c r="AE1092" s="572"/>
      <c r="AF1092" s="572"/>
    </row>
    <row r="1093" spans="1:32">
      <c r="A1093" s="947">
        <f t="shared" si="185"/>
        <v>1086</v>
      </c>
      <c r="B1093" s="948">
        <v>7</v>
      </c>
      <c r="C1093" s="949">
        <v>41812</v>
      </c>
      <c r="D1093" s="949" t="s">
        <v>178</v>
      </c>
      <c r="E1093" s="904">
        <v>22</v>
      </c>
      <c r="F1093" s="644">
        <v>2014</v>
      </c>
      <c r="G1093" s="948" t="s">
        <v>133</v>
      </c>
      <c r="H1093" s="645" t="s">
        <v>190</v>
      </c>
      <c r="I1093" s="948">
        <v>75</v>
      </c>
      <c r="J1093" s="948">
        <v>1</v>
      </c>
      <c r="K1093" s="952">
        <f t="shared" si="183"/>
        <v>4.261363636363636E-2</v>
      </c>
      <c r="L1093" s="644">
        <f t="shared" si="189"/>
        <v>18</v>
      </c>
      <c r="M1093" s="935">
        <v>0.76527777777777783</v>
      </c>
      <c r="N1093" s="936">
        <f t="shared" si="188"/>
        <v>0.76527777777777783</v>
      </c>
      <c r="O1093" s="725">
        <v>0.76597222222222217</v>
      </c>
      <c r="P1093" s="725">
        <f t="shared" si="179"/>
        <v>6.9444444444433095E-4</v>
      </c>
      <c r="Q1093" s="634" t="s">
        <v>1270</v>
      </c>
      <c r="R1093" s="36"/>
      <c r="S1093" s="37" t="str">
        <f t="shared" si="190"/>
        <v>LipscombEF0</v>
      </c>
      <c r="T1093" s="37" t="str">
        <f t="shared" si="180"/>
        <v>2014EF0</v>
      </c>
      <c r="U1093" s="429">
        <v>50</v>
      </c>
      <c r="V1093" s="1029">
        <v>1</v>
      </c>
      <c r="W1093" s="598">
        <v>0.02</v>
      </c>
      <c r="X1093" s="38"/>
      <c r="Y1093" s="37" t="str">
        <f t="shared" si="181"/>
        <v>EF050</v>
      </c>
      <c r="Z1093" s="37" t="str">
        <f t="shared" si="182"/>
        <v>EF01</v>
      </c>
      <c r="AA1093" s="37" t="str">
        <f t="shared" si="184"/>
        <v>EF00.02</v>
      </c>
      <c r="AB1093" s="498" t="str">
        <f t="shared" si="178"/>
        <v>EF018</v>
      </c>
      <c r="AC1093" s="572"/>
      <c r="AD1093" s="572"/>
      <c r="AE1093" s="572"/>
      <c r="AF1093" s="572"/>
    </row>
    <row r="1094" spans="1:32" ht="63.75">
      <c r="A1094" s="947">
        <f t="shared" si="185"/>
        <v>1087</v>
      </c>
      <c r="B1094" s="948">
        <v>8</v>
      </c>
      <c r="C1094" s="949">
        <v>41812</v>
      </c>
      <c r="D1094" s="949" t="s">
        <v>178</v>
      </c>
      <c r="E1094" s="904">
        <v>22</v>
      </c>
      <c r="F1094" s="644">
        <v>2014</v>
      </c>
      <c r="G1094" s="948" t="s">
        <v>138</v>
      </c>
      <c r="H1094" s="645" t="s">
        <v>191</v>
      </c>
      <c r="I1094" s="948">
        <v>100</v>
      </c>
      <c r="J1094" s="948">
        <v>0.86</v>
      </c>
      <c r="K1094" s="952">
        <f t="shared" si="183"/>
        <v>4.8863636363636359E-2</v>
      </c>
      <c r="L1094" s="644">
        <f t="shared" si="189"/>
        <v>20</v>
      </c>
      <c r="M1094" s="935">
        <v>0.86805555555555547</v>
      </c>
      <c r="N1094" s="936">
        <f t="shared" si="188"/>
        <v>0.86805555555555547</v>
      </c>
      <c r="O1094" s="725">
        <v>0.86944444444444446</v>
      </c>
      <c r="P1094" s="725">
        <f t="shared" si="179"/>
        <v>1.388888888888995E-3</v>
      </c>
      <c r="Q1094" s="991" t="s">
        <v>1359</v>
      </c>
      <c r="R1094" s="36"/>
      <c r="S1094" s="37" t="str">
        <f t="shared" si="190"/>
        <v>HemphillEF1</v>
      </c>
      <c r="T1094" s="37" t="str">
        <f t="shared" si="180"/>
        <v>2014EF1</v>
      </c>
      <c r="U1094" s="429">
        <v>100</v>
      </c>
      <c r="V1094" s="1029">
        <v>0.5</v>
      </c>
      <c r="W1094" s="598">
        <v>0.02</v>
      </c>
      <c r="X1094" s="38"/>
      <c r="Y1094" s="37" t="str">
        <f t="shared" si="181"/>
        <v>EF1100</v>
      </c>
      <c r="Z1094" s="37" t="str">
        <f t="shared" si="182"/>
        <v>EF10.5</v>
      </c>
      <c r="AA1094" s="37" t="str">
        <f t="shared" si="184"/>
        <v>EF10.02</v>
      </c>
      <c r="AB1094" s="498" t="str">
        <f t="shared" ref="AB1094:AB1113" si="191">CONCATENATE(H1094,L1094)</f>
        <v>EF120</v>
      </c>
      <c r="AC1094" s="572"/>
      <c r="AD1094" s="572"/>
      <c r="AE1094" s="572"/>
      <c r="AF1094" s="572"/>
    </row>
    <row r="1095" spans="1:32" ht="25.5">
      <c r="A1095" s="947">
        <f t="shared" si="185"/>
        <v>1088</v>
      </c>
      <c r="B1095" s="948">
        <v>9</v>
      </c>
      <c r="C1095" s="949">
        <v>41812</v>
      </c>
      <c r="D1095" s="949" t="s">
        <v>178</v>
      </c>
      <c r="E1095" s="904">
        <v>22</v>
      </c>
      <c r="F1095" s="644">
        <v>2014</v>
      </c>
      <c r="G1095" s="948" t="s">
        <v>137</v>
      </c>
      <c r="H1095" s="645" t="s">
        <v>191</v>
      </c>
      <c r="I1095" s="948">
        <v>100</v>
      </c>
      <c r="J1095" s="948">
        <v>1</v>
      </c>
      <c r="K1095" s="952">
        <f t="shared" si="183"/>
        <v>5.6818181818181816E-2</v>
      </c>
      <c r="L1095" s="644">
        <f t="shared" si="189"/>
        <v>20</v>
      </c>
      <c r="M1095" s="935">
        <v>0.86944444444444446</v>
      </c>
      <c r="N1095" s="936">
        <f t="shared" si="188"/>
        <v>0.86944444444444446</v>
      </c>
      <c r="O1095" s="725">
        <v>0.87152777777777779</v>
      </c>
      <c r="P1095" s="725">
        <f t="shared" ref="P1095:P1113" si="192">+O1095-N1095</f>
        <v>2.0833333333333259E-3</v>
      </c>
      <c r="Q1095" s="634" t="s">
        <v>1291</v>
      </c>
      <c r="R1095" s="36"/>
      <c r="S1095" s="37" t="str">
        <f t="shared" si="190"/>
        <v>RobertsEF1</v>
      </c>
      <c r="T1095" s="37" t="str">
        <f t="shared" ref="T1095:T1113" si="193">CONCATENATE(F1095,H1095)</f>
        <v>2014EF1</v>
      </c>
      <c r="U1095" s="429">
        <v>100</v>
      </c>
      <c r="V1095" s="1029">
        <v>1</v>
      </c>
      <c r="W1095" s="598">
        <v>0.05</v>
      </c>
      <c r="X1095" s="38"/>
      <c r="Y1095" s="37" t="str">
        <f t="shared" ref="Y1095:Y1113" si="194">CONCATENATE(H1095,U1095)</f>
        <v>EF1100</v>
      </c>
      <c r="Z1095" s="37" t="str">
        <f t="shared" ref="Z1095:Z1113" si="195">CONCATENATE(H1095,V1095)</f>
        <v>EF11</v>
      </c>
      <c r="AA1095" s="37" t="str">
        <f t="shared" si="184"/>
        <v>EF10.05</v>
      </c>
      <c r="AB1095" s="498" t="str">
        <f t="shared" si="191"/>
        <v>EF120</v>
      </c>
      <c r="AC1095" s="572"/>
      <c r="AD1095" s="572"/>
      <c r="AE1095" s="572"/>
      <c r="AF1095" s="572"/>
    </row>
    <row r="1096" spans="1:32" ht="76.5">
      <c r="A1096" s="947">
        <f t="shared" si="185"/>
        <v>1089</v>
      </c>
      <c r="B1096" s="948">
        <v>10</v>
      </c>
      <c r="C1096" s="949">
        <v>41836</v>
      </c>
      <c r="D1096" s="949" t="s">
        <v>179</v>
      </c>
      <c r="E1096" s="904">
        <v>16</v>
      </c>
      <c r="F1096" s="644">
        <v>2014</v>
      </c>
      <c r="G1096" s="948" t="s">
        <v>130</v>
      </c>
      <c r="H1096" s="645" t="s">
        <v>190</v>
      </c>
      <c r="I1096" s="948">
        <v>50</v>
      </c>
      <c r="J1096" s="948">
        <v>0.01</v>
      </c>
      <c r="K1096" s="952">
        <f t="shared" ref="K1096:K1113" si="196">+(I1096/1760)*J1096</f>
        <v>2.8409090909090908E-4</v>
      </c>
      <c r="L1096" s="644">
        <f t="shared" si="189"/>
        <v>18</v>
      </c>
      <c r="M1096" s="935">
        <v>0.75555555555555554</v>
      </c>
      <c r="N1096" s="936">
        <f t="shared" si="188"/>
        <v>0.75555555555555554</v>
      </c>
      <c r="O1096" s="725">
        <v>0.75624999999999998</v>
      </c>
      <c r="P1096" s="725">
        <f t="shared" si="192"/>
        <v>6.9444444444444198E-4</v>
      </c>
      <c r="Q1096" s="634" t="s">
        <v>1292</v>
      </c>
      <c r="R1096" s="36"/>
      <c r="S1096" s="37" t="str">
        <f t="shared" si="190"/>
        <v>ShermanEF0</v>
      </c>
      <c r="T1096" s="37" t="str">
        <f t="shared" si="193"/>
        <v>2014EF0</v>
      </c>
      <c r="U1096" s="429">
        <v>50</v>
      </c>
      <c r="V1096" s="1029">
        <v>0</v>
      </c>
      <c r="W1096" s="598">
        <v>2.0000000000000001E-4</v>
      </c>
      <c r="X1096" s="38"/>
      <c r="Y1096" s="37" t="str">
        <f t="shared" si="194"/>
        <v>EF050</v>
      </c>
      <c r="Z1096" s="37" t="str">
        <f t="shared" si="195"/>
        <v>EF00</v>
      </c>
      <c r="AA1096" s="37" t="str">
        <f t="shared" ref="AA1096:AA1113" si="197">CONCATENATE(H1096,W1096)</f>
        <v>EF00.0002</v>
      </c>
      <c r="AB1096" s="498" t="str">
        <f t="shared" si="191"/>
        <v>EF018</v>
      </c>
      <c r="AC1096" s="572"/>
      <c r="AD1096" s="572"/>
      <c r="AE1096" s="572"/>
      <c r="AF1096" s="572"/>
    </row>
    <row r="1097" spans="1:32">
      <c r="A1097" s="947">
        <f t="shared" si="185"/>
        <v>1090</v>
      </c>
      <c r="B1097" s="948">
        <v>11</v>
      </c>
      <c r="C1097" s="949">
        <v>41836</v>
      </c>
      <c r="D1097" s="949" t="s">
        <v>179</v>
      </c>
      <c r="E1097" s="904">
        <v>16</v>
      </c>
      <c r="F1097" s="644">
        <v>2014</v>
      </c>
      <c r="G1097" s="948" t="s">
        <v>130</v>
      </c>
      <c r="H1097" s="645" t="s">
        <v>190</v>
      </c>
      <c r="I1097" s="948">
        <v>100</v>
      </c>
      <c r="J1097" s="948">
        <v>1.34</v>
      </c>
      <c r="K1097" s="952">
        <f t="shared" si="196"/>
        <v>7.6136363636363641E-2</v>
      </c>
      <c r="L1097" s="644">
        <f t="shared" si="189"/>
        <v>18</v>
      </c>
      <c r="M1097" s="935">
        <v>0.7680555555555556</v>
      </c>
      <c r="N1097" s="936">
        <f t="shared" si="188"/>
        <v>0.7680555555555556</v>
      </c>
      <c r="O1097" s="725">
        <v>0.7729166666666667</v>
      </c>
      <c r="P1097" s="725">
        <f t="shared" si="192"/>
        <v>4.8611111111110938E-3</v>
      </c>
      <c r="Q1097" s="634" t="s">
        <v>1283</v>
      </c>
      <c r="R1097" s="36"/>
      <c r="S1097" s="37" t="str">
        <f t="shared" si="190"/>
        <v>ShermanEF0</v>
      </c>
      <c r="T1097" s="37" t="str">
        <f t="shared" si="193"/>
        <v>2014EF0</v>
      </c>
      <c r="U1097" s="429">
        <v>100</v>
      </c>
      <c r="V1097" s="1029">
        <v>1</v>
      </c>
      <c r="W1097" s="598">
        <v>0.05</v>
      </c>
      <c r="X1097" s="38"/>
      <c r="Y1097" s="37" t="str">
        <f t="shared" si="194"/>
        <v>EF0100</v>
      </c>
      <c r="Z1097" s="37" t="str">
        <f t="shared" si="195"/>
        <v>EF01</v>
      </c>
      <c r="AA1097" s="37" t="str">
        <f t="shared" si="197"/>
        <v>EF00.05</v>
      </c>
      <c r="AB1097" s="498" t="str">
        <f t="shared" si="191"/>
        <v>EF018</v>
      </c>
      <c r="AC1097" s="572"/>
      <c r="AD1097" s="572"/>
      <c r="AE1097" s="572"/>
      <c r="AF1097" s="572"/>
    </row>
    <row r="1098" spans="1:32">
      <c r="A1098" s="947">
        <f t="shared" ref="A1098:A1161" si="198">+A1097+1</f>
        <v>1091</v>
      </c>
      <c r="B1098" s="948">
        <v>12</v>
      </c>
      <c r="C1098" s="949">
        <v>41836</v>
      </c>
      <c r="D1098" s="949" t="s">
        <v>179</v>
      </c>
      <c r="E1098" s="904">
        <v>16</v>
      </c>
      <c r="F1098" s="644">
        <v>2014</v>
      </c>
      <c r="G1098" s="948" t="s">
        <v>135</v>
      </c>
      <c r="H1098" s="645" t="s">
        <v>190</v>
      </c>
      <c r="I1098" s="948">
        <v>100</v>
      </c>
      <c r="J1098" s="948">
        <v>3.07</v>
      </c>
      <c r="K1098" s="952">
        <f t="shared" si="196"/>
        <v>0.17443181818181816</v>
      </c>
      <c r="L1098" s="644">
        <f t="shared" si="189"/>
        <v>19</v>
      </c>
      <c r="M1098" s="935">
        <v>0.80763888888888891</v>
      </c>
      <c r="N1098" s="936">
        <f t="shared" si="188"/>
        <v>0.80763888888888891</v>
      </c>
      <c r="O1098" s="725">
        <v>0.8125</v>
      </c>
      <c r="P1098" s="725">
        <f t="shared" si="192"/>
        <v>4.8611111111110938E-3</v>
      </c>
      <c r="Q1098" s="634" t="s">
        <v>1284</v>
      </c>
      <c r="R1098" s="36"/>
      <c r="S1098" s="37" t="str">
        <f t="shared" si="190"/>
        <v>MooreEF0</v>
      </c>
      <c r="T1098" s="37" t="str">
        <f t="shared" si="193"/>
        <v>2014EF0</v>
      </c>
      <c r="U1098" s="429">
        <v>100</v>
      </c>
      <c r="V1098" s="1029">
        <v>2</v>
      </c>
      <c r="W1098" s="598">
        <v>0.1</v>
      </c>
      <c r="X1098" s="38"/>
      <c r="Y1098" s="37" t="str">
        <f t="shared" si="194"/>
        <v>EF0100</v>
      </c>
      <c r="Z1098" s="37" t="str">
        <f t="shared" si="195"/>
        <v>EF02</v>
      </c>
      <c r="AA1098" s="37" t="str">
        <f t="shared" si="197"/>
        <v>EF00.1</v>
      </c>
      <c r="AB1098" s="498" t="str">
        <f t="shared" si="191"/>
        <v>EF019</v>
      </c>
      <c r="AC1098" s="572"/>
      <c r="AD1098" s="572"/>
      <c r="AE1098" s="572"/>
      <c r="AF1098" s="572"/>
    </row>
    <row r="1099" spans="1:32" ht="89.25">
      <c r="A1099" s="947">
        <f t="shared" si="198"/>
        <v>1092</v>
      </c>
      <c r="B1099" s="948">
        <v>13</v>
      </c>
      <c r="C1099" s="949">
        <v>41921</v>
      </c>
      <c r="D1099" s="949" t="s">
        <v>182</v>
      </c>
      <c r="E1099" s="904">
        <v>9</v>
      </c>
      <c r="F1099" s="644">
        <v>2014</v>
      </c>
      <c r="G1099" s="948" t="s">
        <v>142</v>
      </c>
      <c r="H1099" s="645" t="s">
        <v>191</v>
      </c>
      <c r="I1099" s="948">
        <v>125</v>
      </c>
      <c r="J1099" s="948">
        <v>7.03</v>
      </c>
      <c r="K1099" s="952">
        <f t="shared" si="196"/>
        <v>0.49928977272727276</v>
      </c>
      <c r="L1099" s="644">
        <f t="shared" si="189"/>
        <v>20</v>
      </c>
      <c r="M1099" s="935">
        <v>0.84027777777777779</v>
      </c>
      <c r="N1099" s="936">
        <f t="shared" si="188"/>
        <v>0.84027777777777779</v>
      </c>
      <c r="O1099" s="725">
        <v>0.84861111111111109</v>
      </c>
      <c r="P1099" s="725">
        <f t="shared" si="192"/>
        <v>8.3333333333333037E-3</v>
      </c>
      <c r="Q1099" s="634" t="s">
        <v>1293</v>
      </c>
      <c r="R1099" s="36"/>
      <c r="S1099" s="37" t="str">
        <f t="shared" ref="S1099:S1113" si="199">CONCATENATE(G1099,H1099)</f>
        <v>GrayEF1</v>
      </c>
      <c r="T1099" s="37" t="str">
        <f t="shared" si="193"/>
        <v>2014EF1</v>
      </c>
      <c r="U1099" s="429">
        <v>100</v>
      </c>
      <c r="V1099" s="1029">
        <v>5</v>
      </c>
      <c r="W1099" s="598">
        <v>0.2</v>
      </c>
      <c r="X1099" s="38"/>
      <c r="Y1099" s="37" t="str">
        <f t="shared" si="194"/>
        <v>EF1100</v>
      </c>
      <c r="Z1099" s="37" t="str">
        <f t="shared" si="195"/>
        <v>EF15</v>
      </c>
      <c r="AA1099" s="37" t="str">
        <f t="shared" si="197"/>
        <v>EF10.2</v>
      </c>
      <c r="AB1099" s="498" t="str">
        <f t="shared" si="191"/>
        <v>EF120</v>
      </c>
      <c r="AC1099" s="572"/>
      <c r="AD1099" s="572"/>
      <c r="AE1099" s="572"/>
      <c r="AF1099" s="572"/>
    </row>
    <row r="1100" spans="1:32" s="994" customFormat="1">
      <c r="A1100" s="947">
        <f t="shared" si="198"/>
        <v>1093</v>
      </c>
      <c r="B1100" s="948">
        <v>1</v>
      </c>
      <c r="C1100" s="949">
        <v>42105</v>
      </c>
      <c r="D1100" s="1013" t="s">
        <v>176</v>
      </c>
      <c r="E1100" s="904">
        <v>11</v>
      </c>
      <c r="F1100" s="644">
        <v>2015</v>
      </c>
      <c r="G1100" s="964" t="s">
        <v>140</v>
      </c>
      <c r="H1100" s="965" t="s">
        <v>190</v>
      </c>
      <c r="I1100" s="948">
        <v>30</v>
      </c>
      <c r="J1100" s="948">
        <v>2.84</v>
      </c>
      <c r="K1100" s="952">
        <f t="shared" si="196"/>
        <v>4.8409090909090902E-2</v>
      </c>
      <c r="L1100" s="644">
        <f t="shared" si="189"/>
        <v>17</v>
      </c>
      <c r="M1100" s="935">
        <v>0.73333333333333339</v>
      </c>
      <c r="N1100" s="936">
        <f t="shared" si="188"/>
        <v>0.73333333333333339</v>
      </c>
      <c r="O1100" s="725">
        <v>0.73749999999999993</v>
      </c>
      <c r="P1100" s="725">
        <f t="shared" si="192"/>
        <v>4.1666666666665408E-3</v>
      </c>
      <c r="Q1100" s="634" t="s">
        <v>1326</v>
      </c>
      <c r="R1100" s="324"/>
      <c r="S1100" s="38" t="str">
        <f t="shared" si="199"/>
        <v>PotterEF0</v>
      </c>
      <c r="T1100" s="38" t="str">
        <f t="shared" si="193"/>
        <v>2015EF0</v>
      </c>
      <c r="U1100" s="429">
        <v>20</v>
      </c>
      <c r="V1100" s="1029">
        <v>2</v>
      </c>
      <c r="W1100" s="598">
        <v>0.02</v>
      </c>
      <c r="X1100" s="38"/>
      <c r="Y1100" s="37" t="str">
        <f t="shared" si="194"/>
        <v>EF020</v>
      </c>
      <c r="Z1100" s="37" t="str">
        <f t="shared" si="195"/>
        <v>EF02</v>
      </c>
      <c r="AA1100" s="37" t="str">
        <f t="shared" si="197"/>
        <v>EF00.02</v>
      </c>
      <c r="AB1100" s="498" t="str">
        <f t="shared" si="191"/>
        <v>EF017</v>
      </c>
      <c r="AC1100" s="993"/>
      <c r="AD1100" s="993"/>
      <c r="AE1100" s="993"/>
      <c r="AF1100" s="993"/>
    </row>
    <row r="1101" spans="1:32" s="994" customFormat="1" ht="51">
      <c r="A1101" s="947">
        <f t="shared" si="198"/>
        <v>1094</v>
      </c>
      <c r="B1101" s="948">
        <v>2</v>
      </c>
      <c r="C1101" s="949">
        <v>42110</v>
      </c>
      <c r="D1101" s="1013" t="s">
        <v>176</v>
      </c>
      <c r="E1101" s="904">
        <v>16</v>
      </c>
      <c r="F1101" s="644">
        <v>2015</v>
      </c>
      <c r="G1101" s="948" t="s">
        <v>141</v>
      </c>
      <c r="H1101" s="645" t="s">
        <v>190</v>
      </c>
      <c r="I1101" s="948">
        <v>50</v>
      </c>
      <c r="J1101" s="948">
        <v>2.25</v>
      </c>
      <c r="K1101" s="952">
        <f t="shared" si="196"/>
        <v>6.3920454545454544E-2</v>
      </c>
      <c r="L1101" s="644">
        <f t="shared" si="189"/>
        <v>14</v>
      </c>
      <c r="M1101" s="935">
        <v>0.62361111111111112</v>
      </c>
      <c r="N1101" s="936">
        <f t="shared" si="188"/>
        <v>0.62361111111111112</v>
      </c>
      <c r="O1101" s="725">
        <v>0.62708333333333333</v>
      </c>
      <c r="P1101" s="725">
        <f t="shared" si="192"/>
        <v>3.4722222222222099E-3</v>
      </c>
      <c r="Q1101" s="634" t="s">
        <v>1360</v>
      </c>
      <c r="R1101" s="324"/>
      <c r="S1101" s="38" t="str">
        <f t="shared" si="199"/>
        <v>CarsonEF0</v>
      </c>
      <c r="T1101" s="38" t="str">
        <f t="shared" si="193"/>
        <v>2015EF0</v>
      </c>
      <c r="U1101" s="429">
        <v>50</v>
      </c>
      <c r="V1101" s="1029">
        <v>2</v>
      </c>
      <c r="W1101" s="598">
        <v>0.05</v>
      </c>
      <c r="X1101" s="38"/>
      <c r="Y1101" s="37" t="str">
        <f t="shared" si="194"/>
        <v>EF050</v>
      </c>
      <c r="Z1101" s="37" t="str">
        <f t="shared" si="195"/>
        <v>EF02</v>
      </c>
      <c r="AA1101" s="37" t="str">
        <f t="shared" si="197"/>
        <v>EF00.05</v>
      </c>
      <c r="AB1101" s="498" t="str">
        <f t="shared" si="191"/>
        <v>EF014</v>
      </c>
      <c r="AC1101" s="993"/>
      <c r="AD1101" s="993"/>
      <c r="AE1101" s="993"/>
      <c r="AF1101" s="993"/>
    </row>
    <row r="1102" spans="1:32" s="994" customFormat="1">
      <c r="A1102" s="947">
        <f t="shared" si="198"/>
        <v>1095</v>
      </c>
      <c r="B1102" s="948">
        <v>3</v>
      </c>
      <c r="C1102" s="949">
        <v>42110</v>
      </c>
      <c r="D1102" s="1013" t="s">
        <v>176</v>
      </c>
      <c r="E1102" s="904">
        <v>16</v>
      </c>
      <c r="F1102" s="644">
        <v>2015</v>
      </c>
      <c r="G1102" s="948" t="s">
        <v>142</v>
      </c>
      <c r="H1102" s="645" t="s">
        <v>190</v>
      </c>
      <c r="I1102" s="948">
        <v>30</v>
      </c>
      <c r="J1102" s="948">
        <v>2.34</v>
      </c>
      <c r="K1102" s="952">
        <f t="shared" si="196"/>
        <v>3.988636363636363E-2</v>
      </c>
      <c r="L1102" s="644">
        <f t="shared" si="189"/>
        <v>15</v>
      </c>
      <c r="M1102" s="935">
        <v>0.66527777777777775</v>
      </c>
      <c r="N1102" s="936">
        <f t="shared" si="188"/>
        <v>0.66527777777777775</v>
      </c>
      <c r="O1102" s="725">
        <v>0.6694444444444444</v>
      </c>
      <c r="P1102" s="725">
        <f t="shared" si="192"/>
        <v>4.1666666666666519E-3</v>
      </c>
      <c r="Q1102" s="634" t="s">
        <v>1327</v>
      </c>
      <c r="R1102" s="324"/>
      <c r="S1102" s="38" t="str">
        <f t="shared" si="199"/>
        <v>GrayEF0</v>
      </c>
      <c r="T1102" s="38" t="str">
        <f t="shared" si="193"/>
        <v>2015EF0</v>
      </c>
      <c r="U1102" s="429">
        <v>20</v>
      </c>
      <c r="V1102" s="1029">
        <v>2</v>
      </c>
      <c r="W1102" s="598">
        <v>0.02</v>
      </c>
      <c r="X1102" s="38"/>
      <c r="Y1102" s="37" t="str">
        <f t="shared" si="194"/>
        <v>EF020</v>
      </c>
      <c r="Z1102" s="37" t="str">
        <f t="shared" si="195"/>
        <v>EF02</v>
      </c>
      <c r="AA1102" s="37" t="str">
        <f t="shared" si="197"/>
        <v>EF00.02</v>
      </c>
      <c r="AB1102" s="498" t="str">
        <f t="shared" si="191"/>
        <v>EF015</v>
      </c>
      <c r="AC1102" s="993"/>
      <c r="AD1102" s="993"/>
      <c r="AE1102" s="993"/>
      <c r="AF1102" s="993"/>
    </row>
    <row r="1103" spans="1:32" s="994" customFormat="1">
      <c r="A1103" s="947">
        <f t="shared" si="198"/>
        <v>1096</v>
      </c>
      <c r="B1103" s="948">
        <v>4</v>
      </c>
      <c r="C1103" s="949">
        <v>42110</v>
      </c>
      <c r="D1103" s="1013" t="s">
        <v>176</v>
      </c>
      <c r="E1103" s="904">
        <v>16</v>
      </c>
      <c r="F1103" s="644">
        <v>2015</v>
      </c>
      <c r="G1103" s="948" t="s">
        <v>138</v>
      </c>
      <c r="H1103" s="645" t="s">
        <v>190</v>
      </c>
      <c r="I1103" s="948">
        <v>75</v>
      </c>
      <c r="J1103" s="948">
        <v>7.17</v>
      </c>
      <c r="K1103" s="952">
        <f t="shared" si="196"/>
        <v>0.30553977272727273</v>
      </c>
      <c r="L1103" s="644">
        <f t="shared" si="189"/>
        <v>16</v>
      </c>
      <c r="M1103" s="935">
        <v>0.68055555555555547</v>
      </c>
      <c r="N1103" s="936">
        <f t="shared" si="188"/>
        <v>0.68055555555555547</v>
      </c>
      <c r="O1103" s="725">
        <v>0.70208333333333339</v>
      </c>
      <c r="P1103" s="725">
        <f t="shared" si="192"/>
        <v>2.1527777777777923E-2</v>
      </c>
      <c r="Q1103" s="634" t="s">
        <v>1328</v>
      </c>
      <c r="R1103" s="324"/>
      <c r="S1103" s="38" t="str">
        <f t="shared" si="199"/>
        <v>HemphillEF0</v>
      </c>
      <c r="T1103" s="38" t="str">
        <f t="shared" si="193"/>
        <v>2015EF0</v>
      </c>
      <c r="U1103" s="429">
        <v>50</v>
      </c>
      <c r="V1103" s="1029">
        <v>5</v>
      </c>
      <c r="W1103" s="598">
        <v>0.2</v>
      </c>
      <c r="X1103" s="38"/>
      <c r="Y1103" s="37" t="str">
        <f t="shared" si="194"/>
        <v>EF050</v>
      </c>
      <c r="Z1103" s="37" t="str">
        <f t="shared" si="195"/>
        <v>EF05</v>
      </c>
      <c r="AA1103" s="37" t="str">
        <f t="shared" si="197"/>
        <v>EF00.2</v>
      </c>
      <c r="AB1103" s="498" t="str">
        <f t="shared" si="191"/>
        <v>EF016</v>
      </c>
      <c r="AC1103" s="993"/>
      <c r="AD1103" s="993"/>
      <c r="AE1103" s="993"/>
      <c r="AF1103" s="993"/>
    </row>
    <row r="1104" spans="1:32" s="994" customFormat="1">
      <c r="A1104" s="947">
        <f t="shared" si="198"/>
        <v>1097</v>
      </c>
      <c r="B1104" s="948">
        <v>5</v>
      </c>
      <c r="C1104" s="949">
        <v>42110</v>
      </c>
      <c r="D1104" s="1013" t="s">
        <v>176</v>
      </c>
      <c r="E1104" s="904">
        <v>16</v>
      </c>
      <c r="F1104" s="644">
        <v>2015</v>
      </c>
      <c r="G1104" s="948" t="s">
        <v>137</v>
      </c>
      <c r="H1104" s="645" t="s">
        <v>190</v>
      </c>
      <c r="I1104" s="948">
        <v>50</v>
      </c>
      <c r="J1104" s="948">
        <v>4.38</v>
      </c>
      <c r="K1104" s="952">
        <f t="shared" si="196"/>
        <v>0.12443181818181817</v>
      </c>
      <c r="L1104" s="644">
        <f t="shared" si="189"/>
        <v>16</v>
      </c>
      <c r="M1104" s="935">
        <v>0.69097222222222221</v>
      </c>
      <c r="N1104" s="936">
        <f t="shared" si="188"/>
        <v>0.69097222222222221</v>
      </c>
      <c r="O1104" s="725">
        <v>0.6972222222222223</v>
      </c>
      <c r="P1104" s="725">
        <f t="shared" si="192"/>
        <v>6.2500000000000888E-3</v>
      </c>
      <c r="Q1104" s="634" t="s">
        <v>1329</v>
      </c>
      <c r="R1104" s="324"/>
      <c r="S1104" s="38" t="str">
        <f t="shared" si="199"/>
        <v>RobertsEF0</v>
      </c>
      <c r="T1104" s="38" t="str">
        <f t="shared" si="193"/>
        <v>2015EF0</v>
      </c>
      <c r="U1104" s="429">
        <v>50</v>
      </c>
      <c r="V1104" s="1029">
        <v>2</v>
      </c>
      <c r="W1104" s="598">
        <v>0.1</v>
      </c>
      <c r="X1104" s="38"/>
      <c r="Y1104" s="37" t="str">
        <f t="shared" si="194"/>
        <v>EF050</v>
      </c>
      <c r="Z1104" s="37" t="str">
        <f t="shared" si="195"/>
        <v>EF02</v>
      </c>
      <c r="AA1104" s="37" t="str">
        <f t="shared" si="197"/>
        <v>EF00.1</v>
      </c>
      <c r="AB1104" s="498" t="str">
        <f t="shared" si="191"/>
        <v>EF016</v>
      </c>
      <c r="AC1104" s="993"/>
      <c r="AD1104" s="993"/>
      <c r="AE1104" s="993"/>
      <c r="AF1104" s="993"/>
    </row>
    <row r="1105" spans="1:32" s="994" customFormat="1" ht="51">
      <c r="A1105" s="947">
        <f t="shared" si="198"/>
        <v>1098</v>
      </c>
      <c r="B1105" s="948">
        <v>6</v>
      </c>
      <c r="C1105" s="949">
        <v>42110</v>
      </c>
      <c r="D1105" s="1013" t="s">
        <v>176</v>
      </c>
      <c r="E1105" s="904">
        <v>16</v>
      </c>
      <c r="F1105" s="644">
        <v>2015</v>
      </c>
      <c r="G1105" s="948" t="s">
        <v>143</v>
      </c>
      <c r="H1105" s="645" t="s">
        <v>190</v>
      </c>
      <c r="I1105" s="948">
        <v>50</v>
      </c>
      <c r="J1105" s="948">
        <v>14.05</v>
      </c>
      <c r="K1105" s="952">
        <f t="shared" si="196"/>
        <v>0.39914772727272729</v>
      </c>
      <c r="L1105" s="644">
        <f t="shared" si="189"/>
        <v>17</v>
      </c>
      <c r="M1105" s="935">
        <v>0.72222222222222221</v>
      </c>
      <c r="N1105" s="936">
        <f t="shared" si="188"/>
        <v>0.72222222222222221</v>
      </c>
      <c r="O1105" s="725">
        <v>0.74652777777777779</v>
      </c>
      <c r="P1105" s="725">
        <f t="shared" si="192"/>
        <v>2.430555555555558E-2</v>
      </c>
      <c r="Q1105" s="991" t="s">
        <v>1330</v>
      </c>
      <c r="R1105" s="324"/>
      <c r="S1105" s="38" t="str">
        <f t="shared" si="199"/>
        <v>WheelerEF0</v>
      </c>
      <c r="T1105" s="38" t="str">
        <f t="shared" si="193"/>
        <v>2015EF0</v>
      </c>
      <c r="U1105" s="429">
        <v>50</v>
      </c>
      <c r="V1105" s="1029">
        <v>10</v>
      </c>
      <c r="W1105" s="598">
        <v>0.2</v>
      </c>
      <c r="X1105" s="38"/>
      <c r="Y1105" s="37" t="str">
        <f t="shared" si="194"/>
        <v>EF050</v>
      </c>
      <c r="Z1105" s="37" t="str">
        <f t="shared" si="195"/>
        <v>EF010</v>
      </c>
      <c r="AA1105" s="37" t="str">
        <f t="shared" si="197"/>
        <v>EF00.2</v>
      </c>
      <c r="AB1105" s="498" t="str">
        <f t="shared" si="191"/>
        <v>EF017</v>
      </c>
      <c r="AC1105" s="993"/>
      <c r="AD1105" s="993"/>
      <c r="AE1105" s="993"/>
      <c r="AF1105" s="993"/>
    </row>
    <row r="1106" spans="1:32" s="994" customFormat="1">
      <c r="A1106" s="947">
        <f t="shared" si="198"/>
        <v>1099</v>
      </c>
      <c r="B1106" s="948">
        <v>7</v>
      </c>
      <c r="C1106" s="949">
        <v>42110</v>
      </c>
      <c r="D1106" s="1013" t="s">
        <v>176</v>
      </c>
      <c r="E1106" s="904">
        <v>16</v>
      </c>
      <c r="F1106" s="644">
        <v>2015</v>
      </c>
      <c r="G1106" s="948" t="s">
        <v>143</v>
      </c>
      <c r="H1106" s="645" t="s">
        <v>190</v>
      </c>
      <c r="I1106" s="948">
        <v>70</v>
      </c>
      <c r="J1106" s="948">
        <v>4.92</v>
      </c>
      <c r="K1106" s="952">
        <f t="shared" si="196"/>
        <v>0.19568181818181818</v>
      </c>
      <c r="L1106" s="644">
        <f t="shared" si="189"/>
        <v>17</v>
      </c>
      <c r="M1106" s="935">
        <v>0.72361111111111109</v>
      </c>
      <c r="N1106" s="936">
        <f t="shared" si="188"/>
        <v>0.72361111111111109</v>
      </c>
      <c r="O1106" s="725">
        <v>0.73263888888888884</v>
      </c>
      <c r="P1106" s="725">
        <f t="shared" si="192"/>
        <v>9.0277777777777457E-3</v>
      </c>
      <c r="Q1106" s="634" t="s">
        <v>1288</v>
      </c>
      <c r="R1106" s="324"/>
      <c r="S1106" s="38" t="str">
        <f t="shared" si="199"/>
        <v>WheelerEF0</v>
      </c>
      <c r="T1106" s="38" t="str">
        <f t="shared" si="193"/>
        <v>2015EF0</v>
      </c>
      <c r="U1106" s="429">
        <v>50</v>
      </c>
      <c r="V1106" s="1029">
        <v>2</v>
      </c>
      <c r="W1106" s="598">
        <v>0.1</v>
      </c>
      <c r="X1106" s="38"/>
      <c r="Y1106" s="37" t="str">
        <f t="shared" si="194"/>
        <v>EF050</v>
      </c>
      <c r="Z1106" s="37" t="str">
        <f t="shared" si="195"/>
        <v>EF02</v>
      </c>
      <c r="AA1106" s="37" t="str">
        <f t="shared" si="197"/>
        <v>EF00.1</v>
      </c>
      <c r="AB1106" s="498" t="str">
        <f t="shared" si="191"/>
        <v>EF017</v>
      </c>
      <c r="AC1106" s="993"/>
      <c r="AD1106" s="993"/>
      <c r="AE1106" s="993"/>
      <c r="AF1106" s="993"/>
    </row>
    <row r="1107" spans="1:32" ht="51">
      <c r="A1107" s="947">
        <f t="shared" si="198"/>
        <v>1100</v>
      </c>
      <c r="B1107" s="948">
        <v>8</v>
      </c>
      <c r="C1107" s="949">
        <v>42140</v>
      </c>
      <c r="D1107" s="949" t="s">
        <v>177</v>
      </c>
      <c r="E1107" s="904">
        <v>16</v>
      </c>
      <c r="F1107" s="644">
        <v>2015</v>
      </c>
      <c r="G1107" s="948" t="s">
        <v>147</v>
      </c>
      <c r="H1107" s="645" t="s">
        <v>191</v>
      </c>
      <c r="I1107" s="948">
        <v>150</v>
      </c>
      <c r="J1107" s="948">
        <v>8.59</v>
      </c>
      <c r="K1107" s="952">
        <f t="shared" si="196"/>
        <v>0.73210227272727268</v>
      </c>
      <c r="L1107" s="644">
        <f t="shared" si="189"/>
        <v>13</v>
      </c>
      <c r="M1107" s="935">
        <v>0.55555555555555558</v>
      </c>
      <c r="N1107" s="936">
        <f t="shared" si="188"/>
        <v>0.55555555555555558</v>
      </c>
      <c r="O1107" s="725">
        <v>0.56805555555555554</v>
      </c>
      <c r="P1107" s="725">
        <f t="shared" si="192"/>
        <v>1.2499999999999956E-2</v>
      </c>
      <c r="Q1107" s="634" t="s">
        <v>1331</v>
      </c>
      <c r="R1107" s="324"/>
      <c r="S1107" s="38" t="str">
        <f t="shared" si="199"/>
        <v>DonleyEF1</v>
      </c>
      <c r="T1107" s="38" t="str">
        <f t="shared" si="193"/>
        <v>2015EF1</v>
      </c>
      <c r="U1107" s="429">
        <v>100</v>
      </c>
      <c r="V1107" s="1029">
        <v>5</v>
      </c>
      <c r="W1107" s="598">
        <v>0.5</v>
      </c>
      <c r="X1107" s="38"/>
      <c r="Y1107" s="37" t="str">
        <f t="shared" si="194"/>
        <v>EF1100</v>
      </c>
      <c r="Z1107" s="37" t="str">
        <f t="shared" si="195"/>
        <v>EF15</v>
      </c>
      <c r="AA1107" s="37" t="str">
        <f t="shared" si="197"/>
        <v>EF10.5</v>
      </c>
      <c r="AB1107" s="498" t="str">
        <f t="shared" si="191"/>
        <v>EF113</v>
      </c>
      <c r="AC1107" s="572"/>
      <c r="AD1107" s="572"/>
      <c r="AE1107" s="572"/>
      <c r="AF1107" s="572"/>
    </row>
    <row r="1108" spans="1:32" ht="25.5">
      <c r="A1108" s="947">
        <f t="shared" si="198"/>
        <v>1101</v>
      </c>
      <c r="B1108" s="948">
        <v>9</v>
      </c>
      <c r="C1108" s="949">
        <v>42140</v>
      </c>
      <c r="D1108" s="949" t="s">
        <v>177</v>
      </c>
      <c r="E1108" s="904">
        <v>16</v>
      </c>
      <c r="F1108" s="644">
        <v>2015</v>
      </c>
      <c r="G1108" s="948" t="s">
        <v>147</v>
      </c>
      <c r="H1108" s="645" t="s">
        <v>191</v>
      </c>
      <c r="I1108" s="948">
        <v>100</v>
      </c>
      <c r="J1108" s="948">
        <v>6</v>
      </c>
      <c r="K1108" s="952">
        <f t="shared" si="196"/>
        <v>0.34090909090909088</v>
      </c>
      <c r="L1108" s="644">
        <f t="shared" si="189"/>
        <v>13</v>
      </c>
      <c r="M1108" s="935">
        <v>0.56944444444444442</v>
      </c>
      <c r="N1108" s="936">
        <f t="shared" si="188"/>
        <v>0.56944444444444442</v>
      </c>
      <c r="O1108" s="725">
        <v>0.57430555555555551</v>
      </c>
      <c r="P1108" s="725">
        <f t="shared" si="192"/>
        <v>4.8611111111110938E-3</v>
      </c>
      <c r="Q1108" s="634" t="s">
        <v>1332</v>
      </c>
      <c r="R1108" s="324"/>
      <c r="S1108" s="38" t="str">
        <f t="shared" si="199"/>
        <v>DonleyEF1</v>
      </c>
      <c r="T1108" s="38" t="str">
        <f t="shared" si="193"/>
        <v>2015EF1</v>
      </c>
      <c r="U1108" s="429">
        <v>100</v>
      </c>
      <c r="V1108" s="1029">
        <v>5</v>
      </c>
      <c r="W1108" s="598">
        <v>0.2</v>
      </c>
      <c r="X1108" s="38"/>
      <c r="Y1108" s="37" t="str">
        <f t="shared" si="194"/>
        <v>EF1100</v>
      </c>
      <c r="Z1108" s="37" t="str">
        <f t="shared" si="195"/>
        <v>EF15</v>
      </c>
      <c r="AA1108" s="37" t="str">
        <f t="shared" si="197"/>
        <v>EF10.2</v>
      </c>
      <c r="AB1108" s="498" t="str">
        <f t="shared" si="191"/>
        <v>EF113</v>
      </c>
      <c r="AC1108" s="572"/>
      <c r="AD1108" s="572"/>
      <c r="AE1108" s="572"/>
      <c r="AF1108" s="572"/>
    </row>
    <row r="1109" spans="1:32" ht="25.5">
      <c r="A1109" s="947">
        <f t="shared" si="198"/>
        <v>1102</v>
      </c>
      <c r="B1109" s="948">
        <v>10</v>
      </c>
      <c r="C1109" s="949">
        <v>42140</v>
      </c>
      <c r="D1109" s="949" t="s">
        <v>177</v>
      </c>
      <c r="E1109" s="904">
        <v>16</v>
      </c>
      <c r="F1109" s="644">
        <v>2015</v>
      </c>
      <c r="G1109" s="948" t="s">
        <v>148</v>
      </c>
      <c r="H1109" s="645" t="s">
        <v>191</v>
      </c>
      <c r="I1109" s="948">
        <v>100</v>
      </c>
      <c r="J1109" s="948">
        <v>16.48</v>
      </c>
      <c r="K1109" s="952">
        <f t="shared" si="196"/>
        <v>0.9363636363636364</v>
      </c>
      <c r="L1109" s="644">
        <f t="shared" si="189"/>
        <v>13</v>
      </c>
      <c r="M1109" s="935">
        <v>0.57430555555555551</v>
      </c>
      <c r="N1109" s="936">
        <f t="shared" si="188"/>
        <v>0.57430555555555551</v>
      </c>
      <c r="O1109" s="725">
        <v>0.58819444444444446</v>
      </c>
      <c r="P1109" s="725">
        <f t="shared" si="192"/>
        <v>1.3888888888888951E-2</v>
      </c>
      <c r="Q1109" s="634" t="s">
        <v>1333</v>
      </c>
      <c r="R1109" s="324"/>
      <c r="S1109" s="38" t="str">
        <f t="shared" si="199"/>
        <v>CollingsworthEF1</v>
      </c>
      <c r="T1109" s="38" t="str">
        <f t="shared" si="193"/>
        <v>2015EF1</v>
      </c>
      <c r="U1109" s="429">
        <v>100</v>
      </c>
      <c r="V1109" s="1029">
        <v>10</v>
      </c>
      <c r="W1109" s="598">
        <v>0.5</v>
      </c>
      <c r="X1109" s="38"/>
      <c r="Y1109" s="37" t="str">
        <f t="shared" si="194"/>
        <v>EF1100</v>
      </c>
      <c r="Z1109" s="37" t="str">
        <f t="shared" si="195"/>
        <v>EF110</v>
      </c>
      <c r="AA1109" s="37" t="str">
        <f t="shared" si="197"/>
        <v>EF10.5</v>
      </c>
      <c r="AB1109" s="498" t="str">
        <f t="shared" si="191"/>
        <v>EF113</v>
      </c>
      <c r="AC1109" s="572"/>
      <c r="AD1109" s="572"/>
      <c r="AE1109" s="572"/>
      <c r="AF1109" s="572"/>
    </row>
    <row r="1110" spans="1:32" s="996" customFormat="1">
      <c r="A1110" s="947">
        <f t="shared" si="198"/>
        <v>1103</v>
      </c>
      <c r="B1110" s="948">
        <v>11</v>
      </c>
      <c r="C1110" s="949">
        <v>42140</v>
      </c>
      <c r="D1110" s="949" t="s">
        <v>177</v>
      </c>
      <c r="E1110" s="904">
        <v>16</v>
      </c>
      <c r="F1110" s="644">
        <v>2015</v>
      </c>
      <c r="G1110" s="948" t="s">
        <v>143</v>
      </c>
      <c r="H1110" s="645" t="s">
        <v>190</v>
      </c>
      <c r="I1110" s="948">
        <v>30</v>
      </c>
      <c r="J1110" s="948">
        <v>5.49</v>
      </c>
      <c r="K1110" s="952">
        <f t="shared" si="196"/>
        <v>9.3579545454545457E-2</v>
      </c>
      <c r="L1110" s="644">
        <f t="shared" si="189"/>
        <v>14</v>
      </c>
      <c r="M1110" s="935">
        <v>0.59305555555555556</v>
      </c>
      <c r="N1110" s="936">
        <f t="shared" si="188"/>
        <v>0.59305555555555556</v>
      </c>
      <c r="O1110" s="725">
        <v>0.60069444444444442</v>
      </c>
      <c r="P1110" s="725">
        <f t="shared" si="192"/>
        <v>7.6388888888888618E-3</v>
      </c>
      <c r="Q1110" s="634" t="s">
        <v>1334</v>
      </c>
      <c r="R1110" s="324"/>
      <c r="S1110" s="38" t="str">
        <f t="shared" si="199"/>
        <v>WheelerEF0</v>
      </c>
      <c r="T1110" s="38" t="str">
        <f t="shared" si="193"/>
        <v>2015EF0</v>
      </c>
      <c r="U1110" s="429">
        <v>20</v>
      </c>
      <c r="V1110" s="1029">
        <v>5</v>
      </c>
      <c r="W1110" s="598">
        <v>0.05</v>
      </c>
      <c r="X1110" s="38"/>
      <c r="Y1110" s="37" t="str">
        <f t="shared" si="194"/>
        <v>EF020</v>
      </c>
      <c r="Z1110" s="37" t="str">
        <f t="shared" si="195"/>
        <v>EF05</v>
      </c>
      <c r="AA1110" s="37" t="str">
        <f t="shared" si="197"/>
        <v>EF00.05</v>
      </c>
      <c r="AB1110" s="498" t="str">
        <f t="shared" si="191"/>
        <v>EF014</v>
      </c>
      <c r="AC1110" s="995"/>
      <c r="AD1110" s="995"/>
      <c r="AE1110" s="995"/>
      <c r="AF1110" s="995"/>
    </row>
    <row r="1111" spans="1:32" ht="38.25">
      <c r="A1111" s="947">
        <f t="shared" si="198"/>
        <v>1104</v>
      </c>
      <c r="B1111" s="948">
        <v>12</v>
      </c>
      <c r="C1111" s="949">
        <v>42151</v>
      </c>
      <c r="D1111" s="949" t="s">
        <v>177</v>
      </c>
      <c r="E1111" s="904">
        <v>27</v>
      </c>
      <c r="F1111" s="644">
        <v>2015</v>
      </c>
      <c r="G1111" s="948" t="s">
        <v>138</v>
      </c>
      <c r="H1111" s="645" t="s">
        <v>189</v>
      </c>
      <c r="I1111" s="948">
        <v>1200</v>
      </c>
      <c r="J1111" s="948">
        <v>1.39</v>
      </c>
      <c r="K1111" s="952">
        <f>+(I1111/1760)*J1111</f>
        <v>0.94772727272727264</v>
      </c>
      <c r="L1111" s="644">
        <f>HOUR(N1111)</f>
        <v>15</v>
      </c>
      <c r="M1111" s="935">
        <v>0.66527777777777775</v>
      </c>
      <c r="N1111" s="936">
        <f>+M1111</f>
        <v>0.66527777777777775</v>
      </c>
      <c r="O1111" s="725">
        <v>0.67499999999999993</v>
      </c>
      <c r="P1111" s="725">
        <f>+O1111-N1111</f>
        <v>9.7222222222221877E-3</v>
      </c>
      <c r="Q1111" s="634" t="s">
        <v>1335</v>
      </c>
      <c r="R1111" s="324"/>
      <c r="S1111" s="38" t="str">
        <f>CONCATENATE(G1111,H1111)</f>
        <v>HemphillEF2</v>
      </c>
      <c r="T1111" s="38" t="str">
        <f t="shared" si="193"/>
        <v>2015EF2</v>
      </c>
      <c r="U1111" s="429">
        <v>1000</v>
      </c>
      <c r="V1111" s="1029">
        <v>1</v>
      </c>
      <c r="W1111" s="598">
        <v>0.5</v>
      </c>
      <c r="X1111" s="38"/>
      <c r="Y1111" s="37" t="str">
        <f>CONCATENATE(H1111,U1111)</f>
        <v>EF21000</v>
      </c>
      <c r="Z1111" s="37" t="str">
        <f>CONCATENATE(H1111,V1111)</f>
        <v>EF21</v>
      </c>
      <c r="AA1111" s="37" t="str">
        <f t="shared" ref="AA1111" si="200">CONCATENATE(H1111,W1111)</f>
        <v>EF20.5</v>
      </c>
      <c r="AB1111" s="498" t="str">
        <f t="shared" ref="AB1111" si="201">CONCATENATE(H1111,L1111)</f>
        <v>EF215</v>
      </c>
      <c r="AC1111" s="572"/>
      <c r="AD1111" s="572"/>
      <c r="AE1111" s="572"/>
      <c r="AF1111" s="572"/>
    </row>
    <row r="1112" spans="1:32">
      <c r="A1112" s="947">
        <f t="shared" si="198"/>
        <v>1105</v>
      </c>
      <c r="B1112" s="948">
        <v>13</v>
      </c>
      <c r="C1112" s="949">
        <v>42151</v>
      </c>
      <c r="D1112" s="949" t="s">
        <v>177</v>
      </c>
      <c r="E1112" s="904">
        <v>27</v>
      </c>
      <c r="F1112" s="644">
        <v>2015</v>
      </c>
      <c r="G1112" s="948" t="s">
        <v>138</v>
      </c>
      <c r="H1112" s="1014" t="s">
        <v>191</v>
      </c>
      <c r="I1112" s="1015">
        <v>600</v>
      </c>
      <c r="J1112" s="1015">
        <v>1.1200000000000001</v>
      </c>
      <c r="K1112" s="1001">
        <f>+(I1112/1760)*J1112</f>
        <v>0.38181818181818183</v>
      </c>
      <c r="L1112" s="967">
        <f>HOUR(N1112)</f>
        <v>17</v>
      </c>
      <c r="M1112" s="1016">
        <v>0.70972222222222225</v>
      </c>
      <c r="N1112" s="968">
        <f>+M1112</f>
        <v>0.70972222222222225</v>
      </c>
      <c r="O1112" s="969">
        <v>0.7104166666666667</v>
      </c>
      <c r="P1112" s="969">
        <f>+O1112-N1112</f>
        <v>6.9444444444444198E-4</v>
      </c>
      <c r="Q1112" s="634" t="s">
        <v>1336</v>
      </c>
      <c r="R1112" s="324"/>
      <c r="S1112" s="38" t="str">
        <f>CONCATENATE(G1112,H1112)</f>
        <v>HemphillEF1</v>
      </c>
      <c r="T1112" s="38" t="str">
        <f t="shared" si="193"/>
        <v>2015EF1</v>
      </c>
      <c r="U1112" s="429">
        <v>500</v>
      </c>
      <c r="V1112" s="1029">
        <v>1</v>
      </c>
      <c r="W1112" s="598">
        <v>0.2</v>
      </c>
      <c r="X1112" s="38"/>
      <c r="Y1112" s="37" t="str">
        <f>CONCATENATE(H1112,U1112)</f>
        <v>EF1500</v>
      </c>
      <c r="Z1112" s="37" t="str">
        <f>CONCATENATE(H1112,V1112)</f>
        <v>EF11</v>
      </c>
      <c r="AA1112" s="37" t="str">
        <f>CONCATENATE(H1111,W1112)</f>
        <v>EF20.2</v>
      </c>
      <c r="AB1112" s="498" t="str">
        <f>CONCATENATE(H1111,L1111)</f>
        <v>EF215</v>
      </c>
      <c r="AC1112" s="572"/>
      <c r="AD1112" s="572"/>
      <c r="AE1112" s="572"/>
      <c r="AF1112" s="572"/>
    </row>
    <row r="1113" spans="1:32">
      <c r="A1113" s="947">
        <f t="shared" si="198"/>
        <v>1106</v>
      </c>
      <c r="B1113" s="1017">
        <v>14</v>
      </c>
      <c r="C1113" s="949">
        <v>42151</v>
      </c>
      <c r="D1113" s="1013" t="s">
        <v>177</v>
      </c>
      <c r="E1113" s="1018">
        <v>27</v>
      </c>
      <c r="F1113" s="967">
        <v>2015</v>
      </c>
      <c r="G1113" s="964" t="s">
        <v>138</v>
      </c>
      <c r="H1113" s="1014" t="s">
        <v>190</v>
      </c>
      <c r="I1113" s="1015">
        <v>600</v>
      </c>
      <c r="J1113" s="1015">
        <v>1.1200000000000001</v>
      </c>
      <c r="K1113" s="1001">
        <f t="shared" si="196"/>
        <v>0.38181818181818183</v>
      </c>
      <c r="L1113" s="967">
        <f t="shared" ref="L1113:L1175" si="202">HOUR(N1113)</f>
        <v>17</v>
      </c>
      <c r="M1113" s="1016">
        <v>0.71180555555555547</v>
      </c>
      <c r="N1113" s="968">
        <f t="shared" ref="N1113:N1174" si="203">+M1113</f>
        <v>0.71180555555555547</v>
      </c>
      <c r="O1113" s="969">
        <v>0.71388888888888891</v>
      </c>
      <c r="P1113" s="969">
        <f t="shared" si="192"/>
        <v>2.083333333333437E-3</v>
      </c>
      <c r="Q1113" s="634" t="s">
        <v>1336</v>
      </c>
      <c r="R1113" s="324"/>
      <c r="S1113" s="1009" t="str">
        <f t="shared" si="199"/>
        <v>HemphillEF0</v>
      </c>
      <c r="T1113" s="1009" t="str">
        <f t="shared" si="193"/>
        <v>2015EF0</v>
      </c>
      <c r="U1113" s="1019">
        <v>200</v>
      </c>
      <c r="V1113" s="1031">
        <v>1</v>
      </c>
      <c r="W1113" s="599">
        <v>0.1</v>
      </c>
      <c r="X1113" s="1009"/>
      <c r="Y1113" s="1006" t="str">
        <f t="shared" si="194"/>
        <v>EF0200</v>
      </c>
      <c r="Z1113" s="1006" t="str">
        <f t="shared" si="195"/>
        <v>EF01</v>
      </c>
      <c r="AA1113" s="1006" t="str">
        <f t="shared" si="197"/>
        <v>EF00.1</v>
      </c>
      <c r="AB1113" s="1010" t="str">
        <f t="shared" si="191"/>
        <v>EF017</v>
      </c>
      <c r="AC1113" s="1011"/>
      <c r="AD1113" s="1011"/>
      <c r="AE1113" s="572"/>
      <c r="AF1113" s="572"/>
    </row>
    <row r="1114" spans="1:32">
      <c r="A1114" s="947">
        <f t="shared" si="198"/>
        <v>1107</v>
      </c>
      <c r="B1114" s="1017">
        <v>15</v>
      </c>
      <c r="C1114" s="949">
        <v>42151</v>
      </c>
      <c r="D1114" s="1013" t="s">
        <v>177</v>
      </c>
      <c r="E1114" s="1018">
        <v>27</v>
      </c>
      <c r="F1114" s="967">
        <v>2015</v>
      </c>
      <c r="G1114" s="964" t="s">
        <v>138</v>
      </c>
      <c r="H1114" s="1014" t="s">
        <v>190</v>
      </c>
      <c r="I1114" s="1015">
        <v>400</v>
      </c>
      <c r="J1114" s="1015">
        <v>0.53</v>
      </c>
      <c r="K1114" s="1001">
        <f t="shared" ref="K1114:K1177" si="204">+(I1114/1760)*J1114</f>
        <v>0.12045454545454545</v>
      </c>
      <c r="L1114" s="967">
        <f t="shared" si="202"/>
        <v>17</v>
      </c>
      <c r="M1114" s="1016">
        <v>0.71180555555555547</v>
      </c>
      <c r="N1114" s="968">
        <f t="shared" si="203"/>
        <v>0.71180555555555547</v>
      </c>
      <c r="O1114" s="969">
        <v>0.71388888888888891</v>
      </c>
      <c r="P1114" s="969">
        <f t="shared" ref="P1114:P1177" si="205">+O1114-N1114</f>
        <v>2.083333333333437E-3</v>
      </c>
      <c r="Q1114" s="634" t="s">
        <v>1337</v>
      </c>
      <c r="R1114" s="324"/>
      <c r="S1114" s="1009" t="str">
        <f t="shared" ref="S1114:S1177" si="206">CONCATENATE(G1114,H1114)</f>
        <v>HemphillEF0</v>
      </c>
      <c r="T1114" s="1009" t="str">
        <f t="shared" ref="T1114:T1177" si="207">CONCATENATE(F1114,H1114)</f>
        <v>2015EF0</v>
      </c>
      <c r="U1114" s="1019">
        <v>200</v>
      </c>
      <c r="V1114" s="1031">
        <v>0.5</v>
      </c>
      <c r="W1114" s="599">
        <v>0.2</v>
      </c>
      <c r="X1114" s="1009"/>
      <c r="Y1114" s="1006" t="str">
        <f t="shared" ref="Y1114:Y1177" si="208">CONCATENATE(H1114,U1114)</f>
        <v>EF0200</v>
      </c>
      <c r="Z1114" s="1006" t="str">
        <f t="shared" ref="Z1114:Z1177" si="209">CONCATENATE(H1114,V1114)</f>
        <v>EF00.5</v>
      </c>
      <c r="AA1114" s="1006" t="str">
        <f t="shared" ref="AA1114:AA1177" si="210">CONCATENATE(H1114,W1114)</f>
        <v>EF00.2</v>
      </c>
      <c r="AB1114" s="1010" t="str">
        <f t="shared" ref="AB1114:AB1177" si="211">CONCATENATE(H1114,L1114)</f>
        <v>EF017</v>
      </c>
      <c r="AC1114" s="1011"/>
      <c r="AD1114" s="1011"/>
      <c r="AE1114" s="572"/>
      <c r="AF1114" s="572"/>
    </row>
    <row r="1115" spans="1:32">
      <c r="A1115" s="947">
        <f t="shared" si="198"/>
        <v>1108</v>
      </c>
      <c r="B1115" s="1017">
        <v>16</v>
      </c>
      <c r="C1115" s="949">
        <v>42167</v>
      </c>
      <c r="D1115" s="1015" t="s">
        <v>178</v>
      </c>
      <c r="E1115" s="1020">
        <v>12</v>
      </c>
      <c r="F1115" s="967">
        <v>2015</v>
      </c>
      <c r="G1115" s="1015" t="s">
        <v>144</v>
      </c>
      <c r="H1115" s="1014" t="s">
        <v>190</v>
      </c>
      <c r="I1115" s="1015">
        <v>50</v>
      </c>
      <c r="J1115" s="1015">
        <v>0.2</v>
      </c>
      <c r="K1115" s="1001">
        <f t="shared" si="204"/>
        <v>5.681818181818182E-3</v>
      </c>
      <c r="L1115" s="967">
        <f t="shared" si="202"/>
        <v>14</v>
      </c>
      <c r="M1115" s="1016">
        <v>0.59583333333333333</v>
      </c>
      <c r="N1115" s="968">
        <f t="shared" si="203"/>
        <v>0.59583333333333333</v>
      </c>
      <c r="O1115" s="969">
        <v>0.59791666666666665</v>
      </c>
      <c r="P1115" s="969">
        <f t="shared" si="205"/>
        <v>2.0833333333333259E-3</v>
      </c>
      <c r="Q1115" s="1021" t="s">
        <v>1289</v>
      </c>
      <c r="R1115" s="1022"/>
      <c r="S1115" s="1009" t="str">
        <f t="shared" si="206"/>
        <v>Deaf SmithEF0</v>
      </c>
      <c r="T1115" s="1009" t="str">
        <f t="shared" si="207"/>
        <v>2015EF0</v>
      </c>
      <c r="U1115" s="1019">
        <v>50</v>
      </c>
      <c r="V1115" s="1031">
        <v>0.2</v>
      </c>
      <c r="W1115" s="599">
        <v>5.0000000000000001E-3</v>
      </c>
      <c r="X1115" s="1009"/>
      <c r="Y1115" s="1006" t="str">
        <f t="shared" si="208"/>
        <v>EF050</v>
      </c>
      <c r="Z1115" s="1006" t="str">
        <f t="shared" si="209"/>
        <v>EF00.2</v>
      </c>
      <c r="AA1115" s="1006" t="str">
        <f t="shared" si="210"/>
        <v>EF00.005</v>
      </c>
      <c r="AB1115" s="1010" t="str">
        <f t="shared" si="211"/>
        <v>EF014</v>
      </c>
      <c r="AC1115" s="1011"/>
      <c r="AD1115" s="1011"/>
      <c r="AE1115" s="572"/>
      <c r="AF1115" s="572"/>
    </row>
    <row r="1116" spans="1:32">
      <c r="A1116" s="947">
        <f t="shared" si="198"/>
        <v>1109</v>
      </c>
      <c r="B1116" s="1017">
        <v>17</v>
      </c>
      <c r="C1116" s="949">
        <v>42324</v>
      </c>
      <c r="D1116" s="1015" t="s">
        <v>183</v>
      </c>
      <c r="E1116" s="1020">
        <v>16</v>
      </c>
      <c r="F1116" s="967">
        <v>2015</v>
      </c>
      <c r="G1116" s="1015" t="s">
        <v>146</v>
      </c>
      <c r="H1116" s="1014" t="s">
        <v>190</v>
      </c>
      <c r="I1116" s="1015">
        <v>50</v>
      </c>
      <c r="J1116" s="1015">
        <v>0.4</v>
      </c>
      <c r="K1116" s="1001">
        <f t="shared" si="204"/>
        <v>1.1363636363636364E-2</v>
      </c>
      <c r="L1116" s="967">
        <f t="shared" si="202"/>
        <v>17</v>
      </c>
      <c r="M1116" s="1016">
        <v>0.73888888888888893</v>
      </c>
      <c r="N1116" s="968">
        <f t="shared" si="203"/>
        <v>0.73888888888888893</v>
      </c>
      <c r="O1116" s="969">
        <v>0.73958333333333337</v>
      </c>
      <c r="P1116" s="969">
        <f t="shared" si="205"/>
        <v>6.9444444444444198E-4</v>
      </c>
      <c r="Q1116" s="1021" t="s">
        <v>1294</v>
      </c>
      <c r="R1116" s="1022"/>
      <c r="S1116" s="1009" t="str">
        <f t="shared" si="206"/>
        <v>ArmstrongEF0</v>
      </c>
      <c r="T1116" s="1009" t="str">
        <f t="shared" si="207"/>
        <v>2015EF0</v>
      </c>
      <c r="U1116" s="1019">
        <v>50</v>
      </c>
      <c r="V1116" s="1031">
        <v>0.2</v>
      </c>
      <c r="W1116" s="599">
        <v>0.01</v>
      </c>
      <c r="X1116" s="1009"/>
      <c r="Y1116" s="1006" t="str">
        <f t="shared" si="208"/>
        <v>EF050</v>
      </c>
      <c r="Z1116" s="1006" t="str">
        <f t="shared" si="209"/>
        <v>EF00.2</v>
      </c>
      <c r="AA1116" s="1006" t="str">
        <f t="shared" si="210"/>
        <v>EF00.01</v>
      </c>
      <c r="AB1116" s="1010" t="str">
        <f t="shared" si="211"/>
        <v>EF017</v>
      </c>
      <c r="AC1116" s="1011"/>
      <c r="AD1116" s="1011"/>
      <c r="AE1116" s="572"/>
      <c r="AF1116" s="572"/>
    </row>
    <row r="1117" spans="1:32">
      <c r="A1117" s="947">
        <f t="shared" si="198"/>
        <v>1110</v>
      </c>
      <c r="B1117" s="1017">
        <v>18</v>
      </c>
      <c r="C1117" s="949">
        <v>42324</v>
      </c>
      <c r="D1117" s="1015" t="s">
        <v>183</v>
      </c>
      <c r="E1117" s="1020">
        <v>16</v>
      </c>
      <c r="F1117" s="967">
        <v>2015</v>
      </c>
      <c r="G1117" s="1015" t="s">
        <v>137</v>
      </c>
      <c r="H1117" s="1014" t="s">
        <v>190</v>
      </c>
      <c r="I1117" s="1015">
        <v>50</v>
      </c>
      <c r="J1117" s="1015">
        <v>0.11</v>
      </c>
      <c r="K1117" s="1001">
        <f t="shared" si="204"/>
        <v>3.1249999999999997E-3</v>
      </c>
      <c r="L1117" s="967">
        <f t="shared" si="202"/>
        <v>17</v>
      </c>
      <c r="M1117" s="1016">
        <v>0.73888888888888893</v>
      </c>
      <c r="N1117" s="968">
        <f t="shared" si="203"/>
        <v>0.73888888888888893</v>
      </c>
      <c r="O1117" s="969">
        <v>0.73958333333333337</v>
      </c>
      <c r="P1117" s="969">
        <f t="shared" si="205"/>
        <v>6.9444444444444198E-4</v>
      </c>
      <c r="Q1117" s="1021" t="s">
        <v>1295</v>
      </c>
      <c r="R1117" s="1022"/>
      <c r="S1117" s="1009" t="str">
        <f t="shared" si="206"/>
        <v>RobertsEF0</v>
      </c>
      <c r="T1117" s="1009" t="str">
        <f t="shared" si="207"/>
        <v>2015EF0</v>
      </c>
      <c r="U1117" s="1019">
        <v>50</v>
      </c>
      <c r="V1117" s="1031">
        <v>0.1</v>
      </c>
      <c r="W1117" s="599">
        <v>2E-3</v>
      </c>
      <c r="X1117" s="1009"/>
      <c r="Y1117" s="1006" t="str">
        <f t="shared" si="208"/>
        <v>EF050</v>
      </c>
      <c r="Z1117" s="1006" t="str">
        <f t="shared" si="209"/>
        <v>EF00.1</v>
      </c>
      <c r="AA1117" s="1006" t="str">
        <f t="shared" si="210"/>
        <v>EF00.002</v>
      </c>
      <c r="AB1117" s="1010" t="str">
        <f t="shared" si="211"/>
        <v>EF017</v>
      </c>
      <c r="AC1117" s="1011"/>
      <c r="AD1117" s="1011"/>
      <c r="AE1117" s="572"/>
      <c r="AF1117" s="572"/>
    </row>
    <row r="1118" spans="1:32">
      <c r="A1118" s="947">
        <f t="shared" si="198"/>
        <v>1111</v>
      </c>
      <c r="B1118" s="1017">
        <v>19</v>
      </c>
      <c r="C1118" s="949">
        <v>42324</v>
      </c>
      <c r="D1118" s="1015" t="s">
        <v>183</v>
      </c>
      <c r="E1118" s="1020">
        <v>16</v>
      </c>
      <c r="F1118" s="967">
        <v>2015</v>
      </c>
      <c r="G1118" s="1015" t="s">
        <v>137</v>
      </c>
      <c r="H1118" s="1014" t="s">
        <v>190</v>
      </c>
      <c r="I1118" s="1015">
        <v>50</v>
      </c>
      <c r="J1118" s="1015">
        <v>0.26</v>
      </c>
      <c r="K1118" s="1001">
        <f t="shared" si="204"/>
        <v>7.3863636363636362E-3</v>
      </c>
      <c r="L1118" s="967">
        <f t="shared" si="202"/>
        <v>18</v>
      </c>
      <c r="M1118" s="1016">
        <v>0.75347222222222221</v>
      </c>
      <c r="N1118" s="968">
        <f t="shared" si="203"/>
        <v>0.75347222222222221</v>
      </c>
      <c r="O1118" s="969">
        <v>0.76041666666666663</v>
      </c>
      <c r="P1118" s="969">
        <f t="shared" si="205"/>
        <v>6.9444444444444198E-3</v>
      </c>
      <c r="Q1118" s="1021" t="s">
        <v>1296</v>
      </c>
      <c r="R1118" s="1022"/>
      <c r="S1118" s="1009" t="str">
        <f t="shared" si="206"/>
        <v>RobertsEF0</v>
      </c>
      <c r="T1118" s="1009" t="str">
        <f t="shared" si="207"/>
        <v>2015EF0</v>
      </c>
      <c r="U1118" s="1019">
        <v>50</v>
      </c>
      <c r="V1118" s="1031">
        <v>0.2</v>
      </c>
      <c r="W1118" s="599">
        <v>5.0000000000000001E-3</v>
      </c>
      <c r="X1118" s="1009"/>
      <c r="Y1118" s="1006" t="str">
        <f t="shared" si="208"/>
        <v>EF050</v>
      </c>
      <c r="Z1118" s="1006" t="str">
        <f t="shared" si="209"/>
        <v>EF00.2</v>
      </c>
      <c r="AA1118" s="1006" t="str">
        <f t="shared" si="210"/>
        <v>EF00.005</v>
      </c>
      <c r="AB1118" s="1010" t="str">
        <f t="shared" si="211"/>
        <v>EF018</v>
      </c>
      <c r="AC1118" s="1011"/>
      <c r="AD1118" s="1011"/>
      <c r="AE1118" s="572"/>
      <c r="AF1118" s="572"/>
    </row>
    <row r="1119" spans="1:32">
      <c r="A1119" s="947">
        <f t="shared" si="198"/>
        <v>1112</v>
      </c>
      <c r="B1119" s="1017">
        <v>20</v>
      </c>
      <c r="C1119" s="949">
        <v>42324</v>
      </c>
      <c r="D1119" s="1015" t="s">
        <v>183</v>
      </c>
      <c r="E1119" s="1020">
        <v>16</v>
      </c>
      <c r="F1119" s="967">
        <v>2015</v>
      </c>
      <c r="G1119" s="1015" t="s">
        <v>141</v>
      </c>
      <c r="H1119" s="1014" t="s">
        <v>190</v>
      </c>
      <c r="I1119" s="1015">
        <v>50</v>
      </c>
      <c r="J1119" s="1015">
        <v>0.22</v>
      </c>
      <c r="K1119" s="1001">
        <f t="shared" si="204"/>
        <v>6.2499999999999995E-3</v>
      </c>
      <c r="L1119" s="967">
        <f t="shared" si="202"/>
        <v>18</v>
      </c>
      <c r="M1119" s="1016">
        <v>0.75624999999999998</v>
      </c>
      <c r="N1119" s="968">
        <f t="shared" si="203"/>
        <v>0.75624999999999998</v>
      </c>
      <c r="O1119" s="969">
        <v>0.75694444444444453</v>
      </c>
      <c r="P1119" s="969">
        <f t="shared" si="205"/>
        <v>6.94444444444553E-4</v>
      </c>
      <c r="Q1119" s="1021" t="s">
        <v>1297</v>
      </c>
      <c r="R1119" s="1022"/>
      <c r="S1119" s="1009" t="str">
        <f t="shared" si="206"/>
        <v>CarsonEF0</v>
      </c>
      <c r="T1119" s="1009" t="str">
        <f t="shared" si="207"/>
        <v>2015EF0</v>
      </c>
      <c r="U1119" s="1019">
        <v>50</v>
      </c>
      <c r="V1119" s="1031">
        <v>0.2</v>
      </c>
      <c r="W1119" s="599">
        <v>5.0000000000000001E-3</v>
      </c>
      <c r="X1119" s="1009"/>
      <c r="Y1119" s="1006" t="str">
        <f t="shared" si="208"/>
        <v>EF050</v>
      </c>
      <c r="Z1119" s="1006" t="str">
        <f t="shared" si="209"/>
        <v>EF00.2</v>
      </c>
      <c r="AA1119" s="1006" t="str">
        <f t="shared" si="210"/>
        <v>EF00.005</v>
      </c>
      <c r="AB1119" s="1010" t="str">
        <f t="shared" si="211"/>
        <v>EF018</v>
      </c>
      <c r="AC1119" s="1011"/>
      <c r="AD1119" s="1011"/>
      <c r="AE1119" s="572"/>
      <c r="AF1119" s="572"/>
    </row>
    <row r="1120" spans="1:32" ht="25.5">
      <c r="A1120" s="947">
        <f t="shared" si="198"/>
        <v>1113</v>
      </c>
      <c r="B1120" s="1017">
        <v>21</v>
      </c>
      <c r="C1120" s="949">
        <v>42324</v>
      </c>
      <c r="D1120" s="1015" t="s">
        <v>183</v>
      </c>
      <c r="E1120" s="1020">
        <v>16</v>
      </c>
      <c r="F1120" s="967">
        <v>2015</v>
      </c>
      <c r="G1120" s="1015" t="s">
        <v>142</v>
      </c>
      <c r="H1120" s="1014" t="s">
        <v>192</v>
      </c>
      <c r="I1120" s="1015">
        <v>750</v>
      </c>
      <c r="J1120" s="1015">
        <v>23.16</v>
      </c>
      <c r="K1120" s="1001">
        <f t="shared" si="204"/>
        <v>9.8693181818181817</v>
      </c>
      <c r="L1120" s="967">
        <f t="shared" si="202"/>
        <v>18</v>
      </c>
      <c r="M1120" s="1016">
        <v>0.76388888888888884</v>
      </c>
      <c r="N1120" s="968">
        <f t="shared" si="203"/>
        <v>0.76388888888888884</v>
      </c>
      <c r="O1120" s="969">
        <v>0.79166666666666663</v>
      </c>
      <c r="P1120" s="969">
        <f t="shared" si="205"/>
        <v>2.777777777777779E-2</v>
      </c>
      <c r="Q1120" s="1021" t="s">
        <v>1363</v>
      </c>
      <c r="R1120" s="1022"/>
      <c r="S1120" s="1009" t="str">
        <f t="shared" si="206"/>
        <v>GrayEF3</v>
      </c>
      <c r="T1120" s="1009" t="str">
        <f t="shared" si="207"/>
        <v>2015EF3</v>
      </c>
      <c r="U1120" s="1019">
        <v>500</v>
      </c>
      <c r="V1120" s="1031">
        <v>20</v>
      </c>
      <c r="W1120" s="599">
        <v>5</v>
      </c>
      <c r="X1120" s="1009"/>
      <c r="Y1120" s="1006" t="str">
        <f t="shared" si="208"/>
        <v>EF3500</v>
      </c>
      <c r="Z1120" s="1006" t="str">
        <f t="shared" si="209"/>
        <v>EF320</v>
      </c>
      <c r="AA1120" s="1006" t="str">
        <f t="shared" si="210"/>
        <v>EF35</v>
      </c>
      <c r="AB1120" s="1010" t="str">
        <f t="shared" si="211"/>
        <v>EF318</v>
      </c>
      <c r="AC1120" s="1011"/>
      <c r="AD1120" s="1011"/>
      <c r="AE1120" s="572"/>
      <c r="AF1120" s="572"/>
    </row>
    <row r="1121" spans="1:32" ht="25.5">
      <c r="A1121" s="947">
        <f t="shared" si="198"/>
        <v>1114</v>
      </c>
      <c r="B1121" s="1017">
        <v>22</v>
      </c>
      <c r="C1121" s="949">
        <v>42324</v>
      </c>
      <c r="D1121" s="1015" t="s">
        <v>183</v>
      </c>
      <c r="E1121" s="1020">
        <v>16</v>
      </c>
      <c r="F1121" s="967">
        <v>2015</v>
      </c>
      <c r="G1121" s="1015" t="s">
        <v>141</v>
      </c>
      <c r="H1121" s="1014" t="s">
        <v>189</v>
      </c>
      <c r="I1121" s="1015">
        <v>175</v>
      </c>
      <c r="J1121" s="1015">
        <v>9.0500000000000007</v>
      </c>
      <c r="K1121" s="1001">
        <f t="shared" si="204"/>
        <v>0.89985795454545459</v>
      </c>
      <c r="L1121" s="967">
        <f t="shared" si="202"/>
        <v>18</v>
      </c>
      <c r="M1121" s="1016">
        <v>0.77916666666666667</v>
      </c>
      <c r="N1121" s="968">
        <f t="shared" si="203"/>
        <v>0.77916666666666667</v>
      </c>
      <c r="O1121" s="969">
        <v>0.78680555555555554</v>
      </c>
      <c r="P1121" s="969">
        <f t="shared" si="205"/>
        <v>7.6388888888888618E-3</v>
      </c>
      <c r="Q1121" s="1021" t="s">
        <v>1361</v>
      </c>
      <c r="R1121" s="1022"/>
      <c r="S1121" s="1009" t="str">
        <f t="shared" si="206"/>
        <v>CarsonEF2</v>
      </c>
      <c r="T1121" s="1009" t="str">
        <f t="shared" si="207"/>
        <v>2015EF2</v>
      </c>
      <c r="U1121" s="1019">
        <v>100</v>
      </c>
      <c r="V1121" s="1031">
        <v>5</v>
      </c>
      <c r="W1121" s="599">
        <v>0.5</v>
      </c>
      <c r="X1121" s="1009"/>
      <c r="Y1121" s="1006" t="str">
        <f t="shared" si="208"/>
        <v>EF2100</v>
      </c>
      <c r="Z1121" s="1006" t="str">
        <f t="shared" si="209"/>
        <v>EF25</v>
      </c>
      <c r="AA1121" s="1006" t="str">
        <f t="shared" si="210"/>
        <v>EF20.5</v>
      </c>
      <c r="AB1121" s="1010" t="str">
        <f t="shared" si="211"/>
        <v>EF218</v>
      </c>
      <c r="AC1121" s="1011"/>
      <c r="AD1121" s="1011"/>
      <c r="AE1121" s="572"/>
      <c r="AF1121" s="572"/>
    </row>
    <row r="1122" spans="1:32">
      <c r="A1122" s="947">
        <f t="shared" si="198"/>
        <v>1115</v>
      </c>
      <c r="B1122" s="1017">
        <v>23</v>
      </c>
      <c r="C1122" s="949">
        <v>42324</v>
      </c>
      <c r="D1122" s="1015" t="s">
        <v>183</v>
      </c>
      <c r="E1122" s="1020">
        <v>16</v>
      </c>
      <c r="F1122" s="967">
        <v>2015</v>
      </c>
      <c r="G1122" s="1015" t="s">
        <v>132</v>
      </c>
      <c r="H1122" s="1014" t="s">
        <v>190</v>
      </c>
      <c r="I1122" s="1015">
        <v>100</v>
      </c>
      <c r="J1122" s="1015">
        <v>3.66</v>
      </c>
      <c r="K1122" s="1001">
        <f t="shared" si="204"/>
        <v>0.20795454545454545</v>
      </c>
      <c r="L1122" s="967">
        <f t="shared" si="202"/>
        <v>18</v>
      </c>
      <c r="M1122" s="1016">
        <v>0.78055555555555556</v>
      </c>
      <c r="N1122" s="968">
        <f t="shared" si="203"/>
        <v>0.78055555555555556</v>
      </c>
      <c r="O1122" s="969">
        <v>0.78472222222222221</v>
      </c>
      <c r="P1122" s="969">
        <f t="shared" si="205"/>
        <v>4.1666666666666519E-3</v>
      </c>
      <c r="Q1122" s="1021" t="s">
        <v>1298</v>
      </c>
      <c r="R1122" s="1022"/>
      <c r="S1122" s="1009" t="str">
        <f t="shared" si="206"/>
        <v>OchiltreeEF0</v>
      </c>
      <c r="T1122" s="1009" t="str">
        <f t="shared" si="207"/>
        <v>2015EF0</v>
      </c>
      <c r="U1122" s="1019">
        <v>100</v>
      </c>
      <c r="V1122" s="1031">
        <v>2</v>
      </c>
      <c r="W1122" s="599">
        <v>0.2</v>
      </c>
      <c r="X1122" s="1009"/>
      <c r="Y1122" s="1006" t="str">
        <f t="shared" si="208"/>
        <v>EF0100</v>
      </c>
      <c r="Z1122" s="1006" t="str">
        <f t="shared" si="209"/>
        <v>EF02</v>
      </c>
      <c r="AA1122" s="1006" t="str">
        <f t="shared" si="210"/>
        <v>EF00.2</v>
      </c>
      <c r="AB1122" s="1010" t="str">
        <f t="shared" si="211"/>
        <v>EF018</v>
      </c>
      <c r="AC1122" s="1011"/>
      <c r="AD1122" s="1011"/>
      <c r="AE1122" s="572"/>
      <c r="AF1122" s="572"/>
    </row>
    <row r="1123" spans="1:32">
      <c r="A1123" s="947">
        <f t="shared" si="198"/>
        <v>1116</v>
      </c>
      <c r="B1123" s="1017">
        <v>24</v>
      </c>
      <c r="C1123" s="949">
        <v>42324</v>
      </c>
      <c r="D1123" s="1015" t="s">
        <v>183</v>
      </c>
      <c r="E1123" s="1020">
        <v>16</v>
      </c>
      <c r="F1123" s="967">
        <v>2015</v>
      </c>
      <c r="G1123" s="1015" t="s">
        <v>132</v>
      </c>
      <c r="H1123" s="1014" t="s">
        <v>191</v>
      </c>
      <c r="I1123" s="1015">
        <v>200</v>
      </c>
      <c r="J1123" s="1015">
        <v>5.78</v>
      </c>
      <c r="K1123" s="1001">
        <f t="shared" si="204"/>
        <v>0.65681818181818186</v>
      </c>
      <c r="L1123" s="967">
        <f t="shared" si="202"/>
        <v>18</v>
      </c>
      <c r="M1123" s="1016">
        <v>0.78611111111111109</v>
      </c>
      <c r="N1123" s="968">
        <f t="shared" si="203"/>
        <v>0.78611111111111109</v>
      </c>
      <c r="O1123" s="969">
        <v>0.7909722222222223</v>
      </c>
      <c r="P1123" s="969">
        <f t="shared" si="205"/>
        <v>4.8611111111112049E-3</v>
      </c>
      <c r="Q1123" s="1021" t="s">
        <v>1299</v>
      </c>
      <c r="R1123" s="1022"/>
      <c r="S1123" s="1009" t="str">
        <f t="shared" si="206"/>
        <v>OchiltreeEF1</v>
      </c>
      <c r="T1123" s="1009" t="str">
        <f t="shared" si="207"/>
        <v>2015EF1</v>
      </c>
      <c r="U1123" s="1019">
        <v>200</v>
      </c>
      <c r="V1123" s="1031">
        <v>5</v>
      </c>
      <c r="W1123" s="599">
        <v>0.5</v>
      </c>
      <c r="X1123" s="1009"/>
      <c r="Y1123" s="1006" t="str">
        <f t="shared" si="208"/>
        <v>EF1200</v>
      </c>
      <c r="Z1123" s="1006" t="str">
        <f t="shared" si="209"/>
        <v>EF15</v>
      </c>
      <c r="AA1123" s="1006" t="str">
        <f t="shared" si="210"/>
        <v>EF10.5</v>
      </c>
      <c r="AB1123" s="1010" t="str">
        <f t="shared" si="211"/>
        <v>EF118</v>
      </c>
      <c r="AC1123" s="1011"/>
      <c r="AD1123" s="1011"/>
      <c r="AE1123" s="572"/>
      <c r="AF1123" s="572"/>
    </row>
    <row r="1124" spans="1:32" ht="25.5">
      <c r="A1124" s="947">
        <f t="shared" si="198"/>
        <v>1117</v>
      </c>
      <c r="B1124" s="1017">
        <v>25</v>
      </c>
      <c r="C1124" s="949">
        <v>42324</v>
      </c>
      <c r="D1124" s="1015" t="s">
        <v>183</v>
      </c>
      <c r="E1124" s="1020">
        <v>16</v>
      </c>
      <c r="F1124" s="967">
        <v>2015</v>
      </c>
      <c r="G1124" s="1015" t="s">
        <v>142</v>
      </c>
      <c r="H1124" s="1014" t="s">
        <v>189</v>
      </c>
      <c r="I1124" s="1015">
        <v>175</v>
      </c>
      <c r="J1124" s="1015">
        <v>1.37</v>
      </c>
      <c r="K1124" s="1001">
        <f t="shared" si="204"/>
        <v>0.13622159090909092</v>
      </c>
      <c r="L1124" s="967">
        <f t="shared" si="202"/>
        <v>18</v>
      </c>
      <c r="M1124" s="1016">
        <v>0.78680555555555554</v>
      </c>
      <c r="N1124" s="968">
        <f t="shared" si="203"/>
        <v>0.78680555555555554</v>
      </c>
      <c r="O1124" s="969">
        <v>0.78819444444444453</v>
      </c>
      <c r="P1124" s="969">
        <f t="shared" si="205"/>
        <v>1.388888888888995E-3</v>
      </c>
      <c r="Q1124" s="1021" t="s">
        <v>1362</v>
      </c>
      <c r="R1124" s="1022"/>
      <c r="S1124" s="1009" t="str">
        <f t="shared" si="206"/>
        <v>GrayEF2</v>
      </c>
      <c r="T1124" s="1009" t="str">
        <f t="shared" si="207"/>
        <v>2015EF2</v>
      </c>
      <c r="U1124" s="1019">
        <v>100</v>
      </c>
      <c r="V1124" s="1031">
        <v>1</v>
      </c>
      <c r="W1124" s="599">
        <v>0.1</v>
      </c>
      <c r="X1124" s="1009"/>
      <c r="Y1124" s="1006" t="str">
        <f t="shared" si="208"/>
        <v>EF2100</v>
      </c>
      <c r="Z1124" s="1006" t="str">
        <f t="shared" si="209"/>
        <v>EF21</v>
      </c>
      <c r="AA1124" s="1006" t="str">
        <f t="shared" si="210"/>
        <v>EF20.1</v>
      </c>
      <c r="AB1124" s="1010" t="str">
        <f t="shared" si="211"/>
        <v>EF218</v>
      </c>
      <c r="AC1124" s="1011"/>
      <c r="AD1124" s="1011"/>
      <c r="AE1124" s="572"/>
      <c r="AF1124" s="572"/>
    </row>
    <row r="1125" spans="1:32" ht="25.5">
      <c r="A1125" s="947">
        <f t="shared" si="198"/>
        <v>1118</v>
      </c>
      <c r="B1125" s="1017">
        <v>26</v>
      </c>
      <c r="C1125" s="949">
        <v>42324</v>
      </c>
      <c r="D1125" s="1015" t="s">
        <v>183</v>
      </c>
      <c r="E1125" s="1020">
        <v>16</v>
      </c>
      <c r="F1125" s="967">
        <v>2015</v>
      </c>
      <c r="G1125" s="1015" t="s">
        <v>132</v>
      </c>
      <c r="H1125" s="1014" t="s">
        <v>191</v>
      </c>
      <c r="I1125" s="1015">
        <v>400</v>
      </c>
      <c r="J1125" s="1015">
        <v>4.17</v>
      </c>
      <c r="K1125" s="1001">
        <f t="shared" si="204"/>
        <v>0.94772727272727264</v>
      </c>
      <c r="L1125" s="967">
        <f t="shared" si="202"/>
        <v>19</v>
      </c>
      <c r="M1125" s="1016">
        <v>0.79166666666666663</v>
      </c>
      <c r="N1125" s="968">
        <f t="shared" si="203"/>
        <v>0.79166666666666663</v>
      </c>
      <c r="O1125" s="969">
        <v>0.79652777777777783</v>
      </c>
      <c r="P1125" s="969">
        <f t="shared" si="205"/>
        <v>4.8611111111112049E-3</v>
      </c>
      <c r="Q1125" s="1021" t="s">
        <v>1301</v>
      </c>
      <c r="R1125" s="1022"/>
      <c r="S1125" s="1009" t="str">
        <f t="shared" si="206"/>
        <v>OchiltreeEF1</v>
      </c>
      <c r="T1125" s="1009" t="str">
        <f t="shared" si="207"/>
        <v>2015EF1</v>
      </c>
      <c r="U1125" s="1019">
        <v>200</v>
      </c>
      <c r="V1125" s="1031">
        <v>2</v>
      </c>
      <c r="W1125" s="599">
        <v>0.5</v>
      </c>
      <c r="X1125" s="1009"/>
      <c r="Y1125" s="1006" t="str">
        <f t="shared" si="208"/>
        <v>EF1200</v>
      </c>
      <c r="Z1125" s="1006" t="str">
        <f t="shared" si="209"/>
        <v>EF12</v>
      </c>
      <c r="AA1125" s="1006" t="str">
        <f t="shared" si="210"/>
        <v>EF10.5</v>
      </c>
      <c r="AB1125" s="1010" t="str">
        <f t="shared" si="211"/>
        <v>EF119</v>
      </c>
      <c r="AC1125" s="1011"/>
      <c r="AD1125" s="1011"/>
      <c r="AE1125" s="572"/>
      <c r="AF1125" s="572"/>
    </row>
    <row r="1126" spans="1:32" ht="25.5">
      <c r="A1126" s="947">
        <f t="shared" si="198"/>
        <v>1119</v>
      </c>
      <c r="B1126" s="1017">
        <v>27</v>
      </c>
      <c r="C1126" s="949">
        <v>42324</v>
      </c>
      <c r="D1126" s="1015" t="s">
        <v>183</v>
      </c>
      <c r="E1126" s="1020">
        <v>16</v>
      </c>
      <c r="F1126" s="967">
        <v>2015</v>
      </c>
      <c r="G1126" s="1015" t="s">
        <v>137</v>
      </c>
      <c r="H1126" s="1014" t="s">
        <v>192</v>
      </c>
      <c r="I1126" s="1015">
        <v>750</v>
      </c>
      <c r="J1126" s="1015">
        <v>8.6999999999999993</v>
      </c>
      <c r="K1126" s="1001">
        <f t="shared" si="204"/>
        <v>3.7073863636363633</v>
      </c>
      <c r="L1126" s="967">
        <f t="shared" si="202"/>
        <v>19</v>
      </c>
      <c r="M1126" s="1016">
        <v>0.79166666666666663</v>
      </c>
      <c r="N1126" s="968">
        <f t="shared" si="203"/>
        <v>0.79166666666666663</v>
      </c>
      <c r="O1126" s="969">
        <v>0.80555555555555547</v>
      </c>
      <c r="P1126" s="969">
        <f t="shared" si="205"/>
        <v>1.388888888888884E-2</v>
      </c>
      <c r="Q1126" s="1021" t="s">
        <v>1364</v>
      </c>
      <c r="R1126" s="1022"/>
      <c r="S1126" s="1009" t="str">
        <f t="shared" si="206"/>
        <v>RobertsEF3</v>
      </c>
      <c r="T1126" s="1009" t="str">
        <f t="shared" si="207"/>
        <v>2015EF3</v>
      </c>
      <c r="U1126" s="1019">
        <v>500</v>
      </c>
      <c r="V1126" s="1031">
        <v>5</v>
      </c>
      <c r="W1126" s="599">
        <v>2</v>
      </c>
      <c r="X1126" s="1009"/>
      <c r="Y1126" s="1006" t="str">
        <f t="shared" si="208"/>
        <v>EF3500</v>
      </c>
      <c r="Z1126" s="1006" t="str">
        <f t="shared" si="209"/>
        <v>EF35</v>
      </c>
      <c r="AA1126" s="1006" t="str">
        <f t="shared" si="210"/>
        <v>EF32</v>
      </c>
      <c r="AB1126" s="1010" t="str">
        <f t="shared" si="211"/>
        <v>EF319</v>
      </c>
      <c r="AC1126" s="1011"/>
      <c r="AD1126" s="1011"/>
      <c r="AE1126" s="572"/>
      <c r="AF1126" s="572"/>
    </row>
    <row r="1127" spans="1:32" ht="38.25">
      <c r="A1127" s="947">
        <f t="shared" si="198"/>
        <v>1120</v>
      </c>
      <c r="B1127" s="1017">
        <v>28</v>
      </c>
      <c r="C1127" s="949">
        <v>42324</v>
      </c>
      <c r="D1127" s="1015" t="s">
        <v>183</v>
      </c>
      <c r="E1127" s="1020">
        <v>16</v>
      </c>
      <c r="F1127" s="967">
        <v>2015</v>
      </c>
      <c r="G1127" s="1015" t="s">
        <v>142</v>
      </c>
      <c r="H1127" s="1014" t="s">
        <v>192</v>
      </c>
      <c r="I1127" s="1015">
        <v>500</v>
      </c>
      <c r="J1127" s="1015">
        <v>10.92</v>
      </c>
      <c r="K1127" s="1001">
        <f t="shared" si="204"/>
        <v>3.1022727272727275</v>
      </c>
      <c r="L1127" s="967">
        <f t="shared" si="202"/>
        <v>19</v>
      </c>
      <c r="M1127" s="1016">
        <v>0.79583333333333339</v>
      </c>
      <c r="N1127" s="968">
        <f t="shared" si="203"/>
        <v>0.79583333333333339</v>
      </c>
      <c r="O1127" s="969">
        <v>0.80486111111111114</v>
      </c>
      <c r="P1127" s="969">
        <f t="shared" si="205"/>
        <v>9.0277777777777457E-3</v>
      </c>
      <c r="Q1127" s="1021" t="s">
        <v>1300</v>
      </c>
      <c r="R1127" s="1022"/>
      <c r="S1127" s="1009" t="str">
        <f t="shared" si="206"/>
        <v>GrayEF3</v>
      </c>
      <c r="T1127" s="1009" t="str">
        <f t="shared" si="207"/>
        <v>2015EF3</v>
      </c>
      <c r="U1127" s="1019">
        <v>500</v>
      </c>
      <c r="V1127" s="1031">
        <v>10</v>
      </c>
      <c r="W1127" s="599">
        <v>2</v>
      </c>
      <c r="X1127" s="1009"/>
      <c r="Y1127" s="1006" t="str">
        <f t="shared" si="208"/>
        <v>EF3500</v>
      </c>
      <c r="Z1127" s="1006" t="str">
        <f t="shared" si="209"/>
        <v>EF310</v>
      </c>
      <c r="AA1127" s="1006" t="str">
        <f t="shared" si="210"/>
        <v>EF32</v>
      </c>
      <c r="AB1127" s="1010" t="str">
        <f t="shared" si="211"/>
        <v>EF319</v>
      </c>
      <c r="AC1127" s="1011"/>
      <c r="AD1127" s="1011"/>
      <c r="AE1127" s="572"/>
      <c r="AF1127" s="572"/>
    </row>
    <row r="1128" spans="1:32" ht="25.5">
      <c r="A1128" s="947">
        <f t="shared" si="198"/>
        <v>1121</v>
      </c>
      <c r="B1128" s="1017">
        <v>29</v>
      </c>
      <c r="C1128" s="949">
        <v>42324</v>
      </c>
      <c r="D1128" s="1015" t="s">
        <v>183</v>
      </c>
      <c r="E1128" s="1020">
        <v>16</v>
      </c>
      <c r="F1128" s="967">
        <v>2015</v>
      </c>
      <c r="G1128" s="1015" t="s">
        <v>128</v>
      </c>
      <c r="H1128" s="1014" t="s">
        <v>191</v>
      </c>
      <c r="I1128" s="1015">
        <v>400</v>
      </c>
      <c r="J1128" s="1015">
        <v>1.01</v>
      </c>
      <c r="K1128" s="1001">
        <f t="shared" si="204"/>
        <v>0.22954545454545455</v>
      </c>
      <c r="L1128" s="967">
        <f t="shared" si="202"/>
        <v>19</v>
      </c>
      <c r="M1128" s="1016">
        <v>0.79652777777777783</v>
      </c>
      <c r="N1128" s="968">
        <f t="shared" si="203"/>
        <v>0.79652777777777783</v>
      </c>
      <c r="O1128" s="969">
        <v>0.79722222222222217</v>
      </c>
      <c r="P1128" s="969">
        <f t="shared" si="205"/>
        <v>6.9444444444433095E-4</v>
      </c>
      <c r="Q1128" s="1021" t="s">
        <v>1302</v>
      </c>
      <c r="R1128" s="1022"/>
      <c r="S1128" s="1009" t="str">
        <f t="shared" si="206"/>
        <v>BeaverEF1</v>
      </c>
      <c r="T1128" s="1009" t="str">
        <f t="shared" si="207"/>
        <v>2015EF1</v>
      </c>
      <c r="U1128" s="1019">
        <v>200</v>
      </c>
      <c r="V1128" s="1031">
        <v>1</v>
      </c>
      <c r="W1128" s="599">
        <v>0.2</v>
      </c>
      <c r="X1128" s="1009"/>
      <c r="Y1128" s="1006" t="str">
        <f t="shared" si="208"/>
        <v>EF1200</v>
      </c>
      <c r="Z1128" s="1006" t="str">
        <f t="shared" si="209"/>
        <v>EF11</v>
      </c>
      <c r="AA1128" s="1006" t="str">
        <f t="shared" si="210"/>
        <v>EF10.2</v>
      </c>
      <c r="AB1128" s="1010" t="str">
        <f t="shared" si="211"/>
        <v>EF119</v>
      </c>
      <c r="AC1128" s="1011"/>
      <c r="AD1128" s="1011"/>
      <c r="AE1128" s="572"/>
      <c r="AF1128" s="572"/>
    </row>
    <row r="1129" spans="1:32">
      <c r="A1129" s="947">
        <f t="shared" si="198"/>
        <v>1122</v>
      </c>
      <c r="B1129" s="1017">
        <v>30</v>
      </c>
      <c r="C1129" s="949">
        <v>42324</v>
      </c>
      <c r="D1129" s="1015" t="s">
        <v>183</v>
      </c>
      <c r="E1129" s="1020">
        <v>16</v>
      </c>
      <c r="F1129" s="967">
        <v>2015</v>
      </c>
      <c r="G1129" s="1015" t="s">
        <v>128</v>
      </c>
      <c r="H1129" s="1014" t="s">
        <v>190</v>
      </c>
      <c r="I1129" s="1015">
        <v>100</v>
      </c>
      <c r="J1129" s="1015">
        <v>4.22</v>
      </c>
      <c r="K1129" s="1001">
        <f t="shared" si="204"/>
        <v>0.23977272727272725</v>
      </c>
      <c r="L1129" s="967">
        <f t="shared" si="202"/>
        <v>19</v>
      </c>
      <c r="M1129" s="1016">
        <v>0.79861111111111116</v>
      </c>
      <c r="N1129" s="968">
        <f t="shared" si="203"/>
        <v>0.79861111111111116</v>
      </c>
      <c r="O1129" s="969">
        <v>0.8041666666666667</v>
      </c>
      <c r="P1129" s="969">
        <f t="shared" si="205"/>
        <v>5.5555555555555358E-3</v>
      </c>
      <c r="Q1129" s="1021" t="s">
        <v>1303</v>
      </c>
      <c r="R1129" s="1022"/>
      <c r="S1129" s="1009" t="str">
        <f t="shared" si="206"/>
        <v>BeaverEF0</v>
      </c>
      <c r="T1129" s="1009" t="str">
        <f t="shared" si="207"/>
        <v>2015EF0</v>
      </c>
      <c r="U1129" s="1019">
        <v>100</v>
      </c>
      <c r="V1129" s="1031">
        <v>2</v>
      </c>
      <c r="W1129" s="599">
        <v>0.2</v>
      </c>
      <c r="X1129" s="1009"/>
      <c r="Y1129" s="1006" t="str">
        <f t="shared" si="208"/>
        <v>EF0100</v>
      </c>
      <c r="Z1129" s="1006" t="str">
        <f t="shared" si="209"/>
        <v>EF02</v>
      </c>
      <c r="AA1129" s="1006" t="str">
        <f t="shared" si="210"/>
        <v>EF00.2</v>
      </c>
      <c r="AB1129" s="1010" t="str">
        <f t="shared" si="211"/>
        <v>EF019</v>
      </c>
      <c r="AC1129" s="1011"/>
      <c r="AD1129" s="1011"/>
      <c r="AE1129" s="572"/>
      <c r="AF1129" s="572"/>
    </row>
    <row r="1130" spans="1:32" ht="38.25">
      <c r="A1130" s="947">
        <f t="shared" si="198"/>
        <v>1123</v>
      </c>
      <c r="B1130" s="1017">
        <v>31</v>
      </c>
      <c r="C1130" s="949">
        <v>42324</v>
      </c>
      <c r="D1130" s="1015" t="s">
        <v>183</v>
      </c>
      <c r="E1130" s="1020">
        <v>16</v>
      </c>
      <c r="F1130" s="967">
        <v>2015</v>
      </c>
      <c r="G1130" s="1015" t="s">
        <v>142</v>
      </c>
      <c r="H1130" s="1014" t="s">
        <v>191</v>
      </c>
      <c r="I1130" s="1015">
        <v>300</v>
      </c>
      <c r="J1130" s="1015">
        <v>2.66</v>
      </c>
      <c r="K1130" s="1001">
        <f t="shared" si="204"/>
        <v>0.45340909090909087</v>
      </c>
      <c r="L1130" s="967">
        <f t="shared" si="202"/>
        <v>19</v>
      </c>
      <c r="M1130" s="1016">
        <v>0.80694444444444446</v>
      </c>
      <c r="N1130" s="968">
        <f t="shared" si="203"/>
        <v>0.80694444444444446</v>
      </c>
      <c r="O1130" s="969">
        <v>0.81111111111111101</v>
      </c>
      <c r="P1130" s="969">
        <f t="shared" si="205"/>
        <v>4.1666666666665408E-3</v>
      </c>
      <c r="Q1130" s="1021" t="s">
        <v>1304</v>
      </c>
      <c r="R1130" s="1022"/>
      <c r="S1130" s="1009" t="str">
        <f t="shared" si="206"/>
        <v>GrayEF1</v>
      </c>
      <c r="T1130" s="1009" t="str">
        <f t="shared" si="207"/>
        <v>2015EF1</v>
      </c>
      <c r="U1130" s="1019">
        <v>200</v>
      </c>
      <c r="V1130" s="1031">
        <v>2</v>
      </c>
      <c r="W1130" s="599">
        <v>0.2</v>
      </c>
      <c r="X1130" s="1009"/>
      <c r="Y1130" s="1006" t="str">
        <f t="shared" si="208"/>
        <v>EF1200</v>
      </c>
      <c r="Z1130" s="1006" t="str">
        <f t="shared" si="209"/>
        <v>EF12</v>
      </c>
      <c r="AA1130" s="1006" t="str">
        <f t="shared" si="210"/>
        <v>EF10.2</v>
      </c>
      <c r="AB1130" s="1010" t="str">
        <f t="shared" si="211"/>
        <v>EF119</v>
      </c>
      <c r="AC1130" s="1011"/>
      <c r="AD1130" s="1011"/>
      <c r="AE1130" s="572"/>
      <c r="AF1130" s="572"/>
    </row>
    <row r="1131" spans="1:32" ht="25.5">
      <c r="A1131" s="947">
        <f t="shared" si="198"/>
        <v>1124</v>
      </c>
      <c r="B1131" s="1017">
        <v>32</v>
      </c>
      <c r="C1131" s="949">
        <v>42324</v>
      </c>
      <c r="D1131" s="1015" t="s">
        <v>183</v>
      </c>
      <c r="E1131" s="1020">
        <v>16</v>
      </c>
      <c r="F1131" s="967">
        <v>2015</v>
      </c>
      <c r="G1131" s="1015" t="s">
        <v>137</v>
      </c>
      <c r="H1131" s="1014" t="s">
        <v>191</v>
      </c>
      <c r="I1131" s="1015">
        <v>300</v>
      </c>
      <c r="J1131" s="1015">
        <v>13.34</v>
      </c>
      <c r="K1131" s="1001">
        <f t="shared" si="204"/>
        <v>2.273863636363636</v>
      </c>
      <c r="L1131" s="967">
        <f t="shared" si="202"/>
        <v>19</v>
      </c>
      <c r="M1131" s="1016">
        <v>0.81111111111111101</v>
      </c>
      <c r="N1131" s="968">
        <f t="shared" si="203"/>
        <v>0.81111111111111101</v>
      </c>
      <c r="O1131" s="969">
        <v>0.8222222222222223</v>
      </c>
      <c r="P1131" s="969">
        <f t="shared" si="205"/>
        <v>1.1111111111111294E-2</v>
      </c>
      <c r="Q1131" s="1021" t="s">
        <v>1305</v>
      </c>
      <c r="R1131" s="1022"/>
      <c r="S1131" s="1009" t="str">
        <f t="shared" si="206"/>
        <v>RobertsEF1</v>
      </c>
      <c r="T1131" s="1009" t="str">
        <f t="shared" si="207"/>
        <v>2015EF1</v>
      </c>
      <c r="U1131" s="1019">
        <v>200</v>
      </c>
      <c r="V1131" s="1031">
        <v>10</v>
      </c>
      <c r="W1131" s="599">
        <v>2</v>
      </c>
      <c r="X1131" s="1009"/>
      <c r="Y1131" s="1006" t="str">
        <f t="shared" si="208"/>
        <v>EF1200</v>
      </c>
      <c r="Z1131" s="1006" t="str">
        <f t="shared" si="209"/>
        <v>EF110</v>
      </c>
      <c r="AA1131" s="1006" t="str">
        <f t="shared" si="210"/>
        <v>EF12</v>
      </c>
      <c r="AB1131" s="1010" t="str">
        <f t="shared" si="211"/>
        <v>EF119</v>
      </c>
      <c r="AC1131" s="1011"/>
      <c r="AD1131" s="1011"/>
      <c r="AE1131" s="572"/>
      <c r="AF1131" s="572"/>
    </row>
    <row r="1132" spans="1:32">
      <c r="A1132" s="947">
        <f t="shared" si="198"/>
        <v>1125</v>
      </c>
      <c r="B1132" s="1017">
        <v>33</v>
      </c>
      <c r="C1132" s="949">
        <v>42324</v>
      </c>
      <c r="D1132" s="1015" t="s">
        <v>183</v>
      </c>
      <c r="E1132" s="1020">
        <v>16</v>
      </c>
      <c r="F1132" s="967">
        <v>2015</v>
      </c>
      <c r="G1132" s="1015" t="s">
        <v>136</v>
      </c>
      <c r="H1132" s="1014" t="s">
        <v>190</v>
      </c>
      <c r="I1132" s="1015">
        <v>50</v>
      </c>
      <c r="J1132" s="1015">
        <v>0.56000000000000005</v>
      </c>
      <c r="K1132" s="1001">
        <f t="shared" si="204"/>
        <v>1.5909090909090911E-2</v>
      </c>
      <c r="L1132" s="967">
        <f t="shared" si="202"/>
        <v>19</v>
      </c>
      <c r="M1132" s="1016">
        <v>0.82152777777777775</v>
      </c>
      <c r="N1132" s="968">
        <f t="shared" si="203"/>
        <v>0.82152777777777775</v>
      </c>
      <c r="O1132" s="969">
        <v>0.8222222222222223</v>
      </c>
      <c r="P1132" s="969">
        <f t="shared" si="205"/>
        <v>6.94444444444553E-4</v>
      </c>
      <c r="Q1132" s="1021" t="s">
        <v>1306</v>
      </c>
      <c r="R1132" s="1022"/>
      <c r="S1132" s="1009" t="str">
        <f t="shared" si="206"/>
        <v>HutchinsonEF0</v>
      </c>
      <c r="T1132" s="1009" t="str">
        <f t="shared" si="207"/>
        <v>2015EF0</v>
      </c>
      <c r="U1132" s="1019">
        <v>50</v>
      </c>
      <c r="V1132" s="1031">
        <v>0.5</v>
      </c>
      <c r="W1132" s="599">
        <v>0.01</v>
      </c>
      <c r="X1132" s="1009"/>
      <c r="Y1132" s="1006" t="str">
        <f t="shared" si="208"/>
        <v>EF050</v>
      </c>
      <c r="Z1132" s="1006" t="str">
        <f t="shared" si="209"/>
        <v>EF00.5</v>
      </c>
      <c r="AA1132" s="1006" t="str">
        <f t="shared" si="210"/>
        <v>EF00.01</v>
      </c>
      <c r="AB1132" s="1010" t="str">
        <f t="shared" si="211"/>
        <v>EF019</v>
      </c>
      <c r="AC1132" s="1011"/>
      <c r="AD1132" s="1011"/>
      <c r="AE1132" s="572"/>
      <c r="AF1132" s="572"/>
    </row>
    <row r="1133" spans="1:32" ht="25.5">
      <c r="A1133" s="947">
        <f t="shared" si="198"/>
        <v>1126</v>
      </c>
      <c r="B1133" s="1017">
        <v>34</v>
      </c>
      <c r="C1133" s="949">
        <v>42324</v>
      </c>
      <c r="D1133" s="1015" t="s">
        <v>183</v>
      </c>
      <c r="E1133" s="1020">
        <v>16</v>
      </c>
      <c r="F1133" s="967">
        <v>2015</v>
      </c>
      <c r="G1133" s="1015" t="s">
        <v>137</v>
      </c>
      <c r="H1133" s="1014" t="s">
        <v>190</v>
      </c>
      <c r="I1133" s="1015">
        <v>50</v>
      </c>
      <c r="J1133" s="1015">
        <v>5.72</v>
      </c>
      <c r="K1133" s="1001">
        <f t="shared" si="204"/>
        <v>0.16249999999999998</v>
      </c>
      <c r="L1133" s="967">
        <f t="shared" si="202"/>
        <v>19</v>
      </c>
      <c r="M1133" s="1016">
        <v>0.82291666666666663</v>
      </c>
      <c r="N1133" s="968">
        <f t="shared" si="203"/>
        <v>0.82291666666666663</v>
      </c>
      <c r="O1133" s="969">
        <v>0.82777777777777783</v>
      </c>
      <c r="P1133" s="969">
        <f t="shared" si="205"/>
        <v>4.8611111111112049E-3</v>
      </c>
      <c r="Q1133" s="1021" t="s">
        <v>1307</v>
      </c>
      <c r="R1133" s="1022"/>
      <c r="S1133" s="1009" t="str">
        <f t="shared" si="206"/>
        <v>RobertsEF0</v>
      </c>
      <c r="T1133" s="1009" t="str">
        <f t="shared" si="207"/>
        <v>2015EF0</v>
      </c>
      <c r="U1133" s="1019">
        <v>50</v>
      </c>
      <c r="V1133" s="1031">
        <v>5</v>
      </c>
      <c r="W1133" s="599">
        <v>0.1</v>
      </c>
      <c r="X1133" s="1009"/>
      <c r="Y1133" s="1006" t="str">
        <f t="shared" si="208"/>
        <v>EF050</v>
      </c>
      <c r="Z1133" s="1006" t="str">
        <f t="shared" si="209"/>
        <v>EF05</v>
      </c>
      <c r="AA1133" s="1006" t="str">
        <f t="shared" si="210"/>
        <v>EF00.1</v>
      </c>
      <c r="AB1133" s="1010" t="str">
        <f t="shared" si="211"/>
        <v>EF019</v>
      </c>
      <c r="AC1133" s="1011"/>
      <c r="AD1133" s="1011"/>
      <c r="AE1133" s="572"/>
      <c r="AF1133" s="572"/>
    </row>
    <row r="1134" spans="1:32" ht="25.5">
      <c r="A1134" s="947">
        <f t="shared" si="198"/>
        <v>1127</v>
      </c>
      <c r="B1134" s="1017">
        <v>35</v>
      </c>
      <c r="C1134" s="949">
        <v>42324</v>
      </c>
      <c r="D1134" s="1015" t="s">
        <v>183</v>
      </c>
      <c r="E1134" s="1020">
        <v>16</v>
      </c>
      <c r="F1134" s="967">
        <v>2015</v>
      </c>
      <c r="G1134" s="1015" t="s">
        <v>138</v>
      </c>
      <c r="H1134" s="1014" t="s">
        <v>190</v>
      </c>
      <c r="I1134" s="1015">
        <v>50</v>
      </c>
      <c r="J1134" s="1015">
        <v>1.49</v>
      </c>
      <c r="K1134" s="1001">
        <f t="shared" si="204"/>
        <v>4.2329545454545453E-2</v>
      </c>
      <c r="L1134" s="967">
        <f t="shared" si="202"/>
        <v>19</v>
      </c>
      <c r="M1134" s="1016">
        <v>0.82777777777777783</v>
      </c>
      <c r="N1134" s="968">
        <f t="shared" si="203"/>
        <v>0.82777777777777783</v>
      </c>
      <c r="O1134" s="969">
        <v>0.82986111111111116</v>
      </c>
      <c r="P1134" s="969">
        <f t="shared" si="205"/>
        <v>2.0833333333333259E-3</v>
      </c>
      <c r="Q1134" s="1021" t="s">
        <v>1308</v>
      </c>
      <c r="R1134" s="1022"/>
      <c r="S1134" s="1009" t="str">
        <f t="shared" si="206"/>
        <v>HemphillEF0</v>
      </c>
      <c r="T1134" s="1009" t="str">
        <f t="shared" si="207"/>
        <v>2015EF0</v>
      </c>
      <c r="U1134" s="1019">
        <v>50</v>
      </c>
      <c r="V1134" s="1031">
        <v>1</v>
      </c>
      <c r="W1134" s="599">
        <v>0.02</v>
      </c>
      <c r="X1134" s="1009"/>
      <c r="Y1134" s="1006" t="str">
        <f t="shared" si="208"/>
        <v>EF050</v>
      </c>
      <c r="Z1134" s="1006" t="str">
        <f t="shared" si="209"/>
        <v>EF01</v>
      </c>
      <c r="AA1134" s="1006" t="str">
        <f t="shared" si="210"/>
        <v>EF00.02</v>
      </c>
      <c r="AB1134" s="1010" t="str">
        <f t="shared" si="211"/>
        <v>EF019</v>
      </c>
      <c r="AC1134" s="1011"/>
      <c r="AD1134" s="1011"/>
      <c r="AE1134" s="572"/>
      <c r="AF1134" s="572"/>
    </row>
    <row r="1135" spans="1:32">
      <c r="A1135" s="947">
        <f t="shared" si="198"/>
        <v>1128</v>
      </c>
      <c r="B1135" s="1017">
        <v>36</v>
      </c>
      <c r="C1135" s="949">
        <v>42324</v>
      </c>
      <c r="D1135" s="1015" t="s">
        <v>183</v>
      </c>
      <c r="E1135" s="1020">
        <v>16</v>
      </c>
      <c r="F1135" s="967">
        <v>2015</v>
      </c>
      <c r="G1135" s="1015" t="s">
        <v>140</v>
      </c>
      <c r="H1135" s="1014" t="s">
        <v>190</v>
      </c>
      <c r="I1135" s="1015">
        <v>50</v>
      </c>
      <c r="J1135" s="1015">
        <v>0.38</v>
      </c>
      <c r="K1135" s="1001">
        <f t="shared" si="204"/>
        <v>1.0795454545454546E-2</v>
      </c>
      <c r="L1135" s="967">
        <f t="shared" si="202"/>
        <v>19</v>
      </c>
      <c r="M1135" s="1016">
        <v>0.83194444444444438</v>
      </c>
      <c r="N1135" s="968">
        <f t="shared" si="203"/>
        <v>0.83194444444444438</v>
      </c>
      <c r="O1135" s="969">
        <v>0.83263888888888893</v>
      </c>
      <c r="P1135" s="969">
        <f t="shared" si="205"/>
        <v>6.94444444444553E-4</v>
      </c>
      <c r="Q1135" s="1021" t="s">
        <v>1309</v>
      </c>
      <c r="R1135" s="1022"/>
      <c r="S1135" s="1009" t="str">
        <f t="shared" si="206"/>
        <v>PotterEF0</v>
      </c>
      <c r="T1135" s="1009" t="str">
        <f t="shared" si="207"/>
        <v>2015EF0</v>
      </c>
      <c r="U1135" s="1019">
        <v>50</v>
      </c>
      <c r="V1135" s="1031">
        <v>0.2</v>
      </c>
      <c r="W1135" s="599">
        <v>0.01</v>
      </c>
      <c r="X1135" s="1009"/>
      <c r="Y1135" s="1006" t="str">
        <f t="shared" si="208"/>
        <v>EF050</v>
      </c>
      <c r="Z1135" s="1006" t="str">
        <f t="shared" si="209"/>
        <v>EF00.2</v>
      </c>
      <c r="AA1135" s="1006" t="str">
        <f t="shared" si="210"/>
        <v>EF00.01</v>
      </c>
      <c r="AB1135" s="1010" t="str">
        <f t="shared" si="211"/>
        <v>EF019</v>
      </c>
      <c r="AC1135" s="1011"/>
      <c r="AD1135" s="1011"/>
      <c r="AE1135" s="572"/>
      <c r="AF1135" s="572"/>
    </row>
    <row r="1136" spans="1:32" ht="25.5">
      <c r="A1136" s="947">
        <f t="shared" si="198"/>
        <v>1129</v>
      </c>
      <c r="B1136" s="1017">
        <v>37</v>
      </c>
      <c r="C1136" s="949">
        <v>42324</v>
      </c>
      <c r="D1136" s="1015" t="s">
        <v>183</v>
      </c>
      <c r="E1136" s="1020">
        <v>16</v>
      </c>
      <c r="F1136" s="967">
        <v>2015</v>
      </c>
      <c r="G1136" s="1015" t="s">
        <v>138</v>
      </c>
      <c r="H1136" s="1014" t="s">
        <v>191</v>
      </c>
      <c r="I1136" s="1015">
        <v>50</v>
      </c>
      <c r="J1136" s="1015">
        <v>2.76</v>
      </c>
      <c r="K1136" s="1001">
        <f t="shared" si="204"/>
        <v>7.8409090909090901E-2</v>
      </c>
      <c r="L1136" s="967">
        <f t="shared" si="202"/>
        <v>20</v>
      </c>
      <c r="M1136" s="1016">
        <v>0.84722222222222221</v>
      </c>
      <c r="N1136" s="968">
        <f t="shared" si="203"/>
        <v>0.84722222222222221</v>
      </c>
      <c r="O1136" s="969">
        <v>0.85138888888888886</v>
      </c>
      <c r="P1136" s="969">
        <f t="shared" si="205"/>
        <v>4.1666666666666519E-3</v>
      </c>
      <c r="Q1136" s="1021" t="s">
        <v>1310</v>
      </c>
      <c r="R1136" s="1022"/>
      <c r="S1136" s="1009" t="str">
        <f t="shared" si="206"/>
        <v>HemphillEF1</v>
      </c>
      <c r="T1136" s="1009" t="str">
        <f t="shared" si="207"/>
        <v>2015EF1</v>
      </c>
      <c r="U1136" s="1019">
        <v>50</v>
      </c>
      <c r="V1136" s="1031">
        <v>2</v>
      </c>
      <c r="W1136" s="599">
        <v>0.05</v>
      </c>
      <c r="X1136" s="1009"/>
      <c r="Y1136" s="1006" t="str">
        <f t="shared" si="208"/>
        <v>EF150</v>
      </c>
      <c r="Z1136" s="1006" t="str">
        <f t="shared" si="209"/>
        <v>EF12</v>
      </c>
      <c r="AA1136" s="1006" t="str">
        <f t="shared" si="210"/>
        <v>EF10.05</v>
      </c>
      <c r="AB1136" s="1010" t="str">
        <f t="shared" si="211"/>
        <v>EF120</v>
      </c>
      <c r="AC1136" s="1011"/>
      <c r="AD1136" s="1011"/>
      <c r="AE1136" s="572"/>
      <c r="AF1136" s="572"/>
    </row>
    <row r="1137" spans="1:32" ht="38.25">
      <c r="A1137" s="947">
        <f t="shared" si="198"/>
        <v>1130</v>
      </c>
      <c r="B1137" s="1017">
        <v>38</v>
      </c>
      <c r="C1137" s="949">
        <v>42324</v>
      </c>
      <c r="D1137" s="1015" t="s">
        <v>183</v>
      </c>
      <c r="E1137" s="1020">
        <v>16</v>
      </c>
      <c r="F1137" s="967">
        <v>2015</v>
      </c>
      <c r="G1137" s="1015" t="s">
        <v>133</v>
      </c>
      <c r="H1137" s="1014" t="s">
        <v>191</v>
      </c>
      <c r="I1137" s="1015">
        <v>50</v>
      </c>
      <c r="J1137" s="1015">
        <v>23.27</v>
      </c>
      <c r="K1137" s="1001">
        <f t="shared" si="204"/>
        <v>0.66107954545454539</v>
      </c>
      <c r="L1137" s="967">
        <f t="shared" si="202"/>
        <v>20</v>
      </c>
      <c r="M1137" s="1016">
        <v>0.85138888888888886</v>
      </c>
      <c r="N1137" s="968">
        <f t="shared" si="203"/>
        <v>0.85138888888888886</v>
      </c>
      <c r="O1137" s="969">
        <v>0.86875000000000002</v>
      </c>
      <c r="P1137" s="969">
        <f t="shared" si="205"/>
        <v>1.736111111111116E-2</v>
      </c>
      <c r="Q1137" s="1021" t="s">
        <v>1311</v>
      </c>
      <c r="R1137" s="1022"/>
      <c r="S1137" s="1009" t="str">
        <f t="shared" si="206"/>
        <v>LipscombEF1</v>
      </c>
      <c r="T1137" s="1009" t="str">
        <f t="shared" si="207"/>
        <v>2015EF1</v>
      </c>
      <c r="U1137" s="1019">
        <v>50</v>
      </c>
      <c r="V1137" s="1031">
        <v>20</v>
      </c>
      <c r="W1137" s="599">
        <v>0.5</v>
      </c>
      <c r="X1137" s="1009"/>
      <c r="Y1137" s="1006" t="str">
        <f t="shared" si="208"/>
        <v>EF150</v>
      </c>
      <c r="Z1137" s="1006" t="str">
        <f t="shared" si="209"/>
        <v>EF120</v>
      </c>
      <c r="AA1137" s="1006" t="str">
        <f t="shared" si="210"/>
        <v>EF10.5</v>
      </c>
      <c r="AB1137" s="1010" t="str">
        <f t="shared" si="211"/>
        <v>EF120</v>
      </c>
      <c r="AC1137" s="1011"/>
      <c r="AD1137" s="1011"/>
      <c r="AE1137" s="572"/>
      <c r="AF1137" s="572"/>
    </row>
    <row r="1138" spans="1:32">
      <c r="A1138" s="947">
        <f t="shared" si="198"/>
        <v>1131</v>
      </c>
      <c r="B1138" s="1017">
        <v>39</v>
      </c>
      <c r="C1138" s="949">
        <v>42324</v>
      </c>
      <c r="D1138" s="1015" t="s">
        <v>183</v>
      </c>
      <c r="E1138" s="1020">
        <v>16</v>
      </c>
      <c r="F1138" s="967">
        <v>2015</v>
      </c>
      <c r="G1138" s="1015" t="s">
        <v>132</v>
      </c>
      <c r="H1138" s="1014" t="s">
        <v>191</v>
      </c>
      <c r="I1138" s="1015">
        <v>70</v>
      </c>
      <c r="J1138" s="1015">
        <v>14.59</v>
      </c>
      <c r="K1138" s="1001">
        <f t="shared" si="204"/>
        <v>0.58028409090909094</v>
      </c>
      <c r="L1138" s="967">
        <f t="shared" si="202"/>
        <v>20</v>
      </c>
      <c r="M1138" s="1016">
        <v>0.85138888888888886</v>
      </c>
      <c r="N1138" s="968">
        <f t="shared" si="203"/>
        <v>0.85138888888888886</v>
      </c>
      <c r="O1138" s="969">
        <v>0.86875000000000002</v>
      </c>
      <c r="P1138" s="969">
        <f t="shared" si="205"/>
        <v>1.736111111111116E-2</v>
      </c>
      <c r="Q1138" s="1021" t="s">
        <v>1312</v>
      </c>
      <c r="R1138" s="1022"/>
      <c r="S1138" s="1009" t="str">
        <f t="shared" si="206"/>
        <v>OchiltreeEF1</v>
      </c>
      <c r="T1138" s="1009" t="str">
        <f t="shared" si="207"/>
        <v>2015EF1</v>
      </c>
      <c r="U1138" s="1019">
        <v>50</v>
      </c>
      <c r="V1138" s="1031">
        <v>10</v>
      </c>
      <c r="W1138" s="599">
        <v>0.5</v>
      </c>
      <c r="X1138" s="1009"/>
      <c r="Y1138" s="1006" t="str">
        <f t="shared" si="208"/>
        <v>EF150</v>
      </c>
      <c r="Z1138" s="1006" t="str">
        <f t="shared" si="209"/>
        <v>EF110</v>
      </c>
      <c r="AA1138" s="1006" t="str">
        <f t="shared" si="210"/>
        <v>EF10.5</v>
      </c>
      <c r="AB1138" s="1010" t="str">
        <f t="shared" si="211"/>
        <v>EF120</v>
      </c>
      <c r="AC1138" s="1011"/>
      <c r="AD1138" s="1011"/>
      <c r="AE1138" s="572"/>
      <c r="AF1138" s="572"/>
    </row>
    <row r="1139" spans="1:32">
      <c r="A1139" s="947">
        <f t="shared" si="198"/>
        <v>1132</v>
      </c>
      <c r="B1139" s="1017">
        <v>40</v>
      </c>
      <c r="C1139" s="949">
        <v>42324</v>
      </c>
      <c r="D1139" s="1015" t="s">
        <v>183</v>
      </c>
      <c r="E1139" s="1020">
        <v>16</v>
      </c>
      <c r="F1139" s="967">
        <v>2015</v>
      </c>
      <c r="G1139" s="1015" t="s">
        <v>133</v>
      </c>
      <c r="H1139" s="1014" t="s">
        <v>190</v>
      </c>
      <c r="I1139" s="1015">
        <v>100</v>
      </c>
      <c r="J1139" s="1015">
        <v>4.6900000000000004</v>
      </c>
      <c r="K1139" s="1001">
        <f t="shared" si="204"/>
        <v>0.26647727272727273</v>
      </c>
      <c r="L1139" s="967">
        <f t="shared" si="202"/>
        <v>20</v>
      </c>
      <c r="M1139" s="1016">
        <v>0.87430555555555556</v>
      </c>
      <c r="N1139" s="968">
        <f t="shared" si="203"/>
        <v>0.87430555555555556</v>
      </c>
      <c r="O1139" s="969">
        <v>0.87986111111111109</v>
      </c>
      <c r="P1139" s="969">
        <f t="shared" si="205"/>
        <v>5.5555555555555358E-3</v>
      </c>
      <c r="Q1139" s="1021" t="s">
        <v>1313</v>
      </c>
      <c r="R1139" s="1022"/>
      <c r="S1139" s="1009" t="str">
        <f t="shared" si="206"/>
        <v>LipscombEF0</v>
      </c>
      <c r="T1139" s="1009" t="str">
        <f t="shared" si="207"/>
        <v>2015EF0</v>
      </c>
      <c r="U1139" s="1019">
        <v>100</v>
      </c>
      <c r="V1139" s="1031">
        <v>2</v>
      </c>
      <c r="W1139" s="599">
        <v>0.2</v>
      </c>
      <c r="X1139" s="1009"/>
      <c r="Y1139" s="1006" t="str">
        <f t="shared" si="208"/>
        <v>EF0100</v>
      </c>
      <c r="Z1139" s="1006" t="str">
        <f t="shared" si="209"/>
        <v>EF02</v>
      </c>
      <c r="AA1139" s="1006" t="str">
        <f t="shared" si="210"/>
        <v>EF00.2</v>
      </c>
      <c r="AB1139" s="1010" t="str">
        <f t="shared" si="211"/>
        <v>EF020</v>
      </c>
      <c r="AC1139" s="1011"/>
      <c r="AD1139" s="1011"/>
      <c r="AE1139" s="572"/>
      <c r="AF1139" s="572"/>
    </row>
    <row r="1140" spans="1:32">
      <c r="A1140" s="947">
        <f t="shared" si="198"/>
        <v>1133</v>
      </c>
      <c r="B1140" s="1017">
        <v>41</v>
      </c>
      <c r="C1140" s="949">
        <v>42324</v>
      </c>
      <c r="D1140" s="1015" t="s">
        <v>183</v>
      </c>
      <c r="E1140" s="1020">
        <v>16</v>
      </c>
      <c r="F1140" s="967">
        <v>2015</v>
      </c>
      <c r="G1140" s="1015" t="s">
        <v>128</v>
      </c>
      <c r="H1140" s="1014" t="s">
        <v>191</v>
      </c>
      <c r="I1140" s="1015">
        <v>500</v>
      </c>
      <c r="J1140" s="1015">
        <v>8.93</v>
      </c>
      <c r="K1140" s="1001">
        <f t="shared" si="204"/>
        <v>2.5369318181818183</v>
      </c>
      <c r="L1140" s="967">
        <f t="shared" si="202"/>
        <v>21</v>
      </c>
      <c r="M1140" s="1016">
        <v>0.89166666666666661</v>
      </c>
      <c r="N1140" s="968">
        <f t="shared" si="203"/>
        <v>0.89166666666666661</v>
      </c>
      <c r="O1140" s="969">
        <v>0.90069444444444446</v>
      </c>
      <c r="P1140" s="969">
        <f t="shared" si="205"/>
        <v>9.0277777777778567E-3</v>
      </c>
      <c r="Q1140" s="1021" t="s">
        <v>1314</v>
      </c>
      <c r="R1140" s="1022"/>
      <c r="S1140" s="1009" t="str">
        <f t="shared" si="206"/>
        <v>BeaverEF1</v>
      </c>
      <c r="T1140" s="1009" t="str">
        <f t="shared" si="207"/>
        <v>2015EF1</v>
      </c>
      <c r="U1140" s="1019">
        <v>500</v>
      </c>
      <c r="V1140" s="1031">
        <v>5</v>
      </c>
      <c r="W1140" s="599">
        <v>2</v>
      </c>
      <c r="X1140" s="1009"/>
      <c r="Y1140" s="1006" t="str">
        <f t="shared" si="208"/>
        <v>EF1500</v>
      </c>
      <c r="Z1140" s="1006" t="str">
        <f t="shared" si="209"/>
        <v>EF15</v>
      </c>
      <c r="AA1140" s="1006" t="str">
        <f t="shared" si="210"/>
        <v>EF12</v>
      </c>
      <c r="AB1140" s="1010" t="str">
        <f t="shared" si="211"/>
        <v>EF121</v>
      </c>
      <c r="AC1140" s="1011"/>
      <c r="AD1140" s="1011"/>
      <c r="AE1140" s="572"/>
      <c r="AF1140" s="572"/>
    </row>
    <row r="1141" spans="1:32" ht="38.25">
      <c r="A1141" s="947">
        <f t="shared" si="198"/>
        <v>1134</v>
      </c>
      <c r="B1141" s="1017">
        <v>42</v>
      </c>
      <c r="C1141" s="949">
        <v>42350</v>
      </c>
      <c r="D1141" s="1015" t="s">
        <v>184</v>
      </c>
      <c r="E1141" s="1020">
        <v>12</v>
      </c>
      <c r="F1141" s="967">
        <v>2015</v>
      </c>
      <c r="G1141" s="1015" t="s">
        <v>142</v>
      </c>
      <c r="H1141" s="1014" t="s">
        <v>190</v>
      </c>
      <c r="I1141" s="1015">
        <v>50</v>
      </c>
      <c r="J1141" s="1015">
        <v>0.04</v>
      </c>
      <c r="K1141" s="1001">
        <f t="shared" si="204"/>
        <v>1.1363636363636363E-3</v>
      </c>
      <c r="L1141" s="967">
        <f t="shared" si="202"/>
        <v>17</v>
      </c>
      <c r="M1141" s="1016">
        <v>0.74513888888888891</v>
      </c>
      <c r="N1141" s="968">
        <f t="shared" si="203"/>
        <v>0.74513888888888891</v>
      </c>
      <c r="O1141" s="969">
        <v>0.74583333333333324</v>
      </c>
      <c r="P1141" s="969">
        <f t="shared" si="205"/>
        <v>6.9444444444433095E-4</v>
      </c>
      <c r="Q1141" s="1021" t="s">
        <v>1315</v>
      </c>
      <c r="R1141" s="1022"/>
      <c r="S1141" s="1009" t="str">
        <f t="shared" si="206"/>
        <v>GrayEF0</v>
      </c>
      <c r="T1141" s="1009" t="str">
        <f t="shared" si="207"/>
        <v>2015EF0</v>
      </c>
      <c r="U1141" s="1019">
        <v>50</v>
      </c>
      <c r="V1141" s="1031">
        <v>0</v>
      </c>
      <c r="W1141" s="599">
        <v>1E-3</v>
      </c>
      <c r="X1141" s="1009"/>
      <c r="Y1141" s="1006" t="str">
        <f t="shared" si="208"/>
        <v>EF050</v>
      </c>
      <c r="Z1141" s="1006" t="str">
        <f t="shared" si="209"/>
        <v>EF00</v>
      </c>
      <c r="AA1141" s="1006" t="str">
        <f t="shared" si="210"/>
        <v>EF00.001</v>
      </c>
      <c r="AB1141" s="1010" t="str">
        <f t="shared" si="211"/>
        <v>EF017</v>
      </c>
      <c r="AC1141" s="1011"/>
      <c r="AD1141" s="1011"/>
      <c r="AE1141" s="572"/>
      <c r="AF1141" s="572"/>
    </row>
    <row r="1142" spans="1:32">
      <c r="A1142" s="947">
        <f t="shared" si="198"/>
        <v>1135</v>
      </c>
      <c r="B1142" s="985"/>
      <c r="C1142" s="984"/>
      <c r="D1142" s="1000"/>
      <c r="E1142" s="1003"/>
      <c r="F1142" s="1004"/>
      <c r="G1142" s="1000"/>
      <c r="H1142" s="997"/>
      <c r="I1142" s="1000"/>
      <c r="J1142" s="1000"/>
      <c r="K1142" s="1001">
        <f t="shared" si="204"/>
        <v>0</v>
      </c>
      <c r="L1142" s="967">
        <f t="shared" si="202"/>
        <v>0</v>
      </c>
      <c r="M1142" s="998"/>
      <c r="N1142" s="968">
        <f t="shared" si="203"/>
        <v>0</v>
      </c>
      <c r="O1142" s="1002"/>
      <c r="P1142" s="969">
        <f t="shared" si="205"/>
        <v>0</v>
      </c>
      <c r="Q1142" s="999"/>
      <c r="R1142" s="441"/>
      <c r="S1142" s="1006" t="str">
        <f t="shared" si="206"/>
        <v/>
      </c>
      <c r="T1142" s="1006" t="str">
        <f>CONCATENATE(F1142,H1142)</f>
        <v/>
      </c>
      <c r="U1142" s="1007"/>
      <c r="V1142" s="1032"/>
      <c r="W1142" s="1008"/>
      <c r="X1142" s="1009"/>
      <c r="Y1142" s="1006" t="str">
        <f t="shared" si="208"/>
        <v/>
      </c>
      <c r="Z1142" s="1006" t="str">
        <f t="shared" si="209"/>
        <v/>
      </c>
      <c r="AA1142" s="1006" t="str">
        <f t="shared" si="210"/>
        <v/>
      </c>
      <c r="AB1142" s="1010" t="str">
        <f t="shared" si="211"/>
        <v>0</v>
      </c>
      <c r="AC1142" s="1011"/>
      <c r="AD1142" s="1011"/>
      <c r="AE1142" s="572"/>
      <c r="AF1142" s="572"/>
    </row>
    <row r="1143" spans="1:32">
      <c r="A1143" s="947">
        <f t="shared" si="198"/>
        <v>1136</v>
      </c>
      <c r="B1143" s="985"/>
      <c r="C1143" s="984"/>
      <c r="D1143" s="1000"/>
      <c r="E1143" s="1003"/>
      <c r="F1143" s="1004"/>
      <c r="G1143" s="1000"/>
      <c r="H1143" s="997"/>
      <c r="I1143" s="1000"/>
      <c r="J1143" s="1000"/>
      <c r="K1143" s="1001">
        <f t="shared" si="204"/>
        <v>0</v>
      </c>
      <c r="L1143" s="967">
        <f t="shared" si="202"/>
        <v>0</v>
      </c>
      <c r="M1143" s="998"/>
      <c r="N1143" s="968">
        <f t="shared" si="203"/>
        <v>0</v>
      </c>
      <c r="O1143" s="1002"/>
      <c r="P1143" s="969">
        <f t="shared" si="205"/>
        <v>0</v>
      </c>
      <c r="Q1143" s="999"/>
      <c r="R1143" s="441"/>
      <c r="S1143" s="1006" t="str">
        <f t="shared" si="206"/>
        <v/>
      </c>
      <c r="T1143" s="1006" t="str">
        <f t="shared" si="207"/>
        <v/>
      </c>
      <c r="U1143" s="1007"/>
      <c r="V1143" s="1032"/>
      <c r="W1143" s="1008"/>
      <c r="X1143" s="1009"/>
      <c r="Y1143" s="1006" t="str">
        <f t="shared" si="208"/>
        <v/>
      </c>
      <c r="Z1143" s="1006" t="str">
        <f t="shared" si="209"/>
        <v/>
      </c>
      <c r="AA1143" s="1006" t="str">
        <f t="shared" si="210"/>
        <v/>
      </c>
      <c r="AB1143" s="1010" t="str">
        <f t="shared" si="211"/>
        <v>0</v>
      </c>
      <c r="AC1143" s="1011"/>
      <c r="AD1143" s="1011"/>
      <c r="AE1143" s="572"/>
      <c r="AF1143" s="572"/>
    </row>
    <row r="1144" spans="1:32">
      <c r="A1144" s="947">
        <f t="shared" si="198"/>
        <v>1137</v>
      </c>
      <c r="B1144" s="985"/>
      <c r="C1144" s="984"/>
      <c r="D1144" s="1000"/>
      <c r="E1144" s="1003"/>
      <c r="F1144" s="1004"/>
      <c r="G1144" s="1000"/>
      <c r="H1144" s="997"/>
      <c r="I1144" s="1000"/>
      <c r="J1144" s="1000"/>
      <c r="K1144" s="1001">
        <f t="shared" si="204"/>
        <v>0</v>
      </c>
      <c r="L1144" s="967">
        <f t="shared" si="202"/>
        <v>0</v>
      </c>
      <c r="M1144" s="998"/>
      <c r="N1144" s="968">
        <f t="shared" si="203"/>
        <v>0</v>
      </c>
      <c r="O1144" s="1002"/>
      <c r="P1144" s="969">
        <f t="shared" si="205"/>
        <v>0</v>
      </c>
      <c r="Q1144" s="999"/>
      <c r="R1144" s="441"/>
      <c r="S1144" s="1006" t="str">
        <f t="shared" si="206"/>
        <v/>
      </c>
      <c r="T1144" s="1006" t="str">
        <f t="shared" si="207"/>
        <v/>
      </c>
      <c r="U1144" s="1007"/>
      <c r="V1144" s="1032"/>
      <c r="W1144" s="1008"/>
      <c r="X1144" s="1009"/>
      <c r="Y1144" s="1006" t="str">
        <f t="shared" si="208"/>
        <v/>
      </c>
      <c r="Z1144" s="1006" t="str">
        <f t="shared" si="209"/>
        <v/>
      </c>
      <c r="AA1144" s="1006" t="str">
        <f t="shared" si="210"/>
        <v/>
      </c>
      <c r="AB1144" s="1010" t="str">
        <f t="shared" si="211"/>
        <v>0</v>
      </c>
      <c r="AC1144" s="1011"/>
      <c r="AD1144" s="1011"/>
      <c r="AE1144" s="572"/>
      <c r="AF1144" s="572"/>
    </row>
    <row r="1145" spans="1:32">
      <c r="A1145" s="947">
        <f t="shared" si="198"/>
        <v>1138</v>
      </c>
      <c r="B1145" s="985"/>
      <c r="C1145" s="984"/>
      <c r="D1145" s="1000"/>
      <c r="E1145" s="1003"/>
      <c r="F1145" s="1004"/>
      <c r="G1145" s="1000"/>
      <c r="H1145" s="997"/>
      <c r="I1145" s="1000"/>
      <c r="J1145" s="1000"/>
      <c r="K1145" s="1001">
        <f t="shared" si="204"/>
        <v>0</v>
      </c>
      <c r="L1145" s="967">
        <f t="shared" si="202"/>
        <v>0</v>
      </c>
      <c r="M1145" s="998"/>
      <c r="N1145" s="968">
        <f t="shared" si="203"/>
        <v>0</v>
      </c>
      <c r="O1145" s="1002"/>
      <c r="P1145" s="969">
        <f t="shared" si="205"/>
        <v>0</v>
      </c>
      <c r="Q1145" s="999"/>
      <c r="R1145" s="441"/>
      <c r="S1145" s="1006" t="str">
        <f t="shared" si="206"/>
        <v/>
      </c>
      <c r="T1145" s="1006" t="str">
        <f t="shared" si="207"/>
        <v/>
      </c>
      <c r="U1145" s="1007"/>
      <c r="V1145" s="1032"/>
      <c r="W1145" s="1008"/>
      <c r="X1145" s="1009"/>
      <c r="Y1145" s="1006" t="str">
        <f t="shared" si="208"/>
        <v/>
      </c>
      <c r="Z1145" s="1006" t="str">
        <f t="shared" si="209"/>
        <v/>
      </c>
      <c r="AA1145" s="1006" t="str">
        <f t="shared" si="210"/>
        <v/>
      </c>
      <c r="AB1145" s="1010" t="str">
        <f t="shared" si="211"/>
        <v>0</v>
      </c>
      <c r="AC1145" s="1011"/>
      <c r="AD1145" s="1011"/>
      <c r="AE1145" s="572"/>
      <c r="AF1145" s="572"/>
    </row>
    <row r="1146" spans="1:32">
      <c r="A1146" s="947">
        <f t="shared" si="198"/>
        <v>1139</v>
      </c>
      <c r="B1146" s="985"/>
      <c r="C1146" s="984"/>
      <c r="D1146" s="1000"/>
      <c r="E1146" s="1003"/>
      <c r="F1146" s="1004"/>
      <c r="G1146" s="1000"/>
      <c r="H1146" s="997"/>
      <c r="I1146" s="1000"/>
      <c r="J1146" s="1000"/>
      <c r="K1146" s="1001">
        <f t="shared" si="204"/>
        <v>0</v>
      </c>
      <c r="L1146" s="967">
        <f t="shared" si="202"/>
        <v>0</v>
      </c>
      <c r="M1146" s="998"/>
      <c r="N1146" s="968">
        <f t="shared" si="203"/>
        <v>0</v>
      </c>
      <c r="O1146" s="1002"/>
      <c r="P1146" s="969">
        <f t="shared" si="205"/>
        <v>0</v>
      </c>
      <c r="Q1146" s="999"/>
      <c r="R1146" s="441"/>
      <c r="S1146" s="1006" t="str">
        <f t="shared" si="206"/>
        <v/>
      </c>
      <c r="T1146" s="1006" t="str">
        <f t="shared" si="207"/>
        <v/>
      </c>
      <c r="U1146" s="1007"/>
      <c r="V1146" s="1032"/>
      <c r="W1146" s="1008"/>
      <c r="X1146" s="1009"/>
      <c r="Y1146" s="1006" t="str">
        <f t="shared" si="208"/>
        <v/>
      </c>
      <c r="Z1146" s="1006" t="str">
        <f t="shared" si="209"/>
        <v/>
      </c>
      <c r="AA1146" s="1006" t="str">
        <f t="shared" si="210"/>
        <v/>
      </c>
      <c r="AB1146" s="1010" t="str">
        <f t="shared" si="211"/>
        <v>0</v>
      </c>
      <c r="AC1146" s="1011"/>
      <c r="AD1146" s="1011"/>
      <c r="AE1146" s="572"/>
      <c r="AF1146" s="572"/>
    </row>
    <row r="1147" spans="1:32">
      <c r="A1147" s="947">
        <f t="shared" si="198"/>
        <v>1140</v>
      </c>
      <c r="B1147" s="985"/>
      <c r="C1147" s="984"/>
      <c r="D1147" s="1000"/>
      <c r="E1147" s="1003"/>
      <c r="F1147" s="1004"/>
      <c r="G1147" s="1000"/>
      <c r="H1147" s="997"/>
      <c r="I1147" s="1000"/>
      <c r="J1147" s="1000"/>
      <c r="K1147" s="1001">
        <f t="shared" si="204"/>
        <v>0</v>
      </c>
      <c r="L1147" s="967">
        <f t="shared" si="202"/>
        <v>0</v>
      </c>
      <c r="M1147" s="998"/>
      <c r="N1147" s="968">
        <f t="shared" si="203"/>
        <v>0</v>
      </c>
      <c r="O1147" s="1002"/>
      <c r="P1147" s="969">
        <f t="shared" si="205"/>
        <v>0</v>
      </c>
      <c r="Q1147" s="999"/>
      <c r="R1147" s="441"/>
      <c r="S1147" s="1006" t="str">
        <f t="shared" si="206"/>
        <v/>
      </c>
      <c r="T1147" s="1006" t="str">
        <f t="shared" si="207"/>
        <v/>
      </c>
      <c r="U1147" s="1007"/>
      <c r="V1147" s="1032"/>
      <c r="W1147" s="1008"/>
      <c r="X1147" s="1009"/>
      <c r="Y1147" s="1006" t="str">
        <f t="shared" si="208"/>
        <v/>
      </c>
      <c r="Z1147" s="1006" t="str">
        <f t="shared" si="209"/>
        <v/>
      </c>
      <c r="AA1147" s="1006" t="str">
        <f t="shared" si="210"/>
        <v/>
      </c>
      <c r="AB1147" s="1010" t="str">
        <f t="shared" si="211"/>
        <v>0</v>
      </c>
      <c r="AC1147" s="1011"/>
      <c r="AD1147" s="1011"/>
      <c r="AE1147" s="572"/>
      <c r="AF1147" s="572"/>
    </row>
    <row r="1148" spans="1:32">
      <c r="A1148" s="947">
        <f t="shared" si="198"/>
        <v>1141</v>
      </c>
      <c r="B1148" s="985"/>
      <c r="C1148" s="984"/>
      <c r="D1148" s="1000"/>
      <c r="E1148" s="1003"/>
      <c r="F1148" s="1004"/>
      <c r="G1148" s="1000"/>
      <c r="H1148" s="997"/>
      <c r="I1148" s="1000"/>
      <c r="J1148" s="1000"/>
      <c r="K1148" s="1001">
        <f t="shared" si="204"/>
        <v>0</v>
      </c>
      <c r="L1148" s="967">
        <f t="shared" si="202"/>
        <v>0</v>
      </c>
      <c r="M1148" s="998"/>
      <c r="N1148" s="968">
        <f t="shared" si="203"/>
        <v>0</v>
      </c>
      <c r="O1148" s="1002"/>
      <c r="P1148" s="969">
        <f t="shared" si="205"/>
        <v>0</v>
      </c>
      <c r="Q1148" s="999"/>
      <c r="R1148" s="441"/>
      <c r="S1148" s="1006" t="str">
        <f t="shared" si="206"/>
        <v/>
      </c>
      <c r="T1148" s="1006" t="str">
        <f t="shared" si="207"/>
        <v/>
      </c>
      <c r="U1148" s="1007"/>
      <c r="V1148" s="1032"/>
      <c r="W1148" s="1008"/>
      <c r="X1148" s="1009"/>
      <c r="Y1148" s="1006" t="str">
        <f t="shared" si="208"/>
        <v/>
      </c>
      <c r="Z1148" s="1006" t="str">
        <f t="shared" si="209"/>
        <v/>
      </c>
      <c r="AA1148" s="1006" t="str">
        <f t="shared" si="210"/>
        <v/>
      </c>
      <c r="AB1148" s="1010" t="str">
        <f t="shared" si="211"/>
        <v>0</v>
      </c>
      <c r="AC1148" s="1011"/>
      <c r="AD1148" s="1011"/>
      <c r="AE1148" s="572"/>
      <c r="AF1148" s="572"/>
    </row>
    <row r="1149" spans="1:32">
      <c r="A1149" s="947">
        <f t="shared" si="198"/>
        <v>1142</v>
      </c>
      <c r="B1149" s="985"/>
      <c r="C1149" s="984"/>
      <c r="D1149" s="1000"/>
      <c r="E1149" s="1003"/>
      <c r="F1149" s="1004"/>
      <c r="G1149" s="1000"/>
      <c r="H1149" s="997"/>
      <c r="I1149" s="1000"/>
      <c r="J1149" s="1000"/>
      <c r="K1149" s="1001">
        <f t="shared" si="204"/>
        <v>0</v>
      </c>
      <c r="L1149" s="967">
        <f t="shared" si="202"/>
        <v>0</v>
      </c>
      <c r="M1149" s="998"/>
      <c r="N1149" s="968">
        <f t="shared" si="203"/>
        <v>0</v>
      </c>
      <c r="O1149" s="1002"/>
      <c r="P1149" s="969">
        <f t="shared" si="205"/>
        <v>0</v>
      </c>
      <c r="Q1149" s="999"/>
      <c r="R1149" s="441"/>
      <c r="S1149" s="1006" t="str">
        <f t="shared" si="206"/>
        <v/>
      </c>
      <c r="T1149" s="1006" t="str">
        <f t="shared" si="207"/>
        <v/>
      </c>
      <c r="U1149" s="1007"/>
      <c r="V1149" s="1032"/>
      <c r="W1149" s="1008"/>
      <c r="X1149" s="1009"/>
      <c r="Y1149" s="1006" t="str">
        <f t="shared" si="208"/>
        <v/>
      </c>
      <c r="Z1149" s="1006" t="str">
        <f t="shared" si="209"/>
        <v/>
      </c>
      <c r="AA1149" s="1006" t="str">
        <f t="shared" si="210"/>
        <v/>
      </c>
      <c r="AB1149" s="1010" t="str">
        <f t="shared" si="211"/>
        <v>0</v>
      </c>
      <c r="AC1149" s="1011"/>
      <c r="AD1149" s="1011"/>
      <c r="AE1149" s="572"/>
      <c r="AF1149" s="572"/>
    </row>
    <row r="1150" spans="1:32">
      <c r="A1150" s="947">
        <f t="shared" si="198"/>
        <v>1143</v>
      </c>
      <c r="B1150" s="985"/>
      <c r="C1150" s="984"/>
      <c r="D1150" s="1000"/>
      <c r="E1150" s="1003"/>
      <c r="F1150" s="1004"/>
      <c r="G1150" s="1000"/>
      <c r="H1150" s="997"/>
      <c r="I1150" s="1000"/>
      <c r="J1150" s="1000"/>
      <c r="K1150" s="1001">
        <f t="shared" si="204"/>
        <v>0</v>
      </c>
      <c r="L1150" s="967">
        <f t="shared" si="202"/>
        <v>0</v>
      </c>
      <c r="M1150" s="998"/>
      <c r="N1150" s="968">
        <f t="shared" si="203"/>
        <v>0</v>
      </c>
      <c r="O1150" s="1002"/>
      <c r="P1150" s="969">
        <f t="shared" si="205"/>
        <v>0</v>
      </c>
      <c r="Q1150" s="999"/>
      <c r="R1150" s="441"/>
      <c r="S1150" s="1006" t="str">
        <f t="shared" si="206"/>
        <v/>
      </c>
      <c r="T1150" s="1006" t="str">
        <f t="shared" si="207"/>
        <v/>
      </c>
      <c r="U1150" s="1007"/>
      <c r="V1150" s="1032"/>
      <c r="W1150" s="1008"/>
      <c r="X1150" s="1009"/>
      <c r="Y1150" s="1006" t="str">
        <f t="shared" si="208"/>
        <v/>
      </c>
      <c r="Z1150" s="1006" t="str">
        <f t="shared" si="209"/>
        <v/>
      </c>
      <c r="AA1150" s="1006" t="str">
        <f t="shared" si="210"/>
        <v/>
      </c>
      <c r="AB1150" s="1010" t="str">
        <f t="shared" si="211"/>
        <v>0</v>
      </c>
      <c r="AC1150" s="1011"/>
      <c r="AD1150" s="1011"/>
      <c r="AE1150" s="572"/>
      <c r="AF1150" s="572"/>
    </row>
    <row r="1151" spans="1:32">
      <c r="A1151" s="947">
        <f t="shared" si="198"/>
        <v>1144</v>
      </c>
      <c r="B1151" s="985"/>
      <c r="C1151" s="984"/>
      <c r="D1151" s="1000"/>
      <c r="E1151" s="1003"/>
      <c r="F1151" s="1004"/>
      <c r="G1151" s="1000"/>
      <c r="H1151" s="997"/>
      <c r="I1151" s="1000"/>
      <c r="J1151" s="1000"/>
      <c r="K1151" s="1001">
        <f t="shared" si="204"/>
        <v>0</v>
      </c>
      <c r="L1151" s="967">
        <f t="shared" si="202"/>
        <v>0</v>
      </c>
      <c r="M1151" s="998"/>
      <c r="N1151" s="968">
        <f t="shared" si="203"/>
        <v>0</v>
      </c>
      <c r="O1151" s="1002"/>
      <c r="P1151" s="969">
        <f t="shared" si="205"/>
        <v>0</v>
      </c>
      <c r="Q1151" s="999"/>
      <c r="R1151" s="441"/>
      <c r="S1151" s="1006" t="str">
        <f t="shared" si="206"/>
        <v/>
      </c>
      <c r="T1151" s="1006" t="str">
        <f t="shared" si="207"/>
        <v/>
      </c>
      <c r="U1151" s="1007"/>
      <c r="V1151" s="1032"/>
      <c r="W1151" s="1008"/>
      <c r="X1151" s="1009"/>
      <c r="Y1151" s="1006" t="str">
        <f t="shared" si="208"/>
        <v/>
      </c>
      <c r="Z1151" s="1006" t="str">
        <f t="shared" si="209"/>
        <v/>
      </c>
      <c r="AA1151" s="1006" t="str">
        <f t="shared" si="210"/>
        <v/>
      </c>
      <c r="AB1151" s="1010" t="str">
        <f t="shared" si="211"/>
        <v>0</v>
      </c>
      <c r="AC1151" s="1011"/>
      <c r="AD1151" s="1011"/>
      <c r="AE1151" s="572"/>
      <c r="AF1151" s="572"/>
    </row>
    <row r="1152" spans="1:32">
      <c r="A1152" s="947">
        <f t="shared" si="198"/>
        <v>1145</v>
      </c>
      <c r="B1152" s="985"/>
      <c r="C1152" s="984"/>
      <c r="D1152" s="1000"/>
      <c r="E1152" s="1003"/>
      <c r="F1152" s="1004"/>
      <c r="G1152" s="1000"/>
      <c r="H1152" s="997"/>
      <c r="I1152" s="1000"/>
      <c r="J1152" s="1000"/>
      <c r="K1152" s="1001">
        <f t="shared" si="204"/>
        <v>0</v>
      </c>
      <c r="L1152" s="967">
        <f t="shared" si="202"/>
        <v>0</v>
      </c>
      <c r="M1152" s="998"/>
      <c r="N1152" s="968">
        <f t="shared" si="203"/>
        <v>0</v>
      </c>
      <c r="O1152" s="1002"/>
      <c r="P1152" s="969">
        <f t="shared" si="205"/>
        <v>0</v>
      </c>
      <c r="Q1152" s="999"/>
      <c r="R1152" s="441"/>
      <c r="S1152" s="1006" t="str">
        <f t="shared" si="206"/>
        <v/>
      </c>
      <c r="T1152" s="1006" t="str">
        <f t="shared" si="207"/>
        <v/>
      </c>
      <c r="U1152" s="1007"/>
      <c r="V1152" s="1032"/>
      <c r="W1152" s="1008"/>
      <c r="X1152" s="1009"/>
      <c r="Y1152" s="1006" t="str">
        <f t="shared" si="208"/>
        <v/>
      </c>
      <c r="Z1152" s="1006" t="str">
        <f t="shared" si="209"/>
        <v/>
      </c>
      <c r="AA1152" s="1006" t="str">
        <f t="shared" si="210"/>
        <v/>
      </c>
      <c r="AB1152" s="1010" t="str">
        <f t="shared" si="211"/>
        <v>0</v>
      </c>
      <c r="AC1152" s="1011"/>
      <c r="AD1152" s="1011"/>
      <c r="AE1152" s="572"/>
      <c r="AF1152" s="572"/>
    </row>
    <row r="1153" spans="1:32">
      <c r="A1153" s="947">
        <f t="shared" si="198"/>
        <v>1146</v>
      </c>
      <c r="B1153" s="985"/>
      <c r="C1153" s="984"/>
      <c r="D1153" s="1000"/>
      <c r="E1153" s="1003"/>
      <c r="F1153" s="1004"/>
      <c r="G1153" s="1000"/>
      <c r="H1153" s="997"/>
      <c r="I1153" s="1000"/>
      <c r="J1153" s="1000"/>
      <c r="K1153" s="1001">
        <f t="shared" si="204"/>
        <v>0</v>
      </c>
      <c r="L1153" s="967">
        <f t="shared" si="202"/>
        <v>0</v>
      </c>
      <c r="M1153" s="998"/>
      <c r="N1153" s="968">
        <f t="shared" si="203"/>
        <v>0</v>
      </c>
      <c r="O1153" s="1002"/>
      <c r="P1153" s="969">
        <f t="shared" si="205"/>
        <v>0</v>
      </c>
      <c r="Q1153" s="999"/>
      <c r="R1153" s="441"/>
      <c r="S1153" s="1006" t="str">
        <f t="shared" si="206"/>
        <v/>
      </c>
      <c r="T1153" s="1006" t="str">
        <f t="shared" si="207"/>
        <v/>
      </c>
      <c r="U1153" s="1007"/>
      <c r="V1153" s="1032"/>
      <c r="W1153" s="1008"/>
      <c r="X1153" s="1009"/>
      <c r="Y1153" s="1006" t="str">
        <f t="shared" si="208"/>
        <v/>
      </c>
      <c r="Z1153" s="1006" t="str">
        <f t="shared" si="209"/>
        <v/>
      </c>
      <c r="AA1153" s="1006" t="str">
        <f t="shared" si="210"/>
        <v/>
      </c>
      <c r="AB1153" s="1010" t="str">
        <f t="shared" si="211"/>
        <v>0</v>
      </c>
      <c r="AC1153" s="1011"/>
      <c r="AD1153" s="1011"/>
      <c r="AE1153" s="572"/>
      <c r="AF1153" s="572"/>
    </row>
    <row r="1154" spans="1:32">
      <c r="A1154" s="947">
        <f t="shared" si="198"/>
        <v>1147</v>
      </c>
      <c r="B1154" s="985"/>
      <c r="C1154" s="984"/>
      <c r="D1154" s="1000"/>
      <c r="E1154" s="1003"/>
      <c r="F1154" s="1004"/>
      <c r="G1154" s="1000"/>
      <c r="H1154" s="997"/>
      <c r="I1154" s="1000"/>
      <c r="J1154" s="1000"/>
      <c r="K1154" s="1001">
        <f t="shared" si="204"/>
        <v>0</v>
      </c>
      <c r="L1154" s="967">
        <f t="shared" si="202"/>
        <v>0</v>
      </c>
      <c r="M1154" s="998"/>
      <c r="N1154" s="968">
        <f t="shared" si="203"/>
        <v>0</v>
      </c>
      <c r="O1154" s="1002"/>
      <c r="P1154" s="969">
        <f t="shared" si="205"/>
        <v>0</v>
      </c>
      <c r="Q1154" s="999"/>
      <c r="R1154" s="441"/>
      <c r="S1154" s="1006" t="str">
        <f t="shared" si="206"/>
        <v/>
      </c>
      <c r="T1154" s="1006" t="str">
        <f t="shared" si="207"/>
        <v/>
      </c>
      <c r="U1154" s="1007"/>
      <c r="V1154" s="1032"/>
      <c r="W1154" s="1008"/>
      <c r="X1154" s="1009"/>
      <c r="Y1154" s="1006" t="str">
        <f t="shared" si="208"/>
        <v/>
      </c>
      <c r="Z1154" s="1006" t="str">
        <f t="shared" si="209"/>
        <v/>
      </c>
      <c r="AA1154" s="1006" t="str">
        <f t="shared" si="210"/>
        <v/>
      </c>
      <c r="AB1154" s="1010" t="str">
        <f t="shared" si="211"/>
        <v>0</v>
      </c>
      <c r="AC1154" s="1011"/>
      <c r="AD1154" s="1011"/>
      <c r="AE1154" s="572"/>
      <c r="AF1154" s="572"/>
    </row>
    <row r="1155" spans="1:32">
      <c r="A1155" s="947">
        <f t="shared" si="198"/>
        <v>1148</v>
      </c>
      <c r="B1155" s="985"/>
      <c r="C1155" s="984"/>
      <c r="D1155" s="1000"/>
      <c r="E1155" s="1003"/>
      <c r="F1155" s="1004"/>
      <c r="G1155" s="1000"/>
      <c r="H1155" s="997"/>
      <c r="I1155" s="1000"/>
      <c r="J1155" s="1000"/>
      <c r="K1155" s="1001">
        <f t="shared" si="204"/>
        <v>0</v>
      </c>
      <c r="L1155" s="967">
        <f t="shared" si="202"/>
        <v>0</v>
      </c>
      <c r="M1155" s="998"/>
      <c r="N1155" s="968">
        <f t="shared" si="203"/>
        <v>0</v>
      </c>
      <c r="O1155" s="1002"/>
      <c r="P1155" s="969">
        <f t="shared" si="205"/>
        <v>0</v>
      </c>
      <c r="Q1155" s="999"/>
      <c r="R1155" s="441"/>
      <c r="S1155" s="1006" t="str">
        <f t="shared" si="206"/>
        <v/>
      </c>
      <c r="T1155" s="1006" t="str">
        <f t="shared" si="207"/>
        <v/>
      </c>
      <c r="U1155" s="1007"/>
      <c r="V1155" s="1032"/>
      <c r="W1155" s="1008"/>
      <c r="X1155" s="1009"/>
      <c r="Y1155" s="1006" t="str">
        <f t="shared" si="208"/>
        <v/>
      </c>
      <c r="Z1155" s="1006" t="str">
        <f t="shared" si="209"/>
        <v/>
      </c>
      <c r="AA1155" s="1006" t="str">
        <f t="shared" si="210"/>
        <v/>
      </c>
      <c r="AB1155" s="1010" t="str">
        <f t="shared" si="211"/>
        <v>0</v>
      </c>
      <c r="AC1155" s="1011"/>
      <c r="AD1155" s="1011"/>
      <c r="AE1155" s="572"/>
      <c r="AF1155" s="572"/>
    </row>
    <row r="1156" spans="1:32">
      <c r="A1156" s="947">
        <f t="shared" si="198"/>
        <v>1149</v>
      </c>
      <c r="B1156" s="985"/>
      <c r="C1156" s="984"/>
      <c r="D1156" s="1000"/>
      <c r="E1156" s="1003"/>
      <c r="F1156" s="1004"/>
      <c r="G1156" s="1000"/>
      <c r="H1156" s="997"/>
      <c r="I1156" s="1000"/>
      <c r="J1156" s="1000"/>
      <c r="K1156" s="1001">
        <f t="shared" si="204"/>
        <v>0</v>
      </c>
      <c r="L1156" s="967">
        <f t="shared" si="202"/>
        <v>0</v>
      </c>
      <c r="M1156" s="998"/>
      <c r="N1156" s="968">
        <f t="shared" si="203"/>
        <v>0</v>
      </c>
      <c r="O1156" s="1002"/>
      <c r="P1156" s="969">
        <f t="shared" si="205"/>
        <v>0</v>
      </c>
      <c r="Q1156" s="999"/>
      <c r="R1156" s="441"/>
      <c r="S1156" s="1006" t="str">
        <f t="shared" si="206"/>
        <v/>
      </c>
      <c r="T1156" s="1006" t="str">
        <f t="shared" si="207"/>
        <v/>
      </c>
      <c r="U1156" s="1007"/>
      <c r="V1156" s="1032"/>
      <c r="W1156" s="1008"/>
      <c r="X1156" s="1009"/>
      <c r="Y1156" s="1006" t="str">
        <f t="shared" si="208"/>
        <v/>
      </c>
      <c r="Z1156" s="1006" t="str">
        <f t="shared" si="209"/>
        <v/>
      </c>
      <c r="AA1156" s="1006" t="str">
        <f t="shared" si="210"/>
        <v/>
      </c>
      <c r="AB1156" s="1010" t="str">
        <f t="shared" si="211"/>
        <v>0</v>
      </c>
      <c r="AC1156" s="1011"/>
      <c r="AD1156" s="1011"/>
      <c r="AE1156" s="572"/>
      <c r="AF1156" s="572"/>
    </row>
    <row r="1157" spans="1:32">
      <c r="A1157" s="947">
        <f t="shared" si="198"/>
        <v>1150</v>
      </c>
      <c r="B1157" s="985"/>
      <c r="C1157" s="984"/>
      <c r="D1157" s="1000"/>
      <c r="E1157" s="1003"/>
      <c r="F1157" s="1004"/>
      <c r="G1157" s="1000"/>
      <c r="H1157" s="997"/>
      <c r="I1157" s="1000"/>
      <c r="J1157" s="1000"/>
      <c r="K1157" s="1001">
        <f t="shared" si="204"/>
        <v>0</v>
      </c>
      <c r="L1157" s="967">
        <f t="shared" si="202"/>
        <v>0</v>
      </c>
      <c r="M1157" s="998"/>
      <c r="N1157" s="968">
        <f t="shared" si="203"/>
        <v>0</v>
      </c>
      <c r="O1157" s="1002"/>
      <c r="P1157" s="969">
        <f t="shared" si="205"/>
        <v>0</v>
      </c>
      <c r="Q1157" s="999"/>
      <c r="R1157" s="441"/>
      <c r="S1157" s="1006" t="str">
        <f t="shared" si="206"/>
        <v/>
      </c>
      <c r="T1157" s="1006" t="str">
        <f t="shared" si="207"/>
        <v/>
      </c>
      <c r="U1157" s="1007"/>
      <c r="V1157" s="1032"/>
      <c r="W1157" s="1008"/>
      <c r="X1157" s="1009"/>
      <c r="Y1157" s="1006" t="str">
        <f t="shared" si="208"/>
        <v/>
      </c>
      <c r="Z1157" s="1006" t="str">
        <f t="shared" si="209"/>
        <v/>
      </c>
      <c r="AA1157" s="1006" t="str">
        <f t="shared" si="210"/>
        <v/>
      </c>
      <c r="AB1157" s="1010" t="str">
        <f t="shared" si="211"/>
        <v>0</v>
      </c>
      <c r="AC1157" s="1011"/>
      <c r="AD1157" s="1011"/>
      <c r="AE1157" s="572"/>
      <c r="AF1157" s="572"/>
    </row>
    <row r="1158" spans="1:32">
      <c r="A1158" s="947">
        <f t="shared" si="198"/>
        <v>1151</v>
      </c>
      <c r="B1158" s="985"/>
      <c r="C1158" s="984"/>
      <c r="D1158" s="1000"/>
      <c r="E1158" s="1003"/>
      <c r="F1158" s="1004"/>
      <c r="G1158" s="1000"/>
      <c r="H1158" s="997"/>
      <c r="I1158" s="1000"/>
      <c r="J1158" s="1000"/>
      <c r="K1158" s="1001">
        <f t="shared" si="204"/>
        <v>0</v>
      </c>
      <c r="L1158" s="967">
        <f t="shared" si="202"/>
        <v>0</v>
      </c>
      <c r="M1158" s="998"/>
      <c r="N1158" s="968">
        <f t="shared" si="203"/>
        <v>0</v>
      </c>
      <c r="O1158" s="1002"/>
      <c r="P1158" s="969">
        <f t="shared" si="205"/>
        <v>0</v>
      </c>
      <c r="Q1158" s="999"/>
      <c r="R1158" s="441"/>
      <c r="S1158" s="1006" t="str">
        <f t="shared" si="206"/>
        <v/>
      </c>
      <c r="T1158" s="1006" t="str">
        <f t="shared" si="207"/>
        <v/>
      </c>
      <c r="U1158" s="1007"/>
      <c r="V1158" s="1032"/>
      <c r="W1158" s="1008"/>
      <c r="X1158" s="1009"/>
      <c r="Y1158" s="1006" t="str">
        <f t="shared" si="208"/>
        <v/>
      </c>
      <c r="Z1158" s="1006" t="str">
        <f t="shared" si="209"/>
        <v/>
      </c>
      <c r="AA1158" s="1006" t="str">
        <f t="shared" si="210"/>
        <v/>
      </c>
      <c r="AB1158" s="1010" t="str">
        <f t="shared" si="211"/>
        <v>0</v>
      </c>
      <c r="AC1158" s="1011"/>
      <c r="AD1158" s="1011"/>
      <c r="AE1158" s="572"/>
      <c r="AF1158" s="572"/>
    </row>
    <row r="1159" spans="1:32">
      <c r="A1159" s="947">
        <f t="shared" si="198"/>
        <v>1152</v>
      </c>
      <c r="B1159" s="985"/>
      <c r="C1159" s="984"/>
      <c r="D1159" s="1000"/>
      <c r="E1159" s="1003"/>
      <c r="F1159" s="1004"/>
      <c r="G1159" s="1000"/>
      <c r="H1159" s="997"/>
      <c r="I1159" s="1000"/>
      <c r="J1159" s="1000"/>
      <c r="K1159" s="1001">
        <f t="shared" si="204"/>
        <v>0</v>
      </c>
      <c r="L1159" s="967">
        <f t="shared" si="202"/>
        <v>0</v>
      </c>
      <c r="M1159" s="998"/>
      <c r="N1159" s="968">
        <f t="shared" si="203"/>
        <v>0</v>
      </c>
      <c r="O1159" s="1002"/>
      <c r="P1159" s="969">
        <f t="shared" si="205"/>
        <v>0</v>
      </c>
      <c r="Q1159" s="999"/>
      <c r="R1159" s="441"/>
      <c r="S1159" s="1006" t="str">
        <f t="shared" si="206"/>
        <v/>
      </c>
      <c r="T1159" s="1006" t="str">
        <f t="shared" si="207"/>
        <v/>
      </c>
      <c r="U1159" s="1007"/>
      <c r="V1159" s="1032"/>
      <c r="W1159" s="1008"/>
      <c r="X1159" s="1009"/>
      <c r="Y1159" s="1006" t="str">
        <f t="shared" si="208"/>
        <v/>
      </c>
      <c r="Z1159" s="1006" t="str">
        <f t="shared" si="209"/>
        <v/>
      </c>
      <c r="AA1159" s="1006" t="str">
        <f t="shared" si="210"/>
        <v/>
      </c>
      <c r="AB1159" s="1010" t="str">
        <f t="shared" si="211"/>
        <v>0</v>
      </c>
      <c r="AC1159" s="1011"/>
      <c r="AD1159" s="1011"/>
      <c r="AE1159" s="572"/>
      <c r="AF1159" s="572"/>
    </row>
    <row r="1160" spans="1:32">
      <c r="A1160" s="947">
        <f t="shared" si="198"/>
        <v>1153</v>
      </c>
      <c r="B1160" s="985"/>
      <c r="C1160" s="984"/>
      <c r="D1160" s="1000"/>
      <c r="E1160" s="1003"/>
      <c r="F1160" s="1004"/>
      <c r="G1160" s="1000"/>
      <c r="H1160" s="997"/>
      <c r="I1160" s="1000"/>
      <c r="J1160" s="1000"/>
      <c r="K1160" s="1001">
        <f t="shared" si="204"/>
        <v>0</v>
      </c>
      <c r="L1160" s="967">
        <f t="shared" si="202"/>
        <v>0</v>
      </c>
      <c r="M1160" s="998"/>
      <c r="N1160" s="968">
        <f t="shared" si="203"/>
        <v>0</v>
      </c>
      <c r="O1160" s="1002"/>
      <c r="P1160" s="969">
        <f t="shared" si="205"/>
        <v>0</v>
      </c>
      <c r="Q1160" s="999"/>
      <c r="R1160" s="441"/>
      <c r="S1160" s="1006" t="str">
        <f t="shared" si="206"/>
        <v/>
      </c>
      <c r="T1160" s="1006" t="str">
        <f t="shared" si="207"/>
        <v/>
      </c>
      <c r="U1160" s="1007"/>
      <c r="V1160" s="1032"/>
      <c r="W1160" s="1008"/>
      <c r="X1160" s="1009"/>
      <c r="Y1160" s="1006" t="str">
        <f t="shared" si="208"/>
        <v/>
      </c>
      <c r="Z1160" s="1006" t="str">
        <f t="shared" si="209"/>
        <v/>
      </c>
      <c r="AA1160" s="1006" t="str">
        <f t="shared" si="210"/>
        <v/>
      </c>
      <c r="AB1160" s="1010" t="str">
        <f t="shared" si="211"/>
        <v>0</v>
      </c>
      <c r="AC1160" s="1011"/>
      <c r="AD1160" s="1011"/>
      <c r="AE1160" s="572"/>
      <c r="AF1160" s="572"/>
    </row>
    <row r="1161" spans="1:32">
      <c r="A1161" s="947">
        <f t="shared" si="198"/>
        <v>1154</v>
      </c>
      <c r="B1161" s="985"/>
      <c r="C1161" s="984"/>
      <c r="D1161" s="1000"/>
      <c r="E1161" s="1003"/>
      <c r="F1161" s="1004"/>
      <c r="G1161" s="1000"/>
      <c r="H1161" s="997"/>
      <c r="I1161" s="1000"/>
      <c r="J1161" s="1000"/>
      <c r="K1161" s="1001">
        <f t="shared" si="204"/>
        <v>0</v>
      </c>
      <c r="L1161" s="967">
        <f t="shared" si="202"/>
        <v>0</v>
      </c>
      <c r="M1161" s="998"/>
      <c r="N1161" s="968">
        <f t="shared" si="203"/>
        <v>0</v>
      </c>
      <c r="O1161" s="1002"/>
      <c r="P1161" s="969">
        <f t="shared" si="205"/>
        <v>0</v>
      </c>
      <c r="Q1161" s="999"/>
      <c r="R1161" s="441"/>
      <c r="S1161" s="1006" t="str">
        <f t="shared" si="206"/>
        <v/>
      </c>
      <c r="T1161" s="1006" t="str">
        <f t="shared" si="207"/>
        <v/>
      </c>
      <c r="U1161" s="1007"/>
      <c r="V1161" s="1032"/>
      <c r="W1161" s="1008"/>
      <c r="X1161" s="1009"/>
      <c r="Y1161" s="1006" t="str">
        <f t="shared" si="208"/>
        <v/>
      </c>
      <c r="Z1161" s="1006" t="str">
        <f t="shared" si="209"/>
        <v/>
      </c>
      <c r="AA1161" s="1006" t="str">
        <f t="shared" si="210"/>
        <v/>
      </c>
      <c r="AB1161" s="1010" t="str">
        <f t="shared" si="211"/>
        <v>0</v>
      </c>
      <c r="AC1161" s="1011"/>
      <c r="AD1161" s="1011"/>
      <c r="AE1161" s="572"/>
      <c r="AF1161" s="572"/>
    </row>
    <row r="1162" spans="1:32">
      <c r="A1162" s="947">
        <f t="shared" ref="A1162:A1207" si="212">+A1161+1</f>
        <v>1155</v>
      </c>
      <c r="B1162" s="985"/>
      <c r="C1162" s="984"/>
      <c r="D1162" s="1000"/>
      <c r="E1162" s="1003"/>
      <c r="F1162" s="1004"/>
      <c r="G1162" s="1000"/>
      <c r="H1162" s="997"/>
      <c r="I1162" s="1000"/>
      <c r="J1162" s="1000"/>
      <c r="K1162" s="1001">
        <f t="shared" si="204"/>
        <v>0</v>
      </c>
      <c r="L1162" s="967">
        <f t="shared" si="202"/>
        <v>0</v>
      </c>
      <c r="M1162" s="998"/>
      <c r="N1162" s="968">
        <f t="shared" si="203"/>
        <v>0</v>
      </c>
      <c r="O1162" s="1002"/>
      <c r="P1162" s="969">
        <f t="shared" si="205"/>
        <v>0</v>
      </c>
      <c r="Q1162" s="999"/>
      <c r="R1162" s="441"/>
      <c r="S1162" s="1006" t="str">
        <f t="shared" si="206"/>
        <v/>
      </c>
      <c r="T1162" s="1006" t="str">
        <f t="shared" si="207"/>
        <v/>
      </c>
      <c r="U1162" s="1007"/>
      <c r="V1162" s="1032"/>
      <c r="W1162" s="1008"/>
      <c r="X1162" s="1009"/>
      <c r="Y1162" s="1006" t="str">
        <f t="shared" si="208"/>
        <v/>
      </c>
      <c r="Z1162" s="1006" t="str">
        <f t="shared" si="209"/>
        <v/>
      </c>
      <c r="AA1162" s="1006" t="str">
        <f t="shared" si="210"/>
        <v/>
      </c>
      <c r="AB1162" s="1010" t="str">
        <f t="shared" si="211"/>
        <v>0</v>
      </c>
      <c r="AC1162" s="1011"/>
      <c r="AD1162" s="1011"/>
      <c r="AE1162" s="572"/>
      <c r="AF1162" s="572"/>
    </row>
    <row r="1163" spans="1:32">
      <c r="A1163" s="947">
        <f t="shared" si="212"/>
        <v>1156</v>
      </c>
      <c r="B1163" s="985"/>
      <c r="C1163" s="984"/>
      <c r="D1163" s="1000"/>
      <c r="E1163" s="1003"/>
      <c r="F1163" s="1004"/>
      <c r="G1163" s="1000"/>
      <c r="H1163" s="997"/>
      <c r="I1163" s="1000"/>
      <c r="J1163" s="1000"/>
      <c r="K1163" s="1001">
        <f t="shared" si="204"/>
        <v>0</v>
      </c>
      <c r="L1163" s="967">
        <f t="shared" si="202"/>
        <v>0</v>
      </c>
      <c r="M1163" s="998"/>
      <c r="N1163" s="968">
        <f t="shared" si="203"/>
        <v>0</v>
      </c>
      <c r="O1163" s="1002"/>
      <c r="P1163" s="969">
        <f t="shared" si="205"/>
        <v>0</v>
      </c>
      <c r="Q1163" s="999"/>
      <c r="R1163" s="441"/>
      <c r="S1163" s="1006" t="str">
        <f t="shared" si="206"/>
        <v/>
      </c>
      <c r="T1163" s="1006" t="str">
        <f t="shared" si="207"/>
        <v/>
      </c>
      <c r="U1163" s="1007"/>
      <c r="V1163" s="1032"/>
      <c r="W1163" s="1008"/>
      <c r="X1163" s="1009"/>
      <c r="Y1163" s="1006" t="str">
        <f t="shared" si="208"/>
        <v/>
      </c>
      <c r="Z1163" s="1006" t="str">
        <f t="shared" si="209"/>
        <v/>
      </c>
      <c r="AA1163" s="1006" t="str">
        <f t="shared" si="210"/>
        <v/>
      </c>
      <c r="AB1163" s="1010" t="str">
        <f t="shared" si="211"/>
        <v>0</v>
      </c>
      <c r="AC1163" s="1011"/>
      <c r="AD1163" s="1011"/>
      <c r="AE1163" s="572"/>
      <c r="AF1163" s="572"/>
    </row>
    <row r="1164" spans="1:32">
      <c r="A1164" s="947">
        <f t="shared" si="212"/>
        <v>1157</v>
      </c>
      <c r="B1164" s="985"/>
      <c r="C1164" s="984"/>
      <c r="D1164" s="1000"/>
      <c r="E1164" s="1003"/>
      <c r="F1164" s="1004"/>
      <c r="G1164" s="1000"/>
      <c r="H1164" s="997"/>
      <c r="I1164" s="1000"/>
      <c r="J1164" s="1000"/>
      <c r="K1164" s="1001">
        <f t="shared" si="204"/>
        <v>0</v>
      </c>
      <c r="L1164" s="967">
        <f t="shared" si="202"/>
        <v>0</v>
      </c>
      <c r="M1164" s="998"/>
      <c r="N1164" s="968">
        <f t="shared" si="203"/>
        <v>0</v>
      </c>
      <c r="O1164" s="1002"/>
      <c r="P1164" s="969">
        <f t="shared" si="205"/>
        <v>0</v>
      </c>
      <c r="Q1164" s="999"/>
      <c r="R1164" s="441"/>
      <c r="S1164" s="1006" t="str">
        <f t="shared" si="206"/>
        <v/>
      </c>
      <c r="T1164" s="1006" t="str">
        <f t="shared" si="207"/>
        <v/>
      </c>
      <c r="U1164" s="1007"/>
      <c r="V1164" s="1032"/>
      <c r="W1164" s="1008"/>
      <c r="X1164" s="1009"/>
      <c r="Y1164" s="1006" t="str">
        <f t="shared" si="208"/>
        <v/>
      </c>
      <c r="Z1164" s="1006" t="str">
        <f t="shared" si="209"/>
        <v/>
      </c>
      <c r="AA1164" s="1006" t="str">
        <f t="shared" si="210"/>
        <v/>
      </c>
      <c r="AB1164" s="1010" t="str">
        <f t="shared" si="211"/>
        <v>0</v>
      </c>
      <c r="AC1164" s="1011"/>
      <c r="AD1164" s="1011"/>
      <c r="AE1164" s="572"/>
      <c r="AF1164" s="572"/>
    </row>
    <row r="1165" spans="1:32">
      <c r="A1165" s="947">
        <f t="shared" si="212"/>
        <v>1158</v>
      </c>
      <c r="B1165" s="985"/>
      <c r="C1165" s="984"/>
      <c r="D1165" s="1000"/>
      <c r="E1165" s="1003"/>
      <c r="F1165" s="1004"/>
      <c r="G1165" s="1000"/>
      <c r="H1165" s="997"/>
      <c r="I1165" s="1000"/>
      <c r="J1165" s="1000"/>
      <c r="K1165" s="1001">
        <f t="shared" si="204"/>
        <v>0</v>
      </c>
      <c r="L1165" s="967">
        <f t="shared" si="202"/>
        <v>0</v>
      </c>
      <c r="M1165" s="998"/>
      <c r="N1165" s="968">
        <f t="shared" si="203"/>
        <v>0</v>
      </c>
      <c r="O1165" s="1002"/>
      <c r="P1165" s="969">
        <f t="shared" si="205"/>
        <v>0</v>
      </c>
      <c r="Q1165" s="999"/>
      <c r="R1165" s="441"/>
      <c r="S1165" s="1006" t="str">
        <f t="shared" si="206"/>
        <v/>
      </c>
      <c r="T1165" s="1006" t="str">
        <f t="shared" si="207"/>
        <v/>
      </c>
      <c r="U1165" s="1007"/>
      <c r="V1165" s="1032"/>
      <c r="W1165" s="1008"/>
      <c r="X1165" s="1009"/>
      <c r="Y1165" s="1006" t="str">
        <f t="shared" si="208"/>
        <v/>
      </c>
      <c r="Z1165" s="1006" t="str">
        <f t="shared" si="209"/>
        <v/>
      </c>
      <c r="AA1165" s="1006" t="str">
        <f t="shared" si="210"/>
        <v/>
      </c>
      <c r="AB1165" s="1010" t="str">
        <f t="shared" si="211"/>
        <v>0</v>
      </c>
      <c r="AC1165" s="1011"/>
      <c r="AD1165" s="1011"/>
      <c r="AE1165" s="572"/>
      <c r="AF1165" s="572"/>
    </row>
    <row r="1166" spans="1:32">
      <c r="A1166" s="947">
        <f t="shared" si="212"/>
        <v>1159</v>
      </c>
      <c r="B1166" s="985"/>
      <c r="C1166" s="984"/>
      <c r="D1166" s="1000"/>
      <c r="E1166" s="1003"/>
      <c r="F1166" s="1004"/>
      <c r="G1166" s="1000"/>
      <c r="H1166" s="997"/>
      <c r="I1166" s="1000"/>
      <c r="J1166" s="1000"/>
      <c r="K1166" s="1001">
        <f t="shared" si="204"/>
        <v>0</v>
      </c>
      <c r="L1166" s="967">
        <f t="shared" si="202"/>
        <v>0</v>
      </c>
      <c r="M1166" s="998"/>
      <c r="N1166" s="968">
        <f t="shared" si="203"/>
        <v>0</v>
      </c>
      <c r="O1166" s="1002"/>
      <c r="P1166" s="969">
        <f t="shared" si="205"/>
        <v>0</v>
      </c>
      <c r="Q1166" s="999"/>
      <c r="R1166" s="441"/>
      <c r="S1166" s="1006" t="str">
        <f t="shared" si="206"/>
        <v/>
      </c>
      <c r="T1166" s="1006" t="str">
        <f t="shared" si="207"/>
        <v/>
      </c>
      <c r="U1166" s="1007"/>
      <c r="V1166" s="1032"/>
      <c r="W1166" s="1008"/>
      <c r="X1166" s="1009"/>
      <c r="Y1166" s="1006" t="str">
        <f t="shared" si="208"/>
        <v/>
      </c>
      <c r="Z1166" s="1006" t="str">
        <f t="shared" si="209"/>
        <v/>
      </c>
      <c r="AA1166" s="1006" t="str">
        <f t="shared" si="210"/>
        <v/>
      </c>
      <c r="AB1166" s="1010" t="str">
        <f t="shared" si="211"/>
        <v>0</v>
      </c>
      <c r="AC1166" s="1011"/>
      <c r="AD1166" s="1011"/>
      <c r="AE1166" s="572"/>
      <c r="AF1166" s="572"/>
    </row>
    <row r="1167" spans="1:32">
      <c r="A1167" s="947">
        <f t="shared" si="212"/>
        <v>1160</v>
      </c>
      <c r="B1167" s="985"/>
      <c r="C1167" s="984"/>
      <c r="D1167" s="1000"/>
      <c r="E1167" s="1003"/>
      <c r="F1167" s="1004"/>
      <c r="G1167" s="1000"/>
      <c r="H1167" s="997"/>
      <c r="I1167" s="1000"/>
      <c r="J1167" s="1000"/>
      <c r="K1167" s="1001">
        <f t="shared" si="204"/>
        <v>0</v>
      </c>
      <c r="L1167" s="967">
        <f t="shared" si="202"/>
        <v>0</v>
      </c>
      <c r="M1167" s="998"/>
      <c r="N1167" s="968">
        <f t="shared" si="203"/>
        <v>0</v>
      </c>
      <c r="O1167" s="1002"/>
      <c r="P1167" s="969">
        <f t="shared" si="205"/>
        <v>0</v>
      </c>
      <c r="Q1167" s="999"/>
      <c r="R1167" s="441"/>
      <c r="S1167" s="1006" t="str">
        <f t="shared" si="206"/>
        <v/>
      </c>
      <c r="T1167" s="1006" t="str">
        <f t="shared" si="207"/>
        <v/>
      </c>
      <c r="U1167" s="1007"/>
      <c r="V1167" s="1032"/>
      <c r="W1167" s="1008"/>
      <c r="X1167" s="1009"/>
      <c r="Y1167" s="1006" t="str">
        <f t="shared" si="208"/>
        <v/>
      </c>
      <c r="Z1167" s="1006" t="str">
        <f t="shared" si="209"/>
        <v/>
      </c>
      <c r="AA1167" s="1006" t="str">
        <f t="shared" si="210"/>
        <v/>
      </c>
      <c r="AB1167" s="1010" t="str">
        <f t="shared" si="211"/>
        <v>0</v>
      </c>
      <c r="AC1167" s="1011"/>
      <c r="AD1167" s="1011"/>
      <c r="AE1167" s="572"/>
      <c r="AF1167" s="572"/>
    </row>
    <row r="1168" spans="1:32">
      <c r="A1168" s="947">
        <f t="shared" si="212"/>
        <v>1161</v>
      </c>
      <c r="B1168" s="985"/>
      <c r="C1168" s="984"/>
      <c r="D1168" s="1000"/>
      <c r="E1168" s="1003"/>
      <c r="F1168" s="1004"/>
      <c r="G1168" s="1000"/>
      <c r="H1168" s="997"/>
      <c r="I1168" s="1000"/>
      <c r="J1168" s="1000"/>
      <c r="K1168" s="1001">
        <f t="shared" si="204"/>
        <v>0</v>
      </c>
      <c r="L1168" s="967">
        <f t="shared" si="202"/>
        <v>0</v>
      </c>
      <c r="M1168" s="998"/>
      <c r="N1168" s="968">
        <f t="shared" si="203"/>
        <v>0</v>
      </c>
      <c r="O1168" s="1002"/>
      <c r="P1168" s="969">
        <f t="shared" si="205"/>
        <v>0</v>
      </c>
      <c r="Q1168" s="999"/>
      <c r="R1168" s="441"/>
      <c r="S1168" s="1006" t="str">
        <f t="shared" si="206"/>
        <v/>
      </c>
      <c r="T1168" s="1006" t="str">
        <f t="shared" si="207"/>
        <v/>
      </c>
      <c r="U1168" s="1007"/>
      <c r="V1168" s="1032"/>
      <c r="W1168" s="1008"/>
      <c r="X1168" s="1009"/>
      <c r="Y1168" s="1006" t="str">
        <f t="shared" si="208"/>
        <v/>
      </c>
      <c r="Z1168" s="1006" t="str">
        <f t="shared" si="209"/>
        <v/>
      </c>
      <c r="AA1168" s="1006" t="str">
        <f t="shared" si="210"/>
        <v/>
      </c>
      <c r="AB1168" s="1010" t="str">
        <f t="shared" si="211"/>
        <v>0</v>
      </c>
      <c r="AC1168" s="1011"/>
      <c r="AD1168" s="1011"/>
      <c r="AE1168" s="572"/>
      <c r="AF1168" s="572"/>
    </row>
    <row r="1169" spans="1:32">
      <c r="A1169" s="947">
        <f t="shared" si="212"/>
        <v>1162</v>
      </c>
      <c r="B1169" s="985"/>
      <c r="C1169" s="984"/>
      <c r="D1169" s="1000"/>
      <c r="E1169" s="1003"/>
      <c r="F1169" s="1004"/>
      <c r="G1169" s="1000"/>
      <c r="H1169" s="997"/>
      <c r="I1169" s="1000"/>
      <c r="J1169" s="1000"/>
      <c r="K1169" s="1001">
        <f t="shared" si="204"/>
        <v>0</v>
      </c>
      <c r="L1169" s="967">
        <f t="shared" si="202"/>
        <v>0</v>
      </c>
      <c r="M1169" s="998"/>
      <c r="N1169" s="968">
        <f t="shared" si="203"/>
        <v>0</v>
      </c>
      <c r="O1169" s="1002"/>
      <c r="P1169" s="969">
        <f t="shared" si="205"/>
        <v>0</v>
      </c>
      <c r="Q1169" s="999"/>
      <c r="R1169" s="441"/>
      <c r="S1169" s="1006" t="str">
        <f t="shared" si="206"/>
        <v/>
      </c>
      <c r="T1169" s="1006" t="str">
        <f t="shared" si="207"/>
        <v/>
      </c>
      <c r="U1169" s="1007"/>
      <c r="V1169" s="1032"/>
      <c r="W1169" s="1008"/>
      <c r="X1169" s="1009"/>
      <c r="Y1169" s="1006" t="str">
        <f t="shared" si="208"/>
        <v/>
      </c>
      <c r="Z1169" s="1006" t="str">
        <f t="shared" si="209"/>
        <v/>
      </c>
      <c r="AA1169" s="1006" t="str">
        <f t="shared" si="210"/>
        <v/>
      </c>
      <c r="AB1169" s="1010" t="str">
        <f t="shared" si="211"/>
        <v>0</v>
      </c>
      <c r="AC1169" s="1011"/>
      <c r="AD1169" s="1011"/>
      <c r="AE1169" s="572"/>
      <c r="AF1169" s="572"/>
    </row>
    <row r="1170" spans="1:32">
      <c r="A1170" s="947">
        <f t="shared" si="212"/>
        <v>1163</v>
      </c>
      <c r="B1170" s="985"/>
      <c r="C1170" s="984"/>
      <c r="D1170" s="1000"/>
      <c r="E1170" s="1003"/>
      <c r="F1170" s="1004"/>
      <c r="G1170" s="1000"/>
      <c r="H1170" s="997"/>
      <c r="I1170" s="1000"/>
      <c r="J1170" s="1000"/>
      <c r="K1170" s="1001">
        <f t="shared" si="204"/>
        <v>0</v>
      </c>
      <c r="L1170" s="967">
        <f t="shared" si="202"/>
        <v>0</v>
      </c>
      <c r="M1170" s="998"/>
      <c r="N1170" s="968">
        <f t="shared" si="203"/>
        <v>0</v>
      </c>
      <c r="O1170" s="1002"/>
      <c r="P1170" s="969">
        <f t="shared" si="205"/>
        <v>0</v>
      </c>
      <c r="Q1170" s="999"/>
      <c r="R1170" s="441"/>
      <c r="S1170" s="1006" t="str">
        <f t="shared" si="206"/>
        <v/>
      </c>
      <c r="T1170" s="1006" t="str">
        <f t="shared" si="207"/>
        <v/>
      </c>
      <c r="U1170" s="1007"/>
      <c r="V1170" s="1032"/>
      <c r="W1170" s="1008"/>
      <c r="X1170" s="1009"/>
      <c r="Y1170" s="1006" t="str">
        <f t="shared" si="208"/>
        <v/>
      </c>
      <c r="Z1170" s="1006" t="str">
        <f t="shared" si="209"/>
        <v/>
      </c>
      <c r="AA1170" s="1006" t="str">
        <f t="shared" si="210"/>
        <v/>
      </c>
      <c r="AB1170" s="1010" t="str">
        <f t="shared" si="211"/>
        <v>0</v>
      </c>
      <c r="AC1170" s="1011"/>
      <c r="AD1170" s="1011"/>
      <c r="AE1170" s="572"/>
      <c r="AF1170" s="572"/>
    </row>
    <row r="1171" spans="1:32">
      <c r="A1171" s="947">
        <f t="shared" si="212"/>
        <v>1164</v>
      </c>
      <c r="B1171" s="985"/>
      <c r="C1171" s="984"/>
      <c r="D1171" s="1000"/>
      <c r="E1171" s="1003"/>
      <c r="F1171" s="1004"/>
      <c r="G1171" s="1000"/>
      <c r="H1171" s="997"/>
      <c r="I1171" s="1000"/>
      <c r="J1171" s="1000"/>
      <c r="K1171" s="1001">
        <f t="shared" si="204"/>
        <v>0</v>
      </c>
      <c r="L1171" s="967">
        <f t="shared" si="202"/>
        <v>0</v>
      </c>
      <c r="M1171" s="998"/>
      <c r="N1171" s="968">
        <f t="shared" si="203"/>
        <v>0</v>
      </c>
      <c r="O1171" s="1002"/>
      <c r="P1171" s="969">
        <f t="shared" si="205"/>
        <v>0</v>
      </c>
      <c r="Q1171" s="999"/>
      <c r="R1171" s="441"/>
      <c r="S1171" s="1006" t="str">
        <f t="shared" si="206"/>
        <v/>
      </c>
      <c r="T1171" s="1006" t="str">
        <f t="shared" si="207"/>
        <v/>
      </c>
      <c r="U1171" s="1007"/>
      <c r="V1171" s="1032"/>
      <c r="W1171" s="1008"/>
      <c r="X1171" s="1009"/>
      <c r="Y1171" s="1006" t="str">
        <f t="shared" si="208"/>
        <v/>
      </c>
      <c r="Z1171" s="1006" t="str">
        <f t="shared" si="209"/>
        <v/>
      </c>
      <c r="AA1171" s="1006" t="str">
        <f t="shared" si="210"/>
        <v/>
      </c>
      <c r="AB1171" s="1010" t="str">
        <f t="shared" si="211"/>
        <v>0</v>
      </c>
      <c r="AC1171" s="1011"/>
      <c r="AD1171" s="1011"/>
      <c r="AE1171" s="572"/>
      <c r="AF1171" s="572"/>
    </row>
    <row r="1172" spans="1:32">
      <c r="A1172" s="947">
        <f t="shared" si="212"/>
        <v>1165</v>
      </c>
      <c r="B1172" s="985"/>
      <c r="C1172" s="984"/>
      <c r="D1172" s="1000"/>
      <c r="E1172" s="1003"/>
      <c r="F1172" s="1004"/>
      <c r="G1172" s="1000"/>
      <c r="H1172" s="997"/>
      <c r="I1172" s="1000"/>
      <c r="J1172" s="1000"/>
      <c r="K1172" s="1001">
        <f t="shared" si="204"/>
        <v>0</v>
      </c>
      <c r="L1172" s="967">
        <f t="shared" si="202"/>
        <v>0</v>
      </c>
      <c r="M1172" s="998"/>
      <c r="N1172" s="968">
        <f t="shared" si="203"/>
        <v>0</v>
      </c>
      <c r="O1172" s="1002"/>
      <c r="P1172" s="969">
        <f t="shared" si="205"/>
        <v>0</v>
      </c>
      <c r="Q1172" s="999"/>
      <c r="R1172" s="441"/>
      <c r="S1172" s="1006" t="str">
        <f t="shared" si="206"/>
        <v/>
      </c>
      <c r="T1172" s="1006" t="str">
        <f t="shared" si="207"/>
        <v/>
      </c>
      <c r="U1172" s="1007"/>
      <c r="V1172" s="1032"/>
      <c r="W1172" s="1008"/>
      <c r="X1172" s="1009"/>
      <c r="Y1172" s="1006" t="str">
        <f t="shared" si="208"/>
        <v/>
      </c>
      <c r="Z1172" s="1006" t="str">
        <f t="shared" si="209"/>
        <v/>
      </c>
      <c r="AA1172" s="1006" t="str">
        <f t="shared" si="210"/>
        <v/>
      </c>
      <c r="AB1172" s="1010" t="str">
        <f t="shared" si="211"/>
        <v>0</v>
      </c>
      <c r="AC1172" s="1011"/>
      <c r="AD1172" s="1011"/>
      <c r="AE1172" s="572"/>
      <c r="AF1172" s="572"/>
    </row>
    <row r="1173" spans="1:32">
      <c r="A1173" s="947">
        <f t="shared" si="212"/>
        <v>1166</v>
      </c>
      <c r="B1173" s="985"/>
      <c r="C1173" s="984"/>
      <c r="D1173" s="1000"/>
      <c r="E1173" s="1003"/>
      <c r="F1173" s="1004"/>
      <c r="G1173" s="1000"/>
      <c r="H1173" s="997"/>
      <c r="I1173" s="1000"/>
      <c r="J1173" s="1000"/>
      <c r="K1173" s="1001">
        <f t="shared" si="204"/>
        <v>0</v>
      </c>
      <c r="L1173" s="967">
        <f t="shared" si="202"/>
        <v>0</v>
      </c>
      <c r="M1173" s="998"/>
      <c r="N1173" s="968">
        <f t="shared" si="203"/>
        <v>0</v>
      </c>
      <c r="O1173" s="1002"/>
      <c r="P1173" s="969">
        <f t="shared" si="205"/>
        <v>0</v>
      </c>
      <c r="Q1173" s="999"/>
      <c r="R1173" s="441"/>
      <c r="S1173" s="1006" t="str">
        <f t="shared" si="206"/>
        <v/>
      </c>
      <c r="T1173" s="1006" t="str">
        <f t="shared" si="207"/>
        <v/>
      </c>
      <c r="U1173" s="1007"/>
      <c r="V1173" s="1032"/>
      <c r="W1173" s="1008"/>
      <c r="X1173" s="1009"/>
      <c r="Y1173" s="1006" t="str">
        <f t="shared" si="208"/>
        <v/>
      </c>
      <c r="Z1173" s="1006" t="str">
        <f t="shared" si="209"/>
        <v/>
      </c>
      <c r="AA1173" s="1006" t="str">
        <f t="shared" si="210"/>
        <v/>
      </c>
      <c r="AB1173" s="1010" t="str">
        <f t="shared" si="211"/>
        <v>0</v>
      </c>
      <c r="AC1173" s="1011"/>
      <c r="AD1173" s="1011"/>
      <c r="AE1173" s="572"/>
      <c r="AF1173" s="572"/>
    </row>
    <row r="1174" spans="1:32">
      <c r="A1174" s="947">
        <f t="shared" si="212"/>
        <v>1167</v>
      </c>
      <c r="B1174" s="985"/>
      <c r="C1174" s="984"/>
      <c r="D1174" s="1000"/>
      <c r="E1174" s="1003"/>
      <c r="F1174" s="1004"/>
      <c r="G1174" s="1000"/>
      <c r="H1174" s="997"/>
      <c r="I1174" s="1000"/>
      <c r="J1174" s="1000"/>
      <c r="K1174" s="1001">
        <f t="shared" si="204"/>
        <v>0</v>
      </c>
      <c r="L1174" s="967">
        <f t="shared" si="202"/>
        <v>0</v>
      </c>
      <c r="M1174" s="998"/>
      <c r="N1174" s="968">
        <f t="shared" si="203"/>
        <v>0</v>
      </c>
      <c r="O1174" s="1002"/>
      <c r="P1174" s="969">
        <f t="shared" si="205"/>
        <v>0</v>
      </c>
      <c r="Q1174" s="999"/>
      <c r="R1174" s="441"/>
      <c r="S1174" s="1006" t="str">
        <f t="shared" si="206"/>
        <v/>
      </c>
      <c r="T1174" s="1006" t="str">
        <f t="shared" si="207"/>
        <v/>
      </c>
      <c r="U1174" s="1007"/>
      <c r="V1174" s="1032"/>
      <c r="W1174" s="1008"/>
      <c r="X1174" s="1009"/>
      <c r="Y1174" s="1006" t="str">
        <f t="shared" si="208"/>
        <v/>
      </c>
      <c r="Z1174" s="1006" t="str">
        <f t="shared" si="209"/>
        <v/>
      </c>
      <c r="AA1174" s="1006" t="str">
        <f t="shared" si="210"/>
        <v/>
      </c>
      <c r="AB1174" s="1010" t="str">
        <f t="shared" si="211"/>
        <v>0</v>
      </c>
      <c r="AC1174" s="1011"/>
      <c r="AD1174" s="1011"/>
      <c r="AE1174" s="572"/>
      <c r="AF1174" s="572"/>
    </row>
    <row r="1175" spans="1:32">
      <c r="A1175" s="947">
        <f t="shared" si="212"/>
        <v>1168</v>
      </c>
      <c r="B1175" s="985"/>
      <c r="C1175" s="984"/>
      <c r="D1175" s="1000"/>
      <c r="E1175" s="1003"/>
      <c r="F1175" s="1004"/>
      <c r="G1175" s="1000"/>
      <c r="H1175" s="997"/>
      <c r="I1175" s="1000"/>
      <c r="J1175" s="1000"/>
      <c r="K1175" s="1001">
        <f t="shared" si="204"/>
        <v>0</v>
      </c>
      <c r="L1175" s="967">
        <f t="shared" si="202"/>
        <v>0</v>
      </c>
      <c r="M1175" s="998"/>
      <c r="N1175" s="968">
        <f t="shared" ref="N1175:N1207" si="213">+M1175</f>
        <v>0</v>
      </c>
      <c r="O1175" s="1002"/>
      <c r="P1175" s="969">
        <f t="shared" si="205"/>
        <v>0</v>
      </c>
      <c r="Q1175" s="999"/>
      <c r="R1175" s="441"/>
      <c r="S1175" s="1006" t="str">
        <f t="shared" si="206"/>
        <v/>
      </c>
      <c r="T1175" s="1006" t="str">
        <f t="shared" si="207"/>
        <v/>
      </c>
      <c r="U1175" s="1007"/>
      <c r="V1175" s="1032"/>
      <c r="W1175" s="1008"/>
      <c r="X1175" s="1009"/>
      <c r="Y1175" s="1006" t="str">
        <f t="shared" si="208"/>
        <v/>
      </c>
      <c r="Z1175" s="1006" t="str">
        <f t="shared" si="209"/>
        <v/>
      </c>
      <c r="AA1175" s="1006" t="str">
        <f t="shared" si="210"/>
        <v/>
      </c>
      <c r="AB1175" s="1010" t="str">
        <f t="shared" si="211"/>
        <v>0</v>
      </c>
      <c r="AC1175" s="1011"/>
      <c r="AD1175" s="1011"/>
      <c r="AE1175" s="572"/>
      <c r="AF1175" s="572"/>
    </row>
    <row r="1176" spans="1:32">
      <c r="A1176" s="947">
        <f t="shared" si="212"/>
        <v>1169</v>
      </c>
      <c r="B1176" s="985"/>
      <c r="C1176" s="984"/>
      <c r="D1176" s="1000"/>
      <c r="E1176" s="1003"/>
      <c r="F1176" s="1004"/>
      <c r="G1176" s="1000"/>
      <c r="H1176" s="997"/>
      <c r="I1176" s="1000"/>
      <c r="J1176" s="1000"/>
      <c r="K1176" s="1001">
        <f t="shared" si="204"/>
        <v>0</v>
      </c>
      <c r="L1176" s="967">
        <f t="shared" ref="L1176:L1207" si="214">HOUR(N1176)</f>
        <v>0</v>
      </c>
      <c r="M1176" s="998"/>
      <c r="N1176" s="968">
        <f t="shared" si="213"/>
        <v>0</v>
      </c>
      <c r="O1176" s="1002"/>
      <c r="P1176" s="969">
        <f t="shared" si="205"/>
        <v>0</v>
      </c>
      <c r="Q1176" s="999"/>
      <c r="R1176" s="441"/>
      <c r="S1176" s="1006" t="str">
        <f t="shared" si="206"/>
        <v/>
      </c>
      <c r="T1176" s="1006" t="str">
        <f t="shared" si="207"/>
        <v/>
      </c>
      <c r="U1176" s="1007"/>
      <c r="V1176" s="1032"/>
      <c r="W1176" s="1008"/>
      <c r="X1176" s="1009"/>
      <c r="Y1176" s="1006" t="str">
        <f t="shared" si="208"/>
        <v/>
      </c>
      <c r="Z1176" s="1006" t="str">
        <f t="shared" si="209"/>
        <v/>
      </c>
      <c r="AA1176" s="1006" t="str">
        <f t="shared" si="210"/>
        <v/>
      </c>
      <c r="AB1176" s="1010" t="str">
        <f t="shared" si="211"/>
        <v>0</v>
      </c>
      <c r="AC1176" s="1011"/>
      <c r="AD1176" s="1011"/>
      <c r="AE1176" s="572"/>
      <c r="AF1176" s="572"/>
    </row>
    <row r="1177" spans="1:32">
      <c r="A1177" s="947">
        <f t="shared" si="212"/>
        <v>1170</v>
      </c>
      <c r="B1177" s="985"/>
      <c r="C1177" s="984"/>
      <c r="D1177" s="1000"/>
      <c r="E1177" s="1003"/>
      <c r="F1177" s="1004"/>
      <c r="G1177" s="1000"/>
      <c r="H1177" s="997"/>
      <c r="I1177" s="1000"/>
      <c r="J1177" s="1000"/>
      <c r="K1177" s="1001">
        <f t="shared" si="204"/>
        <v>0</v>
      </c>
      <c r="L1177" s="967">
        <f t="shared" si="214"/>
        <v>0</v>
      </c>
      <c r="M1177" s="998"/>
      <c r="N1177" s="968">
        <f t="shared" si="213"/>
        <v>0</v>
      </c>
      <c r="O1177" s="1002"/>
      <c r="P1177" s="969">
        <f t="shared" si="205"/>
        <v>0</v>
      </c>
      <c r="Q1177" s="999"/>
      <c r="R1177" s="441"/>
      <c r="S1177" s="1006" t="str">
        <f t="shared" si="206"/>
        <v/>
      </c>
      <c r="T1177" s="1006" t="str">
        <f t="shared" si="207"/>
        <v/>
      </c>
      <c r="U1177" s="1007"/>
      <c r="V1177" s="1032"/>
      <c r="W1177" s="1008"/>
      <c r="X1177" s="1009"/>
      <c r="Y1177" s="1006" t="str">
        <f t="shared" si="208"/>
        <v/>
      </c>
      <c r="Z1177" s="1006" t="str">
        <f t="shared" si="209"/>
        <v/>
      </c>
      <c r="AA1177" s="1006" t="str">
        <f t="shared" si="210"/>
        <v/>
      </c>
      <c r="AB1177" s="1010" t="str">
        <f t="shared" si="211"/>
        <v>0</v>
      </c>
      <c r="AC1177" s="1011"/>
      <c r="AD1177" s="1011"/>
      <c r="AE1177" s="572"/>
      <c r="AF1177" s="572"/>
    </row>
    <row r="1178" spans="1:32">
      <c r="A1178" s="947">
        <f t="shared" si="212"/>
        <v>1171</v>
      </c>
      <c r="B1178" s="985"/>
      <c r="C1178" s="984"/>
      <c r="D1178" s="1000"/>
      <c r="E1178" s="1003"/>
      <c r="F1178" s="1004"/>
      <c r="G1178" s="1000"/>
      <c r="H1178" s="997"/>
      <c r="I1178" s="1000"/>
      <c r="J1178" s="1000"/>
      <c r="K1178" s="1001">
        <f t="shared" ref="K1178:K1207" si="215">+(I1178/1760)*J1178</f>
        <v>0</v>
      </c>
      <c r="L1178" s="967">
        <f t="shared" si="214"/>
        <v>0</v>
      </c>
      <c r="M1178" s="998"/>
      <c r="N1178" s="968">
        <f t="shared" si="213"/>
        <v>0</v>
      </c>
      <c r="O1178" s="1002"/>
      <c r="P1178" s="969">
        <f t="shared" ref="P1178:P1207" si="216">+O1178-N1178</f>
        <v>0</v>
      </c>
      <c r="Q1178" s="999"/>
      <c r="R1178" s="441"/>
      <c r="S1178" s="1006" t="str">
        <f t="shared" ref="S1178:S1207" si="217">CONCATENATE(G1178,H1178)</f>
        <v/>
      </c>
      <c r="T1178" s="1006" t="str">
        <f t="shared" ref="T1178:T1207" si="218">CONCATENATE(F1178,H1178)</f>
        <v/>
      </c>
      <c r="U1178" s="1007"/>
      <c r="V1178" s="1032"/>
      <c r="W1178" s="1008"/>
      <c r="X1178" s="1009"/>
      <c r="Y1178" s="1006" t="str">
        <f t="shared" ref="Y1178:Y1207" si="219">CONCATENATE(H1178,U1178)</f>
        <v/>
      </c>
      <c r="Z1178" s="1006" t="str">
        <f t="shared" ref="Z1178:Z1207" si="220">CONCATENATE(H1178,V1178)</f>
        <v/>
      </c>
      <c r="AA1178" s="1006" t="str">
        <f t="shared" ref="AA1178:AA1207" si="221">CONCATENATE(H1178,W1178)</f>
        <v/>
      </c>
      <c r="AB1178" s="1010" t="str">
        <f t="shared" ref="AB1178:AB1207" si="222">CONCATENATE(H1178,L1178)</f>
        <v>0</v>
      </c>
      <c r="AC1178" s="1011"/>
      <c r="AD1178" s="1011"/>
      <c r="AE1178" s="572"/>
      <c r="AF1178" s="572"/>
    </row>
    <row r="1179" spans="1:32">
      <c r="A1179" s="947">
        <f t="shared" si="212"/>
        <v>1172</v>
      </c>
      <c r="B1179" s="985"/>
      <c r="C1179" s="984"/>
      <c r="D1179" s="1000"/>
      <c r="E1179" s="1003"/>
      <c r="F1179" s="1004"/>
      <c r="G1179" s="1000"/>
      <c r="H1179" s="997"/>
      <c r="I1179" s="1000"/>
      <c r="J1179" s="1000"/>
      <c r="K1179" s="1001">
        <f t="shared" si="215"/>
        <v>0</v>
      </c>
      <c r="L1179" s="967">
        <f t="shared" si="214"/>
        <v>0</v>
      </c>
      <c r="M1179" s="998"/>
      <c r="N1179" s="968">
        <f t="shared" si="213"/>
        <v>0</v>
      </c>
      <c r="O1179" s="1002"/>
      <c r="P1179" s="969">
        <f t="shared" si="216"/>
        <v>0</v>
      </c>
      <c r="Q1179" s="999"/>
      <c r="R1179" s="441"/>
      <c r="S1179" s="1006" t="str">
        <f t="shared" si="217"/>
        <v/>
      </c>
      <c r="T1179" s="1006" t="str">
        <f t="shared" si="218"/>
        <v/>
      </c>
      <c r="U1179" s="1007"/>
      <c r="V1179" s="1032"/>
      <c r="W1179" s="1008"/>
      <c r="X1179" s="1009"/>
      <c r="Y1179" s="1006" t="str">
        <f t="shared" si="219"/>
        <v/>
      </c>
      <c r="Z1179" s="1006" t="str">
        <f t="shared" si="220"/>
        <v/>
      </c>
      <c r="AA1179" s="1006" t="str">
        <f t="shared" si="221"/>
        <v/>
      </c>
      <c r="AB1179" s="1010" t="str">
        <f t="shared" si="222"/>
        <v>0</v>
      </c>
      <c r="AC1179" s="1011"/>
      <c r="AD1179" s="1011"/>
      <c r="AE1179" s="572"/>
      <c r="AF1179" s="572"/>
    </row>
    <row r="1180" spans="1:32">
      <c r="A1180" s="947">
        <f t="shared" si="212"/>
        <v>1173</v>
      </c>
      <c r="B1180" s="985"/>
      <c r="C1180" s="984"/>
      <c r="D1180" s="1000"/>
      <c r="E1180" s="1003"/>
      <c r="F1180" s="1004"/>
      <c r="G1180" s="1000"/>
      <c r="H1180" s="997"/>
      <c r="I1180" s="1000"/>
      <c r="J1180" s="1000"/>
      <c r="K1180" s="1001">
        <f t="shared" si="215"/>
        <v>0</v>
      </c>
      <c r="L1180" s="967">
        <f t="shared" si="214"/>
        <v>0</v>
      </c>
      <c r="M1180" s="998"/>
      <c r="N1180" s="968">
        <f t="shared" si="213"/>
        <v>0</v>
      </c>
      <c r="O1180" s="1002"/>
      <c r="P1180" s="969">
        <f t="shared" si="216"/>
        <v>0</v>
      </c>
      <c r="Q1180" s="999"/>
      <c r="R1180" s="441"/>
      <c r="S1180" s="1006" t="str">
        <f t="shared" si="217"/>
        <v/>
      </c>
      <c r="T1180" s="1006" t="str">
        <f t="shared" si="218"/>
        <v/>
      </c>
      <c r="U1180" s="1007"/>
      <c r="V1180" s="1032"/>
      <c r="W1180" s="1008"/>
      <c r="X1180" s="1009"/>
      <c r="Y1180" s="1006" t="str">
        <f t="shared" si="219"/>
        <v/>
      </c>
      <c r="Z1180" s="1006" t="str">
        <f t="shared" si="220"/>
        <v/>
      </c>
      <c r="AA1180" s="1006" t="str">
        <f t="shared" si="221"/>
        <v/>
      </c>
      <c r="AB1180" s="1010" t="str">
        <f t="shared" si="222"/>
        <v>0</v>
      </c>
      <c r="AC1180" s="1011"/>
      <c r="AD1180" s="1011"/>
      <c r="AE1180" s="572"/>
      <c r="AF1180" s="572"/>
    </row>
    <row r="1181" spans="1:32">
      <c r="A1181" s="947">
        <f t="shared" si="212"/>
        <v>1174</v>
      </c>
      <c r="B1181" s="985"/>
      <c r="C1181" s="984"/>
      <c r="D1181" s="1000"/>
      <c r="E1181" s="1003"/>
      <c r="F1181" s="1004"/>
      <c r="G1181" s="1000"/>
      <c r="H1181" s="997"/>
      <c r="I1181" s="1000"/>
      <c r="J1181" s="1000"/>
      <c r="K1181" s="1001">
        <f t="shared" si="215"/>
        <v>0</v>
      </c>
      <c r="L1181" s="967">
        <f t="shared" si="214"/>
        <v>0</v>
      </c>
      <c r="M1181" s="998"/>
      <c r="N1181" s="968">
        <f t="shared" si="213"/>
        <v>0</v>
      </c>
      <c r="O1181" s="1002"/>
      <c r="P1181" s="969">
        <f t="shared" si="216"/>
        <v>0</v>
      </c>
      <c r="Q1181" s="999"/>
      <c r="R1181" s="441"/>
      <c r="S1181" s="1006" t="str">
        <f t="shared" si="217"/>
        <v/>
      </c>
      <c r="T1181" s="1006" t="str">
        <f t="shared" si="218"/>
        <v/>
      </c>
      <c r="U1181" s="1007"/>
      <c r="V1181" s="1032"/>
      <c r="W1181" s="1008"/>
      <c r="X1181" s="1009"/>
      <c r="Y1181" s="1006" t="str">
        <f t="shared" si="219"/>
        <v/>
      </c>
      <c r="Z1181" s="1006" t="str">
        <f t="shared" si="220"/>
        <v/>
      </c>
      <c r="AA1181" s="1006" t="str">
        <f t="shared" si="221"/>
        <v/>
      </c>
      <c r="AB1181" s="1010" t="str">
        <f t="shared" si="222"/>
        <v>0</v>
      </c>
      <c r="AC1181" s="1011"/>
      <c r="AD1181" s="1011"/>
      <c r="AE1181" s="572"/>
      <c r="AF1181" s="572"/>
    </row>
    <row r="1182" spans="1:32">
      <c r="A1182" s="947">
        <f t="shared" si="212"/>
        <v>1175</v>
      </c>
      <c r="B1182" s="985"/>
      <c r="C1182" s="984"/>
      <c r="D1182" s="1000"/>
      <c r="E1182" s="1003"/>
      <c r="F1182" s="1004"/>
      <c r="G1182" s="1000"/>
      <c r="H1182" s="997"/>
      <c r="I1182" s="1000"/>
      <c r="J1182" s="1000"/>
      <c r="K1182" s="1001">
        <f t="shared" si="215"/>
        <v>0</v>
      </c>
      <c r="L1182" s="967">
        <f t="shared" si="214"/>
        <v>0</v>
      </c>
      <c r="M1182" s="998"/>
      <c r="N1182" s="968">
        <f t="shared" si="213"/>
        <v>0</v>
      </c>
      <c r="O1182" s="1002"/>
      <c r="P1182" s="969">
        <f t="shared" si="216"/>
        <v>0</v>
      </c>
      <c r="Q1182" s="999"/>
      <c r="R1182" s="441"/>
      <c r="S1182" s="1006" t="str">
        <f t="shared" si="217"/>
        <v/>
      </c>
      <c r="T1182" s="1006" t="str">
        <f t="shared" si="218"/>
        <v/>
      </c>
      <c r="U1182" s="1007"/>
      <c r="V1182" s="1032"/>
      <c r="W1182" s="1008"/>
      <c r="X1182" s="1009"/>
      <c r="Y1182" s="1006" t="str">
        <f t="shared" si="219"/>
        <v/>
      </c>
      <c r="Z1182" s="1006" t="str">
        <f t="shared" si="220"/>
        <v/>
      </c>
      <c r="AA1182" s="1006" t="str">
        <f t="shared" si="221"/>
        <v/>
      </c>
      <c r="AB1182" s="1010" t="str">
        <f t="shared" si="222"/>
        <v>0</v>
      </c>
      <c r="AC1182" s="1011"/>
      <c r="AD1182" s="1011"/>
      <c r="AE1182" s="572"/>
      <c r="AF1182" s="572"/>
    </row>
    <row r="1183" spans="1:32">
      <c r="A1183" s="947">
        <f t="shared" si="212"/>
        <v>1176</v>
      </c>
      <c r="B1183" s="985"/>
      <c r="C1183" s="984"/>
      <c r="D1183" s="1000"/>
      <c r="E1183" s="1003"/>
      <c r="F1183" s="1004"/>
      <c r="G1183" s="1000"/>
      <c r="H1183" s="997"/>
      <c r="I1183" s="1000"/>
      <c r="J1183" s="1000"/>
      <c r="K1183" s="1001">
        <f t="shared" si="215"/>
        <v>0</v>
      </c>
      <c r="L1183" s="967">
        <f t="shared" si="214"/>
        <v>0</v>
      </c>
      <c r="M1183" s="998"/>
      <c r="N1183" s="968">
        <f t="shared" si="213"/>
        <v>0</v>
      </c>
      <c r="O1183" s="1002"/>
      <c r="P1183" s="969">
        <f t="shared" si="216"/>
        <v>0</v>
      </c>
      <c r="Q1183" s="999"/>
      <c r="R1183" s="441"/>
      <c r="S1183" s="1006" t="str">
        <f t="shared" si="217"/>
        <v/>
      </c>
      <c r="T1183" s="1006" t="str">
        <f t="shared" si="218"/>
        <v/>
      </c>
      <c r="U1183" s="1007"/>
      <c r="V1183" s="1032"/>
      <c r="W1183" s="1008"/>
      <c r="X1183" s="1009"/>
      <c r="Y1183" s="1006" t="str">
        <f t="shared" si="219"/>
        <v/>
      </c>
      <c r="Z1183" s="1006" t="str">
        <f t="shared" si="220"/>
        <v/>
      </c>
      <c r="AA1183" s="1006" t="str">
        <f t="shared" si="221"/>
        <v/>
      </c>
      <c r="AB1183" s="1010" t="str">
        <f t="shared" si="222"/>
        <v>0</v>
      </c>
      <c r="AC1183" s="1011"/>
      <c r="AD1183" s="1011"/>
      <c r="AE1183" s="572"/>
      <c r="AF1183" s="572"/>
    </row>
    <row r="1184" spans="1:32">
      <c r="A1184" s="947">
        <f t="shared" si="212"/>
        <v>1177</v>
      </c>
      <c r="B1184" s="985"/>
      <c r="C1184" s="984"/>
      <c r="D1184" s="1000"/>
      <c r="E1184" s="1003"/>
      <c r="F1184" s="1004"/>
      <c r="G1184" s="1000"/>
      <c r="H1184" s="997"/>
      <c r="I1184" s="1000"/>
      <c r="J1184" s="1000"/>
      <c r="K1184" s="1001">
        <f t="shared" si="215"/>
        <v>0</v>
      </c>
      <c r="L1184" s="967">
        <f t="shared" si="214"/>
        <v>0</v>
      </c>
      <c r="M1184" s="998"/>
      <c r="N1184" s="968">
        <f t="shared" si="213"/>
        <v>0</v>
      </c>
      <c r="O1184" s="1002"/>
      <c r="P1184" s="969">
        <f t="shared" si="216"/>
        <v>0</v>
      </c>
      <c r="Q1184" s="999"/>
      <c r="R1184" s="441"/>
      <c r="S1184" s="1006" t="str">
        <f t="shared" si="217"/>
        <v/>
      </c>
      <c r="T1184" s="1006" t="str">
        <f t="shared" si="218"/>
        <v/>
      </c>
      <c r="U1184" s="1007"/>
      <c r="V1184" s="1032"/>
      <c r="W1184" s="1008"/>
      <c r="X1184" s="1009"/>
      <c r="Y1184" s="1006" t="str">
        <f t="shared" si="219"/>
        <v/>
      </c>
      <c r="Z1184" s="1006" t="str">
        <f t="shared" si="220"/>
        <v/>
      </c>
      <c r="AA1184" s="1006" t="str">
        <f t="shared" si="221"/>
        <v/>
      </c>
      <c r="AB1184" s="1010" t="str">
        <f t="shared" si="222"/>
        <v>0</v>
      </c>
      <c r="AC1184" s="1011"/>
      <c r="AD1184" s="1011"/>
      <c r="AE1184" s="572"/>
      <c r="AF1184" s="572"/>
    </row>
    <row r="1185" spans="1:32">
      <c r="A1185" s="947">
        <f t="shared" si="212"/>
        <v>1178</v>
      </c>
      <c r="B1185" s="985"/>
      <c r="C1185" s="984"/>
      <c r="D1185" s="1000"/>
      <c r="E1185" s="1003"/>
      <c r="F1185" s="1004"/>
      <c r="G1185" s="1000"/>
      <c r="H1185" s="997"/>
      <c r="I1185" s="1000"/>
      <c r="J1185" s="1000"/>
      <c r="K1185" s="1001">
        <f t="shared" si="215"/>
        <v>0</v>
      </c>
      <c r="L1185" s="967">
        <f t="shared" si="214"/>
        <v>0</v>
      </c>
      <c r="M1185" s="998"/>
      <c r="N1185" s="968">
        <f t="shared" si="213"/>
        <v>0</v>
      </c>
      <c r="O1185" s="1002"/>
      <c r="P1185" s="969">
        <f t="shared" si="216"/>
        <v>0</v>
      </c>
      <c r="Q1185" s="999"/>
      <c r="R1185" s="441"/>
      <c r="S1185" s="1006" t="str">
        <f t="shared" si="217"/>
        <v/>
      </c>
      <c r="T1185" s="1006" t="str">
        <f t="shared" si="218"/>
        <v/>
      </c>
      <c r="U1185" s="1007"/>
      <c r="V1185" s="1032"/>
      <c r="W1185" s="1008"/>
      <c r="X1185" s="1009"/>
      <c r="Y1185" s="1006" t="str">
        <f t="shared" si="219"/>
        <v/>
      </c>
      <c r="Z1185" s="1006" t="str">
        <f t="shared" si="220"/>
        <v/>
      </c>
      <c r="AA1185" s="1006" t="str">
        <f t="shared" si="221"/>
        <v/>
      </c>
      <c r="AB1185" s="1010" t="str">
        <f t="shared" si="222"/>
        <v>0</v>
      </c>
      <c r="AC1185" s="1011"/>
      <c r="AD1185" s="1011"/>
      <c r="AE1185" s="572"/>
      <c r="AF1185" s="572"/>
    </row>
    <row r="1186" spans="1:32">
      <c r="A1186" s="947">
        <f t="shared" si="212"/>
        <v>1179</v>
      </c>
      <c r="B1186" s="985"/>
      <c r="C1186" s="984"/>
      <c r="D1186" s="1000"/>
      <c r="E1186" s="1003"/>
      <c r="F1186" s="1004"/>
      <c r="G1186" s="1000"/>
      <c r="H1186" s="997"/>
      <c r="I1186" s="1000"/>
      <c r="J1186" s="1000"/>
      <c r="K1186" s="1001">
        <f t="shared" si="215"/>
        <v>0</v>
      </c>
      <c r="L1186" s="967">
        <f t="shared" si="214"/>
        <v>0</v>
      </c>
      <c r="M1186" s="998"/>
      <c r="N1186" s="968">
        <f t="shared" si="213"/>
        <v>0</v>
      </c>
      <c r="O1186" s="1002"/>
      <c r="P1186" s="969">
        <f t="shared" si="216"/>
        <v>0</v>
      </c>
      <c r="Q1186" s="999"/>
      <c r="R1186" s="441"/>
      <c r="S1186" s="1006" t="str">
        <f t="shared" si="217"/>
        <v/>
      </c>
      <c r="T1186" s="1006" t="str">
        <f t="shared" si="218"/>
        <v/>
      </c>
      <c r="U1186" s="1007"/>
      <c r="V1186" s="1032"/>
      <c r="W1186" s="1008"/>
      <c r="X1186" s="1009"/>
      <c r="Y1186" s="1006" t="str">
        <f t="shared" si="219"/>
        <v/>
      </c>
      <c r="Z1186" s="1006" t="str">
        <f t="shared" si="220"/>
        <v/>
      </c>
      <c r="AA1186" s="1006" t="str">
        <f t="shared" si="221"/>
        <v/>
      </c>
      <c r="AB1186" s="1010" t="str">
        <f t="shared" si="222"/>
        <v>0</v>
      </c>
      <c r="AC1186" s="1011"/>
      <c r="AD1186" s="1011"/>
      <c r="AE1186" s="572"/>
      <c r="AF1186" s="572"/>
    </row>
    <row r="1187" spans="1:32">
      <c r="A1187" s="947">
        <f t="shared" si="212"/>
        <v>1180</v>
      </c>
      <c r="B1187" s="985"/>
      <c r="C1187" s="984"/>
      <c r="D1187" s="1000"/>
      <c r="E1187" s="1003"/>
      <c r="F1187" s="1004"/>
      <c r="G1187" s="1000"/>
      <c r="H1187" s="997"/>
      <c r="I1187" s="1000"/>
      <c r="J1187" s="1000"/>
      <c r="K1187" s="1001">
        <f t="shared" si="215"/>
        <v>0</v>
      </c>
      <c r="L1187" s="967">
        <f t="shared" si="214"/>
        <v>0</v>
      </c>
      <c r="M1187" s="998"/>
      <c r="N1187" s="968">
        <f t="shared" si="213"/>
        <v>0</v>
      </c>
      <c r="O1187" s="1002"/>
      <c r="P1187" s="969">
        <f t="shared" si="216"/>
        <v>0</v>
      </c>
      <c r="Q1187" s="999"/>
      <c r="R1187" s="441"/>
      <c r="S1187" s="1006" t="str">
        <f t="shared" si="217"/>
        <v/>
      </c>
      <c r="T1187" s="1006" t="str">
        <f t="shared" si="218"/>
        <v/>
      </c>
      <c r="U1187" s="1007"/>
      <c r="V1187" s="1032"/>
      <c r="W1187" s="1008"/>
      <c r="X1187" s="1009"/>
      <c r="Y1187" s="1006" t="str">
        <f t="shared" si="219"/>
        <v/>
      </c>
      <c r="Z1187" s="1006" t="str">
        <f t="shared" si="220"/>
        <v/>
      </c>
      <c r="AA1187" s="1006" t="str">
        <f t="shared" si="221"/>
        <v/>
      </c>
      <c r="AB1187" s="1010" t="str">
        <f t="shared" si="222"/>
        <v>0</v>
      </c>
      <c r="AC1187" s="1011"/>
      <c r="AD1187" s="1011"/>
      <c r="AE1187" s="572"/>
      <c r="AF1187" s="572"/>
    </row>
    <row r="1188" spans="1:32">
      <c r="A1188" s="947">
        <f t="shared" si="212"/>
        <v>1181</v>
      </c>
      <c r="B1188" s="985"/>
      <c r="C1188" s="984"/>
      <c r="D1188" s="1000"/>
      <c r="E1188" s="1003"/>
      <c r="F1188" s="1004"/>
      <c r="G1188" s="1000"/>
      <c r="H1188" s="997"/>
      <c r="I1188" s="1000"/>
      <c r="J1188" s="1000"/>
      <c r="K1188" s="1001">
        <f t="shared" si="215"/>
        <v>0</v>
      </c>
      <c r="L1188" s="967">
        <f t="shared" si="214"/>
        <v>0</v>
      </c>
      <c r="M1188" s="998"/>
      <c r="N1188" s="968">
        <f t="shared" si="213"/>
        <v>0</v>
      </c>
      <c r="O1188" s="1002"/>
      <c r="P1188" s="969">
        <f t="shared" si="216"/>
        <v>0</v>
      </c>
      <c r="Q1188" s="999"/>
      <c r="R1188" s="441"/>
      <c r="S1188" s="1006" t="str">
        <f t="shared" si="217"/>
        <v/>
      </c>
      <c r="T1188" s="1006" t="str">
        <f t="shared" si="218"/>
        <v/>
      </c>
      <c r="U1188" s="1007"/>
      <c r="V1188" s="1032"/>
      <c r="W1188" s="1008"/>
      <c r="X1188" s="1009"/>
      <c r="Y1188" s="1006" t="str">
        <f t="shared" si="219"/>
        <v/>
      </c>
      <c r="Z1188" s="1006" t="str">
        <f t="shared" si="220"/>
        <v/>
      </c>
      <c r="AA1188" s="1006" t="str">
        <f t="shared" si="221"/>
        <v/>
      </c>
      <c r="AB1188" s="1010" t="str">
        <f t="shared" si="222"/>
        <v>0</v>
      </c>
      <c r="AC1188" s="1011"/>
      <c r="AD1188" s="1011"/>
      <c r="AE1188" s="572"/>
      <c r="AF1188" s="572"/>
    </row>
    <row r="1189" spans="1:32">
      <c r="A1189" s="947">
        <f t="shared" si="212"/>
        <v>1182</v>
      </c>
      <c r="B1189" s="985"/>
      <c r="C1189" s="984"/>
      <c r="D1189" s="1000"/>
      <c r="E1189" s="1003"/>
      <c r="F1189" s="1004"/>
      <c r="G1189" s="1000"/>
      <c r="H1189" s="997"/>
      <c r="I1189" s="1000"/>
      <c r="J1189" s="1000"/>
      <c r="K1189" s="1001">
        <f t="shared" si="215"/>
        <v>0</v>
      </c>
      <c r="L1189" s="967">
        <f t="shared" si="214"/>
        <v>0</v>
      </c>
      <c r="M1189" s="998"/>
      <c r="N1189" s="968">
        <f t="shared" si="213"/>
        <v>0</v>
      </c>
      <c r="O1189" s="1002"/>
      <c r="P1189" s="969">
        <f t="shared" si="216"/>
        <v>0</v>
      </c>
      <c r="Q1189" s="999"/>
      <c r="R1189" s="441"/>
      <c r="S1189" s="1006" t="str">
        <f t="shared" si="217"/>
        <v/>
      </c>
      <c r="T1189" s="1006" t="str">
        <f t="shared" si="218"/>
        <v/>
      </c>
      <c r="U1189" s="1007"/>
      <c r="V1189" s="1032"/>
      <c r="W1189" s="1008"/>
      <c r="X1189" s="1009"/>
      <c r="Y1189" s="1006" t="str">
        <f t="shared" si="219"/>
        <v/>
      </c>
      <c r="Z1189" s="1006" t="str">
        <f t="shared" si="220"/>
        <v/>
      </c>
      <c r="AA1189" s="1006" t="str">
        <f t="shared" si="221"/>
        <v/>
      </c>
      <c r="AB1189" s="1010" t="str">
        <f t="shared" si="222"/>
        <v>0</v>
      </c>
      <c r="AC1189" s="1011"/>
      <c r="AD1189" s="1011"/>
      <c r="AE1189" s="572"/>
      <c r="AF1189" s="572"/>
    </row>
    <row r="1190" spans="1:32">
      <c r="A1190" s="947">
        <f t="shared" si="212"/>
        <v>1183</v>
      </c>
      <c r="B1190" s="985"/>
      <c r="C1190" s="984"/>
      <c r="D1190" s="1000"/>
      <c r="E1190" s="1003"/>
      <c r="F1190" s="1004"/>
      <c r="G1190" s="1000"/>
      <c r="H1190" s="997"/>
      <c r="I1190" s="1000"/>
      <c r="J1190" s="1000"/>
      <c r="K1190" s="1001">
        <f t="shared" si="215"/>
        <v>0</v>
      </c>
      <c r="L1190" s="967">
        <f t="shared" si="214"/>
        <v>0</v>
      </c>
      <c r="M1190" s="998"/>
      <c r="N1190" s="968">
        <f t="shared" si="213"/>
        <v>0</v>
      </c>
      <c r="O1190" s="1002"/>
      <c r="P1190" s="969">
        <f t="shared" si="216"/>
        <v>0</v>
      </c>
      <c r="Q1190" s="999"/>
      <c r="R1190" s="441"/>
      <c r="S1190" s="1006" t="str">
        <f t="shared" si="217"/>
        <v/>
      </c>
      <c r="T1190" s="1006" t="str">
        <f t="shared" si="218"/>
        <v/>
      </c>
      <c r="U1190" s="1007"/>
      <c r="V1190" s="1032"/>
      <c r="W1190" s="1008"/>
      <c r="X1190" s="1009"/>
      <c r="Y1190" s="1006" t="str">
        <f t="shared" si="219"/>
        <v/>
      </c>
      <c r="Z1190" s="1006" t="str">
        <f t="shared" si="220"/>
        <v/>
      </c>
      <c r="AA1190" s="1006" t="str">
        <f t="shared" si="221"/>
        <v/>
      </c>
      <c r="AB1190" s="1010" t="str">
        <f t="shared" si="222"/>
        <v>0</v>
      </c>
      <c r="AC1190" s="1011"/>
      <c r="AD1190" s="1011"/>
      <c r="AE1190" s="572"/>
      <c r="AF1190" s="572"/>
    </row>
    <row r="1191" spans="1:32">
      <c r="A1191" s="947">
        <f t="shared" si="212"/>
        <v>1184</v>
      </c>
      <c r="B1191" s="985"/>
      <c r="C1191" s="984"/>
      <c r="D1191" s="1000"/>
      <c r="E1191" s="1003"/>
      <c r="F1191" s="1004"/>
      <c r="G1191" s="1000"/>
      <c r="H1191" s="997"/>
      <c r="I1191" s="1000"/>
      <c r="J1191" s="1000"/>
      <c r="K1191" s="1001">
        <f t="shared" si="215"/>
        <v>0</v>
      </c>
      <c r="L1191" s="967">
        <f t="shared" si="214"/>
        <v>0</v>
      </c>
      <c r="M1191" s="998"/>
      <c r="N1191" s="968">
        <f t="shared" si="213"/>
        <v>0</v>
      </c>
      <c r="O1191" s="1002"/>
      <c r="P1191" s="969">
        <f t="shared" si="216"/>
        <v>0</v>
      </c>
      <c r="Q1191" s="999"/>
      <c r="R1191" s="441"/>
      <c r="S1191" s="1006" t="str">
        <f t="shared" si="217"/>
        <v/>
      </c>
      <c r="T1191" s="1006" t="str">
        <f t="shared" si="218"/>
        <v/>
      </c>
      <c r="U1191" s="1007"/>
      <c r="V1191" s="1032"/>
      <c r="W1191" s="1008"/>
      <c r="X1191" s="1009"/>
      <c r="Y1191" s="1006" t="str">
        <f t="shared" si="219"/>
        <v/>
      </c>
      <c r="Z1191" s="1006" t="str">
        <f t="shared" si="220"/>
        <v/>
      </c>
      <c r="AA1191" s="1006" t="str">
        <f t="shared" si="221"/>
        <v/>
      </c>
      <c r="AB1191" s="1010" t="str">
        <f t="shared" si="222"/>
        <v>0</v>
      </c>
      <c r="AC1191" s="1011"/>
      <c r="AD1191" s="1011"/>
      <c r="AE1191" s="572"/>
      <c r="AF1191" s="572"/>
    </row>
    <row r="1192" spans="1:32">
      <c r="A1192" s="947">
        <f t="shared" si="212"/>
        <v>1185</v>
      </c>
      <c r="B1192" s="985"/>
      <c r="C1192" s="984"/>
      <c r="D1192" s="1000"/>
      <c r="E1192" s="1003"/>
      <c r="F1192" s="1004"/>
      <c r="G1192" s="1000"/>
      <c r="H1192" s="997"/>
      <c r="I1192" s="1000"/>
      <c r="J1192" s="1000"/>
      <c r="K1192" s="1001">
        <f t="shared" si="215"/>
        <v>0</v>
      </c>
      <c r="L1192" s="967">
        <f t="shared" si="214"/>
        <v>0</v>
      </c>
      <c r="M1192" s="998"/>
      <c r="N1192" s="968">
        <f t="shared" si="213"/>
        <v>0</v>
      </c>
      <c r="O1192" s="1002"/>
      <c r="P1192" s="969">
        <f t="shared" si="216"/>
        <v>0</v>
      </c>
      <c r="Q1192" s="999"/>
      <c r="R1192" s="441"/>
      <c r="S1192" s="1006" t="str">
        <f t="shared" si="217"/>
        <v/>
      </c>
      <c r="T1192" s="1006" t="str">
        <f t="shared" si="218"/>
        <v/>
      </c>
      <c r="U1192" s="1007"/>
      <c r="V1192" s="1032"/>
      <c r="W1192" s="1008"/>
      <c r="X1192" s="1009"/>
      <c r="Y1192" s="1006" t="str">
        <f t="shared" si="219"/>
        <v/>
      </c>
      <c r="Z1192" s="1006" t="str">
        <f t="shared" si="220"/>
        <v/>
      </c>
      <c r="AA1192" s="1006" t="str">
        <f t="shared" si="221"/>
        <v/>
      </c>
      <c r="AB1192" s="1010" t="str">
        <f t="shared" si="222"/>
        <v>0</v>
      </c>
      <c r="AC1192" s="1011"/>
      <c r="AD1192" s="1011"/>
      <c r="AE1192" s="572"/>
      <c r="AF1192" s="572"/>
    </row>
    <row r="1193" spans="1:32">
      <c r="A1193" s="947">
        <f t="shared" si="212"/>
        <v>1186</v>
      </c>
      <c r="B1193" s="985"/>
      <c r="C1193" s="984"/>
      <c r="D1193" s="1000"/>
      <c r="E1193" s="1003"/>
      <c r="F1193" s="1004"/>
      <c r="G1193" s="1000"/>
      <c r="H1193" s="997"/>
      <c r="I1193" s="1000"/>
      <c r="J1193" s="1000"/>
      <c r="K1193" s="1001">
        <f t="shared" si="215"/>
        <v>0</v>
      </c>
      <c r="L1193" s="967">
        <f t="shared" si="214"/>
        <v>0</v>
      </c>
      <c r="M1193" s="998"/>
      <c r="N1193" s="968">
        <f t="shared" si="213"/>
        <v>0</v>
      </c>
      <c r="O1193" s="1002"/>
      <c r="P1193" s="969">
        <f t="shared" si="216"/>
        <v>0</v>
      </c>
      <c r="Q1193" s="999"/>
      <c r="R1193" s="441"/>
      <c r="S1193" s="1006" t="str">
        <f t="shared" si="217"/>
        <v/>
      </c>
      <c r="T1193" s="1006" t="str">
        <f t="shared" si="218"/>
        <v/>
      </c>
      <c r="U1193" s="1007"/>
      <c r="V1193" s="1032"/>
      <c r="W1193" s="1008"/>
      <c r="X1193" s="1009"/>
      <c r="Y1193" s="1006" t="str">
        <f t="shared" si="219"/>
        <v/>
      </c>
      <c r="Z1193" s="1006" t="str">
        <f t="shared" si="220"/>
        <v/>
      </c>
      <c r="AA1193" s="1006" t="str">
        <f t="shared" si="221"/>
        <v/>
      </c>
      <c r="AB1193" s="1010" t="str">
        <f t="shared" si="222"/>
        <v>0</v>
      </c>
      <c r="AC1193" s="1011"/>
      <c r="AD1193" s="1011"/>
      <c r="AE1193" s="572"/>
      <c r="AF1193" s="572"/>
    </row>
    <row r="1194" spans="1:32">
      <c r="A1194" s="947">
        <f t="shared" si="212"/>
        <v>1187</v>
      </c>
      <c r="B1194" s="985"/>
      <c r="C1194" s="984"/>
      <c r="D1194" s="1000"/>
      <c r="E1194" s="1003"/>
      <c r="F1194" s="1004"/>
      <c r="G1194" s="1000"/>
      <c r="H1194" s="997"/>
      <c r="I1194" s="1000"/>
      <c r="J1194" s="1000"/>
      <c r="K1194" s="1001">
        <f t="shared" si="215"/>
        <v>0</v>
      </c>
      <c r="L1194" s="967">
        <f t="shared" si="214"/>
        <v>0</v>
      </c>
      <c r="M1194" s="998"/>
      <c r="N1194" s="968">
        <f t="shared" si="213"/>
        <v>0</v>
      </c>
      <c r="O1194" s="1002"/>
      <c r="P1194" s="969">
        <f t="shared" si="216"/>
        <v>0</v>
      </c>
      <c r="Q1194" s="999"/>
      <c r="R1194" s="441"/>
      <c r="S1194" s="1006" t="str">
        <f t="shared" si="217"/>
        <v/>
      </c>
      <c r="T1194" s="1006" t="str">
        <f t="shared" si="218"/>
        <v/>
      </c>
      <c r="U1194" s="1007"/>
      <c r="V1194" s="1032"/>
      <c r="W1194" s="1008"/>
      <c r="X1194" s="1009"/>
      <c r="Y1194" s="1006" t="str">
        <f t="shared" si="219"/>
        <v/>
      </c>
      <c r="Z1194" s="1006" t="str">
        <f t="shared" si="220"/>
        <v/>
      </c>
      <c r="AA1194" s="1006" t="str">
        <f t="shared" si="221"/>
        <v/>
      </c>
      <c r="AB1194" s="1010" t="str">
        <f t="shared" si="222"/>
        <v>0</v>
      </c>
      <c r="AC1194" s="1011"/>
      <c r="AD1194" s="1011"/>
      <c r="AE1194" s="572"/>
      <c r="AF1194" s="572"/>
    </row>
    <row r="1195" spans="1:32">
      <c r="A1195" s="947">
        <f t="shared" si="212"/>
        <v>1188</v>
      </c>
      <c r="B1195" s="985"/>
      <c r="C1195" s="984"/>
      <c r="D1195" s="1000"/>
      <c r="E1195" s="1003"/>
      <c r="F1195" s="1004"/>
      <c r="G1195" s="1000"/>
      <c r="H1195" s="997"/>
      <c r="I1195" s="1000"/>
      <c r="J1195" s="1000"/>
      <c r="K1195" s="1001">
        <f t="shared" si="215"/>
        <v>0</v>
      </c>
      <c r="L1195" s="967">
        <f t="shared" si="214"/>
        <v>0</v>
      </c>
      <c r="M1195" s="998"/>
      <c r="N1195" s="968">
        <f t="shared" si="213"/>
        <v>0</v>
      </c>
      <c r="O1195" s="1002"/>
      <c r="P1195" s="969">
        <f t="shared" si="216"/>
        <v>0</v>
      </c>
      <c r="Q1195" s="999"/>
      <c r="R1195" s="441"/>
      <c r="S1195" s="1006" t="str">
        <f t="shared" si="217"/>
        <v/>
      </c>
      <c r="T1195" s="1006" t="str">
        <f t="shared" si="218"/>
        <v/>
      </c>
      <c r="U1195" s="1007"/>
      <c r="V1195" s="1032"/>
      <c r="W1195" s="1008"/>
      <c r="X1195" s="1009"/>
      <c r="Y1195" s="1006" t="str">
        <f t="shared" si="219"/>
        <v/>
      </c>
      <c r="Z1195" s="1006" t="str">
        <f t="shared" si="220"/>
        <v/>
      </c>
      <c r="AA1195" s="1006" t="str">
        <f t="shared" si="221"/>
        <v/>
      </c>
      <c r="AB1195" s="1010" t="str">
        <f t="shared" si="222"/>
        <v>0</v>
      </c>
      <c r="AC1195" s="1011"/>
      <c r="AD1195" s="1011"/>
      <c r="AE1195" s="572"/>
      <c r="AF1195" s="572"/>
    </row>
    <row r="1196" spans="1:32">
      <c r="A1196" s="947">
        <f t="shared" si="212"/>
        <v>1189</v>
      </c>
      <c r="B1196" s="985"/>
      <c r="C1196" s="984"/>
      <c r="D1196" s="1000"/>
      <c r="E1196" s="1003"/>
      <c r="F1196" s="1004"/>
      <c r="G1196" s="1000"/>
      <c r="H1196" s="997"/>
      <c r="I1196" s="1000"/>
      <c r="J1196" s="1000"/>
      <c r="K1196" s="1001">
        <f t="shared" si="215"/>
        <v>0</v>
      </c>
      <c r="L1196" s="967">
        <f t="shared" si="214"/>
        <v>0</v>
      </c>
      <c r="M1196" s="998"/>
      <c r="N1196" s="968">
        <f t="shared" si="213"/>
        <v>0</v>
      </c>
      <c r="O1196" s="1002"/>
      <c r="P1196" s="969">
        <f t="shared" si="216"/>
        <v>0</v>
      </c>
      <c r="Q1196" s="999"/>
      <c r="R1196" s="441"/>
      <c r="S1196" s="1006" t="str">
        <f t="shared" si="217"/>
        <v/>
      </c>
      <c r="T1196" s="1006" t="str">
        <f t="shared" si="218"/>
        <v/>
      </c>
      <c r="U1196" s="1007"/>
      <c r="V1196" s="1032"/>
      <c r="W1196" s="1008"/>
      <c r="X1196" s="1009"/>
      <c r="Y1196" s="1006" t="str">
        <f t="shared" si="219"/>
        <v/>
      </c>
      <c r="Z1196" s="1006" t="str">
        <f t="shared" si="220"/>
        <v/>
      </c>
      <c r="AA1196" s="1006" t="str">
        <f t="shared" si="221"/>
        <v/>
      </c>
      <c r="AB1196" s="1010" t="str">
        <f t="shared" si="222"/>
        <v>0</v>
      </c>
      <c r="AC1196" s="1011"/>
      <c r="AD1196" s="1011"/>
      <c r="AE1196" s="572"/>
      <c r="AF1196" s="572"/>
    </row>
    <row r="1197" spans="1:32">
      <c r="A1197" s="947">
        <f t="shared" si="212"/>
        <v>1190</v>
      </c>
      <c r="B1197" s="985"/>
      <c r="C1197" s="984"/>
      <c r="D1197" s="1000"/>
      <c r="E1197" s="1003"/>
      <c r="F1197" s="1004"/>
      <c r="G1197" s="1000"/>
      <c r="H1197" s="997"/>
      <c r="I1197" s="1000"/>
      <c r="J1197" s="1000"/>
      <c r="K1197" s="1001">
        <f t="shared" si="215"/>
        <v>0</v>
      </c>
      <c r="L1197" s="967">
        <f t="shared" si="214"/>
        <v>0</v>
      </c>
      <c r="M1197" s="998"/>
      <c r="N1197" s="968">
        <f t="shared" si="213"/>
        <v>0</v>
      </c>
      <c r="O1197" s="1002"/>
      <c r="P1197" s="969">
        <f t="shared" si="216"/>
        <v>0</v>
      </c>
      <c r="Q1197" s="999"/>
      <c r="R1197" s="441"/>
      <c r="S1197" s="1006" t="str">
        <f t="shared" si="217"/>
        <v/>
      </c>
      <c r="T1197" s="1006" t="str">
        <f t="shared" si="218"/>
        <v/>
      </c>
      <c r="U1197" s="1007"/>
      <c r="V1197" s="1032"/>
      <c r="W1197" s="1008"/>
      <c r="X1197" s="1009"/>
      <c r="Y1197" s="1006" t="str">
        <f t="shared" si="219"/>
        <v/>
      </c>
      <c r="Z1197" s="1006" t="str">
        <f t="shared" si="220"/>
        <v/>
      </c>
      <c r="AA1197" s="1006" t="str">
        <f t="shared" si="221"/>
        <v/>
      </c>
      <c r="AB1197" s="1010" t="str">
        <f t="shared" si="222"/>
        <v>0</v>
      </c>
      <c r="AC1197" s="1011"/>
      <c r="AD1197" s="1011"/>
      <c r="AE1197" s="572"/>
      <c r="AF1197" s="572"/>
    </row>
    <row r="1198" spans="1:32">
      <c r="A1198" s="947">
        <f t="shared" si="212"/>
        <v>1191</v>
      </c>
      <c r="B1198" s="985"/>
      <c r="C1198" s="984"/>
      <c r="D1198" s="1000"/>
      <c r="E1198" s="1003"/>
      <c r="F1198" s="1004"/>
      <c r="G1198" s="1000"/>
      <c r="H1198" s="997"/>
      <c r="I1198" s="1000"/>
      <c r="J1198" s="1000"/>
      <c r="K1198" s="1001">
        <f t="shared" si="215"/>
        <v>0</v>
      </c>
      <c r="L1198" s="967">
        <f t="shared" si="214"/>
        <v>0</v>
      </c>
      <c r="M1198" s="998"/>
      <c r="N1198" s="968">
        <f t="shared" si="213"/>
        <v>0</v>
      </c>
      <c r="O1198" s="1002"/>
      <c r="P1198" s="969">
        <f t="shared" si="216"/>
        <v>0</v>
      </c>
      <c r="Q1198" s="999"/>
      <c r="R1198" s="441"/>
      <c r="S1198" s="1006" t="str">
        <f t="shared" si="217"/>
        <v/>
      </c>
      <c r="T1198" s="1006" t="str">
        <f t="shared" si="218"/>
        <v/>
      </c>
      <c r="U1198" s="1007"/>
      <c r="V1198" s="1032"/>
      <c r="W1198" s="1008"/>
      <c r="X1198" s="1009"/>
      <c r="Y1198" s="1006" t="str">
        <f t="shared" si="219"/>
        <v/>
      </c>
      <c r="Z1198" s="1006" t="str">
        <f t="shared" si="220"/>
        <v/>
      </c>
      <c r="AA1198" s="1006" t="str">
        <f t="shared" si="221"/>
        <v/>
      </c>
      <c r="AB1198" s="1010" t="str">
        <f t="shared" si="222"/>
        <v>0</v>
      </c>
      <c r="AC1198" s="1011"/>
      <c r="AD1198" s="1011"/>
      <c r="AE1198" s="572"/>
      <c r="AF1198" s="572"/>
    </row>
    <row r="1199" spans="1:32">
      <c r="A1199" s="947">
        <f t="shared" si="212"/>
        <v>1192</v>
      </c>
      <c r="B1199" s="985"/>
      <c r="C1199" s="984"/>
      <c r="D1199" s="1000"/>
      <c r="E1199" s="1003"/>
      <c r="F1199" s="1004"/>
      <c r="G1199" s="1000"/>
      <c r="H1199" s="997"/>
      <c r="I1199" s="1000"/>
      <c r="J1199" s="1000"/>
      <c r="K1199" s="1001">
        <f t="shared" si="215"/>
        <v>0</v>
      </c>
      <c r="L1199" s="967">
        <f t="shared" si="214"/>
        <v>0</v>
      </c>
      <c r="M1199" s="998"/>
      <c r="N1199" s="968">
        <f t="shared" si="213"/>
        <v>0</v>
      </c>
      <c r="O1199" s="1002"/>
      <c r="P1199" s="969">
        <f t="shared" si="216"/>
        <v>0</v>
      </c>
      <c r="Q1199" s="999"/>
      <c r="R1199" s="441"/>
      <c r="S1199" s="1006" t="str">
        <f t="shared" si="217"/>
        <v/>
      </c>
      <c r="T1199" s="1006" t="str">
        <f t="shared" si="218"/>
        <v/>
      </c>
      <c r="U1199" s="1007"/>
      <c r="V1199" s="1032"/>
      <c r="W1199" s="1008"/>
      <c r="X1199" s="1009"/>
      <c r="Y1199" s="1006" t="str">
        <f t="shared" si="219"/>
        <v/>
      </c>
      <c r="Z1199" s="1006" t="str">
        <f t="shared" si="220"/>
        <v/>
      </c>
      <c r="AA1199" s="1006" t="str">
        <f t="shared" si="221"/>
        <v/>
      </c>
      <c r="AB1199" s="1010" t="str">
        <f t="shared" si="222"/>
        <v>0</v>
      </c>
      <c r="AC1199" s="1011"/>
      <c r="AD1199" s="1011"/>
      <c r="AE1199" s="572"/>
      <c r="AF1199" s="572"/>
    </row>
    <row r="1200" spans="1:32">
      <c r="A1200" s="947">
        <f t="shared" si="212"/>
        <v>1193</v>
      </c>
      <c r="B1200" s="985"/>
      <c r="C1200" s="984"/>
      <c r="D1200" s="1000"/>
      <c r="E1200" s="1003"/>
      <c r="F1200" s="1004"/>
      <c r="G1200" s="1000"/>
      <c r="H1200" s="997"/>
      <c r="I1200" s="1000"/>
      <c r="J1200" s="1000"/>
      <c r="K1200" s="1001">
        <f t="shared" si="215"/>
        <v>0</v>
      </c>
      <c r="L1200" s="967">
        <f t="shared" si="214"/>
        <v>0</v>
      </c>
      <c r="M1200" s="998"/>
      <c r="N1200" s="968">
        <f t="shared" si="213"/>
        <v>0</v>
      </c>
      <c r="O1200" s="1002"/>
      <c r="P1200" s="969">
        <f t="shared" si="216"/>
        <v>0</v>
      </c>
      <c r="Q1200" s="999"/>
      <c r="R1200" s="441"/>
      <c r="S1200" s="1006" t="str">
        <f t="shared" si="217"/>
        <v/>
      </c>
      <c r="T1200" s="1006" t="str">
        <f t="shared" si="218"/>
        <v/>
      </c>
      <c r="U1200" s="1007"/>
      <c r="V1200" s="1032"/>
      <c r="W1200" s="1008"/>
      <c r="X1200" s="1009"/>
      <c r="Y1200" s="1006" t="str">
        <f t="shared" si="219"/>
        <v/>
      </c>
      <c r="Z1200" s="1006" t="str">
        <f t="shared" si="220"/>
        <v/>
      </c>
      <c r="AA1200" s="1006" t="str">
        <f t="shared" si="221"/>
        <v/>
      </c>
      <c r="AB1200" s="1010" t="str">
        <f t="shared" si="222"/>
        <v>0</v>
      </c>
      <c r="AC1200" s="1011"/>
      <c r="AD1200" s="1011"/>
      <c r="AE1200" s="572"/>
      <c r="AF1200" s="572"/>
    </row>
    <row r="1201" spans="1:32">
      <c r="A1201" s="947">
        <f t="shared" si="212"/>
        <v>1194</v>
      </c>
      <c r="B1201" s="985"/>
      <c r="C1201" s="984"/>
      <c r="D1201" s="1000"/>
      <c r="E1201" s="1003"/>
      <c r="F1201" s="1004"/>
      <c r="G1201" s="1000"/>
      <c r="H1201" s="997"/>
      <c r="I1201" s="1000"/>
      <c r="J1201" s="1000"/>
      <c r="K1201" s="1001">
        <f t="shared" si="215"/>
        <v>0</v>
      </c>
      <c r="L1201" s="967">
        <f t="shared" si="214"/>
        <v>0</v>
      </c>
      <c r="M1201" s="998"/>
      <c r="N1201" s="968">
        <f t="shared" si="213"/>
        <v>0</v>
      </c>
      <c r="O1201" s="1002"/>
      <c r="P1201" s="969">
        <f t="shared" si="216"/>
        <v>0</v>
      </c>
      <c r="Q1201" s="999"/>
      <c r="R1201" s="441"/>
      <c r="S1201" s="1006" t="str">
        <f t="shared" si="217"/>
        <v/>
      </c>
      <c r="T1201" s="1006" t="str">
        <f t="shared" si="218"/>
        <v/>
      </c>
      <c r="U1201" s="1007"/>
      <c r="V1201" s="1032"/>
      <c r="W1201" s="1008"/>
      <c r="X1201" s="1009"/>
      <c r="Y1201" s="1006" t="str">
        <f t="shared" si="219"/>
        <v/>
      </c>
      <c r="Z1201" s="1006" t="str">
        <f t="shared" si="220"/>
        <v/>
      </c>
      <c r="AA1201" s="1006" t="str">
        <f t="shared" si="221"/>
        <v/>
      </c>
      <c r="AB1201" s="1010" t="str">
        <f t="shared" si="222"/>
        <v>0</v>
      </c>
      <c r="AC1201" s="1011"/>
      <c r="AD1201" s="1011"/>
      <c r="AE1201" s="572"/>
      <c r="AF1201" s="572"/>
    </row>
    <row r="1202" spans="1:32">
      <c r="A1202" s="947">
        <f t="shared" si="212"/>
        <v>1195</v>
      </c>
      <c r="B1202" s="985"/>
      <c r="C1202" s="984"/>
      <c r="D1202" s="1000"/>
      <c r="E1202" s="1003"/>
      <c r="F1202" s="1004"/>
      <c r="G1202" s="1000"/>
      <c r="H1202" s="997"/>
      <c r="I1202" s="1000"/>
      <c r="J1202" s="1000"/>
      <c r="K1202" s="1001">
        <f t="shared" si="215"/>
        <v>0</v>
      </c>
      <c r="L1202" s="967">
        <f t="shared" si="214"/>
        <v>0</v>
      </c>
      <c r="M1202" s="998"/>
      <c r="N1202" s="968">
        <f t="shared" si="213"/>
        <v>0</v>
      </c>
      <c r="O1202" s="1002"/>
      <c r="P1202" s="969">
        <f t="shared" si="216"/>
        <v>0</v>
      </c>
      <c r="Q1202" s="999"/>
      <c r="R1202" s="441"/>
      <c r="S1202" s="1006" t="str">
        <f t="shared" si="217"/>
        <v/>
      </c>
      <c r="T1202" s="1006" t="str">
        <f t="shared" si="218"/>
        <v/>
      </c>
      <c r="U1202" s="1007"/>
      <c r="V1202" s="1032"/>
      <c r="W1202" s="1008"/>
      <c r="X1202" s="1009"/>
      <c r="Y1202" s="1006" t="str">
        <f t="shared" si="219"/>
        <v/>
      </c>
      <c r="Z1202" s="1006" t="str">
        <f t="shared" si="220"/>
        <v/>
      </c>
      <c r="AA1202" s="1006" t="str">
        <f t="shared" si="221"/>
        <v/>
      </c>
      <c r="AB1202" s="1010" t="str">
        <f t="shared" si="222"/>
        <v>0</v>
      </c>
      <c r="AC1202" s="1011"/>
      <c r="AD1202" s="1011"/>
      <c r="AE1202" s="572"/>
      <c r="AF1202" s="572"/>
    </row>
    <row r="1203" spans="1:32">
      <c r="A1203" s="947">
        <f t="shared" si="212"/>
        <v>1196</v>
      </c>
      <c r="B1203" s="985"/>
      <c r="C1203" s="984"/>
      <c r="D1203" s="1000"/>
      <c r="E1203" s="1003"/>
      <c r="F1203" s="1004"/>
      <c r="G1203" s="1000"/>
      <c r="H1203" s="997"/>
      <c r="I1203" s="1000"/>
      <c r="J1203" s="1000"/>
      <c r="K1203" s="1001">
        <f t="shared" si="215"/>
        <v>0</v>
      </c>
      <c r="L1203" s="967">
        <f t="shared" si="214"/>
        <v>0</v>
      </c>
      <c r="M1203" s="998"/>
      <c r="N1203" s="968">
        <f t="shared" si="213"/>
        <v>0</v>
      </c>
      <c r="O1203" s="1002"/>
      <c r="P1203" s="969">
        <f t="shared" si="216"/>
        <v>0</v>
      </c>
      <c r="Q1203" s="999"/>
      <c r="R1203" s="441"/>
      <c r="S1203" s="1006" t="str">
        <f t="shared" si="217"/>
        <v/>
      </c>
      <c r="T1203" s="1006" t="str">
        <f t="shared" si="218"/>
        <v/>
      </c>
      <c r="U1203" s="1007"/>
      <c r="V1203" s="1032"/>
      <c r="W1203" s="1008"/>
      <c r="X1203" s="1009"/>
      <c r="Y1203" s="1006" t="str">
        <f t="shared" si="219"/>
        <v/>
      </c>
      <c r="Z1203" s="1006" t="str">
        <f t="shared" si="220"/>
        <v/>
      </c>
      <c r="AA1203" s="1006" t="str">
        <f t="shared" si="221"/>
        <v/>
      </c>
      <c r="AB1203" s="1010" t="str">
        <f t="shared" si="222"/>
        <v>0</v>
      </c>
      <c r="AC1203" s="1011"/>
      <c r="AD1203" s="1011"/>
      <c r="AE1203" s="572"/>
      <c r="AF1203" s="572"/>
    </row>
    <row r="1204" spans="1:32">
      <c r="A1204" s="947">
        <f t="shared" si="212"/>
        <v>1197</v>
      </c>
      <c r="B1204" s="985"/>
      <c r="C1204" s="984"/>
      <c r="D1204" s="1000"/>
      <c r="E1204" s="1003"/>
      <c r="F1204" s="1004"/>
      <c r="G1204" s="1000"/>
      <c r="H1204" s="997"/>
      <c r="I1204" s="1000"/>
      <c r="J1204" s="1000"/>
      <c r="K1204" s="1001">
        <f t="shared" si="215"/>
        <v>0</v>
      </c>
      <c r="L1204" s="967">
        <f t="shared" si="214"/>
        <v>0</v>
      </c>
      <c r="M1204" s="998"/>
      <c r="N1204" s="968">
        <f t="shared" si="213"/>
        <v>0</v>
      </c>
      <c r="O1204" s="1002"/>
      <c r="P1204" s="969">
        <f t="shared" si="216"/>
        <v>0</v>
      </c>
      <c r="Q1204" s="999"/>
      <c r="R1204" s="441"/>
      <c r="S1204" s="1006" t="str">
        <f t="shared" si="217"/>
        <v/>
      </c>
      <c r="T1204" s="1006" t="str">
        <f t="shared" si="218"/>
        <v/>
      </c>
      <c r="U1204" s="1007"/>
      <c r="V1204" s="1032"/>
      <c r="W1204" s="1008"/>
      <c r="X1204" s="1009"/>
      <c r="Y1204" s="1006" t="str">
        <f t="shared" si="219"/>
        <v/>
      </c>
      <c r="Z1204" s="1006" t="str">
        <f t="shared" si="220"/>
        <v/>
      </c>
      <c r="AA1204" s="1006" t="str">
        <f t="shared" si="221"/>
        <v/>
      </c>
      <c r="AB1204" s="1010" t="str">
        <f t="shared" si="222"/>
        <v>0</v>
      </c>
      <c r="AC1204" s="1011"/>
      <c r="AD1204" s="1011"/>
      <c r="AE1204" s="572"/>
      <c r="AF1204" s="572"/>
    </row>
    <row r="1205" spans="1:32">
      <c r="A1205" s="947">
        <f t="shared" si="212"/>
        <v>1198</v>
      </c>
      <c r="B1205" s="985"/>
      <c r="C1205" s="984"/>
      <c r="D1205" s="1000"/>
      <c r="E1205" s="1003"/>
      <c r="F1205" s="1004"/>
      <c r="G1205" s="1000"/>
      <c r="H1205" s="997"/>
      <c r="I1205" s="1000"/>
      <c r="J1205" s="1000"/>
      <c r="K1205" s="1001">
        <f t="shared" si="215"/>
        <v>0</v>
      </c>
      <c r="L1205" s="967">
        <f t="shared" si="214"/>
        <v>0</v>
      </c>
      <c r="M1205" s="998"/>
      <c r="N1205" s="968">
        <f t="shared" si="213"/>
        <v>0</v>
      </c>
      <c r="O1205" s="1002"/>
      <c r="P1205" s="969">
        <f t="shared" si="216"/>
        <v>0</v>
      </c>
      <c r="Q1205" s="999"/>
      <c r="R1205" s="441"/>
      <c r="S1205" s="1006" t="str">
        <f t="shared" si="217"/>
        <v/>
      </c>
      <c r="T1205" s="1006" t="str">
        <f t="shared" si="218"/>
        <v/>
      </c>
      <c r="U1205" s="1007"/>
      <c r="V1205" s="1032"/>
      <c r="W1205" s="1008"/>
      <c r="X1205" s="1009"/>
      <c r="Y1205" s="1006" t="str">
        <f t="shared" si="219"/>
        <v/>
      </c>
      <c r="Z1205" s="1006" t="str">
        <f t="shared" si="220"/>
        <v/>
      </c>
      <c r="AA1205" s="1006" t="str">
        <f t="shared" si="221"/>
        <v/>
      </c>
      <c r="AB1205" s="1010" t="str">
        <f t="shared" si="222"/>
        <v>0</v>
      </c>
      <c r="AC1205" s="1011"/>
      <c r="AD1205" s="1011"/>
      <c r="AE1205" s="572"/>
      <c r="AF1205" s="572"/>
    </row>
    <row r="1206" spans="1:32">
      <c r="A1206" s="947">
        <f t="shared" si="212"/>
        <v>1199</v>
      </c>
      <c r="B1206" s="985"/>
      <c r="C1206" s="984"/>
      <c r="D1206" s="1000"/>
      <c r="E1206" s="1003"/>
      <c r="F1206" s="1004"/>
      <c r="G1206" s="1000"/>
      <c r="H1206" s="997"/>
      <c r="I1206" s="1000"/>
      <c r="J1206" s="1000"/>
      <c r="K1206" s="1001">
        <f>+(I1206/1760)*J1206</f>
        <v>0</v>
      </c>
      <c r="L1206" s="967">
        <f t="shared" si="214"/>
        <v>0</v>
      </c>
      <c r="M1206" s="998"/>
      <c r="N1206" s="968">
        <f t="shared" si="213"/>
        <v>0</v>
      </c>
      <c r="O1206" s="1002"/>
      <c r="P1206" s="969">
        <f>+O1206-N1206</f>
        <v>0</v>
      </c>
      <c r="Q1206" s="999"/>
      <c r="R1206" s="441"/>
      <c r="S1206" s="1006" t="str">
        <f>CONCATENATE(G1206,H1206)</f>
        <v/>
      </c>
      <c r="T1206" s="1006" t="str">
        <f>CONCATENATE(F1206,H1206)</f>
        <v/>
      </c>
      <c r="U1206" s="1007"/>
      <c r="V1206" s="1032"/>
      <c r="W1206" s="1008"/>
      <c r="X1206" s="1009"/>
      <c r="Y1206" s="1006" t="str">
        <f>CONCATENATE(H1206,U1206)</f>
        <v/>
      </c>
      <c r="Z1206" s="1006" t="str">
        <f>CONCATENATE(H1206,V1206)</f>
        <v/>
      </c>
      <c r="AA1206" s="1006" t="str">
        <f>CONCATENATE(H1206,W1206)</f>
        <v/>
      </c>
      <c r="AB1206" s="1010" t="str">
        <f>CONCATENATE(H1206,L1206)</f>
        <v>0</v>
      </c>
      <c r="AC1206" s="1011"/>
      <c r="AD1206" s="1011"/>
      <c r="AE1206" s="572"/>
      <c r="AF1206" s="572"/>
    </row>
    <row r="1207" spans="1:32">
      <c r="A1207" s="947">
        <f t="shared" si="212"/>
        <v>1200</v>
      </c>
      <c r="B1207" s="984"/>
      <c r="C1207" s="984"/>
      <c r="D1207" s="984"/>
      <c r="E1207" s="984"/>
      <c r="F1207" s="984"/>
      <c r="G1207" s="984"/>
      <c r="H1207" s="984"/>
      <c r="I1207" s="984"/>
      <c r="J1207" s="984"/>
      <c r="K1207" s="1001">
        <f t="shared" si="215"/>
        <v>0</v>
      </c>
      <c r="L1207" s="967">
        <f t="shared" si="214"/>
        <v>0</v>
      </c>
      <c r="M1207" s="998"/>
      <c r="N1207" s="968">
        <f t="shared" si="213"/>
        <v>0</v>
      </c>
      <c r="O1207" s="1002"/>
      <c r="P1207" s="969">
        <f t="shared" si="216"/>
        <v>0</v>
      </c>
      <c r="Q1207" s="999"/>
      <c r="R1207" s="441"/>
      <c r="S1207" s="1006" t="str">
        <f t="shared" si="217"/>
        <v/>
      </c>
      <c r="T1207" s="1006" t="str">
        <f t="shared" si="218"/>
        <v/>
      </c>
      <c r="U1207" s="1007"/>
      <c r="V1207" s="1032"/>
      <c r="W1207" s="1008"/>
      <c r="X1207" s="1009"/>
      <c r="Y1207" s="1006" t="str">
        <f t="shared" si="219"/>
        <v/>
      </c>
      <c r="Z1207" s="1006" t="str">
        <f t="shared" si="220"/>
        <v/>
      </c>
      <c r="AA1207" s="1006" t="str">
        <f t="shared" si="221"/>
        <v/>
      </c>
      <c r="AB1207" s="1010" t="str">
        <f t="shared" si="222"/>
        <v>0</v>
      </c>
      <c r="AC1207" s="1011"/>
      <c r="AD1207" s="1011"/>
      <c r="AE1207" s="572"/>
      <c r="AF1207" s="572"/>
    </row>
    <row r="1208" spans="1:32" ht="15.75">
      <c r="A1208" s="36"/>
      <c r="B1208" s="36"/>
      <c r="C1208" s="173"/>
      <c r="D1208" s="173"/>
      <c r="E1208" s="174"/>
      <c r="F1208" s="175"/>
      <c r="G1208" s="36"/>
      <c r="H1208" s="33"/>
      <c r="I1208" s="36"/>
      <c r="J1208" s="36"/>
      <c r="K1208" s="36"/>
      <c r="L1208" s="36"/>
      <c r="M1208" s="36"/>
      <c r="N1208" s="36"/>
      <c r="O1208" s="36"/>
      <c r="P1208" s="36"/>
      <c r="Q1208" s="1005"/>
      <c r="AB1208" s="334"/>
      <c r="AC1208" s="168"/>
    </row>
    <row r="1209" spans="1:32" ht="15.75">
      <c r="C1209" s="25"/>
      <c r="D1209" s="25"/>
      <c r="E1209" s="28"/>
      <c r="Q1209" s="1005"/>
      <c r="AB1209" s="334"/>
      <c r="AD1209" s="1012"/>
      <c r="AE1209" s="571"/>
      <c r="AF1209" s="571"/>
    </row>
    <row r="1210" spans="1:32" ht="15.75">
      <c r="C1210" s="25"/>
      <c r="D1210" s="25"/>
      <c r="E1210" s="28"/>
      <c r="Q1210" s="1005"/>
      <c r="AB1210" s="334"/>
      <c r="AD1210" s="1012"/>
      <c r="AE1210" s="571"/>
      <c r="AF1210" s="571"/>
    </row>
    <row r="1211" spans="1:32" ht="15.75">
      <c r="C1211" s="25"/>
      <c r="D1211" s="25"/>
      <c r="E1211" s="28"/>
      <c r="Q1211" s="1005"/>
      <c r="AB1211" s="334"/>
      <c r="AC1211" s="1085"/>
      <c r="AD1211" s="1085"/>
      <c r="AE1211" s="1086"/>
      <c r="AF1211" s="1086"/>
    </row>
    <row r="1212" spans="1:32">
      <c r="C1212" s="25"/>
      <c r="D1212" s="25"/>
      <c r="E1212" s="28"/>
      <c r="Q1212" s="1005"/>
    </row>
    <row r="1213" spans="1:32">
      <c r="C1213" s="25"/>
      <c r="D1213" s="25"/>
      <c r="E1213" s="28"/>
      <c r="Q1213" s="1005"/>
    </row>
    <row r="1214" spans="1:32">
      <c r="C1214" s="25"/>
      <c r="D1214" s="25"/>
      <c r="E1214" s="28"/>
      <c r="Q1214" s="1005"/>
    </row>
    <row r="1215" spans="1:32">
      <c r="C1215" s="25"/>
      <c r="D1215" s="25"/>
      <c r="E1215" s="28"/>
      <c r="Q1215" s="1005"/>
    </row>
    <row r="1216" spans="1:32">
      <c r="C1216" s="25"/>
      <c r="D1216" s="25"/>
      <c r="E1216" s="28"/>
      <c r="Q1216" s="59"/>
    </row>
    <row r="1217" spans="3:17">
      <c r="C1217" s="25"/>
      <c r="D1217" s="25"/>
      <c r="E1217" s="28"/>
      <c r="Q1217" s="59"/>
    </row>
    <row r="1218" spans="3:17">
      <c r="C1218" s="25"/>
      <c r="D1218" s="25"/>
      <c r="E1218" s="28"/>
      <c r="Q1218" s="59"/>
    </row>
    <row r="1219" spans="3:17">
      <c r="C1219" s="25"/>
      <c r="D1219" s="25"/>
      <c r="E1219" s="28"/>
      <c r="Q1219" s="59"/>
    </row>
    <row r="1220" spans="3:17">
      <c r="C1220" s="25"/>
      <c r="D1220" s="25"/>
      <c r="E1220" s="28"/>
      <c r="Q1220" s="59"/>
    </row>
    <row r="1221" spans="3:17">
      <c r="C1221" s="25"/>
      <c r="D1221" s="25"/>
      <c r="E1221" s="28"/>
      <c r="Q1221" s="59"/>
    </row>
    <row r="1222" spans="3:17">
      <c r="C1222" s="25"/>
      <c r="D1222" s="25"/>
      <c r="E1222" s="28"/>
      <c r="Q1222" s="59"/>
    </row>
    <row r="1223" spans="3:17">
      <c r="C1223" s="25"/>
      <c r="D1223" s="25"/>
      <c r="E1223" s="28"/>
      <c r="Q1223" s="59"/>
    </row>
    <row r="1224" spans="3:17">
      <c r="C1224" s="25"/>
      <c r="D1224" s="25"/>
      <c r="E1224" s="28"/>
      <c r="Q1224" s="59"/>
    </row>
    <row r="1225" spans="3:17">
      <c r="C1225" s="25"/>
      <c r="D1225" s="25"/>
      <c r="E1225" s="28"/>
      <c r="Q1225" s="59"/>
    </row>
    <row r="1226" spans="3:17">
      <c r="C1226" s="25"/>
      <c r="D1226" s="25"/>
      <c r="E1226" s="28"/>
      <c r="Q1226" s="59"/>
    </row>
    <row r="1227" spans="3:17">
      <c r="C1227" s="25"/>
      <c r="D1227" s="25"/>
      <c r="E1227" s="28"/>
      <c r="Q1227" s="59"/>
    </row>
    <row r="1228" spans="3:17">
      <c r="C1228" s="25"/>
      <c r="D1228" s="25"/>
      <c r="E1228" s="28"/>
      <c r="Q1228" s="59"/>
    </row>
    <row r="1229" spans="3:17">
      <c r="C1229" s="25"/>
      <c r="D1229" s="25"/>
      <c r="E1229" s="28"/>
      <c r="Q1229" s="59"/>
    </row>
    <row r="1230" spans="3:17">
      <c r="C1230" s="25"/>
      <c r="D1230" s="25"/>
      <c r="E1230" s="28"/>
      <c r="Q1230" s="59"/>
    </row>
    <row r="1231" spans="3:17">
      <c r="C1231" s="25"/>
      <c r="D1231" s="25"/>
      <c r="E1231" s="28"/>
      <c r="Q1231" s="59"/>
    </row>
    <row r="1232" spans="3:17">
      <c r="C1232" s="25"/>
      <c r="D1232" s="25"/>
      <c r="E1232" s="28"/>
      <c r="Q1232" s="59"/>
    </row>
    <row r="1233" spans="3:17">
      <c r="C1233" s="25"/>
      <c r="D1233" s="25"/>
      <c r="E1233" s="28"/>
      <c r="Q1233" s="59"/>
    </row>
    <row r="1234" spans="3:17">
      <c r="C1234" s="25"/>
      <c r="D1234" s="25"/>
      <c r="E1234" s="28"/>
      <c r="Q1234" s="58"/>
    </row>
    <row r="1235" spans="3:17">
      <c r="C1235" s="25"/>
      <c r="D1235" s="25"/>
      <c r="E1235" s="28"/>
      <c r="Q1235" s="58"/>
    </row>
    <row r="1236" spans="3:17">
      <c r="C1236" s="25"/>
      <c r="D1236" s="25"/>
      <c r="E1236" s="28"/>
      <c r="Q1236" s="58"/>
    </row>
    <row r="1237" spans="3:17">
      <c r="C1237" s="25"/>
      <c r="D1237" s="25"/>
      <c r="E1237" s="28"/>
      <c r="Q1237" s="58"/>
    </row>
    <row r="1238" spans="3:17">
      <c r="C1238" s="25"/>
      <c r="D1238" s="25"/>
      <c r="E1238" s="28"/>
      <c r="Q1238" s="58"/>
    </row>
    <row r="1239" spans="3:17">
      <c r="C1239" s="25"/>
      <c r="D1239" s="25"/>
      <c r="E1239" s="28"/>
      <c r="Q1239" s="58"/>
    </row>
    <row r="1240" spans="3:17">
      <c r="C1240" s="25"/>
      <c r="D1240" s="25"/>
      <c r="E1240" s="28"/>
      <c r="Q1240" s="58"/>
    </row>
    <row r="1241" spans="3:17">
      <c r="C1241" s="25"/>
      <c r="D1241" s="25"/>
      <c r="E1241" s="28"/>
      <c r="Q1241" s="58"/>
    </row>
    <row r="1242" spans="3:17">
      <c r="C1242" s="25"/>
      <c r="D1242" s="25"/>
      <c r="E1242" s="28"/>
      <c r="Q1242" s="58"/>
    </row>
    <row r="1243" spans="3:17">
      <c r="C1243" s="25"/>
      <c r="D1243" s="25"/>
      <c r="E1243" s="28"/>
      <c r="Q1243" s="58"/>
    </row>
    <row r="1244" spans="3:17">
      <c r="C1244" s="25"/>
      <c r="D1244" s="25"/>
      <c r="E1244" s="28"/>
      <c r="Q1244" s="58"/>
    </row>
    <row r="1245" spans="3:17">
      <c r="C1245" s="25"/>
      <c r="D1245" s="25"/>
      <c r="E1245" s="28"/>
      <c r="Q1245" s="58"/>
    </row>
    <row r="1246" spans="3:17">
      <c r="C1246" s="25"/>
      <c r="D1246" s="25"/>
      <c r="E1246" s="28"/>
      <c r="Q1246" s="58"/>
    </row>
    <row r="1247" spans="3:17">
      <c r="C1247" s="25"/>
      <c r="D1247" s="25"/>
      <c r="E1247" s="28"/>
      <c r="Q1247" s="58"/>
    </row>
    <row r="1248" spans="3:17">
      <c r="C1248" s="25"/>
      <c r="D1248" s="25"/>
      <c r="E1248" s="28"/>
      <c r="Q1248" s="58"/>
    </row>
    <row r="1249" spans="3:17">
      <c r="C1249" s="25"/>
      <c r="D1249" s="25"/>
      <c r="E1249" s="28"/>
      <c r="Q1249" s="58"/>
    </row>
    <row r="1250" spans="3:17">
      <c r="C1250" s="25"/>
      <c r="D1250" s="25"/>
      <c r="E1250" s="28"/>
      <c r="Q1250" s="58"/>
    </row>
    <row r="1251" spans="3:17">
      <c r="C1251" s="25"/>
      <c r="D1251" s="25"/>
      <c r="E1251" s="28"/>
      <c r="Q1251" s="58"/>
    </row>
    <row r="1252" spans="3:17">
      <c r="C1252" s="25"/>
      <c r="D1252" s="25"/>
      <c r="E1252" s="28"/>
      <c r="Q1252" s="58"/>
    </row>
    <row r="1253" spans="3:17">
      <c r="C1253" s="25"/>
      <c r="D1253" s="25"/>
      <c r="E1253" s="28"/>
      <c r="Q1253" s="58"/>
    </row>
    <row r="1254" spans="3:17">
      <c r="C1254" s="25"/>
      <c r="D1254" s="25"/>
      <c r="E1254" s="28"/>
      <c r="Q1254" s="58"/>
    </row>
    <row r="1255" spans="3:17">
      <c r="C1255" s="25"/>
      <c r="D1255" s="25"/>
      <c r="E1255" s="28"/>
      <c r="Q1255" s="58"/>
    </row>
    <row r="1256" spans="3:17">
      <c r="C1256" s="25"/>
      <c r="D1256" s="25"/>
      <c r="E1256" s="28"/>
      <c r="Q1256" s="58"/>
    </row>
    <row r="1257" spans="3:17">
      <c r="C1257" s="25"/>
      <c r="D1257" s="25"/>
      <c r="E1257" s="28"/>
      <c r="Q1257" s="58"/>
    </row>
    <row r="1258" spans="3:17">
      <c r="C1258" s="25"/>
      <c r="D1258" s="25"/>
      <c r="E1258" s="28"/>
      <c r="Q1258" s="58"/>
    </row>
    <row r="1259" spans="3:17">
      <c r="C1259" s="25"/>
      <c r="D1259" s="25"/>
      <c r="E1259" s="28"/>
      <c r="Q1259" s="58"/>
    </row>
    <row r="1260" spans="3:17">
      <c r="C1260" s="25"/>
      <c r="D1260" s="25"/>
      <c r="E1260" s="28"/>
      <c r="Q1260" s="58"/>
    </row>
    <row r="1261" spans="3:17">
      <c r="C1261" s="25"/>
      <c r="D1261" s="25"/>
      <c r="E1261" s="28"/>
      <c r="Q1261" s="58"/>
    </row>
    <row r="1262" spans="3:17">
      <c r="C1262" s="25"/>
      <c r="D1262" s="25"/>
      <c r="E1262" s="28"/>
      <c r="Q1262" s="58"/>
    </row>
    <row r="1263" spans="3:17">
      <c r="C1263" s="25"/>
      <c r="D1263" s="25"/>
      <c r="E1263" s="28"/>
      <c r="Q1263" s="58"/>
    </row>
    <row r="1264" spans="3:17">
      <c r="C1264" s="25"/>
      <c r="D1264" s="25"/>
      <c r="E1264" s="28"/>
      <c r="Q1264" s="58"/>
    </row>
    <row r="1265" spans="3:17">
      <c r="C1265" s="25"/>
      <c r="D1265" s="25"/>
      <c r="E1265" s="28"/>
      <c r="Q1265" s="58"/>
    </row>
    <row r="1266" spans="3:17">
      <c r="C1266" s="25"/>
      <c r="D1266" s="25"/>
      <c r="E1266" s="28"/>
      <c r="Q1266" s="58"/>
    </row>
    <row r="1267" spans="3:17">
      <c r="C1267" s="25"/>
      <c r="D1267" s="25"/>
      <c r="E1267" s="28"/>
      <c r="Q1267" s="58"/>
    </row>
    <row r="1268" spans="3:17">
      <c r="C1268" s="25"/>
      <c r="D1268" s="25"/>
      <c r="E1268" s="28"/>
      <c r="Q1268" s="58"/>
    </row>
    <row r="1269" spans="3:17">
      <c r="C1269" s="25"/>
      <c r="D1269" s="25"/>
      <c r="E1269" s="28"/>
      <c r="Q1269" s="58"/>
    </row>
    <row r="1270" spans="3:17">
      <c r="C1270" s="25"/>
      <c r="D1270" s="25"/>
      <c r="E1270" s="28"/>
      <c r="Q1270" s="58"/>
    </row>
    <row r="1271" spans="3:17">
      <c r="C1271" s="25"/>
      <c r="D1271" s="25"/>
      <c r="E1271" s="28"/>
      <c r="Q1271" s="58"/>
    </row>
    <row r="1272" spans="3:17">
      <c r="C1272" s="25"/>
      <c r="D1272" s="25"/>
      <c r="E1272" s="28"/>
      <c r="Q1272" s="58"/>
    </row>
    <row r="1273" spans="3:17">
      <c r="C1273" s="25"/>
      <c r="D1273" s="25"/>
      <c r="E1273" s="28"/>
      <c r="Q1273" s="58"/>
    </row>
    <row r="1274" spans="3:17">
      <c r="C1274" s="25"/>
      <c r="D1274" s="25"/>
      <c r="E1274" s="28"/>
      <c r="Q1274" s="58"/>
    </row>
    <row r="1275" spans="3:17">
      <c r="C1275" s="25"/>
      <c r="D1275" s="25"/>
      <c r="E1275" s="28"/>
      <c r="Q1275" s="58"/>
    </row>
    <row r="1276" spans="3:17">
      <c r="C1276" s="25"/>
      <c r="D1276" s="25"/>
      <c r="E1276" s="28"/>
      <c r="Q1276" s="58"/>
    </row>
    <row r="1277" spans="3:17">
      <c r="C1277" s="25"/>
      <c r="D1277" s="25"/>
      <c r="E1277" s="28"/>
      <c r="Q1277" s="58"/>
    </row>
    <row r="1278" spans="3:17">
      <c r="C1278" s="25"/>
      <c r="D1278" s="25"/>
      <c r="E1278" s="28"/>
      <c r="Q1278" s="58"/>
    </row>
    <row r="1279" spans="3:17">
      <c r="C1279" s="25"/>
      <c r="D1279" s="25"/>
      <c r="E1279" s="28"/>
      <c r="Q1279" s="58"/>
    </row>
    <row r="1280" spans="3:17">
      <c r="C1280" s="25"/>
      <c r="D1280" s="25"/>
      <c r="E1280" s="28"/>
      <c r="Q1280" s="58"/>
    </row>
    <row r="1281" spans="3:17">
      <c r="C1281" s="25"/>
      <c r="D1281" s="25"/>
      <c r="E1281" s="28"/>
      <c r="Q1281" s="58"/>
    </row>
    <row r="1282" spans="3:17">
      <c r="C1282" s="25"/>
      <c r="D1282" s="25"/>
      <c r="E1282" s="28"/>
      <c r="Q1282" s="58"/>
    </row>
    <row r="1283" spans="3:17">
      <c r="C1283" s="25"/>
      <c r="D1283" s="25"/>
      <c r="E1283" s="28"/>
      <c r="Q1283" s="58"/>
    </row>
    <row r="1284" spans="3:17">
      <c r="C1284" s="25"/>
      <c r="D1284" s="25"/>
      <c r="E1284" s="28"/>
      <c r="Q1284" s="58"/>
    </row>
    <row r="1285" spans="3:17">
      <c r="C1285" s="25"/>
      <c r="D1285" s="25"/>
      <c r="E1285" s="28"/>
      <c r="Q1285" s="58"/>
    </row>
    <row r="1286" spans="3:17">
      <c r="C1286" s="25"/>
      <c r="D1286" s="25"/>
      <c r="E1286" s="28"/>
      <c r="Q1286" s="58"/>
    </row>
    <row r="1287" spans="3:17">
      <c r="C1287" s="25"/>
      <c r="D1287" s="25"/>
      <c r="E1287" s="28"/>
      <c r="Q1287" s="58"/>
    </row>
    <row r="1288" spans="3:17">
      <c r="C1288" s="25"/>
      <c r="D1288" s="25"/>
      <c r="E1288" s="28"/>
      <c r="Q1288" s="58"/>
    </row>
    <row r="1289" spans="3:17">
      <c r="C1289" s="25"/>
      <c r="D1289" s="25"/>
      <c r="E1289" s="28"/>
      <c r="Q1289" s="58"/>
    </row>
    <row r="1290" spans="3:17">
      <c r="C1290" s="25"/>
      <c r="D1290" s="25"/>
      <c r="E1290" s="28"/>
      <c r="Q1290" s="58"/>
    </row>
    <row r="1291" spans="3:17">
      <c r="C1291" s="25"/>
      <c r="D1291" s="25"/>
      <c r="E1291" s="28"/>
      <c r="Q1291" s="58"/>
    </row>
    <row r="1292" spans="3:17">
      <c r="C1292" s="25"/>
      <c r="D1292" s="25"/>
      <c r="E1292" s="28"/>
      <c r="Q1292" s="58"/>
    </row>
    <row r="1293" spans="3:17">
      <c r="C1293" s="25"/>
      <c r="D1293" s="25"/>
      <c r="E1293" s="28"/>
      <c r="Q1293" s="58"/>
    </row>
    <row r="1294" spans="3:17">
      <c r="C1294" s="25"/>
      <c r="D1294" s="25"/>
      <c r="E1294" s="28"/>
      <c r="Q1294" s="58"/>
    </row>
    <row r="1295" spans="3:17">
      <c r="C1295" s="25"/>
      <c r="D1295" s="25"/>
      <c r="E1295" s="28"/>
      <c r="Q1295" s="58"/>
    </row>
    <row r="1296" spans="3:17">
      <c r="C1296" s="25"/>
      <c r="D1296" s="25"/>
      <c r="E1296" s="28"/>
      <c r="Q1296" s="58"/>
    </row>
    <row r="1297" spans="3:17">
      <c r="C1297" s="25"/>
      <c r="D1297" s="25"/>
      <c r="E1297" s="28"/>
      <c r="Q1297" s="58"/>
    </row>
    <row r="1298" spans="3:17">
      <c r="C1298" s="25"/>
      <c r="D1298" s="25"/>
      <c r="E1298" s="28"/>
      <c r="Q1298" s="58"/>
    </row>
    <row r="1299" spans="3:17">
      <c r="C1299" s="25"/>
      <c r="D1299" s="25"/>
      <c r="E1299" s="28"/>
      <c r="Q1299" s="58"/>
    </row>
    <row r="1300" spans="3:17">
      <c r="C1300" s="25"/>
      <c r="D1300" s="25"/>
      <c r="E1300" s="28"/>
      <c r="Q1300" s="58"/>
    </row>
    <row r="1301" spans="3:17">
      <c r="C1301" s="25"/>
      <c r="D1301" s="25"/>
      <c r="E1301" s="28"/>
      <c r="Q1301" s="58"/>
    </row>
    <row r="1302" spans="3:17">
      <c r="C1302" s="25"/>
      <c r="D1302" s="25"/>
      <c r="E1302" s="28"/>
      <c r="Q1302" s="58"/>
    </row>
    <row r="1303" spans="3:17">
      <c r="C1303" s="25"/>
      <c r="D1303" s="25"/>
      <c r="E1303" s="28"/>
      <c r="Q1303" s="58"/>
    </row>
    <row r="1304" spans="3:17">
      <c r="C1304" s="25"/>
      <c r="D1304" s="25"/>
      <c r="E1304" s="28"/>
      <c r="Q1304" s="58"/>
    </row>
    <row r="1305" spans="3:17">
      <c r="C1305" s="25"/>
      <c r="D1305" s="25"/>
      <c r="E1305" s="28"/>
      <c r="Q1305" s="58"/>
    </row>
    <row r="1306" spans="3:17">
      <c r="C1306" s="25"/>
      <c r="D1306" s="25"/>
      <c r="E1306" s="28"/>
      <c r="Q1306" s="58"/>
    </row>
    <row r="1307" spans="3:17">
      <c r="C1307" s="25"/>
      <c r="D1307" s="25"/>
      <c r="E1307" s="28"/>
      <c r="Q1307" s="58"/>
    </row>
    <row r="1308" spans="3:17">
      <c r="C1308" s="25"/>
      <c r="D1308" s="25"/>
      <c r="E1308" s="28"/>
      <c r="Q1308" s="58"/>
    </row>
    <row r="1309" spans="3:17">
      <c r="C1309" s="25"/>
      <c r="D1309" s="25"/>
      <c r="E1309" s="28"/>
      <c r="Q1309" s="58"/>
    </row>
    <row r="1310" spans="3:17">
      <c r="C1310" s="25"/>
      <c r="D1310" s="25"/>
      <c r="E1310" s="28"/>
      <c r="Q1310" s="58"/>
    </row>
    <row r="1311" spans="3:17">
      <c r="C1311" s="25"/>
      <c r="D1311" s="25"/>
      <c r="E1311" s="28"/>
      <c r="Q1311" s="58"/>
    </row>
    <row r="1312" spans="3:17">
      <c r="C1312" s="25"/>
      <c r="D1312" s="25"/>
      <c r="E1312" s="28"/>
      <c r="Q1312" s="58"/>
    </row>
    <row r="1313" spans="3:17">
      <c r="C1313" s="25"/>
      <c r="D1313" s="25"/>
      <c r="E1313" s="28"/>
      <c r="Q1313" s="58"/>
    </row>
    <row r="1314" spans="3:17">
      <c r="C1314" s="25"/>
      <c r="D1314" s="25"/>
      <c r="E1314" s="28"/>
      <c r="Q1314" s="58"/>
    </row>
    <row r="1315" spans="3:17">
      <c r="C1315" s="25"/>
      <c r="D1315" s="25"/>
      <c r="E1315" s="28"/>
      <c r="Q1315" s="58"/>
    </row>
    <row r="1316" spans="3:17">
      <c r="C1316" s="25"/>
      <c r="D1316" s="25"/>
      <c r="E1316" s="28"/>
      <c r="Q1316" s="58"/>
    </row>
    <row r="1317" spans="3:17">
      <c r="C1317" s="25"/>
      <c r="D1317" s="25"/>
      <c r="E1317" s="28"/>
      <c r="Q1317" s="58"/>
    </row>
    <row r="1318" spans="3:17">
      <c r="C1318" s="25"/>
      <c r="D1318" s="25"/>
      <c r="E1318" s="28"/>
      <c r="Q1318" s="58"/>
    </row>
    <row r="1319" spans="3:17">
      <c r="C1319" s="25"/>
      <c r="D1319" s="25"/>
      <c r="E1319" s="28"/>
      <c r="Q1319" s="58"/>
    </row>
    <row r="1320" spans="3:17">
      <c r="E1320" s="28"/>
      <c r="Q1320" s="58"/>
    </row>
    <row r="1321" spans="3:17">
      <c r="E1321" s="28"/>
      <c r="Q1321" s="58"/>
    </row>
    <row r="1322" spans="3:17">
      <c r="E1322" s="28"/>
      <c r="Q1322" s="58"/>
    </row>
    <row r="1323" spans="3:17">
      <c r="E1323" s="28"/>
      <c r="Q1323" s="58"/>
    </row>
    <row r="1324" spans="3:17">
      <c r="E1324" s="28"/>
      <c r="Q1324" s="58"/>
    </row>
    <row r="1325" spans="3:17">
      <c r="E1325" s="28"/>
      <c r="Q1325" s="58"/>
    </row>
    <row r="1326" spans="3:17">
      <c r="E1326" s="28"/>
      <c r="Q1326" s="58"/>
    </row>
    <row r="1327" spans="3:17">
      <c r="E1327" s="28"/>
      <c r="Q1327" s="58"/>
    </row>
    <row r="1328" spans="3:17">
      <c r="E1328" s="28"/>
      <c r="Q1328" s="58"/>
    </row>
    <row r="1329" spans="5:17">
      <c r="E1329" s="28"/>
      <c r="Q1329" s="58"/>
    </row>
    <row r="1330" spans="5:17">
      <c r="E1330" s="28"/>
      <c r="Q1330" s="58"/>
    </row>
    <row r="1331" spans="5:17">
      <c r="E1331" s="28"/>
      <c r="Q1331" s="58"/>
    </row>
    <row r="1332" spans="5:17">
      <c r="E1332" s="28"/>
      <c r="Q1332" s="58"/>
    </row>
    <row r="1333" spans="5:17">
      <c r="E1333" s="28"/>
      <c r="Q1333" s="58"/>
    </row>
    <row r="1334" spans="5:17">
      <c r="E1334" s="28"/>
      <c r="Q1334" s="58"/>
    </row>
    <row r="1335" spans="5:17">
      <c r="E1335" s="28"/>
      <c r="Q1335" s="58"/>
    </row>
    <row r="1336" spans="5:17">
      <c r="E1336" s="28"/>
      <c r="Q1336" s="58"/>
    </row>
    <row r="1337" spans="5:17">
      <c r="E1337" s="28"/>
      <c r="Q1337" s="58"/>
    </row>
    <row r="1338" spans="5:17">
      <c r="E1338" s="28"/>
      <c r="Q1338" s="58"/>
    </row>
    <row r="1339" spans="5:17">
      <c r="E1339" s="28"/>
      <c r="Q1339" s="58"/>
    </row>
    <row r="1340" spans="5:17">
      <c r="E1340" s="28"/>
      <c r="Q1340" s="58"/>
    </row>
    <row r="1341" spans="5:17">
      <c r="E1341" s="28"/>
      <c r="Q1341" s="58"/>
    </row>
    <row r="1342" spans="5:17">
      <c r="E1342" s="28"/>
      <c r="Q1342" s="58"/>
    </row>
    <row r="1343" spans="5:17">
      <c r="E1343" s="28"/>
      <c r="Q1343" s="58"/>
    </row>
    <row r="1344" spans="5:17">
      <c r="E1344" s="28"/>
      <c r="Q1344" s="58"/>
    </row>
    <row r="1345" spans="5:17">
      <c r="E1345" s="28"/>
      <c r="Q1345" s="58"/>
    </row>
    <row r="1346" spans="5:17">
      <c r="E1346" s="28"/>
      <c r="Q1346" s="58"/>
    </row>
    <row r="1347" spans="5:17">
      <c r="E1347" s="28"/>
      <c r="Q1347" s="58"/>
    </row>
    <row r="1348" spans="5:17">
      <c r="E1348" s="28"/>
      <c r="Q1348" s="58"/>
    </row>
    <row r="1349" spans="5:17">
      <c r="E1349" s="28"/>
      <c r="Q1349" s="58"/>
    </row>
    <row r="1350" spans="5:17">
      <c r="E1350" s="28"/>
      <c r="Q1350" s="58"/>
    </row>
    <row r="1351" spans="5:17">
      <c r="E1351" s="28"/>
      <c r="Q1351" s="58"/>
    </row>
    <row r="1352" spans="5:17">
      <c r="E1352" s="28"/>
      <c r="Q1352" s="58"/>
    </row>
    <row r="1353" spans="5:17">
      <c r="E1353" s="28"/>
      <c r="Q1353" s="58"/>
    </row>
    <row r="1354" spans="5:17">
      <c r="E1354" s="28"/>
      <c r="Q1354" s="58"/>
    </row>
    <row r="1355" spans="5:17">
      <c r="E1355" s="28"/>
      <c r="Q1355" s="58"/>
    </row>
    <row r="1356" spans="5:17">
      <c r="E1356" s="28"/>
      <c r="Q1356" s="58"/>
    </row>
    <row r="1357" spans="5:17">
      <c r="E1357" s="28"/>
      <c r="Q1357" s="58"/>
    </row>
    <row r="1358" spans="5:17">
      <c r="E1358" s="28"/>
      <c r="Q1358" s="58"/>
    </row>
    <row r="1359" spans="5:17">
      <c r="E1359" s="28"/>
      <c r="Q1359" s="58"/>
    </row>
    <row r="1360" spans="5:17">
      <c r="E1360" s="28"/>
      <c r="Q1360" s="58"/>
    </row>
    <row r="1361" spans="5:17">
      <c r="E1361" s="28"/>
      <c r="Q1361" s="58"/>
    </row>
    <row r="1362" spans="5:17">
      <c r="E1362" s="28"/>
    </row>
    <row r="1363" spans="5:17">
      <c r="E1363" s="28"/>
    </row>
    <row r="1364" spans="5:17">
      <c r="E1364" s="28"/>
    </row>
    <row r="1365" spans="5:17">
      <c r="E1365" s="28"/>
    </row>
    <row r="1366" spans="5:17">
      <c r="E1366" s="28"/>
    </row>
    <row r="1367" spans="5:17">
      <c r="E1367" s="28"/>
    </row>
    <row r="1368" spans="5:17">
      <c r="E1368" s="28"/>
    </row>
    <row r="1369" spans="5:17">
      <c r="E1369" s="28"/>
    </row>
    <row r="1370" spans="5:17">
      <c r="E1370" s="28"/>
    </row>
    <row r="1371" spans="5:17">
      <c r="E1371" s="28"/>
    </row>
    <row r="1372" spans="5:17">
      <c r="E1372" s="28"/>
    </row>
    <row r="1373" spans="5:17">
      <c r="E1373" s="28"/>
    </row>
    <row r="1374" spans="5:17">
      <c r="E1374" s="28"/>
    </row>
    <row r="1375" spans="5:17">
      <c r="E1375" s="28"/>
    </row>
    <row r="1376" spans="5:17">
      <c r="E1376" s="28"/>
    </row>
    <row r="1377" spans="5:5">
      <c r="E1377" s="28"/>
    </row>
    <row r="1378" spans="5:5">
      <c r="E1378" s="28"/>
    </row>
    <row r="1379" spans="5:5">
      <c r="E1379" s="28"/>
    </row>
    <row r="1380" spans="5:5">
      <c r="E1380" s="28"/>
    </row>
    <row r="1381" spans="5:5">
      <c r="E1381" s="28"/>
    </row>
    <row r="1382" spans="5:5">
      <c r="E1382" s="28"/>
    </row>
    <row r="1383" spans="5:5">
      <c r="E1383" s="28"/>
    </row>
    <row r="1384" spans="5:5">
      <c r="E1384" s="28"/>
    </row>
    <row r="1385" spans="5:5">
      <c r="E1385" s="28"/>
    </row>
    <row r="1386" spans="5:5">
      <c r="E1386" s="28"/>
    </row>
    <row r="1387" spans="5:5">
      <c r="E1387" s="28"/>
    </row>
    <row r="1388" spans="5:5">
      <c r="E1388" s="28"/>
    </row>
    <row r="1389" spans="5:5">
      <c r="E1389" s="28"/>
    </row>
    <row r="1390" spans="5:5">
      <c r="E1390" s="28"/>
    </row>
    <row r="1391" spans="5:5">
      <c r="E1391" s="28"/>
    </row>
    <row r="1392" spans="5:5">
      <c r="E1392" s="28"/>
    </row>
    <row r="1393" spans="5:5">
      <c r="E1393" s="28"/>
    </row>
    <row r="1394" spans="5:5">
      <c r="E1394" s="28"/>
    </row>
    <row r="1395" spans="5:5">
      <c r="E1395" s="28"/>
    </row>
    <row r="1396" spans="5:5">
      <c r="E1396" s="28"/>
    </row>
    <row r="1397" spans="5:5">
      <c r="E1397" s="28"/>
    </row>
    <row r="1398" spans="5:5">
      <c r="E1398" s="28"/>
    </row>
    <row r="1399" spans="5:5">
      <c r="E1399" s="28"/>
    </row>
    <row r="1400" spans="5:5">
      <c r="E1400" s="28"/>
    </row>
    <row r="1401" spans="5:5">
      <c r="E1401" s="28"/>
    </row>
    <row r="1402" spans="5:5">
      <c r="E1402" s="28"/>
    </row>
    <row r="1403" spans="5:5">
      <c r="E1403" s="28"/>
    </row>
    <row r="1404" spans="5:5">
      <c r="E1404" s="28"/>
    </row>
    <row r="1405" spans="5:5">
      <c r="E1405" s="28"/>
    </row>
    <row r="1406" spans="5:5">
      <c r="E1406" s="28"/>
    </row>
    <row r="1407" spans="5:5">
      <c r="E1407" s="28"/>
    </row>
    <row r="1408" spans="5:5">
      <c r="E1408" s="28"/>
    </row>
    <row r="1409" spans="5:5">
      <c r="E1409" s="28"/>
    </row>
    <row r="1410" spans="5:5">
      <c r="E1410" s="28"/>
    </row>
    <row r="1411" spans="5:5">
      <c r="E1411" s="28"/>
    </row>
    <row r="1412" spans="5:5">
      <c r="E1412" s="28"/>
    </row>
    <row r="1413" spans="5:5">
      <c r="E1413" s="28"/>
    </row>
    <row r="1414" spans="5:5">
      <c r="E1414" s="28"/>
    </row>
    <row r="1415" spans="5:5">
      <c r="E1415" s="28"/>
    </row>
    <row r="1416" spans="5:5">
      <c r="E1416" s="28"/>
    </row>
    <row r="1417" spans="5:5">
      <c r="E1417" s="28"/>
    </row>
    <row r="1418" spans="5:5">
      <c r="E1418" s="28"/>
    </row>
    <row r="1419" spans="5:5">
      <c r="E1419" s="28"/>
    </row>
    <row r="1420" spans="5:5">
      <c r="E1420" s="28"/>
    </row>
    <row r="1421" spans="5:5">
      <c r="E1421" s="28"/>
    </row>
    <row r="1422" spans="5:5">
      <c r="E1422" s="28"/>
    </row>
    <row r="1423" spans="5:5">
      <c r="E1423" s="28"/>
    </row>
    <row r="1424" spans="5:5">
      <c r="E1424" s="28"/>
    </row>
    <row r="1425" spans="5:5">
      <c r="E1425" s="28"/>
    </row>
    <row r="1426" spans="5:5">
      <c r="E1426" s="28"/>
    </row>
    <row r="1427" spans="5:5">
      <c r="E1427" s="28"/>
    </row>
    <row r="1428" spans="5:5">
      <c r="E1428" s="28"/>
    </row>
    <row r="1429" spans="5:5">
      <c r="E1429" s="28"/>
    </row>
    <row r="1430" spans="5:5">
      <c r="E1430" s="28"/>
    </row>
    <row r="1431" spans="5:5">
      <c r="E1431" s="28"/>
    </row>
    <row r="1432" spans="5:5">
      <c r="E1432" s="28"/>
    </row>
    <row r="1433" spans="5:5">
      <c r="E1433" s="28"/>
    </row>
    <row r="1434" spans="5:5">
      <c r="E1434" s="28"/>
    </row>
    <row r="1435" spans="5:5">
      <c r="E1435" s="28"/>
    </row>
    <row r="1436" spans="5:5">
      <c r="E1436" s="28"/>
    </row>
    <row r="1437" spans="5:5">
      <c r="E1437" s="28"/>
    </row>
    <row r="1438" spans="5:5">
      <c r="E1438" s="28"/>
    </row>
    <row r="1439" spans="5:5">
      <c r="E1439" s="28"/>
    </row>
    <row r="1440" spans="5:5">
      <c r="E1440" s="28"/>
    </row>
    <row r="1441" spans="5:5">
      <c r="E1441" s="28"/>
    </row>
    <row r="1442" spans="5:5">
      <c r="E1442" s="28"/>
    </row>
    <row r="1443" spans="5:5">
      <c r="E1443" s="28"/>
    </row>
    <row r="1444" spans="5:5">
      <c r="E1444" s="28"/>
    </row>
    <row r="1445" spans="5:5">
      <c r="E1445" s="28"/>
    </row>
    <row r="1446" spans="5:5">
      <c r="E1446" s="28"/>
    </row>
    <row r="1447" spans="5:5">
      <c r="E1447" s="28"/>
    </row>
    <row r="1448" spans="5:5">
      <c r="E1448" s="28"/>
    </row>
    <row r="1449" spans="5:5">
      <c r="E1449" s="28"/>
    </row>
    <row r="1450" spans="5:5">
      <c r="E1450" s="28"/>
    </row>
    <row r="1451" spans="5:5">
      <c r="E1451" s="28"/>
    </row>
    <row r="1452" spans="5:5">
      <c r="E1452" s="28"/>
    </row>
    <row r="1453" spans="5:5">
      <c r="E1453" s="28"/>
    </row>
    <row r="1454" spans="5:5">
      <c r="E1454" s="28"/>
    </row>
    <row r="1455" spans="5:5">
      <c r="E1455" s="28"/>
    </row>
    <row r="1456" spans="5:5">
      <c r="E1456" s="28"/>
    </row>
    <row r="1457" spans="5:5">
      <c r="E1457" s="28"/>
    </row>
    <row r="1458" spans="5:5">
      <c r="E1458" s="28"/>
    </row>
    <row r="1459" spans="5:5">
      <c r="E1459" s="28"/>
    </row>
    <row r="1460" spans="5:5">
      <c r="E1460" s="28"/>
    </row>
    <row r="1461" spans="5:5">
      <c r="E1461" s="28"/>
    </row>
    <row r="1462" spans="5:5">
      <c r="E1462" s="28"/>
    </row>
    <row r="1463" spans="5:5">
      <c r="E1463" s="28"/>
    </row>
    <row r="1464" spans="5:5">
      <c r="E1464" s="28"/>
    </row>
    <row r="1465" spans="5:5">
      <c r="E1465" s="28"/>
    </row>
    <row r="1466" spans="5:5">
      <c r="E1466" s="28"/>
    </row>
    <row r="1467" spans="5:5">
      <c r="E1467" s="28"/>
    </row>
    <row r="1468" spans="5:5">
      <c r="E1468" s="28"/>
    </row>
    <row r="1469" spans="5:5">
      <c r="E1469" s="28"/>
    </row>
    <row r="1470" spans="5:5">
      <c r="E1470" s="28"/>
    </row>
    <row r="1471" spans="5:5">
      <c r="E1471" s="28"/>
    </row>
    <row r="1472" spans="5:5">
      <c r="E1472" s="28"/>
    </row>
    <row r="1473" spans="5:5">
      <c r="E1473" s="28"/>
    </row>
    <row r="1474" spans="5:5">
      <c r="E1474" s="28"/>
    </row>
    <row r="1475" spans="5:5">
      <c r="E1475" s="28"/>
    </row>
    <row r="1476" spans="5:5">
      <c r="E1476" s="28"/>
    </row>
    <row r="1477" spans="5:5">
      <c r="E1477" s="28"/>
    </row>
    <row r="1478" spans="5:5">
      <c r="E1478" s="28"/>
    </row>
    <row r="1479" spans="5:5">
      <c r="E1479" s="28"/>
    </row>
    <row r="1480" spans="5:5">
      <c r="E1480" s="28"/>
    </row>
    <row r="1481" spans="5:5">
      <c r="E1481" s="28"/>
    </row>
    <row r="1482" spans="5:5">
      <c r="E1482" s="28"/>
    </row>
    <row r="1483" spans="5:5">
      <c r="E1483" s="28"/>
    </row>
    <row r="1484" spans="5:5">
      <c r="E1484" s="28"/>
    </row>
    <row r="1485" spans="5:5">
      <c r="E1485" s="28"/>
    </row>
    <row r="1486" spans="5:5">
      <c r="E1486" s="28"/>
    </row>
    <row r="1487" spans="5:5">
      <c r="E1487" s="28"/>
    </row>
    <row r="1488" spans="5:5">
      <c r="E1488" s="28"/>
    </row>
    <row r="1489" spans="5:5">
      <c r="E1489" s="28"/>
    </row>
    <row r="1490" spans="5:5">
      <c r="E1490" s="28"/>
    </row>
    <row r="1491" spans="5:5">
      <c r="E1491" s="28"/>
    </row>
    <row r="1492" spans="5:5">
      <c r="E1492" s="28"/>
    </row>
    <row r="1493" spans="5:5">
      <c r="E1493" s="28"/>
    </row>
    <row r="1494" spans="5:5">
      <c r="E1494" s="28"/>
    </row>
    <row r="1495" spans="5:5">
      <c r="E1495" s="28"/>
    </row>
    <row r="1496" spans="5:5">
      <c r="E1496" s="28"/>
    </row>
    <row r="1497" spans="5:5">
      <c r="E1497" s="28"/>
    </row>
    <row r="1498" spans="5:5">
      <c r="E1498" s="28"/>
    </row>
    <row r="1499" spans="5:5">
      <c r="E1499" s="28"/>
    </row>
    <row r="1500" spans="5:5">
      <c r="E1500" s="28"/>
    </row>
    <row r="1501" spans="5:5">
      <c r="E1501" s="28"/>
    </row>
    <row r="1502" spans="5:5">
      <c r="E1502" s="28"/>
    </row>
    <row r="1503" spans="5:5">
      <c r="E1503" s="28"/>
    </row>
    <row r="1504" spans="5:5">
      <c r="E1504" s="28"/>
    </row>
    <row r="1505" spans="5:5">
      <c r="E1505" s="28"/>
    </row>
    <row r="1506" spans="5:5">
      <c r="E1506" s="28"/>
    </row>
    <row r="1507" spans="5:5">
      <c r="E1507" s="28"/>
    </row>
    <row r="1508" spans="5:5">
      <c r="E1508" s="28"/>
    </row>
    <row r="1509" spans="5:5">
      <c r="E1509" s="28"/>
    </row>
    <row r="1510" spans="5:5">
      <c r="E1510" s="28"/>
    </row>
    <row r="1511" spans="5:5">
      <c r="E1511" s="28"/>
    </row>
    <row r="1512" spans="5:5">
      <c r="E1512" s="28"/>
    </row>
    <row r="1513" spans="5:5">
      <c r="E1513" s="28"/>
    </row>
    <row r="1514" spans="5:5">
      <c r="E1514" s="28"/>
    </row>
    <row r="1515" spans="5:5">
      <c r="E1515" s="28"/>
    </row>
    <row r="1516" spans="5:5">
      <c r="E1516" s="28"/>
    </row>
    <row r="1517" spans="5:5">
      <c r="E1517" s="28"/>
    </row>
    <row r="1518" spans="5:5">
      <c r="E1518" s="28"/>
    </row>
    <row r="1519" spans="5:5">
      <c r="E1519" s="28"/>
    </row>
    <row r="1520" spans="5:5">
      <c r="E1520" s="28"/>
    </row>
    <row r="1521" spans="5:5">
      <c r="E1521" s="28"/>
    </row>
    <row r="1522" spans="5:5">
      <c r="E1522" s="28"/>
    </row>
    <row r="1523" spans="5:5">
      <c r="E1523" s="28"/>
    </row>
    <row r="1524" spans="5:5">
      <c r="E1524" s="28"/>
    </row>
    <row r="1525" spans="5:5">
      <c r="E1525" s="28"/>
    </row>
    <row r="1526" spans="5:5">
      <c r="E1526" s="28"/>
    </row>
    <row r="1527" spans="5:5">
      <c r="E1527" s="28"/>
    </row>
    <row r="1528" spans="5:5">
      <c r="E1528" s="28"/>
    </row>
    <row r="1529" spans="5:5">
      <c r="E1529" s="28"/>
    </row>
    <row r="1530" spans="5:5">
      <c r="E1530" s="28"/>
    </row>
    <row r="1531" spans="5:5">
      <c r="E1531" s="28"/>
    </row>
    <row r="1532" spans="5:5">
      <c r="E1532" s="28"/>
    </row>
    <row r="1533" spans="5:5">
      <c r="E1533" s="28"/>
    </row>
    <row r="1534" spans="5:5">
      <c r="E1534" s="28"/>
    </row>
    <row r="1535" spans="5:5">
      <c r="E1535" s="28"/>
    </row>
    <row r="1536" spans="5:5">
      <c r="E1536" s="28"/>
    </row>
    <row r="1537" spans="5:5">
      <c r="E1537" s="28"/>
    </row>
    <row r="1538" spans="5:5">
      <c r="E1538" s="28"/>
    </row>
    <row r="1539" spans="5:5">
      <c r="E1539" s="28"/>
    </row>
    <row r="1540" spans="5:5">
      <c r="E1540" s="28"/>
    </row>
    <row r="1541" spans="5:5">
      <c r="E1541" s="28"/>
    </row>
    <row r="1542" spans="5:5">
      <c r="E1542" s="28"/>
    </row>
    <row r="1543" spans="5:5">
      <c r="E1543" s="28"/>
    </row>
    <row r="1544" spans="5:5">
      <c r="E1544" s="28"/>
    </row>
    <row r="1545" spans="5:5">
      <c r="E1545" s="28"/>
    </row>
    <row r="1546" spans="5:5">
      <c r="E1546" s="28"/>
    </row>
    <row r="1547" spans="5:5">
      <c r="E1547" s="28"/>
    </row>
    <row r="1548" spans="5:5">
      <c r="E1548" s="28"/>
    </row>
    <row r="1549" spans="5:5">
      <c r="E1549" s="28"/>
    </row>
    <row r="1550" spans="5:5">
      <c r="E1550" s="28"/>
    </row>
    <row r="1551" spans="5:5">
      <c r="E1551" s="28"/>
    </row>
    <row r="1552" spans="5:5">
      <c r="E1552" s="28"/>
    </row>
    <row r="1553" spans="5:5">
      <c r="E1553" s="28"/>
    </row>
    <row r="1554" spans="5:5">
      <c r="E1554" s="28"/>
    </row>
    <row r="1555" spans="5:5">
      <c r="E1555" s="28"/>
    </row>
    <row r="1556" spans="5:5">
      <c r="E1556" s="28"/>
    </row>
    <row r="1557" spans="5:5">
      <c r="E1557" s="28"/>
    </row>
    <row r="1558" spans="5:5">
      <c r="E1558" s="28"/>
    </row>
    <row r="1559" spans="5:5">
      <c r="E1559" s="28"/>
    </row>
    <row r="1560" spans="5:5">
      <c r="E1560" s="28"/>
    </row>
    <row r="1561" spans="5:5">
      <c r="E1561" s="28"/>
    </row>
    <row r="1562" spans="5:5">
      <c r="E1562" s="28"/>
    </row>
    <row r="1563" spans="5:5">
      <c r="E1563" s="28"/>
    </row>
    <row r="1564" spans="5:5">
      <c r="E1564" s="28"/>
    </row>
    <row r="1565" spans="5:5">
      <c r="E1565" s="28"/>
    </row>
    <row r="1566" spans="5:5">
      <c r="E1566" s="28"/>
    </row>
    <row r="1567" spans="5:5">
      <c r="E1567" s="28"/>
    </row>
    <row r="1568" spans="5:5">
      <c r="E1568" s="28"/>
    </row>
    <row r="1569" spans="5:5">
      <c r="E1569" s="28"/>
    </row>
    <row r="1570" spans="5:5">
      <c r="E1570" s="28"/>
    </row>
    <row r="1571" spans="5:5">
      <c r="E1571" s="28"/>
    </row>
    <row r="1572" spans="5:5">
      <c r="E1572" s="28"/>
    </row>
    <row r="1573" spans="5:5">
      <c r="E1573" s="28"/>
    </row>
    <row r="1574" spans="5:5">
      <c r="E1574" s="28"/>
    </row>
    <row r="1575" spans="5:5">
      <c r="E1575" s="28"/>
    </row>
    <row r="1576" spans="5:5">
      <c r="E1576" s="28"/>
    </row>
    <row r="1577" spans="5:5">
      <c r="E1577" s="28"/>
    </row>
    <row r="1578" spans="5:5">
      <c r="E1578" s="28"/>
    </row>
    <row r="1579" spans="5:5">
      <c r="E1579" s="28"/>
    </row>
    <row r="1580" spans="5:5">
      <c r="E1580" s="28"/>
    </row>
    <row r="1581" spans="5:5">
      <c r="E1581" s="28"/>
    </row>
    <row r="1582" spans="5:5">
      <c r="E1582" s="28"/>
    </row>
    <row r="1583" spans="5:5">
      <c r="E1583" s="28"/>
    </row>
    <row r="1584" spans="5:5">
      <c r="E1584" s="28"/>
    </row>
    <row r="1585" spans="5:5">
      <c r="E1585" s="28"/>
    </row>
    <row r="1586" spans="5:5">
      <c r="E1586" s="28"/>
    </row>
    <row r="1587" spans="5:5">
      <c r="E1587" s="28"/>
    </row>
    <row r="1588" spans="5:5">
      <c r="E1588" s="28"/>
    </row>
    <row r="1589" spans="5:5">
      <c r="E1589" s="28"/>
    </row>
    <row r="1590" spans="5:5">
      <c r="E1590" s="28"/>
    </row>
    <row r="1591" spans="5:5">
      <c r="E1591" s="28"/>
    </row>
    <row r="1592" spans="5:5">
      <c r="E1592" s="28"/>
    </row>
    <row r="1593" spans="5:5">
      <c r="E1593" s="28"/>
    </row>
    <row r="1594" spans="5:5">
      <c r="E1594" s="28"/>
    </row>
    <row r="1595" spans="5:5">
      <c r="E1595" s="28"/>
    </row>
    <row r="1596" spans="5:5">
      <c r="E1596" s="28"/>
    </row>
    <row r="1597" spans="5:5">
      <c r="E1597" s="28"/>
    </row>
    <row r="1598" spans="5:5">
      <c r="E1598" s="28"/>
    </row>
    <row r="1599" spans="5:5">
      <c r="E1599" s="28"/>
    </row>
    <row r="1600" spans="5:5">
      <c r="E1600" s="28"/>
    </row>
    <row r="1601" spans="5:5">
      <c r="E1601" s="28"/>
    </row>
    <row r="1602" spans="5:5" hidden="1">
      <c r="E1602" s="28"/>
    </row>
    <row r="1603" spans="5:5" hidden="1">
      <c r="E1603" s="28"/>
    </row>
    <row r="1604" spans="5:5" hidden="1">
      <c r="E1604" s="28"/>
    </row>
    <row r="1605" spans="5:5" hidden="1">
      <c r="E1605" s="28"/>
    </row>
    <row r="1606" spans="5:5" hidden="1">
      <c r="E1606" s="28"/>
    </row>
    <row r="1607" spans="5:5" hidden="1">
      <c r="E1607" s="28"/>
    </row>
    <row r="1608" spans="5:5" hidden="1">
      <c r="E1608" s="28"/>
    </row>
    <row r="1609" spans="5:5" hidden="1">
      <c r="E1609" s="28"/>
    </row>
    <row r="1610" spans="5:5" hidden="1">
      <c r="E1610" s="28"/>
    </row>
    <row r="1611" spans="5:5" hidden="1">
      <c r="E1611" s="28"/>
    </row>
    <row r="1612" spans="5:5" hidden="1">
      <c r="E1612" s="28"/>
    </row>
    <row r="1613" spans="5:5" hidden="1">
      <c r="E1613" s="28"/>
    </row>
    <row r="1614" spans="5:5" hidden="1">
      <c r="E1614" s="28"/>
    </row>
    <row r="1615" spans="5:5" hidden="1">
      <c r="E1615" s="28"/>
    </row>
    <row r="1616" spans="5:5" hidden="1">
      <c r="E1616" s="28"/>
    </row>
    <row r="1617" spans="5:5" hidden="1">
      <c r="E1617" s="28"/>
    </row>
    <row r="1618" spans="5:5" hidden="1">
      <c r="E1618" s="28"/>
    </row>
    <row r="1619" spans="5:5" hidden="1">
      <c r="E1619" s="28"/>
    </row>
    <row r="1620" spans="5:5" hidden="1">
      <c r="E1620" s="28"/>
    </row>
    <row r="1621" spans="5:5" hidden="1">
      <c r="E1621" s="28"/>
    </row>
    <row r="1622" spans="5:5" hidden="1">
      <c r="E1622" s="28"/>
    </row>
    <row r="1623" spans="5:5" hidden="1">
      <c r="E1623" s="28"/>
    </row>
    <row r="1624" spans="5:5" hidden="1">
      <c r="E1624" s="28"/>
    </row>
    <row r="1625" spans="5:5" hidden="1">
      <c r="E1625" s="28"/>
    </row>
    <row r="1626" spans="5:5" hidden="1">
      <c r="E1626" s="28"/>
    </row>
    <row r="1627" spans="5:5" hidden="1">
      <c r="E1627" s="28"/>
    </row>
    <row r="1628" spans="5:5" hidden="1">
      <c r="E1628" s="28"/>
    </row>
    <row r="1629" spans="5:5" hidden="1">
      <c r="E1629" s="28"/>
    </row>
    <row r="1630" spans="5:5" hidden="1">
      <c r="E1630" s="28"/>
    </row>
    <row r="1631" spans="5:5" hidden="1">
      <c r="E1631" s="28"/>
    </row>
    <row r="1632" spans="5:5" hidden="1">
      <c r="E1632" s="28"/>
    </row>
    <row r="1633" spans="5:5" hidden="1">
      <c r="E1633" s="28"/>
    </row>
    <row r="1634" spans="5:5" hidden="1">
      <c r="E1634" s="28"/>
    </row>
    <row r="1635" spans="5:5" hidden="1">
      <c r="E1635" s="28"/>
    </row>
    <row r="1636" spans="5:5" hidden="1">
      <c r="E1636" s="28"/>
    </row>
    <row r="1637" spans="5:5" hidden="1">
      <c r="E1637" s="28"/>
    </row>
    <row r="1638" spans="5:5" hidden="1">
      <c r="E1638" s="28"/>
    </row>
    <row r="1639" spans="5:5" hidden="1">
      <c r="E1639" s="28"/>
    </row>
    <row r="1640" spans="5:5" hidden="1">
      <c r="E1640" s="28"/>
    </row>
    <row r="1641" spans="5:5" hidden="1">
      <c r="E1641" s="28"/>
    </row>
    <row r="1642" spans="5:5" hidden="1">
      <c r="E1642" s="28"/>
    </row>
    <row r="1643" spans="5:5" hidden="1">
      <c r="E1643" s="28"/>
    </row>
    <row r="1644" spans="5:5" hidden="1">
      <c r="E1644" s="28"/>
    </row>
    <row r="1645" spans="5:5" hidden="1">
      <c r="E1645" s="28"/>
    </row>
    <row r="1646" spans="5:5" hidden="1">
      <c r="E1646" s="28"/>
    </row>
    <row r="1647" spans="5:5" hidden="1">
      <c r="E1647" s="28"/>
    </row>
    <row r="1648" spans="5:5" hidden="1">
      <c r="E1648" s="28"/>
    </row>
    <row r="1649" spans="5:5" hidden="1">
      <c r="E1649" s="28"/>
    </row>
    <row r="1650" spans="5:5" hidden="1">
      <c r="E1650" s="28"/>
    </row>
    <row r="1651" spans="5:5" hidden="1">
      <c r="E1651" s="28"/>
    </row>
    <row r="1652" spans="5:5" hidden="1">
      <c r="E1652" s="28"/>
    </row>
    <row r="1653" spans="5:5" hidden="1">
      <c r="E1653" s="28"/>
    </row>
    <row r="1654" spans="5:5" hidden="1">
      <c r="E1654" s="28"/>
    </row>
    <row r="1655" spans="5:5" hidden="1">
      <c r="E1655" s="28"/>
    </row>
    <row r="1656" spans="5:5" hidden="1">
      <c r="E1656" s="28"/>
    </row>
    <row r="1657" spans="5:5" hidden="1">
      <c r="E1657" s="28"/>
    </row>
    <row r="1658" spans="5:5" hidden="1">
      <c r="E1658" s="28"/>
    </row>
    <row r="1659" spans="5:5" hidden="1">
      <c r="E1659" s="28"/>
    </row>
    <row r="1660" spans="5:5" hidden="1">
      <c r="E1660" s="28"/>
    </row>
    <row r="1661" spans="5:5" hidden="1">
      <c r="E1661" s="28"/>
    </row>
    <row r="1662" spans="5:5" hidden="1">
      <c r="E1662" s="28"/>
    </row>
    <row r="1663" spans="5:5" hidden="1">
      <c r="E1663" s="28"/>
    </row>
    <row r="1664" spans="5:5" hidden="1">
      <c r="E1664" s="28"/>
    </row>
    <row r="1665" spans="5:5" hidden="1">
      <c r="E1665" s="28"/>
    </row>
    <row r="1666" spans="5:5" hidden="1">
      <c r="E1666" s="28"/>
    </row>
    <row r="1667" spans="5:5" hidden="1">
      <c r="E1667" s="28"/>
    </row>
    <row r="1668" spans="5:5" hidden="1">
      <c r="E1668" s="28"/>
    </row>
    <row r="1669" spans="5:5" hidden="1">
      <c r="E1669" s="28"/>
    </row>
    <row r="1670" spans="5:5" hidden="1">
      <c r="E1670" s="28"/>
    </row>
    <row r="1671" spans="5:5" hidden="1">
      <c r="E1671" s="28"/>
    </row>
    <row r="1672" spans="5:5" hidden="1">
      <c r="E1672" s="28"/>
    </row>
    <row r="1673" spans="5:5" hidden="1">
      <c r="E1673" s="28"/>
    </row>
    <row r="1674" spans="5:5" hidden="1">
      <c r="E1674" s="28"/>
    </row>
    <row r="1675" spans="5:5" hidden="1">
      <c r="E1675" s="28"/>
    </row>
    <row r="1676" spans="5:5" hidden="1">
      <c r="E1676" s="28"/>
    </row>
    <row r="1677" spans="5:5" hidden="1">
      <c r="E1677" s="28"/>
    </row>
    <row r="1678" spans="5:5" hidden="1">
      <c r="E1678" s="28"/>
    </row>
    <row r="1679" spans="5:5" hidden="1">
      <c r="E1679" s="28"/>
    </row>
    <row r="1680" spans="5:5" hidden="1">
      <c r="E1680" s="28"/>
    </row>
    <row r="1681" spans="5:5" hidden="1">
      <c r="E1681" s="28"/>
    </row>
    <row r="1682" spans="5:5" hidden="1">
      <c r="E1682" s="28"/>
    </row>
    <row r="1683" spans="5:5" hidden="1">
      <c r="E1683" s="28"/>
    </row>
    <row r="1684" spans="5:5" hidden="1">
      <c r="E1684" s="28"/>
    </row>
    <row r="1685" spans="5:5" hidden="1">
      <c r="E1685" s="28"/>
    </row>
    <row r="1686" spans="5:5" hidden="1">
      <c r="E1686" s="28"/>
    </row>
    <row r="1687" spans="5:5" hidden="1">
      <c r="E1687" s="28"/>
    </row>
    <row r="1688" spans="5:5" hidden="1">
      <c r="E1688" s="28"/>
    </row>
    <row r="1689" spans="5:5" hidden="1">
      <c r="E1689" s="28"/>
    </row>
    <row r="1690" spans="5:5" hidden="1">
      <c r="E1690" s="28"/>
    </row>
    <row r="1691" spans="5:5" hidden="1">
      <c r="E1691" s="28"/>
    </row>
    <row r="1692" spans="5:5" hidden="1">
      <c r="E1692" s="28"/>
    </row>
    <row r="1693" spans="5:5" hidden="1">
      <c r="E1693" s="28"/>
    </row>
    <row r="1694" spans="5:5" hidden="1">
      <c r="E1694" s="28"/>
    </row>
    <row r="1695" spans="5:5" hidden="1">
      <c r="E1695" s="28"/>
    </row>
    <row r="1696" spans="5:5" hidden="1">
      <c r="E1696" s="28"/>
    </row>
    <row r="1697" spans="5:5" hidden="1">
      <c r="E1697" s="28"/>
    </row>
    <row r="1698" spans="5:5" hidden="1">
      <c r="E1698" s="28"/>
    </row>
    <row r="1699" spans="5:5" hidden="1">
      <c r="E1699" s="28"/>
    </row>
    <row r="1700" spans="5:5" hidden="1">
      <c r="E1700" s="28"/>
    </row>
    <row r="1701" spans="5:5" hidden="1">
      <c r="E1701" s="28"/>
    </row>
    <row r="1702" spans="5:5" hidden="1">
      <c r="E1702" s="28"/>
    </row>
    <row r="1703" spans="5:5" hidden="1">
      <c r="E1703" s="28"/>
    </row>
    <row r="1704" spans="5:5" hidden="1">
      <c r="E1704" s="28"/>
    </row>
    <row r="1705" spans="5:5" hidden="1">
      <c r="E1705" s="28"/>
    </row>
    <row r="1706" spans="5:5" hidden="1">
      <c r="E1706" s="28"/>
    </row>
    <row r="1707" spans="5:5" hidden="1">
      <c r="E1707" s="28"/>
    </row>
    <row r="1708" spans="5:5" hidden="1">
      <c r="E1708" s="28"/>
    </row>
    <row r="1709" spans="5:5" hidden="1">
      <c r="E1709" s="28"/>
    </row>
    <row r="1710" spans="5:5" hidden="1">
      <c r="E1710" s="28"/>
    </row>
    <row r="1711" spans="5:5" hidden="1">
      <c r="E1711" s="28"/>
    </row>
    <row r="1712" spans="5:5" hidden="1">
      <c r="E1712" s="28"/>
    </row>
    <row r="1713" spans="5:5" hidden="1">
      <c r="E1713" s="28"/>
    </row>
    <row r="1714" spans="5:5" hidden="1">
      <c r="E1714" s="28"/>
    </row>
    <row r="1715" spans="5:5" hidden="1">
      <c r="E1715" s="28"/>
    </row>
    <row r="1716" spans="5:5" hidden="1">
      <c r="E1716" s="28"/>
    </row>
    <row r="1717" spans="5:5" hidden="1">
      <c r="E1717" s="28"/>
    </row>
    <row r="1718" spans="5:5" hidden="1">
      <c r="E1718" s="28"/>
    </row>
    <row r="1719" spans="5:5" hidden="1">
      <c r="E1719" s="28"/>
    </row>
    <row r="1720" spans="5:5" hidden="1">
      <c r="E1720" s="28"/>
    </row>
    <row r="1721" spans="5:5" hidden="1">
      <c r="E1721" s="28"/>
    </row>
    <row r="1722" spans="5:5" hidden="1">
      <c r="E1722" s="28"/>
    </row>
    <row r="1723" spans="5:5" hidden="1">
      <c r="E1723" s="28"/>
    </row>
    <row r="1724" spans="5:5" hidden="1">
      <c r="E1724" s="28"/>
    </row>
    <row r="1725" spans="5:5" hidden="1">
      <c r="E1725" s="28"/>
    </row>
    <row r="1726" spans="5:5" hidden="1">
      <c r="E1726" s="28"/>
    </row>
    <row r="1727" spans="5:5" hidden="1">
      <c r="E1727" s="28"/>
    </row>
    <row r="1728" spans="5:5" hidden="1">
      <c r="E1728" s="28"/>
    </row>
    <row r="1729" spans="5:5" hidden="1">
      <c r="E1729" s="28"/>
    </row>
    <row r="1730" spans="5:5" hidden="1">
      <c r="E1730" s="28"/>
    </row>
    <row r="1731" spans="5:5" hidden="1">
      <c r="E1731" s="28"/>
    </row>
    <row r="1732" spans="5:5" hidden="1">
      <c r="E1732" s="28"/>
    </row>
    <row r="1733" spans="5:5" hidden="1">
      <c r="E1733" s="28"/>
    </row>
    <row r="1734" spans="5:5" hidden="1">
      <c r="E1734" s="28"/>
    </row>
    <row r="1735" spans="5:5" hidden="1">
      <c r="E1735" s="28"/>
    </row>
    <row r="1736" spans="5:5" hidden="1">
      <c r="E1736" s="28"/>
    </row>
    <row r="1737" spans="5:5" hidden="1">
      <c r="E1737" s="28"/>
    </row>
    <row r="1738" spans="5:5" hidden="1">
      <c r="E1738" s="28"/>
    </row>
    <row r="1739" spans="5:5" hidden="1">
      <c r="E1739" s="28"/>
    </row>
    <row r="1740" spans="5:5" hidden="1">
      <c r="E1740" s="28"/>
    </row>
    <row r="1741" spans="5:5" hidden="1">
      <c r="E1741" s="28"/>
    </row>
    <row r="1742" spans="5:5" hidden="1">
      <c r="E1742" s="28"/>
    </row>
    <row r="1743" spans="5:5" hidden="1">
      <c r="E1743" s="28"/>
    </row>
    <row r="1744" spans="5:5" hidden="1">
      <c r="E1744" s="28"/>
    </row>
    <row r="1745" spans="5:5" hidden="1">
      <c r="E1745" s="28"/>
    </row>
    <row r="1746" spans="5:5" hidden="1">
      <c r="E1746" s="28"/>
    </row>
    <row r="1747" spans="5:5" hidden="1">
      <c r="E1747" s="28"/>
    </row>
    <row r="1748" spans="5:5" hidden="1">
      <c r="E1748" s="28"/>
    </row>
    <row r="1749" spans="5:5" hidden="1">
      <c r="E1749" s="28"/>
    </row>
    <row r="1750" spans="5:5" hidden="1">
      <c r="E1750" s="28"/>
    </row>
    <row r="1751" spans="5:5" hidden="1">
      <c r="E1751" s="28"/>
    </row>
    <row r="1752" spans="5:5" hidden="1">
      <c r="E1752" s="28"/>
    </row>
    <row r="1753" spans="5:5" hidden="1">
      <c r="E1753" s="28"/>
    </row>
    <row r="1754" spans="5:5" hidden="1">
      <c r="E1754" s="28"/>
    </row>
    <row r="1755" spans="5:5" hidden="1">
      <c r="E1755" s="28"/>
    </row>
    <row r="1756" spans="5:5" hidden="1">
      <c r="E1756" s="28"/>
    </row>
    <row r="1757" spans="5:5" hidden="1">
      <c r="E1757" s="28"/>
    </row>
    <row r="1758" spans="5:5" hidden="1">
      <c r="E1758" s="28"/>
    </row>
    <row r="1759" spans="5:5" hidden="1">
      <c r="E1759" s="28"/>
    </row>
    <row r="1760" spans="5:5" hidden="1">
      <c r="E1760" s="28"/>
    </row>
    <row r="1761" spans="5:5" hidden="1">
      <c r="E1761" s="28"/>
    </row>
    <row r="1762" spans="5:5" hidden="1">
      <c r="E1762" s="28"/>
    </row>
    <row r="1763" spans="5:5" hidden="1">
      <c r="E1763" s="28"/>
    </row>
    <row r="1764" spans="5:5" hidden="1">
      <c r="E1764" s="28"/>
    </row>
    <row r="1765" spans="5:5" hidden="1">
      <c r="E1765" s="28"/>
    </row>
    <row r="1766" spans="5:5" hidden="1">
      <c r="E1766" s="28"/>
    </row>
    <row r="1767" spans="5:5" hidden="1">
      <c r="E1767" s="28"/>
    </row>
    <row r="1768" spans="5:5" hidden="1">
      <c r="E1768" s="28"/>
    </row>
    <row r="1769" spans="5:5" hidden="1">
      <c r="E1769" s="28"/>
    </row>
    <row r="1770" spans="5:5" hidden="1">
      <c r="E1770" s="28"/>
    </row>
    <row r="1771" spans="5:5" hidden="1">
      <c r="E1771" s="28"/>
    </row>
    <row r="1772" spans="5:5" hidden="1">
      <c r="E1772" s="28"/>
    </row>
    <row r="1773" spans="5:5" hidden="1">
      <c r="E1773" s="28"/>
    </row>
    <row r="1774" spans="5:5" hidden="1">
      <c r="E1774" s="28"/>
    </row>
    <row r="1775" spans="5:5" hidden="1">
      <c r="E1775" s="28"/>
    </row>
    <row r="1776" spans="5:5" hidden="1">
      <c r="E1776" s="28"/>
    </row>
    <row r="1777" spans="5:5" hidden="1">
      <c r="E1777" s="28"/>
    </row>
    <row r="1778" spans="5:5" hidden="1">
      <c r="E1778" s="28"/>
    </row>
    <row r="1779" spans="5:5" hidden="1">
      <c r="E1779" s="28"/>
    </row>
    <row r="1780" spans="5:5" hidden="1">
      <c r="E1780" s="28"/>
    </row>
    <row r="1781" spans="5:5" hidden="1">
      <c r="E1781" s="28"/>
    </row>
    <row r="1782" spans="5:5" hidden="1">
      <c r="E1782" s="28"/>
    </row>
    <row r="1783" spans="5:5" hidden="1">
      <c r="E1783" s="28"/>
    </row>
    <row r="1784" spans="5:5" hidden="1">
      <c r="E1784" s="28"/>
    </row>
    <row r="1785" spans="5:5" hidden="1">
      <c r="E1785" s="28"/>
    </row>
    <row r="1786" spans="5:5" hidden="1">
      <c r="E1786" s="28"/>
    </row>
    <row r="1787" spans="5:5" hidden="1">
      <c r="E1787" s="28"/>
    </row>
    <row r="1788" spans="5:5" hidden="1">
      <c r="E1788" s="28"/>
    </row>
    <row r="1789" spans="5:5" hidden="1">
      <c r="E1789" s="28"/>
    </row>
    <row r="1790" spans="5:5" hidden="1">
      <c r="E1790" s="28"/>
    </row>
    <row r="1791" spans="5:5" hidden="1">
      <c r="E1791" s="28"/>
    </row>
    <row r="1792" spans="5:5" hidden="1">
      <c r="E1792" s="28"/>
    </row>
    <row r="1793" spans="5:5" hidden="1">
      <c r="E1793" s="28"/>
    </row>
    <row r="1794" spans="5:5" hidden="1">
      <c r="E1794" s="28"/>
    </row>
    <row r="1795" spans="5:5" hidden="1">
      <c r="E1795" s="28"/>
    </row>
    <row r="1796" spans="5:5" hidden="1">
      <c r="E1796" s="28"/>
    </row>
    <row r="1797" spans="5:5" hidden="1">
      <c r="E1797" s="28"/>
    </row>
    <row r="1798" spans="5:5" hidden="1">
      <c r="E1798" s="28"/>
    </row>
    <row r="1799" spans="5:5" hidden="1">
      <c r="E1799" s="28"/>
    </row>
    <row r="1800" spans="5:5" hidden="1">
      <c r="E1800" s="28"/>
    </row>
    <row r="1801" spans="5:5" hidden="1">
      <c r="E1801" s="28"/>
    </row>
    <row r="1802" spans="5:5" hidden="1">
      <c r="E1802" s="28"/>
    </row>
    <row r="1803" spans="5:5" hidden="1">
      <c r="E1803" s="28"/>
    </row>
    <row r="1804" spans="5:5" hidden="1">
      <c r="E1804" s="28"/>
    </row>
    <row r="1805" spans="5:5" hidden="1">
      <c r="E1805" s="28"/>
    </row>
    <row r="1806" spans="5:5" hidden="1">
      <c r="E1806" s="28"/>
    </row>
    <row r="1807" spans="5:5" hidden="1">
      <c r="E1807" s="28"/>
    </row>
    <row r="1808" spans="5:5" hidden="1">
      <c r="E1808" s="28"/>
    </row>
    <row r="1809" spans="5:5" hidden="1">
      <c r="E1809" s="28"/>
    </row>
    <row r="1810" spans="5:5" hidden="1">
      <c r="E1810" s="28"/>
    </row>
    <row r="1811" spans="5:5" hidden="1">
      <c r="E1811" s="28"/>
    </row>
    <row r="1812" spans="5:5" hidden="1">
      <c r="E1812" s="28"/>
    </row>
    <row r="1813" spans="5:5" hidden="1">
      <c r="E1813" s="28"/>
    </row>
    <row r="1814" spans="5:5" hidden="1">
      <c r="E1814" s="28"/>
    </row>
    <row r="1815" spans="5:5" hidden="1">
      <c r="E1815" s="28"/>
    </row>
    <row r="1816" spans="5:5" hidden="1">
      <c r="E1816" s="28"/>
    </row>
    <row r="1817" spans="5:5" hidden="1">
      <c r="E1817" s="28"/>
    </row>
    <row r="1818" spans="5:5" hidden="1">
      <c r="E1818" s="28"/>
    </row>
    <row r="1819" spans="5:5" hidden="1">
      <c r="E1819" s="28"/>
    </row>
    <row r="1820" spans="5:5" hidden="1">
      <c r="E1820" s="28"/>
    </row>
    <row r="1821" spans="5:5" hidden="1">
      <c r="E1821" s="28"/>
    </row>
    <row r="1822" spans="5:5" hidden="1">
      <c r="E1822" s="28"/>
    </row>
    <row r="1823" spans="5:5" hidden="1">
      <c r="E1823" s="28"/>
    </row>
    <row r="1824" spans="5:5" hidden="1">
      <c r="E1824" s="28"/>
    </row>
    <row r="1825" spans="5:5" hidden="1">
      <c r="E1825" s="28"/>
    </row>
    <row r="1826" spans="5:5" hidden="1">
      <c r="E1826" s="28"/>
    </row>
    <row r="1827" spans="5:5" hidden="1">
      <c r="E1827" s="28"/>
    </row>
    <row r="1828" spans="5:5" hidden="1">
      <c r="E1828" s="28"/>
    </row>
    <row r="1829" spans="5:5" hidden="1">
      <c r="E1829" s="28"/>
    </row>
    <row r="1830" spans="5:5" hidden="1">
      <c r="E1830" s="28"/>
    </row>
    <row r="1831" spans="5:5" hidden="1">
      <c r="E1831" s="28"/>
    </row>
    <row r="1832" spans="5:5" hidden="1">
      <c r="E1832" s="28"/>
    </row>
    <row r="1833" spans="5:5" hidden="1">
      <c r="E1833" s="28"/>
    </row>
    <row r="1834" spans="5:5" hidden="1">
      <c r="E1834" s="28"/>
    </row>
    <row r="1835" spans="5:5" hidden="1">
      <c r="E1835" s="28"/>
    </row>
    <row r="1836" spans="5:5" hidden="1">
      <c r="E1836" s="28"/>
    </row>
    <row r="1837" spans="5:5" hidden="1">
      <c r="E1837" s="28"/>
    </row>
    <row r="1838" spans="5:5" hidden="1">
      <c r="E1838" s="28"/>
    </row>
    <row r="1839" spans="5:5" hidden="1">
      <c r="E1839" s="28"/>
    </row>
    <row r="1840" spans="5:5" hidden="1">
      <c r="E1840" s="28"/>
    </row>
    <row r="1841" spans="5:5" hidden="1">
      <c r="E1841" s="28"/>
    </row>
    <row r="1842" spans="5:5" hidden="1">
      <c r="E1842" s="28"/>
    </row>
    <row r="1843" spans="5:5" hidden="1">
      <c r="E1843" s="28"/>
    </row>
    <row r="1844" spans="5:5" hidden="1">
      <c r="E1844" s="28"/>
    </row>
    <row r="1845" spans="5:5" hidden="1">
      <c r="E1845" s="28"/>
    </row>
    <row r="1846" spans="5:5" hidden="1">
      <c r="E1846" s="28"/>
    </row>
    <row r="1847" spans="5:5" hidden="1">
      <c r="E1847" s="28"/>
    </row>
    <row r="1848" spans="5:5" hidden="1">
      <c r="E1848" s="28"/>
    </row>
    <row r="1849" spans="5:5" hidden="1">
      <c r="E1849" s="28"/>
    </row>
    <row r="1850" spans="5:5" hidden="1">
      <c r="E1850" s="28"/>
    </row>
    <row r="1851" spans="5:5" hidden="1">
      <c r="E1851" s="28"/>
    </row>
    <row r="1852" spans="5:5" hidden="1">
      <c r="E1852" s="28"/>
    </row>
    <row r="1853" spans="5:5" hidden="1">
      <c r="E1853" s="28"/>
    </row>
    <row r="1854" spans="5:5" hidden="1">
      <c r="E1854" s="28"/>
    </row>
    <row r="1855" spans="5:5" hidden="1">
      <c r="E1855" s="28"/>
    </row>
    <row r="1856" spans="5:5" hidden="1">
      <c r="E1856" s="28"/>
    </row>
    <row r="1857" spans="5:5" hidden="1">
      <c r="E1857" s="28"/>
    </row>
    <row r="1858" spans="5:5" hidden="1">
      <c r="E1858" s="28"/>
    </row>
    <row r="1859" spans="5:5" hidden="1">
      <c r="E1859" s="28"/>
    </row>
    <row r="1860" spans="5:5" hidden="1">
      <c r="E1860" s="28"/>
    </row>
    <row r="1861" spans="5:5" hidden="1">
      <c r="E1861" s="28"/>
    </row>
    <row r="1862" spans="5:5" hidden="1">
      <c r="E1862" s="28"/>
    </row>
    <row r="1863" spans="5:5" hidden="1">
      <c r="E1863" s="28"/>
    </row>
    <row r="1864" spans="5:5" hidden="1">
      <c r="E1864" s="28"/>
    </row>
    <row r="1865" spans="5:5" hidden="1">
      <c r="E1865" s="28"/>
    </row>
    <row r="1866" spans="5:5" hidden="1">
      <c r="E1866" s="28"/>
    </row>
    <row r="1867" spans="5:5" hidden="1">
      <c r="E1867" s="28"/>
    </row>
    <row r="1868" spans="5:5" hidden="1">
      <c r="E1868" s="28"/>
    </row>
    <row r="1869" spans="5:5" hidden="1">
      <c r="E1869" s="28"/>
    </row>
    <row r="1870" spans="5:5" hidden="1">
      <c r="E1870" s="28"/>
    </row>
    <row r="1871" spans="5:5" hidden="1">
      <c r="E1871" s="28"/>
    </row>
    <row r="1872" spans="5:5" hidden="1">
      <c r="E1872" s="28"/>
    </row>
    <row r="1873" spans="5:5" hidden="1">
      <c r="E1873" s="28"/>
    </row>
    <row r="1874" spans="5:5" hidden="1">
      <c r="E1874" s="28"/>
    </row>
    <row r="1875" spans="5:5" hidden="1">
      <c r="E1875" s="28"/>
    </row>
    <row r="1876" spans="5:5" hidden="1">
      <c r="E1876" s="28"/>
    </row>
    <row r="1877" spans="5:5" hidden="1">
      <c r="E1877" s="28"/>
    </row>
    <row r="1878" spans="5:5" hidden="1">
      <c r="E1878" s="28"/>
    </row>
    <row r="1879" spans="5:5" hidden="1">
      <c r="E1879" s="28"/>
    </row>
    <row r="1880" spans="5:5" hidden="1">
      <c r="E1880" s="28"/>
    </row>
    <row r="1881" spans="5:5" hidden="1">
      <c r="E1881" s="28"/>
    </row>
    <row r="1882" spans="5:5" hidden="1">
      <c r="E1882" s="28"/>
    </row>
    <row r="1883" spans="5:5" hidden="1">
      <c r="E1883" s="28"/>
    </row>
    <row r="1884" spans="5:5" hidden="1">
      <c r="E1884" s="28"/>
    </row>
    <row r="1885" spans="5:5" hidden="1">
      <c r="E1885" s="28"/>
    </row>
    <row r="1886" spans="5:5" hidden="1">
      <c r="E1886" s="28"/>
    </row>
    <row r="1887" spans="5:5" hidden="1">
      <c r="E1887" s="28"/>
    </row>
    <row r="1888" spans="5:5" hidden="1">
      <c r="E1888" s="28"/>
    </row>
    <row r="1889" spans="5:5" hidden="1">
      <c r="E1889" s="28"/>
    </row>
    <row r="1890" spans="5:5" hidden="1">
      <c r="E1890" s="28"/>
    </row>
    <row r="1891" spans="5:5" hidden="1">
      <c r="E1891" s="28"/>
    </row>
    <row r="1892" spans="5:5" hidden="1">
      <c r="E1892" s="28"/>
    </row>
    <row r="1893" spans="5:5" hidden="1">
      <c r="E1893" s="28"/>
    </row>
    <row r="1894" spans="5:5" hidden="1">
      <c r="E1894" s="28"/>
    </row>
    <row r="1895" spans="5:5" hidden="1">
      <c r="E1895" s="28"/>
    </row>
    <row r="1896" spans="5:5" hidden="1">
      <c r="E1896" s="28"/>
    </row>
    <row r="1897" spans="5:5" hidden="1">
      <c r="E1897" s="28"/>
    </row>
    <row r="1898" spans="5:5" hidden="1">
      <c r="E1898" s="28"/>
    </row>
    <row r="1899" spans="5:5" hidden="1">
      <c r="E1899" s="28"/>
    </row>
    <row r="1900" spans="5:5" hidden="1">
      <c r="E1900" s="28"/>
    </row>
    <row r="1901" spans="5:5" hidden="1">
      <c r="E1901" s="28"/>
    </row>
    <row r="1902" spans="5:5" hidden="1">
      <c r="E1902" s="28"/>
    </row>
    <row r="1903" spans="5:5" hidden="1">
      <c r="E1903" s="28"/>
    </row>
    <row r="1904" spans="5:5" hidden="1">
      <c r="E1904" s="28"/>
    </row>
    <row r="1905" spans="5:5" hidden="1">
      <c r="E1905" s="28"/>
    </row>
    <row r="1906" spans="5:5" hidden="1">
      <c r="E1906" s="28"/>
    </row>
    <row r="1907" spans="5:5" hidden="1">
      <c r="E1907" s="28"/>
    </row>
    <row r="1908" spans="5:5" hidden="1">
      <c r="E1908" s="28"/>
    </row>
    <row r="1909" spans="5:5" hidden="1">
      <c r="E1909" s="28"/>
    </row>
    <row r="1910" spans="5:5" hidden="1">
      <c r="E1910" s="28"/>
    </row>
    <row r="1911" spans="5:5" hidden="1">
      <c r="E1911" s="28"/>
    </row>
    <row r="1912" spans="5:5" hidden="1">
      <c r="E1912" s="28"/>
    </row>
    <row r="1913" spans="5:5" hidden="1">
      <c r="E1913" s="28"/>
    </row>
    <row r="1914" spans="5:5" hidden="1">
      <c r="E1914" s="28"/>
    </row>
    <row r="1915" spans="5:5" hidden="1">
      <c r="E1915" s="28"/>
    </row>
    <row r="1916" spans="5:5" hidden="1">
      <c r="E1916" s="28"/>
    </row>
    <row r="1917" spans="5:5" hidden="1">
      <c r="E1917" s="28"/>
    </row>
    <row r="1918" spans="5:5" hidden="1">
      <c r="E1918" s="28"/>
    </row>
    <row r="1919" spans="5:5" hidden="1">
      <c r="E1919" s="28"/>
    </row>
    <row r="1920" spans="5:5" hidden="1">
      <c r="E1920" s="28"/>
    </row>
    <row r="1921" spans="5:5" hidden="1">
      <c r="E1921" s="28"/>
    </row>
    <row r="1922" spans="5:5" hidden="1">
      <c r="E1922" s="28"/>
    </row>
    <row r="1923" spans="5:5" hidden="1">
      <c r="E1923" s="28"/>
    </row>
    <row r="1924" spans="5:5" hidden="1">
      <c r="E1924" s="28"/>
    </row>
    <row r="1925" spans="5:5" hidden="1">
      <c r="E1925" s="28"/>
    </row>
    <row r="1926" spans="5:5" hidden="1">
      <c r="E1926" s="28"/>
    </row>
    <row r="1927" spans="5:5" hidden="1">
      <c r="E1927" s="28"/>
    </row>
    <row r="1928" spans="5:5" hidden="1">
      <c r="E1928" s="28"/>
    </row>
    <row r="1929" spans="5:5" hidden="1">
      <c r="E1929" s="28"/>
    </row>
    <row r="1930" spans="5:5" hidden="1">
      <c r="E1930" s="28"/>
    </row>
    <row r="1931" spans="5:5" hidden="1">
      <c r="E1931" s="28"/>
    </row>
    <row r="1932" spans="5:5" hidden="1">
      <c r="E1932" s="28"/>
    </row>
    <row r="1933" spans="5:5" hidden="1">
      <c r="E1933" s="28"/>
    </row>
    <row r="1934" spans="5:5" hidden="1">
      <c r="E1934" s="28"/>
    </row>
    <row r="1935" spans="5:5" hidden="1">
      <c r="E1935" s="28"/>
    </row>
    <row r="1936" spans="5:5" hidden="1">
      <c r="E1936" s="28"/>
    </row>
    <row r="1937" spans="5:5" hidden="1">
      <c r="E1937" s="28"/>
    </row>
    <row r="1938" spans="5:5" hidden="1">
      <c r="E1938" s="28"/>
    </row>
    <row r="1939" spans="5:5" hidden="1">
      <c r="E1939" s="28"/>
    </row>
    <row r="1940" spans="5:5" hidden="1">
      <c r="E1940" s="28"/>
    </row>
    <row r="1941" spans="5:5" hidden="1">
      <c r="E1941" s="28"/>
    </row>
    <row r="1942" spans="5:5" hidden="1">
      <c r="E1942" s="28"/>
    </row>
    <row r="1943" spans="5:5" hidden="1">
      <c r="E1943" s="28"/>
    </row>
    <row r="1944" spans="5:5" hidden="1">
      <c r="E1944" s="28"/>
    </row>
    <row r="1945" spans="5:5" hidden="1">
      <c r="E1945" s="28"/>
    </row>
    <row r="1946" spans="5:5" hidden="1">
      <c r="E1946" s="28"/>
    </row>
    <row r="1947" spans="5:5" hidden="1">
      <c r="E1947" s="28"/>
    </row>
    <row r="1948" spans="5:5" hidden="1">
      <c r="E1948" s="28"/>
    </row>
    <row r="1949" spans="5:5" hidden="1">
      <c r="E1949" s="28"/>
    </row>
    <row r="1950" spans="5:5" hidden="1">
      <c r="E1950" s="28"/>
    </row>
    <row r="1951" spans="5:5" hidden="1">
      <c r="E1951" s="28"/>
    </row>
    <row r="1952" spans="5:5" hidden="1">
      <c r="E1952" s="28"/>
    </row>
    <row r="1953" spans="5:5" hidden="1">
      <c r="E1953" s="28"/>
    </row>
    <row r="1954" spans="5:5" hidden="1">
      <c r="E1954" s="28"/>
    </row>
    <row r="1955" spans="5:5" hidden="1">
      <c r="E1955" s="28"/>
    </row>
    <row r="1956" spans="5:5" hidden="1">
      <c r="E1956" s="28"/>
    </row>
    <row r="1957" spans="5:5" hidden="1">
      <c r="E1957" s="28"/>
    </row>
    <row r="1958" spans="5:5" hidden="1">
      <c r="E1958" s="28"/>
    </row>
    <row r="1959" spans="5:5" hidden="1">
      <c r="E1959" s="28"/>
    </row>
    <row r="1960" spans="5:5" hidden="1">
      <c r="E1960" s="28"/>
    </row>
    <row r="1961" spans="5:5" hidden="1">
      <c r="E1961" s="28"/>
    </row>
    <row r="1962" spans="5:5" hidden="1">
      <c r="E1962" s="28"/>
    </row>
    <row r="1963" spans="5:5" hidden="1">
      <c r="E1963" s="28"/>
    </row>
    <row r="1964" spans="5:5" hidden="1">
      <c r="E1964" s="28"/>
    </row>
    <row r="1965" spans="5:5" hidden="1">
      <c r="E1965" s="28"/>
    </row>
    <row r="1966" spans="5:5" hidden="1">
      <c r="E1966" s="28"/>
    </row>
    <row r="1967" spans="5:5" hidden="1">
      <c r="E1967" s="28"/>
    </row>
    <row r="1968" spans="5:5" hidden="1">
      <c r="E1968" s="28"/>
    </row>
    <row r="1969" spans="5:5" hidden="1">
      <c r="E1969" s="28"/>
    </row>
    <row r="1970" spans="5:5" hidden="1">
      <c r="E1970" s="28"/>
    </row>
    <row r="1971" spans="5:5" hidden="1">
      <c r="E1971" s="28"/>
    </row>
    <row r="1972" spans="5:5" hidden="1">
      <c r="E1972" s="28"/>
    </row>
    <row r="1973" spans="5:5" hidden="1">
      <c r="E1973" s="28"/>
    </row>
    <row r="1974" spans="5:5" hidden="1">
      <c r="E1974" s="28"/>
    </row>
    <row r="1975" spans="5:5" hidden="1">
      <c r="E1975" s="28"/>
    </row>
    <row r="1976" spans="5:5" hidden="1">
      <c r="E1976" s="28"/>
    </row>
    <row r="1977" spans="5:5" hidden="1">
      <c r="E1977" s="28"/>
    </row>
    <row r="1978" spans="5:5" hidden="1">
      <c r="E1978" s="28"/>
    </row>
    <row r="1979" spans="5:5" hidden="1">
      <c r="E1979" s="28"/>
    </row>
    <row r="1980" spans="5:5" hidden="1">
      <c r="E1980" s="28"/>
    </row>
    <row r="1981" spans="5:5" hidden="1">
      <c r="E1981" s="28"/>
    </row>
    <row r="1982" spans="5:5" hidden="1">
      <c r="E1982" s="28"/>
    </row>
    <row r="1983" spans="5:5" hidden="1">
      <c r="E1983" s="28"/>
    </row>
    <row r="1984" spans="5:5"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row r="2040"/>
    <row r="2041"/>
    <row r="2042"/>
    <row r="2043"/>
    <row r="2044"/>
    <row r="2045"/>
    <row r="2046"/>
    <row r="2047"/>
    <row r="2048"/>
    <row r="2049"/>
    <row r="2050"/>
    <row r="2051"/>
    <row r="2052"/>
    <row r="2053"/>
  </sheetData>
  <autoFilter ref="D6:L1207"/>
  <customSheetViews>
    <customSheetView guid="{CFA9FB8A-52FF-44B9-AE70-27339693E196}" topLeftCell="K1">
      <pane ySplit="6" topLeftCell="A7" activePane="bottomLeft" state="frozen"/>
      <selection pane="bottomLeft" sqref="A1:Q3"/>
      <pageMargins left="0.5" right="0.48" top="0.81" bottom="0.4" header="0" footer="0.16"/>
      <printOptions horizontalCentered="1"/>
      <pageSetup scale="59" orientation="landscape" r:id="rId1"/>
      <headerFooter alignWithMargins="0">
        <oddFooter>Page &amp;P of &amp;N</oddFooter>
      </headerFooter>
    </customSheetView>
  </customSheetViews>
  <mergeCells count="4">
    <mergeCell ref="A1:Q3"/>
    <mergeCell ref="Q4:Q6"/>
    <mergeCell ref="AC1211:AD1211"/>
    <mergeCell ref="AE1211:AF1211"/>
  </mergeCells>
  <phoneticPr fontId="0" type="noConversion"/>
  <dataValidations count="2">
    <dataValidation type="list" allowBlank="1" showInputMessage="1" showErrorMessage="1" sqref="G7:G1207">
      <formula1>counties</formula1>
    </dataValidation>
    <dataValidation type="list" allowBlank="1" showInputMessage="1" showErrorMessage="1" sqref="H1113:H1207 H1072:H1111">
      <formula1>rating</formula1>
    </dataValidation>
  </dataValidations>
  <printOptions horizontalCentered="1"/>
  <pageMargins left="0.5" right="0.48" top="1.25" bottom="0.5" header="0" footer="0"/>
  <pageSetup scale="52" firstPageNumber="13" fitToHeight="0" orientation="landscape" useFirstPageNumber="1" r:id="rId2"/>
  <headerFooter scaleWithDoc="0">
    <oddFooter>&amp;CPage &amp;P of 172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679"/>
  <sheetViews>
    <sheetView showOutlineSymbols="0" zoomScaleNormal="100" workbookViewId="0">
      <pane xSplit="2" ySplit="10" topLeftCell="C71" activePane="bottomRight" state="frozen"/>
      <selection pane="topRight" activeCell="C1" sqref="C1"/>
      <selection pane="bottomLeft" activeCell="A11" sqref="A11"/>
      <selection pane="bottomRight" activeCell="A78" sqref="A78"/>
    </sheetView>
    <sheetView workbookViewId="1">
      <pane ySplit="10" topLeftCell="A74" activePane="bottomLeft" state="frozen"/>
      <selection pane="bottomLeft" activeCell="A11" sqref="A11:XFD11"/>
    </sheetView>
  </sheetViews>
  <sheetFormatPr defaultColWidth="0" defaultRowHeight="15" zeroHeight="1"/>
  <cols>
    <col min="1" max="1" width="2.77734375" style="1" customWidth="1"/>
    <col min="2" max="2" width="10.77734375" style="1" customWidth="1"/>
    <col min="3" max="22" width="8.77734375" style="1" customWidth="1"/>
    <col min="23" max="23" width="34.109375" style="1" customWidth="1"/>
    <col min="24" max="24" width="15.77734375" style="1" customWidth="1"/>
    <col min="25" max="25" width="9.6640625" style="1" customWidth="1"/>
    <col min="26" max="35" width="9.6640625" style="1" hidden="1" customWidth="1"/>
    <col min="36" max="16384" width="0" style="1" hidden="1"/>
  </cols>
  <sheetData>
    <row r="1" spans="2:35" ht="26.25">
      <c r="B1" s="1096" t="s">
        <v>880</v>
      </c>
      <c r="C1" s="1097"/>
      <c r="D1" s="1097"/>
      <c r="E1" s="1097"/>
      <c r="F1" s="1097"/>
      <c r="G1" s="1097"/>
      <c r="H1" s="1097"/>
      <c r="I1" s="1097"/>
      <c r="J1" s="1097"/>
      <c r="K1" s="1097"/>
      <c r="L1" s="1097"/>
    </row>
    <row r="2" spans="2:35" ht="15.75" thickBot="1">
      <c r="B2" s="1098" t="s">
        <v>154</v>
      </c>
      <c r="C2" s="1097"/>
      <c r="D2" s="1097"/>
      <c r="E2" s="1097"/>
      <c r="F2" s="1097"/>
      <c r="G2" s="1097"/>
      <c r="H2" s="1097"/>
      <c r="I2" s="1097"/>
      <c r="J2" s="1097"/>
      <c r="K2" s="1097"/>
      <c r="L2" s="1097"/>
    </row>
    <row r="3" spans="2:35" ht="15.75" thickTop="1">
      <c r="B3" s="653"/>
      <c r="C3" s="497"/>
      <c r="D3" s="497"/>
      <c r="E3" s="497"/>
      <c r="F3" s="666"/>
      <c r="G3" s="533"/>
      <c r="H3" s="673" t="s">
        <v>1047</v>
      </c>
      <c r="I3" s="674"/>
      <c r="J3" s="675"/>
      <c r="K3" s="675"/>
      <c r="L3" s="676"/>
    </row>
    <row r="4" spans="2:35" ht="15.75" thickBot="1">
      <c r="H4" s="677" t="s">
        <v>912</v>
      </c>
      <c r="I4" s="678"/>
      <c r="J4" s="574"/>
      <c r="K4" s="456"/>
      <c r="L4" s="679"/>
    </row>
    <row r="5" spans="2:35" ht="15.75" thickBot="1">
      <c r="B5" s="529" t="s">
        <v>160</v>
      </c>
      <c r="D5" s="51">
        <f>MAX('# Yrs of Data'!D4:D79)</f>
        <v>66</v>
      </c>
      <c r="E5" s="654"/>
      <c r="H5" s="677" t="s">
        <v>934</v>
      </c>
      <c r="I5" s="678"/>
      <c r="J5" s="574"/>
      <c r="K5" s="456"/>
      <c r="L5" s="679"/>
    </row>
    <row r="6" spans="2:35" ht="15.75" thickBot="1">
      <c r="H6" s="680" t="s">
        <v>1048</v>
      </c>
      <c r="I6" s="681"/>
      <c r="J6" s="682"/>
      <c r="K6" s="682"/>
      <c r="L6" s="683"/>
    </row>
    <row r="7" spans="2:35" ht="24.75" thickTop="1" thickBot="1">
      <c r="B7" s="309" t="s">
        <v>514</v>
      </c>
      <c r="C7" s="310"/>
      <c r="D7" s="310"/>
      <c r="E7" s="310"/>
      <c r="F7" s="310"/>
      <c r="G7" s="311"/>
      <c r="H7" s="311"/>
      <c r="J7" s="2"/>
      <c r="K7" s="2"/>
    </row>
    <row r="8" spans="2:35" ht="16.5" thickTop="1">
      <c r="B8" s="1093" t="s">
        <v>123</v>
      </c>
      <c r="C8" s="1087" t="s">
        <v>509</v>
      </c>
      <c r="D8" s="1088"/>
      <c r="E8" s="1088"/>
      <c r="F8" s="1088"/>
      <c r="G8" s="1088"/>
      <c r="H8" s="1089"/>
      <c r="I8" s="301" t="s">
        <v>155</v>
      </c>
      <c r="J8" s="302" t="s">
        <v>157</v>
      </c>
      <c r="K8" s="301" t="s">
        <v>804</v>
      </c>
      <c r="L8" s="287" t="s">
        <v>804</v>
      </c>
      <c r="M8" s="4" t="s">
        <v>804</v>
      </c>
      <c r="N8" s="5" t="s">
        <v>804</v>
      </c>
      <c r="O8" s="5" t="s">
        <v>804</v>
      </c>
      <c r="P8" s="5" t="s">
        <v>804</v>
      </c>
      <c r="Q8" s="5" t="s">
        <v>804</v>
      </c>
      <c r="R8" s="5" t="s">
        <v>804</v>
      </c>
      <c r="S8" s="5" t="s">
        <v>804</v>
      </c>
      <c r="T8" s="5" t="s">
        <v>804</v>
      </c>
      <c r="U8" s="5" t="s">
        <v>804</v>
      </c>
      <c r="V8" s="5" t="s">
        <v>804</v>
      </c>
      <c r="AD8" s="16"/>
      <c r="AE8" s="16"/>
      <c r="AF8" s="16"/>
      <c r="AG8" s="16"/>
      <c r="AH8" s="16"/>
      <c r="AI8" s="16"/>
    </row>
    <row r="9" spans="2:35" ht="15.75">
      <c r="B9" s="1094"/>
      <c r="C9" s="1090"/>
      <c r="D9" s="1091"/>
      <c r="E9" s="1091"/>
      <c r="F9" s="1091"/>
      <c r="G9" s="1091"/>
      <c r="H9" s="1092"/>
      <c r="I9" s="299" t="s">
        <v>220</v>
      </c>
      <c r="J9" s="303" t="s">
        <v>158</v>
      </c>
      <c r="K9" s="299" t="s">
        <v>220</v>
      </c>
      <c r="L9" s="288" t="s">
        <v>158</v>
      </c>
      <c r="M9" s="4" t="s">
        <v>220</v>
      </c>
      <c r="N9" s="5" t="s">
        <v>805</v>
      </c>
      <c r="O9" s="4" t="s">
        <v>220</v>
      </c>
      <c r="P9" s="5" t="s">
        <v>805</v>
      </c>
      <c r="Q9" s="4" t="s">
        <v>220</v>
      </c>
      <c r="R9" s="5" t="s">
        <v>805</v>
      </c>
      <c r="S9" s="4" t="s">
        <v>220</v>
      </c>
      <c r="T9" s="5" t="s">
        <v>805</v>
      </c>
      <c r="U9" s="4" t="s">
        <v>220</v>
      </c>
      <c r="V9" s="5" t="s">
        <v>805</v>
      </c>
      <c r="AD9" s="16"/>
      <c r="AE9" s="16"/>
      <c r="AF9" s="16"/>
      <c r="AG9" s="16"/>
      <c r="AH9" s="16"/>
      <c r="AI9" s="16"/>
    </row>
    <row r="10" spans="2:35" ht="16.5" thickBot="1">
      <c r="B10" s="1095"/>
      <c r="C10" s="308" t="s">
        <v>195</v>
      </c>
      <c r="D10" s="308" t="s">
        <v>196</v>
      </c>
      <c r="E10" s="308" t="s">
        <v>197</v>
      </c>
      <c r="F10" s="308" t="s">
        <v>198</v>
      </c>
      <c r="G10" s="308" t="s">
        <v>199</v>
      </c>
      <c r="H10" s="308" t="s">
        <v>200</v>
      </c>
      <c r="I10" s="527" t="s">
        <v>884</v>
      </c>
      <c r="J10" s="527" t="s">
        <v>884</v>
      </c>
      <c r="K10" s="527" t="s">
        <v>884</v>
      </c>
      <c r="L10" s="528" t="s">
        <v>884</v>
      </c>
      <c r="M10" s="5" t="s">
        <v>806</v>
      </c>
      <c r="N10" s="5" t="s">
        <v>806</v>
      </c>
      <c r="O10" s="5" t="s">
        <v>807</v>
      </c>
      <c r="P10" s="5" t="s">
        <v>807</v>
      </c>
      <c r="Q10" s="5" t="s">
        <v>808</v>
      </c>
      <c r="R10" s="5" t="s">
        <v>808</v>
      </c>
      <c r="S10" s="5" t="s">
        <v>809</v>
      </c>
      <c r="T10" s="5" t="s">
        <v>809</v>
      </c>
      <c r="U10" s="5" t="s">
        <v>810</v>
      </c>
      <c r="V10" s="5" t="s">
        <v>810</v>
      </c>
      <c r="W10" s="5" t="s">
        <v>222</v>
      </c>
      <c r="X10" s="5"/>
      <c r="AD10" s="16"/>
      <c r="AE10" s="16"/>
      <c r="AF10" s="16"/>
      <c r="AG10" s="16"/>
      <c r="AH10" s="16"/>
      <c r="AI10" s="16"/>
    </row>
    <row r="11" spans="2:35" ht="16.5" thickTop="1">
      <c r="B11" s="297"/>
      <c r="C11" s="299"/>
      <c r="D11" s="299"/>
      <c r="E11" s="299"/>
      <c r="F11" s="299"/>
      <c r="G11" s="299"/>
      <c r="H11" s="299"/>
      <c r="I11" s="299"/>
      <c r="J11" s="303"/>
      <c r="K11" s="299"/>
      <c r="L11" s="288"/>
      <c r="M11" s="5"/>
      <c r="N11" s="5"/>
      <c r="O11" s="5"/>
      <c r="P11" s="5"/>
      <c r="Q11" s="5"/>
      <c r="R11" s="5"/>
      <c r="S11" s="5"/>
      <c r="T11" s="5"/>
      <c r="U11" s="5"/>
      <c r="V11" s="5"/>
      <c r="AD11" s="16"/>
      <c r="AE11" s="16"/>
      <c r="AF11" s="16"/>
      <c r="AG11" s="16"/>
      <c r="AH11" s="16"/>
      <c r="AI11" s="16"/>
    </row>
    <row r="12" spans="2:35">
      <c r="B12" s="298">
        <v>1950</v>
      </c>
      <c r="C12" s="300">
        <f>(COUNTIF('Database - Tornado Segments'!$T$8:$T$1207, "1950F0"))</f>
        <v>1</v>
      </c>
      <c r="D12" s="300">
        <f>(COUNTIF('Database - Tornado Segments'!$T$8:$T$1207, "1950F1"))</f>
        <v>2</v>
      </c>
      <c r="E12" s="300">
        <f>(COUNTIF('Database - Tornado Segments'!$T$8:$T$1207, "1950F2"))</f>
        <v>1</v>
      </c>
      <c r="F12" s="300">
        <f>(COUNTIF('Database - Tornado Segments'!$T$8:$T$1207, "1950F3"))</f>
        <v>0</v>
      </c>
      <c r="G12" s="300">
        <f>(COUNTIF('Database - Tornado Segments'!$T$8:$T$1207, "1950F4"))</f>
        <v>0</v>
      </c>
      <c r="H12" s="300">
        <f>(COUNTIF('Database - Tornado Segments'!$T$8:$T$1207, "1950F5"))</f>
        <v>0</v>
      </c>
      <c r="I12" s="304">
        <f t="shared" ref="I12:I43" si="0">SUM(C12:H12)</f>
        <v>4</v>
      </c>
      <c r="J12" s="305"/>
      <c r="K12" s="304">
        <f>I12</f>
        <v>4</v>
      </c>
      <c r="L12" s="290">
        <f>K12/'# Yrs of Data'!D4</f>
        <v>4</v>
      </c>
      <c r="M12" s="2">
        <f>+C12</f>
        <v>1</v>
      </c>
      <c r="N12" s="46">
        <f>+M12/'# Yrs of Data'!D4</f>
        <v>1</v>
      </c>
      <c r="O12" s="2">
        <f>+D12</f>
        <v>2</v>
      </c>
      <c r="P12" s="46">
        <f>+O12/'# Yrs of Data'!D4</f>
        <v>2</v>
      </c>
      <c r="Q12" s="2">
        <f>+E12</f>
        <v>1</v>
      </c>
      <c r="R12" s="46">
        <f>+Q12/'# Yrs of Data'!D4</f>
        <v>1</v>
      </c>
      <c r="S12" s="2">
        <f>+F12</f>
        <v>0</v>
      </c>
      <c r="T12" s="46">
        <f>+S12/'# Yrs of Data'!D4</f>
        <v>0</v>
      </c>
      <c r="U12" s="2">
        <f>+G12</f>
        <v>0</v>
      </c>
      <c r="V12" s="46">
        <f>+U12/'# Yrs of Data'!D4</f>
        <v>0</v>
      </c>
      <c r="W12" s="21" t="s">
        <v>990</v>
      </c>
      <c r="X12" s="21"/>
    </row>
    <row r="13" spans="2:35">
      <c r="B13" s="298">
        <f t="shared" ref="B13:B44" si="1">B12+1</f>
        <v>1951</v>
      </c>
      <c r="C13" s="300">
        <f>(COUNTIF('Database - Tornado Segments'!$T$8:$T$1207, "1951F0"))</f>
        <v>1</v>
      </c>
      <c r="D13" s="300">
        <f>(COUNTIF('Database - Tornado Segments'!$T$8:$T$1207, "1951F1"))</f>
        <v>5</v>
      </c>
      <c r="E13" s="300">
        <f>(COUNTIF('Database - Tornado Segments'!$T$8:$T$1207, "1951F2"))</f>
        <v>3</v>
      </c>
      <c r="F13" s="300">
        <f>(COUNTIF('Database - Tornado Segments'!$T$8:$T$1207, "1951F3"))</f>
        <v>1</v>
      </c>
      <c r="G13" s="300">
        <f>(COUNTIF('Database - Tornado Segments'!$T$8:$T$1207, "1951F4"))</f>
        <v>0</v>
      </c>
      <c r="H13" s="300">
        <f>(COUNTIF('Database - Tornado Segments'!$T$8:$T$1207, "1951F5"))</f>
        <v>0</v>
      </c>
      <c r="I13" s="304">
        <f t="shared" si="0"/>
        <v>10</v>
      </c>
      <c r="J13" s="305"/>
      <c r="K13" s="304">
        <f t="shared" ref="K13:K44" si="2">K12+I13</f>
        <v>14</v>
      </c>
      <c r="L13" s="290">
        <f>K13/'# Yrs of Data'!D5</f>
        <v>7</v>
      </c>
      <c r="M13" s="2">
        <f t="shared" ref="M13:M44" si="3">+M12+C13</f>
        <v>2</v>
      </c>
      <c r="N13" s="46">
        <f>+M13/'# Yrs of Data'!D5</f>
        <v>1</v>
      </c>
      <c r="O13" s="2">
        <f t="shared" ref="O13:O44" si="4">+O12+D13</f>
        <v>7</v>
      </c>
      <c r="P13" s="46">
        <f>+O13/'# Yrs of Data'!D5</f>
        <v>3.5</v>
      </c>
      <c r="Q13" s="2">
        <f t="shared" ref="Q13:Q44" si="5">+Q12+E13</f>
        <v>4</v>
      </c>
      <c r="R13" s="46">
        <f>+Q13/'# Yrs of Data'!D5</f>
        <v>2</v>
      </c>
      <c r="S13" s="2">
        <f t="shared" ref="S13:S44" si="6">+S12+F13</f>
        <v>1</v>
      </c>
      <c r="T13" s="46">
        <f>+S13/'# Yrs of Data'!D5</f>
        <v>0.5</v>
      </c>
      <c r="U13" s="2">
        <f t="shared" ref="U13:U44" si="7">+U12+G13</f>
        <v>0</v>
      </c>
      <c r="V13" s="46">
        <f>+U13/'# Yrs of Data'!D5</f>
        <v>0</v>
      </c>
      <c r="W13" s="21" t="s">
        <v>581</v>
      </c>
      <c r="X13" s="21"/>
    </row>
    <row r="14" spans="2:35">
      <c r="B14" s="298">
        <f t="shared" si="1"/>
        <v>1952</v>
      </c>
      <c r="C14" s="300">
        <f>(COUNTIF('Database - Tornado Segments'!$T$8:$T$1207, "1952F0"))</f>
        <v>0</v>
      </c>
      <c r="D14" s="300">
        <f>(COUNTIF('Database - Tornado Segments'!$T$8:$T$1207, "1952F1"))</f>
        <v>1</v>
      </c>
      <c r="E14" s="300">
        <f>(COUNTIF('Database - Tornado Segments'!$T$8:$T$1207, "1952F2"))</f>
        <v>0</v>
      </c>
      <c r="F14" s="300">
        <f>(COUNTIF('Database - Tornado Segments'!$T$8:$T$1207, "1952F3"))</f>
        <v>0</v>
      </c>
      <c r="G14" s="300">
        <f>(COUNTIF('Database - Tornado Segments'!$T$8:$T$1207, "1952F4"))</f>
        <v>0</v>
      </c>
      <c r="H14" s="300">
        <f>(COUNTIF('Database - Tornado Segments'!$T$8:$T$1207, "1952F5"))</f>
        <v>0</v>
      </c>
      <c r="I14" s="304">
        <f t="shared" si="0"/>
        <v>1</v>
      </c>
      <c r="J14" s="305"/>
      <c r="K14" s="304">
        <f t="shared" si="2"/>
        <v>15</v>
      </c>
      <c r="L14" s="290">
        <f>K14/'# Yrs of Data'!D6</f>
        <v>5</v>
      </c>
      <c r="M14" s="2">
        <f t="shared" si="3"/>
        <v>2</v>
      </c>
      <c r="N14" s="46">
        <f>+M14/'# Yrs of Data'!D6</f>
        <v>0.66666666666666663</v>
      </c>
      <c r="O14" s="2">
        <f t="shared" si="4"/>
        <v>8</v>
      </c>
      <c r="P14" s="46">
        <f>+O14/'# Yrs of Data'!D6</f>
        <v>2.6666666666666665</v>
      </c>
      <c r="Q14" s="2">
        <f t="shared" si="5"/>
        <v>4</v>
      </c>
      <c r="R14" s="46">
        <f>+Q14/'# Yrs of Data'!D6</f>
        <v>1.3333333333333333</v>
      </c>
      <c r="S14" s="2">
        <f t="shared" si="6"/>
        <v>1</v>
      </c>
      <c r="T14" s="46">
        <f>+S14/'# Yrs of Data'!D6</f>
        <v>0.33333333333333331</v>
      </c>
      <c r="U14" s="2">
        <f t="shared" si="7"/>
        <v>0</v>
      </c>
      <c r="V14" s="46">
        <f>+U14/'# Yrs of Data'!D6</f>
        <v>0</v>
      </c>
      <c r="W14" s="21" t="s">
        <v>979</v>
      </c>
      <c r="X14" s="21"/>
    </row>
    <row r="15" spans="2:35">
      <c r="B15" s="298">
        <f t="shared" si="1"/>
        <v>1953</v>
      </c>
      <c r="C15" s="300">
        <f>(COUNTIF('Database - Tornado Segments'!$T$8:$T$1207, "1953F0"))</f>
        <v>1</v>
      </c>
      <c r="D15" s="300">
        <f>(COUNTIF('Database - Tornado Segments'!$T$8:$T$1207, "1953F1"))</f>
        <v>1</v>
      </c>
      <c r="E15" s="300">
        <f>(COUNTIF('Database - Tornado Segments'!$T$8:$T$1207, "1953F2"))</f>
        <v>0</v>
      </c>
      <c r="F15" s="300">
        <f>(COUNTIF('Database - Tornado Segments'!$T$8:$T$1207, "1953F3"))</f>
        <v>0</v>
      </c>
      <c r="G15" s="300">
        <f>(COUNTIF('Database - Tornado Segments'!$T$8:$T$1207, "1953F4"))</f>
        <v>0</v>
      </c>
      <c r="H15" s="300">
        <f>(COUNTIF('Database - Tornado Segments'!$T$8:$T$1207, "1953F5"))</f>
        <v>0</v>
      </c>
      <c r="I15" s="304">
        <f t="shared" si="0"/>
        <v>2</v>
      </c>
      <c r="J15" s="305"/>
      <c r="K15" s="304">
        <f t="shared" si="2"/>
        <v>17</v>
      </c>
      <c r="L15" s="290">
        <f>K15/'# Yrs of Data'!D7</f>
        <v>4.25</v>
      </c>
      <c r="M15" s="2">
        <f t="shared" si="3"/>
        <v>3</v>
      </c>
      <c r="N15" s="46">
        <f>+M15/'# Yrs of Data'!D7</f>
        <v>0.75</v>
      </c>
      <c r="O15" s="2">
        <f t="shared" si="4"/>
        <v>9</v>
      </c>
      <c r="P15" s="46">
        <f>+O15/'# Yrs of Data'!D7</f>
        <v>2.25</v>
      </c>
      <c r="Q15" s="2">
        <f t="shared" si="5"/>
        <v>4</v>
      </c>
      <c r="R15" s="46">
        <f>+Q15/'# Yrs of Data'!D7</f>
        <v>1</v>
      </c>
      <c r="S15" s="2">
        <f t="shared" si="6"/>
        <v>1</v>
      </c>
      <c r="T15" s="46">
        <f>+S15/'# Yrs of Data'!D7</f>
        <v>0.25</v>
      </c>
      <c r="U15" s="2">
        <f t="shared" si="7"/>
        <v>0</v>
      </c>
      <c r="V15" s="46">
        <f>+U15/'# Yrs of Data'!D7</f>
        <v>0</v>
      </c>
      <c r="W15" s="21" t="s">
        <v>991</v>
      </c>
      <c r="X15" s="21"/>
    </row>
    <row r="16" spans="2:35">
      <c r="B16" s="298">
        <f t="shared" si="1"/>
        <v>1954</v>
      </c>
      <c r="C16" s="300">
        <f>(COUNTIF('Database - Tornado Segments'!$T$8:$T$1207, "1954F0"))</f>
        <v>1</v>
      </c>
      <c r="D16" s="300">
        <f>(COUNTIF('Database - Tornado Segments'!$T$8:$T$1207, "1954F1"))</f>
        <v>1</v>
      </c>
      <c r="E16" s="300">
        <f>(COUNTIF('Database - Tornado Segments'!$T$8:$T$1207, "1954F2"))</f>
        <v>0</v>
      </c>
      <c r="F16" s="300">
        <f>(COUNTIF('Database - Tornado Segments'!$T$8:$T$1207, "1954F3"))</f>
        <v>0</v>
      </c>
      <c r="G16" s="300">
        <f>(COUNTIF('Database - Tornado Segments'!$T$8:$T$1207, "1954F4"))</f>
        <v>0</v>
      </c>
      <c r="H16" s="300">
        <f>(COUNTIF('Database - Tornado Segments'!$T$8:$T$1207, "1954F5"))</f>
        <v>0</v>
      </c>
      <c r="I16" s="304">
        <f t="shared" si="0"/>
        <v>2</v>
      </c>
      <c r="J16" s="305"/>
      <c r="K16" s="304">
        <f t="shared" si="2"/>
        <v>19</v>
      </c>
      <c r="L16" s="290">
        <f>K16/'# Yrs of Data'!D8</f>
        <v>3.8</v>
      </c>
      <c r="M16" s="2">
        <f t="shared" si="3"/>
        <v>4</v>
      </c>
      <c r="N16" s="46">
        <f>+M16/'# Yrs of Data'!D8</f>
        <v>0.8</v>
      </c>
      <c r="O16" s="2">
        <f t="shared" si="4"/>
        <v>10</v>
      </c>
      <c r="P16" s="46">
        <f>+O16/'# Yrs of Data'!D8</f>
        <v>2</v>
      </c>
      <c r="Q16" s="2">
        <f t="shared" si="5"/>
        <v>4</v>
      </c>
      <c r="R16" s="46">
        <f>+Q16/'# Yrs of Data'!D8</f>
        <v>0.8</v>
      </c>
      <c r="S16" s="2">
        <f t="shared" si="6"/>
        <v>1</v>
      </c>
      <c r="T16" s="46">
        <f>+S16/'# Yrs of Data'!D8</f>
        <v>0.2</v>
      </c>
      <c r="U16" s="2">
        <f t="shared" si="7"/>
        <v>0</v>
      </c>
      <c r="V16" s="46">
        <f>+U16/'# Yrs of Data'!D8</f>
        <v>0</v>
      </c>
      <c r="W16" s="21" t="s">
        <v>981</v>
      </c>
      <c r="X16" s="21"/>
    </row>
    <row r="17" spans="2:24">
      <c r="B17" s="298">
        <f t="shared" si="1"/>
        <v>1955</v>
      </c>
      <c r="C17" s="300">
        <f>(COUNTIF('Database - Tornado Segments'!$T$8:$T$1207, "1955F0"))</f>
        <v>12</v>
      </c>
      <c r="D17" s="300">
        <f>(COUNTIF('Database - Tornado Segments'!$T$8:$T$1207, "1955F1"))</f>
        <v>2</v>
      </c>
      <c r="E17" s="300">
        <f>(COUNTIF('Database - Tornado Segments'!$T$8:$T$1207, "1955F2"))</f>
        <v>1</v>
      </c>
      <c r="F17" s="300">
        <f>(COUNTIF('Database - Tornado Segments'!$T$8:$T$1207, "1955F3"))</f>
        <v>2</v>
      </c>
      <c r="G17" s="300">
        <f>(COUNTIF('Database - Tornado Segments'!$T$8:$T$1207, "1955F4"))</f>
        <v>2</v>
      </c>
      <c r="H17" s="300">
        <f>(COUNTIF('Database - Tornado Segments'!$T$8:$T$1207, "1955F5"))</f>
        <v>0</v>
      </c>
      <c r="I17" s="304">
        <f t="shared" si="0"/>
        <v>19</v>
      </c>
      <c r="J17" s="305"/>
      <c r="K17" s="304">
        <f t="shared" si="2"/>
        <v>38</v>
      </c>
      <c r="L17" s="290">
        <f>K17/'# Yrs of Data'!D9</f>
        <v>6.333333333333333</v>
      </c>
      <c r="M17" s="2">
        <f t="shared" si="3"/>
        <v>16</v>
      </c>
      <c r="N17" s="46">
        <f>+M17/'# Yrs of Data'!D9</f>
        <v>2.6666666666666665</v>
      </c>
      <c r="O17" s="2">
        <f t="shared" si="4"/>
        <v>12</v>
      </c>
      <c r="P17" s="46">
        <f>+O17/'# Yrs of Data'!D9</f>
        <v>2</v>
      </c>
      <c r="Q17" s="2">
        <f t="shared" si="5"/>
        <v>5</v>
      </c>
      <c r="R17" s="46">
        <f>+Q17/'# Yrs of Data'!D9</f>
        <v>0.83333333333333337</v>
      </c>
      <c r="S17" s="2">
        <f t="shared" si="6"/>
        <v>3</v>
      </c>
      <c r="T17" s="46">
        <f>+S17/'# Yrs of Data'!D9</f>
        <v>0.5</v>
      </c>
      <c r="U17" s="2">
        <f t="shared" si="7"/>
        <v>2</v>
      </c>
      <c r="V17" s="46">
        <f>+U17/'# Yrs of Data'!D9</f>
        <v>0.33333333333333331</v>
      </c>
      <c r="W17" s="21" t="s">
        <v>981</v>
      </c>
      <c r="X17" s="21"/>
    </row>
    <row r="18" spans="2:24">
      <c r="B18" s="298">
        <f t="shared" si="1"/>
        <v>1956</v>
      </c>
      <c r="C18" s="300">
        <f>(COUNTIF('Database - Tornado Segments'!$T$8:$T$1207, "1956F0"))</f>
        <v>1</v>
      </c>
      <c r="D18" s="300">
        <f>(COUNTIF('Database - Tornado Segments'!$T$8:$T$1207, "1956F1"))</f>
        <v>1</v>
      </c>
      <c r="E18" s="300">
        <f>(COUNTIF('Database - Tornado Segments'!$T$8:$T$1207, "1956F2"))</f>
        <v>0</v>
      </c>
      <c r="F18" s="300">
        <f>(COUNTIF('Database - Tornado Segments'!$T$8:$T$1207, "1956F3"))</f>
        <v>0</v>
      </c>
      <c r="G18" s="300">
        <f>(COUNTIF('Database - Tornado Segments'!$T$8:$T$1207, "1956F4"))</f>
        <v>0</v>
      </c>
      <c r="H18" s="300">
        <f>(COUNTIF('Database - Tornado Segments'!$T$8:$T$1207, "1956F5"))</f>
        <v>0</v>
      </c>
      <c r="I18" s="304">
        <f t="shared" si="0"/>
        <v>2</v>
      </c>
      <c r="J18" s="305"/>
      <c r="K18" s="304">
        <f t="shared" si="2"/>
        <v>40</v>
      </c>
      <c r="L18" s="290">
        <f>K18/'# Yrs of Data'!D10</f>
        <v>5.7142857142857144</v>
      </c>
      <c r="M18" s="2">
        <f t="shared" si="3"/>
        <v>17</v>
      </c>
      <c r="N18" s="46">
        <f>+M18/'# Yrs of Data'!D10</f>
        <v>2.4285714285714284</v>
      </c>
      <c r="O18" s="2">
        <f t="shared" si="4"/>
        <v>13</v>
      </c>
      <c r="P18" s="46">
        <f>+O18/'# Yrs of Data'!D10</f>
        <v>1.8571428571428572</v>
      </c>
      <c r="Q18" s="2">
        <f t="shared" si="5"/>
        <v>5</v>
      </c>
      <c r="R18" s="46">
        <f>+Q18/'# Yrs of Data'!D10</f>
        <v>0.7142857142857143</v>
      </c>
      <c r="S18" s="2">
        <f t="shared" si="6"/>
        <v>3</v>
      </c>
      <c r="T18" s="46">
        <f>+S18/'# Yrs of Data'!D10</f>
        <v>0.42857142857142855</v>
      </c>
      <c r="U18" s="2">
        <f t="shared" si="7"/>
        <v>2</v>
      </c>
      <c r="V18" s="46">
        <f>+U18/'# Yrs of Data'!D10</f>
        <v>0.2857142857142857</v>
      </c>
      <c r="W18" s="21" t="s">
        <v>992</v>
      </c>
      <c r="X18" s="21"/>
    </row>
    <row r="19" spans="2:24">
      <c r="B19" s="298">
        <f t="shared" si="1"/>
        <v>1957</v>
      </c>
      <c r="C19" s="300">
        <f>(COUNTIF('Database - Tornado Segments'!$T$8:$T$1207, "1957F0"))</f>
        <v>3</v>
      </c>
      <c r="D19" s="300">
        <f>(COUNTIF('Database - Tornado Segments'!$T$8:$T$1207, "1957F1"))</f>
        <v>3</v>
      </c>
      <c r="E19" s="300">
        <f>(COUNTIF('Database - Tornado Segments'!$T$8:$T$1207, "1957F2"))</f>
        <v>3</v>
      </c>
      <c r="F19" s="300">
        <f>(COUNTIF('Database - Tornado Segments'!$T$8:$T$1207, "1957F3"))</f>
        <v>1</v>
      </c>
      <c r="G19" s="300">
        <f>(COUNTIF('Database - Tornado Segments'!$T$8:$T$1207, "1957F4"))</f>
        <v>0</v>
      </c>
      <c r="H19" s="300">
        <f>(COUNTIF('Database - Tornado Segments'!$T$8:$T$1207, "1957F5"))</f>
        <v>0</v>
      </c>
      <c r="I19" s="304">
        <f t="shared" si="0"/>
        <v>10</v>
      </c>
      <c r="J19" s="305"/>
      <c r="K19" s="304">
        <f t="shared" si="2"/>
        <v>50</v>
      </c>
      <c r="L19" s="290">
        <f>K19/'# Yrs of Data'!D11</f>
        <v>6.25</v>
      </c>
      <c r="M19" s="2">
        <f t="shared" si="3"/>
        <v>20</v>
      </c>
      <c r="N19" s="46">
        <f>+M19/'# Yrs of Data'!D11</f>
        <v>2.5</v>
      </c>
      <c r="O19" s="2">
        <f t="shared" si="4"/>
        <v>16</v>
      </c>
      <c r="P19" s="46">
        <f>+O19/'# Yrs of Data'!D11</f>
        <v>2</v>
      </c>
      <c r="Q19" s="2">
        <f t="shared" si="5"/>
        <v>8</v>
      </c>
      <c r="R19" s="46">
        <f>+Q19/'# Yrs of Data'!D11</f>
        <v>1</v>
      </c>
      <c r="S19" s="2">
        <f t="shared" si="6"/>
        <v>4</v>
      </c>
      <c r="T19" s="46">
        <f>+S19/'# Yrs of Data'!D11</f>
        <v>0.5</v>
      </c>
      <c r="U19" s="2">
        <f t="shared" si="7"/>
        <v>2</v>
      </c>
      <c r="V19" s="46">
        <f>+U19/'# Yrs of Data'!D11</f>
        <v>0.25</v>
      </c>
      <c r="W19" s="21" t="s">
        <v>980</v>
      </c>
      <c r="X19" s="21"/>
    </row>
    <row r="20" spans="2:24">
      <c r="B20" s="298">
        <f t="shared" si="1"/>
        <v>1958</v>
      </c>
      <c r="C20" s="300">
        <f>(COUNTIF('Database - Tornado Segments'!$T$8:$T$1207, "1958F0"))</f>
        <v>4</v>
      </c>
      <c r="D20" s="300">
        <f>(COUNTIF('Database - Tornado Segments'!$T$8:$T$1207, "1958F1"))</f>
        <v>7</v>
      </c>
      <c r="E20" s="300">
        <f>(COUNTIF('Database - Tornado Segments'!$T$8:$T$1207, "1958F2"))</f>
        <v>0</v>
      </c>
      <c r="F20" s="300">
        <f>(COUNTIF('Database - Tornado Segments'!$T$8:$T$1207, "1958F3"))</f>
        <v>0</v>
      </c>
      <c r="G20" s="300">
        <f>(COUNTIF('Database - Tornado Segments'!$T$8:$T$1207, "1958F4"))</f>
        <v>0</v>
      </c>
      <c r="H20" s="300">
        <f>(COUNTIF('Database - Tornado Segments'!$T$8:$T$1207, "1958F5"))</f>
        <v>0</v>
      </c>
      <c r="I20" s="304">
        <f t="shared" si="0"/>
        <v>11</v>
      </c>
      <c r="J20" s="305"/>
      <c r="K20" s="304">
        <f t="shared" si="2"/>
        <v>61</v>
      </c>
      <c r="L20" s="290">
        <f>K20/'# Yrs of Data'!D12</f>
        <v>6.7777777777777777</v>
      </c>
      <c r="M20" s="2">
        <f t="shared" si="3"/>
        <v>24</v>
      </c>
      <c r="N20" s="46">
        <f>+M20/'# Yrs of Data'!D12</f>
        <v>2.6666666666666665</v>
      </c>
      <c r="O20" s="2">
        <f t="shared" si="4"/>
        <v>23</v>
      </c>
      <c r="P20" s="46">
        <f>+O20/'# Yrs of Data'!D12</f>
        <v>2.5555555555555554</v>
      </c>
      <c r="Q20" s="2">
        <f t="shared" si="5"/>
        <v>8</v>
      </c>
      <c r="R20" s="46">
        <f>+Q20/'# Yrs of Data'!D12</f>
        <v>0.88888888888888884</v>
      </c>
      <c r="S20" s="2">
        <f t="shared" si="6"/>
        <v>4</v>
      </c>
      <c r="T20" s="46">
        <f>+S20/'# Yrs of Data'!D12</f>
        <v>0.44444444444444442</v>
      </c>
      <c r="U20" s="2">
        <f t="shared" si="7"/>
        <v>2</v>
      </c>
      <c r="V20" s="46">
        <f>+U20/'# Yrs of Data'!D12</f>
        <v>0.22222222222222221</v>
      </c>
      <c r="W20" s="21" t="s">
        <v>983</v>
      </c>
      <c r="X20" s="21"/>
    </row>
    <row r="21" spans="2:24">
      <c r="B21" s="298">
        <f t="shared" si="1"/>
        <v>1959</v>
      </c>
      <c r="C21" s="300">
        <f>(COUNTIF('Database - Tornado Segments'!$T$8:$T$1207, "1959F0"))</f>
        <v>2</v>
      </c>
      <c r="D21" s="300">
        <f>(COUNTIF('Database - Tornado Segments'!$T$8:$T$1207, "1959F1"))</f>
        <v>4</v>
      </c>
      <c r="E21" s="300">
        <f>(COUNTIF('Database - Tornado Segments'!$T$8:$T$1207, "1959F2"))</f>
        <v>0</v>
      </c>
      <c r="F21" s="300">
        <f>(COUNTIF('Database - Tornado Segments'!$T$8:$T$1207, "1959F3"))</f>
        <v>0</v>
      </c>
      <c r="G21" s="300">
        <f>(COUNTIF('Database - Tornado Segments'!$T$8:$T$1207, "1959F4"))</f>
        <v>0</v>
      </c>
      <c r="H21" s="300">
        <f>(COUNTIF('Database - Tornado Segments'!$T$8:$T$1207, "1959F5"))</f>
        <v>0</v>
      </c>
      <c r="I21" s="304">
        <f t="shared" si="0"/>
        <v>6</v>
      </c>
      <c r="J21" s="305">
        <f t="shared" ref="J21:J52" si="8">SUM(I12:I21)/10</f>
        <v>6.7</v>
      </c>
      <c r="K21" s="304">
        <f t="shared" si="2"/>
        <v>67</v>
      </c>
      <c r="L21" s="290">
        <f>K21/'# Yrs of Data'!D13</f>
        <v>6.7</v>
      </c>
      <c r="M21" s="2">
        <f t="shared" si="3"/>
        <v>26</v>
      </c>
      <c r="N21" s="46">
        <f>+M21/'# Yrs of Data'!D13</f>
        <v>2.6</v>
      </c>
      <c r="O21" s="2">
        <f t="shared" si="4"/>
        <v>27</v>
      </c>
      <c r="P21" s="46">
        <f>+O21/'# Yrs of Data'!D13</f>
        <v>2.7</v>
      </c>
      <c r="Q21" s="2">
        <f t="shared" si="5"/>
        <v>8</v>
      </c>
      <c r="R21" s="46">
        <f>+Q21/'# Yrs of Data'!D13</f>
        <v>0.8</v>
      </c>
      <c r="S21" s="2">
        <f t="shared" si="6"/>
        <v>4</v>
      </c>
      <c r="T21" s="46">
        <f>+S21/'# Yrs of Data'!D13</f>
        <v>0.4</v>
      </c>
      <c r="U21" s="2">
        <f t="shared" si="7"/>
        <v>2</v>
      </c>
      <c r="V21" s="46">
        <f>+U21/'# Yrs of Data'!D13</f>
        <v>0.2</v>
      </c>
      <c r="W21" s="21" t="s">
        <v>984</v>
      </c>
      <c r="X21" s="21"/>
    </row>
    <row r="22" spans="2:24">
      <c r="B22" s="298">
        <f t="shared" si="1"/>
        <v>1960</v>
      </c>
      <c r="C22" s="300">
        <f>(COUNTIF('Database - Tornado Segments'!$T$8:$T$1207, "1960F0"))</f>
        <v>6</v>
      </c>
      <c r="D22" s="300">
        <f>(COUNTIF('Database - Tornado Segments'!$T$8:$T$1207, "1960F1"))</f>
        <v>6</v>
      </c>
      <c r="E22" s="300">
        <f>(COUNTIF('Database - Tornado Segments'!$T$8:$T$1207, "1960F2"))</f>
        <v>1</v>
      </c>
      <c r="F22" s="300">
        <f>(COUNTIF('Database - Tornado Segments'!$T$8:$T$1207, "1960F3"))</f>
        <v>0</v>
      </c>
      <c r="G22" s="300">
        <f>(COUNTIF('Database - Tornado Segments'!$T$8:$T$1207, "1960F4"))</f>
        <v>0</v>
      </c>
      <c r="H22" s="300">
        <f>(COUNTIF('Database - Tornado Segments'!$T$8:$T$1207, "1960F5"))</f>
        <v>0</v>
      </c>
      <c r="I22" s="304">
        <f t="shared" si="0"/>
        <v>13</v>
      </c>
      <c r="J22" s="305">
        <f t="shared" si="8"/>
        <v>7.6</v>
      </c>
      <c r="K22" s="304">
        <f t="shared" si="2"/>
        <v>80</v>
      </c>
      <c r="L22" s="290">
        <f>K22/'# Yrs of Data'!D14</f>
        <v>7.2727272727272725</v>
      </c>
      <c r="M22" s="2">
        <f t="shared" si="3"/>
        <v>32</v>
      </c>
      <c r="N22" s="46">
        <f>+M22/'# Yrs of Data'!D14</f>
        <v>2.9090909090909092</v>
      </c>
      <c r="O22" s="2">
        <f t="shared" si="4"/>
        <v>33</v>
      </c>
      <c r="P22" s="46">
        <f>+O22/'# Yrs of Data'!D14</f>
        <v>3</v>
      </c>
      <c r="Q22" s="2">
        <f t="shared" si="5"/>
        <v>9</v>
      </c>
      <c r="R22" s="46">
        <f>+Q22/'# Yrs of Data'!D14</f>
        <v>0.81818181818181823</v>
      </c>
      <c r="S22" s="2">
        <f t="shared" si="6"/>
        <v>4</v>
      </c>
      <c r="T22" s="46">
        <f>+S22/'# Yrs of Data'!D14</f>
        <v>0.36363636363636365</v>
      </c>
      <c r="U22" s="2">
        <f t="shared" si="7"/>
        <v>2</v>
      </c>
      <c r="V22" s="46">
        <f>+U22/'# Yrs of Data'!D14</f>
        <v>0.18181818181818182</v>
      </c>
      <c r="W22" s="21" t="s">
        <v>993</v>
      </c>
      <c r="X22" s="21"/>
    </row>
    <row r="23" spans="2:24">
      <c r="B23" s="298">
        <f t="shared" si="1"/>
        <v>1961</v>
      </c>
      <c r="C23" s="300">
        <f>(COUNTIF('Database - Tornado Segments'!$T$8:$T$1207, "1961F0"))</f>
        <v>5</v>
      </c>
      <c r="D23" s="300">
        <f>(COUNTIF('Database - Tornado Segments'!$T$8:$T$1207, "1961F1"))</f>
        <v>5</v>
      </c>
      <c r="E23" s="300">
        <f>(COUNTIF('Database - Tornado Segments'!$T$8:$T$1207, "1961F2"))</f>
        <v>5</v>
      </c>
      <c r="F23" s="300">
        <f>(COUNTIF('Database - Tornado Segments'!$T$8:$T$1207, "1961F3"))</f>
        <v>0</v>
      </c>
      <c r="G23" s="300">
        <f>(COUNTIF('Database - Tornado Segments'!$T$8:$T$1207, "1961F4"))</f>
        <v>0</v>
      </c>
      <c r="H23" s="300">
        <f>(COUNTIF('Database - Tornado Segments'!$T$8:$T$1207, "1961F5"))</f>
        <v>0</v>
      </c>
      <c r="I23" s="304">
        <f t="shared" si="0"/>
        <v>15</v>
      </c>
      <c r="J23" s="305">
        <f t="shared" si="8"/>
        <v>8.1</v>
      </c>
      <c r="K23" s="304">
        <f t="shared" si="2"/>
        <v>95</v>
      </c>
      <c r="L23" s="290">
        <f>K23/'# Yrs of Data'!D15</f>
        <v>7.916666666666667</v>
      </c>
      <c r="M23" s="2">
        <f t="shared" si="3"/>
        <v>37</v>
      </c>
      <c r="N23" s="46">
        <f>+M23/'# Yrs of Data'!D15</f>
        <v>3.0833333333333335</v>
      </c>
      <c r="O23" s="2">
        <f t="shared" si="4"/>
        <v>38</v>
      </c>
      <c r="P23" s="46">
        <f>+O23/'# Yrs of Data'!D15</f>
        <v>3.1666666666666665</v>
      </c>
      <c r="Q23" s="2">
        <f t="shared" si="5"/>
        <v>14</v>
      </c>
      <c r="R23" s="46">
        <f>+Q23/'# Yrs of Data'!D15</f>
        <v>1.1666666666666667</v>
      </c>
      <c r="S23" s="2">
        <f t="shared" si="6"/>
        <v>4</v>
      </c>
      <c r="T23" s="46">
        <f>+S23/'# Yrs of Data'!D15</f>
        <v>0.33333333333333331</v>
      </c>
      <c r="U23" s="2">
        <f t="shared" si="7"/>
        <v>2</v>
      </c>
      <c r="V23" s="46">
        <f>+U23/'# Yrs of Data'!D15</f>
        <v>0.16666666666666666</v>
      </c>
      <c r="W23" s="21" t="s">
        <v>583</v>
      </c>
      <c r="X23" s="21"/>
    </row>
    <row r="24" spans="2:24">
      <c r="B24" s="298">
        <f t="shared" si="1"/>
        <v>1962</v>
      </c>
      <c r="C24" s="300">
        <f>(COUNTIF('Database - Tornado Segments'!$T$8:$T$1207, "1962F0"))</f>
        <v>9</v>
      </c>
      <c r="D24" s="300">
        <f>(COUNTIF('Database - Tornado Segments'!$T$8:$T$1207, "1962F1"))</f>
        <v>12</v>
      </c>
      <c r="E24" s="300">
        <f>(COUNTIF('Database - Tornado Segments'!$T$8:$T$1207, "1962F2"))</f>
        <v>4</v>
      </c>
      <c r="F24" s="300">
        <f>(COUNTIF('Database - Tornado Segments'!$T$8:$T$1207, "1962F3"))</f>
        <v>1</v>
      </c>
      <c r="G24" s="300">
        <f>(COUNTIF('Database - Tornado Segments'!$T$8:$T$1207, "1962F4"))</f>
        <v>0</v>
      </c>
      <c r="H24" s="300">
        <f>(COUNTIF('Database - Tornado Segments'!$T$8:$T$1207, "1962F5"))</f>
        <v>0</v>
      </c>
      <c r="I24" s="304">
        <f t="shared" si="0"/>
        <v>26</v>
      </c>
      <c r="J24" s="305">
        <f t="shared" si="8"/>
        <v>10.6</v>
      </c>
      <c r="K24" s="304">
        <f t="shared" si="2"/>
        <v>121</v>
      </c>
      <c r="L24" s="290">
        <f>K24/'# Yrs of Data'!D16</f>
        <v>9.3076923076923084</v>
      </c>
      <c r="M24" s="2">
        <f t="shared" si="3"/>
        <v>46</v>
      </c>
      <c r="N24" s="46">
        <f>+M24/'# Yrs of Data'!D16</f>
        <v>3.5384615384615383</v>
      </c>
      <c r="O24" s="2">
        <f t="shared" si="4"/>
        <v>50</v>
      </c>
      <c r="P24" s="46">
        <f>+O24/'# Yrs of Data'!D16</f>
        <v>3.8461538461538463</v>
      </c>
      <c r="Q24" s="2">
        <f t="shared" si="5"/>
        <v>18</v>
      </c>
      <c r="R24" s="46">
        <f>+Q24/'# Yrs of Data'!D16</f>
        <v>1.3846153846153846</v>
      </c>
      <c r="S24" s="2">
        <f t="shared" si="6"/>
        <v>5</v>
      </c>
      <c r="T24" s="46">
        <f>+S24/'# Yrs of Data'!D16</f>
        <v>0.38461538461538464</v>
      </c>
      <c r="U24" s="2">
        <f t="shared" si="7"/>
        <v>2</v>
      </c>
      <c r="V24" s="46">
        <f>+U24/'# Yrs of Data'!D16</f>
        <v>0.15384615384615385</v>
      </c>
      <c r="W24" s="21" t="s">
        <v>982</v>
      </c>
      <c r="X24" s="21"/>
    </row>
    <row r="25" spans="2:24">
      <c r="B25" s="298">
        <f t="shared" si="1"/>
        <v>1963</v>
      </c>
      <c r="C25" s="300">
        <f>(COUNTIF('Database - Tornado Segments'!$T$8:$T$1207, "1963F0"))</f>
        <v>2</v>
      </c>
      <c r="D25" s="300">
        <f>(COUNTIF('Database - Tornado Segments'!$T$8:$T$1207, "1963F1"))</f>
        <v>1</v>
      </c>
      <c r="E25" s="300">
        <f>(COUNTIF('Database - Tornado Segments'!$T$8:$T$1207, "1963F2"))</f>
        <v>1</v>
      </c>
      <c r="F25" s="300">
        <f>(COUNTIF('Database - Tornado Segments'!$T$8:$T$1207, "1963F3"))</f>
        <v>1</v>
      </c>
      <c r="G25" s="300">
        <f>(COUNTIF('Database - Tornado Segments'!$T$8:$T$1207, "1963F4"))</f>
        <v>0</v>
      </c>
      <c r="H25" s="300">
        <f>(COUNTIF('Database - Tornado Segments'!$T$8:$T$1207, "1963F5"))</f>
        <v>0</v>
      </c>
      <c r="I25" s="304">
        <f t="shared" si="0"/>
        <v>5</v>
      </c>
      <c r="J25" s="305">
        <f t="shared" si="8"/>
        <v>10.9</v>
      </c>
      <c r="K25" s="304">
        <f t="shared" si="2"/>
        <v>126</v>
      </c>
      <c r="L25" s="290">
        <f>K25/'# Yrs of Data'!D17</f>
        <v>9</v>
      </c>
      <c r="M25" s="2">
        <f t="shared" si="3"/>
        <v>48</v>
      </c>
      <c r="N25" s="46">
        <f>+M25/'# Yrs of Data'!D17</f>
        <v>3.4285714285714284</v>
      </c>
      <c r="O25" s="2">
        <f t="shared" si="4"/>
        <v>51</v>
      </c>
      <c r="P25" s="46">
        <f>+O25/'# Yrs of Data'!D17</f>
        <v>3.6428571428571428</v>
      </c>
      <c r="Q25" s="2">
        <f t="shared" si="5"/>
        <v>19</v>
      </c>
      <c r="R25" s="46">
        <f>+Q25/'# Yrs of Data'!D17</f>
        <v>1.3571428571428572</v>
      </c>
      <c r="S25" s="2">
        <f t="shared" si="6"/>
        <v>6</v>
      </c>
      <c r="T25" s="46">
        <f>+S25/'# Yrs of Data'!D17</f>
        <v>0.42857142857142855</v>
      </c>
      <c r="U25" s="2">
        <f t="shared" si="7"/>
        <v>2</v>
      </c>
      <c r="V25" s="46">
        <f>+U25/'# Yrs of Data'!D17</f>
        <v>0.14285714285714285</v>
      </c>
      <c r="W25" s="21" t="s">
        <v>580</v>
      </c>
      <c r="X25" s="21"/>
    </row>
    <row r="26" spans="2:24">
      <c r="B26" s="298">
        <f t="shared" si="1"/>
        <v>1964</v>
      </c>
      <c r="C26" s="300">
        <f>(COUNTIF('Database - Tornado Segments'!$T$8:$T$1207, "1964F0"))</f>
        <v>3</v>
      </c>
      <c r="D26" s="300">
        <f>(COUNTIF('Database - Tornado Segments'!$T$8:$T$1207, "1964F1"))</f>
        <v>0</v>
      </c>
      <c r="E26" s="300">
        <f>(COUNTIF('Database - Tornado Segments'!$T$8:$T$1207, "1964F2"))</f>
        <v>1</v>
      </c>
      <c r="F26" s="300">
        <f>(COUNTIF('Database - Tornado Segments'!$T$8:$T$1207, "1964F3"))</f>
        <v>0</v>
      </c>
      <c r="G26" s="300">
        <f>(COUNTIF('Database - Tornado Segments'!$T$8:$T$1207, "1964F4"))</f>
        <v>0</v>
      </c>
      <c r="H26" s="300">
        <f>(COUNTIF('Database - Tornado Segments'!$T$8:$T$1207, "1964F5"))</f>
        <v>0</v>
      </c>
      <c r="I26" s="304">
        <f t="shared" si="0"/>
        <v>4</v>
      </c>
      <c r="J26" s="305">
        <f t="shared" si="8"/>
        <v>11.1</v>
      </c>
      <c r="K26" s="304">
        <f t="shared" si="2"/>
        <v>130</v>
      </c>
      <c r="L26" s="290">
        <f>K26/'# Yrs of Data'!D18</f>
        <v>8.6666666666666661</v>
      </c>
      <c r="M26" s="2">
        <f t="shared" si="3"/>
        <v>51</v>
      </c>
      <c r="N26" s="46">
        <f>+M26/'# Yrs of Data'!D18</f>
        <v>3.4</v>
      </c>
      <c r="O26" s="2">
        <f t="shared" si="4"/>
        <v>51</v>
      </c>
      <c r="P26" s="46">
        <f>+O26/'# Yrs of Data'!D18</f>
        <v>3.4</v>
      </c>
      <c r="Q26" s="2">
        <f t="shared" si="5"/>
        <v>20</v>
      </c>
      <c r="R26" s="46">
        <f>+Q26/'# Yrs of Data'!D18</f>
        <v>1.3333333333333333</v>
      </c>
      <c r="S26" s="2">
        <f t="shared" si="6"/>
        <v>6</v>
      </c>
      <c r="T26" s="46">
        <f>+S26/'# Yrs of Data'!D18</f>
        <v>0.4</v>
      </c>
      <c r="U26" s="2">
        <f t="shared" si="7"/>
        <v>2</v>
      </c>
      <c r="V26" s="46">
        <f>+U26/'# Yrs of Data'!D18</f>
        <v>0.13333333333333333</v>
      </c>
      <c r="W26" s="21" t="s">
        <v>984</v>
      </c>
      <c r="X26" s="21"/>
    </row>
    <row r="27" spans="2:24">
      <c r="B27" s="298">
        <f t="shared" si="1"/>
        <v>1965</v>
      </c>
      <c r="C27" s="300">
        <f>(COUNTIF('Database - Tornado Segments'!$T$8:$T$1207, "1965F0"))</f>
        <v>6</v>
      </c>
      <c r="D27" s="300">
        <f>(COUNTIF('Database - Tornado Segments'!$T$8:$T$1207, "1965F1"))</f>
        <v>0</v>
      </c>
      <c r="E27" s="300">
        <f>(COUNTIF('Database - Tornado Segments'!$T$8:$T$1207, "1965F2"))</f>
        <v>4</v>
      </c>
      <c r="F27" s="300">
        <f>(COUNTIF('Database - Tornado Segments'!$T$8:$T$1207, "1965F3"))</f>
        <v>2</v>
      </c>
      <c r="G27" s="300">
        <f>(COUNTIF('Database - Tornado Segments'!$T$8:$T$1207, "1965F4"))</f>
        <v>0</v>
      </c>
      <c r="H27" s="300">
        <f>(COUNTIF('Database - Tornado Segments'!$T$8:$T$1207, "1965F5"))</f>
        <v>0</v>
      </c>
      <c r="I27" s="304">
        <f t="shared" si="0"/>
        <v>12</v>
      </c>
      <c r="J27" s="305">
        <f t="shared" si="8"/>
        <v>10.4</v>
      </c>
      <c r="K27" s="304">
        <f t="shared" si="2"/>
        <v>142</v>
      </c>
      <c r="L27" s="290">
        <f>K27/'# Yrs of Data'!D19</f>
        <v>8.875</v>
      </c>
      <c r="M27" s="2">
        <f t="shared" si="3"/>
        <v>57</v>
      </c>
      <c r="N27" s="46">
        <f>+M27/'# Yrs of Data'!D19</f>
        <v>3.5625</v>
      </c>
      <c r="O27" s="2">
        <f t="shared" si="4"/>
        <v>51</v>
      </c>
      <c r="P27" s="46">
        <f>+O27/'# Yrs of Data'!D19</f>
        <v>3.1875</v>
      </c>
      <c r="Q27" s="2">
        <f t="shared" si="5"/>
        <v>24</v>
      </c>
      <c r="R27" s="46">
        <f>+Q27/'# Yrs of Data'!D19</f>
        <v>1.5</v>
      </c>
      <c r="S27" s="2">
        <f t="shared" si="6"/>
        <v>8</v>
      </c>
      <c r="T27" s="46">
        <f>+S27/'# Yrs of Data'!D19</f>
        <v>0.5</v>
      </c>
      <c r="U27" s="2">
        <f t="shared" si="7"/>
        <v>2</v>
      </c>
      <c r="V27" s="46">
        <f>+U27/'# Yrs of Data'!D19</f>
        <v>0.125</v>
      </c>
      <c r="W27" s="21" t="s">
        <v>985</v>
      </c>
      <c r="X27" s="21"/>
    </row>
    <row r="28" spans="2:24">
      <c r="B28" s="298">
        <f t="shared" si="1"/>
        <v>1966</v>
      </c>
      <c r="C28" s="300">
        <f>(COUNTIF('Database - Tornado Segments'!$T$8:$T$1207, "1966F0"))</f>
        <v>8</v>
      </c>
      <c r="D28" s="300">
        <f>(COUNTIF('Database - Tornado Segments'!$T$8:$T$1207, "1966F1"))</f>
        <v>3</v>
      </c>
      <c r="E28" s="300">
        <f>(COUNTIF('Database - Tornado Segments'!$T$8:$T$1207, "1966F2"))</f>
        <v>1</v>
      </c>
      <c r="F28" s="300">
        <f>(COUNTIF('Database - Tornado Segments'!$T$8:$T$1207, "1966F3"))</f>
        <v>0</v>
      </c>
      <c r="G28" s="300">
        <f>(COUNTIF('Database - Tornado Segments'!$T$8:$T$1207, "1966F4"))</f>
        <v>0</v>
      </c>
      <c r="H28" s="300">
        <f>(COUNTIF('Database - Tornado Segments'!$T$8:$T$1207, "1966F5"))</f>
        <v>0</v>
      </c>
      <c r="I28" s="304">
        <f t="shared" si="0"/>
        <v>12</v>
      </c>
      <c r="J28" s="305">
        <f t="shared" si="8"/>
        <v>11.4</v>
      </c>
      <c r="K28" s="304">
        <f t="shared" si="2"/>
        <v>154</v>
      </c>
      <c r="L28" s="290">
        <f>K28/'# Yrs of Data'!D20</f>
        <v>9.0588235294117645</v>
      </c>
      <c r="M28" s="2">
        <f t="shared" si="3"/>
        <v>65</v>
      </c>
      <c r="N28" s="46">
        <f>+M28/'# Yrs of Data'!D20</f>
        <v>3.8235294117647061</v>
      </c>
      <c r="O28" s="2">
        <f t="shared" si="4"/>
        <v>54</v>
      </c>
      <c r="P28" s="46">
        <f>+O28/'# Yrs of Data'!D20</f>
        <v>3.1764705882352939</v>
      </c>
      <c r="Q28" s="2">
        <f t="shared" si="5"/>
        <v>25</v>
      </c>
      <c r="R28" s="46">
        <f>+Q28/'# Yrs of Data'!D20</f>
        <v>1.4705882352941178</v>
      </c>
      <c r="S28" s="2">
        <f t="shared" si="6"/>
        <v>8</v>
      </c>
      <c r="T28" s="46">
        <f>+S28/'# Yrs of Data'!D20</f>
        <v>0.47058823529411764</v>
      </c>
      <c r="U28" s="2">
        <f t="shared" si="7"/>
        <v>2</v>
      </c>
      <c r="V28" s="46">
        <f>+U28/'# Yrs of Data'!D20</f>
        <v>0.11764705882352941</v>
      </c>
      <c r="W28" s="21" t="s">
        <v>584</v>
      </c>
      <c r="X28" s="21"/>
    </row>
    <row r="29" spans="2:24">
      <c r="B29" s="298">
        <f t="shared" si="1"/>
        <v>1967</v>
      </c>
      <c r="C29" s="300">
        <f>(COUNTIF('Database - Tornado Segments'!$T$8:$T$1207, "1967F0"))</f>
        <v>14</v>
      </c>
      <c r="D29" s="300">
        <f>(COUNTIF('Database - Tornado Segments'!$T$8:$T$1207, "1967F1"))</f>
        <v>6</v>
      </c>
      <c r="E29" s="300">
        <f>(COUNTIF('Database - Tornado Segments'!$T$8:$T$1207, "1967F2"))</f>
        <v>7</v>
      </c>
      <c r="F29" s="300">
        <f>(COUNTIF('Database - Tornado Segments'!$T$8:$T$1207, "1967F3"))</f>
        <v>1</v>
      </c>
      <c r="G29" s="300">
        <f>(COUNTIF('Database - Tornado Segments'!$T$8:$T$1207, "1967F4"))</f>
        <v>0</v>
      </c>
      <c r="H29" s="300">
        <f>(COUNTIF('Database - Tornado Segments'!$T$8:$T$1207, "1967F5"))</f>
        <v>0</v>
      </c>
      <c r="I29" s="304">
        <f t="shared" si="0"/>
        <v>28</v>
      </c>
      <c r="J29" s="305">
        <f t="shared" si="8"/>
        <v>13.2</v>
      </c>
      <c r="K29" s="304">
        <f t="shared" si="2"/>
        <v>182</v>
      </c>
      <c r="L29" s="290">
        <f>K29/'# Yrs of Data'!D21</f>
        <v>10.111111111111111</v>
      </c>
      <c r="M29" s="2">
        <f t="shared" si="3"/>
        <v>79</v>
      </c>
      <c r="N29" s="46">
        <f>+M29/'# Yrs of Data'!D21</f>
        <v>4.3888888888888893</v>
      </c>
      <c r="O29" s="2">
        <f t="shared" si="4"/>
        <v>60</v>
      </c>
      <c r="P29" s="46">
        <f>+O29/'# Yrs of Data'!D21</f>
        <v>3.3333333333333335</v>
      </c>
      <c r="Q29" s="2">
        <f t="shared" si="5"/>
        <v>32</v>
      </c>
      <c r="R29" s="46">
        <f>+Q29/'# Yrs of Data'!D21</f>
        <v>1.7777777777777777</v>
      </c>
      <c r="S29" s="2">
        <f t="shared" si="6"/>
        <v>9</v>
      </c>
      <c r="T29" s="46">
        <f>+S29/'# Yrs of Data'!D21</f>
        <v>0.5</v>
      </c>
      <c r="U29" s="2">
        <f t="shared" si="7"/>
        <v>2</v>
      </c>
      <c r="V29" s="46">
        <f>+U29/'# Yrs of Data'!D21</f>
        <v>0.1111111111111111</v>
      </c>
      <c r="W29" s="21" t="s">
        <v>581</v>
      </c>
      <c r="X29" s="21"/>
    </row>
    <row r="30" spans="2:24">
      <c r="B30" s="298">
        <f t="shared" si="1"/>
        <v>1968</v>
      </c>
      <c r="C30" s="300">
        <f>(COUNTIF('Database - Tornado Segments'!$T$8:$T$1207, "1968F0"))</f>
        <v>17</v>
      </c>
      <c r="D30" s="300">
        <f>(COUNTIF('Database - Tornado Segments'!$T$8:$T$1207, "1968F1"))</f>
        <v>2</v>
      </c>
      <c r="E30" s="300">
        <f>(COUNTIF('Database - Tornado Segments'!$T$8:$T$1207, "1968F2"))</f>
        <v>2</v>
      </c>
      <c r="F30" s="300">
        <f>(COUNTIF('Database - Tornado Segments'!$T$8:$T$1207, "1968F3"))</f>
        <v>1</v>
      </c>
      <c r="G30" s="300">
        <f>(COUNTIF('Database - Tornado Segments'!$T$8:$T$1207, "1968F4"))</f>
        <v>0</v>
      </c>
      <c r="H30" s="300">
        <f>(COUNTIF('Database - Tornado Segments'!$T$8:$T$1207, "1968F5"))</f>
        <v>0</v>
      </c>
      <c r="I30" s="304">
        <f t="shared" si="0"/>
        <v>22</v>
      </c>
      <c r="J30" s="305">
        <f t="shared" si="8"/>
        <v>14.3</v>
      </c>
      <c r="K30" s="304">
        <f t="shared" si="2"/>
        <v>204</v>
      </c>
      <c r="L30" s="290">
        <f>K30/'# Yrs of Data'!D22</f>
        <v>10.736842105263158</v>
      </c>
      <c r="M30" s="2">
        <f t="shared" si="3"/>
        <v>96</v>
      </c>
      <c r="N30" s="46">
        <f>+M30/'# Yrs of Data'!D22</f>
        <v>5.0526315789473681</v>
      </c>
      <c r="O30" s="2">
        <f t="shared" si="4"/>
        <v>62</v>
      </c>
      <c r="P30" s="46">
        <f>+O30/'# Yrs of Data'!D22</f>
        <v>3.263157894736842</v>
      </c>
      <c r="Q30" s="2">
        <f t="shared" si="5"/>
        <v>34</v>
      </c>
      <c r="R30" s="46">
        <f>+Q30/'# Yrs of Data'!D22</f>
        <v>1.7894736842105263</v>
      </c>
      <c r="S30" s="2">
        <f t="shared" si="6"/>
        <v>10</v>
      </c>
      <c r="T30" s="46">
        <f>+S30/'# Yrs of Data'!D22</f>
        <v>0.52631578947368418</v>
      </c>
      <c r="U30" s="2">
        <f t="shared" si="7"/>
        <v>2</v>
      </c>
      <c r="V30" s="46">
        <f>+U30/'# Yrs of Data'!D22</f>
        <v>0.10526315789473684</v>
      </c>
      <c r="W30" s="21" t="s">
        <v>581</v>
      </c>
      <c r="X30" s="21"/>
    </row>
    <row r="31" spans="2:24">
      <c r="B31" s="298">
        <f t="shared" si="1"/>
        <v>1969</v>
      </c>
      <c r="C31" s="300">
        <f>(COUNTIF('Database - Tornado Segments'!$T$8:$T$1207, "1969F0"))</f>
        <v>14</v>
      </c>
      <c r="D31" s="300">
        <f>(COUNTIF('Database - Tornado Segments'!$T$8:$T$1207, "1969F1"))</f>
        <v>0</v>
      </c>
      <c r="E31" s="300">
        <f>(COUNTIF('Database - Tornado Segments'!$T$8:$T$1207, "1969F2"))</f>
        <v>2</v>
      </c>
      <c r="F31" s="300">
        <f>(COUNTIF('Database - Tornado Segments'!$T$8:$T$1207, "1969F3"))</f>
        <v>0</v>
      </c>
      <c r="G31" s="300">
        <f>(COUNTIF('Database - Tornado Segments'!$T$8:$T$1207, "1969F4"))</f>
        <v>0</v>
      </c>
      <c r="H31" s="300">
        <f>(COUNTIF('Database - Tornado Segments'!$T$8:$T$1207, "1969F5"))</f>
        <v>0</v>
      </c>
      <c r="I31" s="304">
        <f t="shared" si="0"/>
        <v>16</v>
      </c>
      <c r="J31" s="305">
        <f t="shared" si="8"/>
        <v>15.3</v>
      </c>
      <c r="K31" s="304">
        <f t="shared" si="2"/>
        <v>220</v>
      </c>
      <c r="L31" s="290">
        <f>K31/'# Yrs of Data'!D23</f>
        <v>11</v>
      </c>
      <c r="M31" s="2">
        <f t="shared" si="3"/>
        <v>110</v>
      </c>
      <c r="N31" s="46">
        <f>+M31/'# Yrs of Data'!D23</f>
        <v>5.5</v>
      </c>
      <c r="O31" s="2">
        <f t="shared" si="4"/>
        <v>62</v>
      </c>
      <c r="P31" s="46">
        <f>+O31/'# Yrs of Data'!D23</f>
        <v>3.1</v>
      </c>
      <c r="Q31" s="2">
        <f t="shared" si="5"/>
        <v>36</v>
      </c>
      <c r="R31" s="46">
        <f>+Q31/'# Yrs of Data'!D23</f>
        <v>1.8</v>
      </c>
      <c r="S31" s="2">
        <f t="shared" si="6"/>
        <v>10</v>
      </c>
      <c r="T31" s="46">
        <f>+S31/'# Yrs of Data'!D23</f>
        <v>0.5</v>
      </c>
      <c r="U31" s="2">
        <f t="shared" si="7"/>
        <v>2</v>
      </c>
      <c r="V31" s="46">
        <f>+U31/'# Yrs of Data'!D23</f>
        <v>0.1</v>
      </c>
      <c r="W31" s="21" t="s">
        <v>980</v>
      </c>
      <c r="X31" s="21"/>
    </row>
    <row r="32" spans="2:24">
      <c r="B32" s="298">
        <f t="shared" si="1"/>
        <v>1970</v>
      </c>
      <c r="C32" s="300">
        <f>(COUNTIF('Database - Tornado Segments'!$T$8:$T$1207, "1970F0"))</f>
        <v>1</v>
      </c>
      <c r="D32" s="300">
        <f>(COUNTIF('Database - Tornado Segments'!$T$8:$T$1207, "1970F1"))</f>
        <v>1</v>
      </c>
      <c r="E32" s="300">
        <f>(COUNTIF('Database - Tornado Segments'!$T$8:$T$1207, "1970F2"))</f>
        <v>1</v>
      </c>
      <c r="F32" s="300">
        <f>(COUNTIF('Database - Tornado Segments'!$T$8:$T$1207, "1970F3"))</f>
        <v>0</v>
      </c>
      <c r="G32" s="300">
        <f>(COUNTIF('Database - Tornado Segments'!$T$8:$T$1207, "1970F4"))</f>
        <v>7</v>
      </c>
      <c r="H32" s="300">
        <f>(COUNTIF('Database - Tornado Segments'!$T$8:$T$1207, "1970F5"))</f>
        <v>0</v>
      </c>
      <c r="I32" s="304">
        <f t="shared" si="0"/>
        <v>10</v>
      </c>
      <c r="J32" s="305">
        <f t="shared" si="8"/>
        <v>15</v>
      </c>
      <c r="K32" s="304">
        <f t="shared" si="2"/>
        <v>230</v>
      </c>
      <c r="L32" s="290">
        <f>K32/'# Yrs of Data'!D24</f>
        <v>10.952380952380953</v>
      </c>
      <c r="M32" s="2">
        <f t="shared" si="3"/>
        <v>111</v>
      </c>
      <c r="N32" s="46">
        <f>+M32/'# Yrs of Data'!D24</f>
        <v>5.2857142857142856</v>
      </c>
      <c r="O32" s="2">
        <f t="shared" si="4"/>
        <v>63</v>
      </c>
      <c r="P32" s="46">
        <f>+O32/'# Yrs of Data'!D24</f>
        <v>3</v>
      </c>
      <c r="Q32" s="2">
        <f t="shared" si="5"/>
        <v>37</v>
      </c>
      <c r="R32" s="46">
        <f>+Q32/'# Yrs of Data'!D24</f>
        <v>1.7619047619047619</v>
      </c>
      <c r="S32" s="2">
        <f t="shared" si="6"/>
        <v>10</v>
      </c>
      <c r="T32" s="46">
        <f>+S32/'# Yrs of Data'!D24</f>
        <v>0.47619047619047616</v>
      </c>
      <c r="U32" s="2">
        <f t="shared" si="7"/>
        <v>9</v>
      </c>
      <c r="V32" s="46">
        <f>+U32/'# Yrs of Data'!D24</f>
        <v>0.42857142857142855</v>
      </c>
      <c r="W32" s="21" t="s">
        <v>984</v>
      </c>
      <c r="X32" s="21"/>
    </row>
    <row r="33" spans="2:24">
      <c r="B33" s="298">
        <f t="shared" si="1"/>
        <v>1971</v>
      </c>
      <c r="C33" s="300">
        <f>(COUNTIF('Database - Tornado Segments'!$T$8:$T$1207, "1971F0"))</f>
        <v>4</v>
      </c>
      <c r="D33" s="300">
        <f>(COUNTIF('Database - Tornado Segments'!$T$8:$T$1207, "1971F1"))</f>
        <v>13</v>
      </c>
      <c r="E33" s="300">
        <f>(COUNTIF('Database - Tornado Segments'!$T$8:$T$1207, "1971F2"))</f>
        <v>17</v>
      </c>
      <c r="F33" s="300">
        <f>(COUNTIF('Database - Tornado Segments'!$T$8:$T$1207, "1971F3"))</f>
        <v>3</v>
      </c>
      <c r="G33" s="300">
        <f>(COUNTIF('Database - Tornado Segments'!$T$8:$T$1207, "1971F4"))</f>
        <v>2</v>
      </c>
      <c r="H33" s="300">
        <f>(COUNTIF('Database - Tornado Segments'!$T$8:$T$1207, "1971F5"))</f>
        <v>0</v>
      </c>
      <c r="I33" s="304">
        <f t="shared" si="0"/>
        <v>39</v>
      </c>
      <c r="J33" s="305">
        <f t="shared" si="8"/>
        <v>17.399999999999999</v>
      </c>
      <c r="K33" s="304">
        <f t="shared" si="2"/>
        <v>269</v>
      </c>
      <c r="L33" s="290">
        <f>K33/'# Yrs of Data'!D25</f>
        <v>12.227272727272727</v>
      </c>
      <c r="M33" s="2">
        <f t="shared" si="3"/>
        <v>115</v>
      </c>
      <c r="N33" s="46">
        <f>+M33/'# Yrs of Data'!D25</f>
        <v>5.2272727272727275</v>
      </c>
      <c r="O33" s="2">
        <f t="shared" si="4"/>
        <v>76</v>
      </c>
      <c r="P33" s="46">
        <f>+O33/'# Yrs of Data'!D25</f>
        <v>3.4545454545454546</v>
      </c>
      <c r="Q33" s="2">
        <f t="shared" si="5"/>
        <v>54</v>
      </c>
      <c r="R33" s="46">
        <f>+Q33/'# Yrs of Data'!D25</f>
        <v>2.4545454545454546</v>
      </c>
      <c r="S33" s="2">
        <f t="shared" si="6"/>
        <v>13</v>
      </c>
      <c r="T33" s="46">
        <f>+S33/'# Yrs of Data'!D25</f>
        <v>0.59090909090909094</v>
      </c>
      <c r="U33" s="2">
        <f t="shared" si="7"/>
        <v>11</v>
      </c>
      <c r="V33" s="46">
        <f>+U33/'# Yrs of Data'!D25</f>
        <v>0.5</v>
      </c>
      <c r="W33" s="21" t="s">
        <v>982</v>
      </c>
      <c r="X33" s="21"/>
    </row>
    <row r="34" spans="2:24">
      <c r="B34" s="298">
        <f t="shared" si="1"/>
        <v>1972</v>
      </c>
      <c r="C34" s="300">
        <f>(COUNTIF('Database - Tornado Segments'!$T$8:$T$1207, "1972F0"))</f>
        <v>1</v>
      </c>
      <c r="D34" s="300">
        <f>(COUNTIF('Database - Tornado Segments'!$T$8:$T$1207, "1972F1"))</f>
        <v>15</v>
      </c>
      <c r="E34" s="300">
        <f>(COUNTIF('Database - Tornado Segments'!$T$8:$T$1207, "1972F2"))</f>
        <v>3</v>
      </c>
      <c r="F34" s="300">
        <f>(COUNTIF('Database - Tornado Segments'!$T$8:$T$1207, "1972F3"))</f>
        <v>0</v>
      </c>
      <c r="G34" s="300">
        <f>(COUNTIF('Database - Tornado Segments'!$T$8:$T$1207, "1972F4"))</f>
        <v>0</v>
      </c>
      <c r="H34" s="300">
        <f>(COUNTIF('Database - Tornado Segments'!$T$8:$T$1207, "1972F5"))</f>
        <v>0</v>
      </c>
      <c r="I34" s="304">
        <f t="shared" si="0"/>
        <v>19</v>
      </c>
      <c r="J34" s="305">
        <f t="shared" si="8"/>
        <v>16.7</v>
      </c>
      <c r="K34" s="304">
        <f t="shared" si="2"/>
        <v>288</v>
      </c>
      <c r="L34" s="290">
        <f>K34/'# Yrs of Data'!D26</f>
        <v>12.521739130434783</v>
      </c>
      <c r="M34" s="2">
        <f t="shared" si="3"/>
        <v>116</v>
      </c>
      <c r="N34" s="46">
        <f>+M34/'# Yrs of Data'!D26</f>
        <v>5.0434782608695654</v>
      </c>
      <c r="O34" s="2">
        <f t="shared" si="4"/>
        <v>91</v>
      </c>
      <c r="P34" s="46">
        <f>+O34/'# Yrs of Data'!D26</f>
        <v>3.9565217391304346</v>
      </c>
      <c r="Q34" s="2">
        <f t="shared" si="5"/>
        <v>57</v>
      </c>
      <c r="R34" s="46">
        <f>+Q34/'# Yrs of Data'!D26</f>
        <v>2.4782608695652173</v>
      </c>
      <c r="S34" s="2">
        <f t="shared" si="6"/>
        <v>13</v>
      </c>
      <c r="T34" s="46">
        <f>+S34/'# Yrs of Data'!D26</f>
        <v>0.56521739130434778</v>
      </c>
      <c r="U34" s="2">
        <f t="shared" si="7"/>
        <v>11</v>
      </c>
      <c r="V34" s="46">
        <f>+U34/'# Yrs of Data'!D26</f>
        <v>0.47826086956521741</v>
      </c>
      <c r="W34" s="21" t="s">
        <v>986</v>
      </c>
      <c r="X34" s="21"/>
    </row>
    <row r="35" spans="2:24">
      <c r="B35" s="298">
        <f t="shared" si="1"/>
        <v>1973</v>
      </c>
      <c r="C35" s="300">
        <f>(COUNTIF('Database - Tornado Segments'!$T$8:$T$1207, "1973F0"))</f>
        <v>1</v>
      </c>
      <c r="D35" s="300">
        <f>(COUNTIF('Database - Tornado Segments'!$T$8:$T$1207, "1973F1"))</f>
        <v>3</v>
      </c>
      <c r="E35" s="300">
        <f>(COUNTIF('Database - Tornado Segments'!$T$8:$T$1207, "1973F2"))</f>
        <v>5</v>
      </c>
      <c r="F35" s="300">
        <f>(COUNTIF('Database - Tornado Segments'!$T$8:$T$1207, "1973F3"))</f>
        <v>0</v>
      </c>
      <c r="G35" s="300">
        <f>(COUNTIF('Database - Tornado Segments'!$T$8:$T$1207, "1973F4"))</f>
        <v>0</v>
      </c>
      <c r="H35" s="300">
        <f>(COUNTIF('Database - Tornado Segments'!$T$8:$T$1207, "1973F5"))</f>
        <v>0</v>
      </c>
      <c r="I35" s="304">
        <f t="shared" si="0"/>
        <v>9</v>
      </c>
      <c r="J35" s="305">
        <f t="shared" si="8"/>
        <v>17.100000000000001</v>
      </c>
      <c r="K35" s="304">
        <f t="shared" si="2"/>
        <v>297</v>
      </c>
      <c r="L35" s="290">
        <f>K35/'# Yrs of Data'!D27</f>
        <v>12.375</v>
      </c>
      <c r="M35" s="2">
        <f t="shared" si="3"/>
        <v>117</v>
      </c>
      <c r="N35" s="46">
        <f>+M35/'# Yrs of Data'!D27</f>
        <v>4.875</v>
      </c>
      <c r="O35" s="2">
        <f t="shared" si="4"/>
        <v>94</v>
      </c>
      <c r="P35" s="46">
        <f>+O35/'# Yrs of Data'!D27</f>
        <v>3.9166666666666665</v>
      </c>
      <c r="Q35" s="2">
        <f t="shared" si="5"/>
        <v>62</v>
      </c>
      <c r="R35" s="46">
        <f>+Q35/'# Yrs of Data'!D27</f>
        <v>2.5833333333333335</v>
      </c>
      <c r="S35" s="2">
        <f t="shared" si="6"/>
        <v>13</v>
      </c>
      <c r="T35" s="46">
        <f>+S35/'# Yrs of Data'!D27</f>
        <v>0.54166666666666663</v>
      </c>
      <c r="U35" s="2">
        <f t="shared" si="7"/>
        <v>11</v>
      </c>
      <c r="V35" s="46">
        <f>+U35/'# Yrs of Data'!D27</f>
        <v>0.45833333333333331</v>
      </c>
      <c r="W35" s="21" t="s">
        <v>987</v>
      </c>
      <c r="X35" s="21"/>
    </row>
    <row r="36" spans="2:24">
      <c r="B36" s="298">
        <f t="shared" si="1"/>
        <v>1974</v>
      </c>
      <c r="C36" s="300">
        <f>(COUNTIF('Database - Tornado Segments'!$T$8:$T$1207, "1974F0"))</f>
        <v>6</v>
      </c>
      <c r="D36" s="300">
        <f>(COUNTIF('Database - Tornado Segments'!$T$8:$T$1207, "1974F1"))</f>
        <v>6</v>
      </c>
      <c r="E36" s="300">
        <f>(COUNTIF('Database - Tornado Segments'!$T$8:$T$1207, "1974F2"))</f>
        <v>1</v>
      </c>
      <c r="F36" s="300">
        <f>(COUNTIF('Database - Tornado Segments'!$T$8:$T$1207, "1974F3"))</f>
        <v>0</v>
      </c>
      <c r="G36" s="300">
        <f>(COUNTIF('Database - Tornado Segments'!$T$8:$T$1207, "1974F4"))</f>
        <v>0</v>
      </c>
      <c r="H36" s="300">
        <f>(COUNTIF('Database - Tornado Segments'!$T$8:$T$1207, "1974F5"))</f>
        <v>0</v>
      </c>
      <c r="I36" s="304">
        <f t="shared" si="0"/>
        <v>13</v>
      </c>
      <c r="J36" s="305">
        <f t="shared" si="8"/>
        <v>18</v>
      </c>
      <c r="K36" s="304">
        <f t="shared" si="2"/>
        <v>310</v>
      </c>
      <c r="L36" s="290">
        <f>K36/'# Yrs of Data'!D28</f>
        <v>12.4</v>
      </c>
      <c r="M36" s="2">
        <f t="shared" si="3"/>
        <v>123</v>
      </c>
      <c r="N36" s="46">
        <f>+M36/'# Yrs of Data'!D28</f>
        <v>4.92</v>
      </c>
      <c r="O36" s="2">
        <f t="shared" si="4"/>
        <v>100</v>
      </c>
      <c r="P36" s="46">
        <f>+O36/'# Yrs of Data'!D28</f>
        <v>4</v>
      </c>
      <c r="Q36" s="2">
        <f t="shared" si="5"/>
        <v>63</v>
      </c>
      <c r="R36" s="46">
        <f>+Q36/'# Yrs of Data'!D28</f>
        <v>2.52</v>
      </c>
      <c r="S36" s="2">
        <f t="shared" si="6"/>
        <v>13</v>
      </c>
      <c r="T36" s="46">
        <f>+S36/'# Yrs of Data'!D28</f>
        <v>0.52</v>
      </c>
      <c r="U36" s="2">
        <f t="shared" si="7"/>
        <v>11</v>
      </c>
      <c r="V36" s="46">
        <f>+U36/'# Yrs of Data'!D28</f>
        <v>0.44</v>
      </c>
      <c r="W36" s="21" t="s">
        <v>988</v>
      </c>
      <c r="X36" s="21"/>
    </row>
    <row r="37" spans="2:24">
      <c r="B37" s="298">
        <f t="shared" si="1"/>
        <v>1975</v>
      </c>
      <c r="C37" s="300">
        <f>(COUNTIF('Database - Tornado Segments'!$T$8:$T$1207, "1975F0"))</f>
        <v>10</v>
      </c>
      <c r="D37" s="300">
        <f>(COUNTIF('Database - Tornado Segments'!$T$8:$T$1207, "1975F1"))</f>
        <v>4</v>
      </c>
      <c r="E37" s="300">
        <f>(COUNTIF('Database - Tornado Segments'!$T$8:$T$1207, "1975F2"))</f>
        <v>1</v>
      </c>
      <c r="F37" s="300">
        <f>(COUNTIF('Database - Tornado Segments'!$T$8:$T$1207, "1975F3"))</f>
        <v>1</v>
      </c>
      <c r="G37" s="300">
        <f>(COUNTIF('Database - Tornado Segments'!$T$8:$T$1207, "1975F4"))</f>
        <v>0</v>
      </c>
      <c r="H37" s="300">
        <f>(COUNTIF('Database - Tornado Segments'!$T$8:$T$1207, "1975F5"))</f>
        <v>0</v>
      </c>
      <c r="I37" s="304">
        <f t="shared" si="0"/>
        <v>16</v>
      </c>
      <c r="J37" s="305">
        <f t="shared" si="8"/>
        <v>18.399999999999999</v>
      </c>
      <c r="K37" s="304">
        <f t="shared" si="2"/>
        <v>326</v>
      </c>
      <c r="L37" s="290">
        <f>K37/'# Yrs of Data'!D29</f>
        <v>12.538461538461538</v>
      </c>
      <c r="M37" s="2">
        <f t="shared" si="3"/>
        <v>133</v>
      </c>
      <c r="N37" s="46">
        <f>+M37/'# Yrs of Data'!D29</f>
        <v>5.115384615384615</v>
      </c>
      <c r="O37" s="2">
        <f t="shared" si="4"/>
        <v>104</v>
      </c>
      <c r="P37" s="46">
        <f>+O37/'# Yrs of Data'!D29</f>
        <v>4</v>
      </c>
      <c r="Q37" s="2">
        <f t="shared" si="5"/>
        <v>64</v>
      </c>
      <c r="R37" s="46">
        <f>+Q37/'# Yrs of Data'!D29</f>
        <v>2.4615384615384617</v>
      </c>
      <c r="S37" s="2">
        <f t="shared" si="6"/>
        <v>14</v>
      </c>
      <c r="T37" s="46">
        <f>+S37/'# Yrs of Data'!D29</f>
        <v>0.53846153846153844</v>
      </c>
      <c r="U37" s="2">
        <f t="shared" si="7"/>
        <v>11</v>
      </c>
      <c r="V37" s="46">
        <f>+U37/'# Yrs of Data'!D29</f>
        <v>0.42307692307692307</v>
      </c>
      <c r="W37" s="21" t="s">
        <v>981</v>
      </c>
      <c r="X37" s="21"/>
    </row>
    <row r="38" spans="2:24">
      <c r="B38" s="298">
        <f t="shared" si="1"/>
        <v>1976</v>
      </c>
      <c r="C38" s="300">
        <f>(COUNTIF('Database - Tornado Segments'!$T$8:$T$1207, "1976F0"))</f>
        <v>9</v>
      </c>
      <c r="D38" s="300">
        <f>(COUNTIF('Database - Tornado Segments'!$T$8:$T$1207, "1976F1"))</f>
        <v>1</v>
      </c>
      <c r="E38" s="300">
        <f>(COUNTIF('Database - Tornado Segments'!$T$8:$T$1207, "1976F2"))</f>
        <v>0</v>
      </c>
      <c r="F38" s="300">
        <f>(COUNTIF('Database - Tornado Segments'!$T$8:$T$1207, "1976F3"))</f>
        <v>0</v>
      </c>
      <c r="G38" s="300">
        <f>(COUNTIF('Database - Tornado Segments'!$T$8:$T$1207, "1976F4"))</f>
        <v>0</v>
      </c>
      <c r="H38" s="300">
        <f>(COUNTIF('Database - Tornado Segments'!$T$8:$T$1207, "1976F5"))</f>
        <v>0</v>
      </c>
      <c r="I38" s="304">
        <f t="shared" si="0"/>
        <v>10</v>
      </c>
      <c r="J38" s="305">
        <f t="shared" si="8"/>
        <v>18.2</v>
      </c>
      <c r="K38" s="304">
        <f t="shared" si="2"/>
        <v>336</v>
      </c>
      <c r="L38" s="290">
        <f>K38/'# Yrs of Data'!D30</f>
        <v>12.444444444444445</v>
      </c>
      <c r="M38" s="2">
        <f t="shared" si="3"/>
        <v>142</v>
      </c>
      <c r="N38" s="46">
        <f>+M38/'# Yrs of Data'!D30</f>
        <v>5.2592592592592595</v>
      </c>
      <c r="O38" s="2">
        <f t="shared" si="4"/>
        <v>105</v>
      </c>
      <c r="P38" s="46">
        <f>+O38/'# Yrs of Data'!D30</f>
        <v>3.8888888888888888</v>
      </c>
      <c r="Q38" s="2">
        <f t="shared" si="5"/>
        <v>64</v>
      </c>
      <c r="R38" s="46">
        <f>+Q38/'# Yrs of Data'!D30</f>
        <v>2.3703703703703702</v>
      </c>
      <c r="S38" s="2">
        <f t="shared" si="6"/>
        <v>14</v>
      </c>
      <c r="T38" s="46">
        <f>+S38/'# Yrs of Data'!D30</f>
        <v>0.51851851851851849</v>
      </c>
      <c r="U38" s="2">
        <f t="shared" si="7"/>
        <v>11</v>
      </c>
      <c r="V38" s="46">
        <f>+U38/'# Yrs of Data'!D30</f>
        <v>0.40740740740740738</v>
      </c>
      <c r="W38" s="21" t="s">
        <v>581</v>
      </c>
      <c r="X38" s="21"/>
    </row>
    <row r="39" spans="2:24">
      <c r="B39" s="298">
        <f t="shared" si="1"/>
        <v>1977</v>
      </c>
      <c r="C39" s="300">
        <f>(COUNTIF('Database - Tornado Segments'!$T$8:$T$1207, "1977F0"))</f>
        <v>7</v>
      </c>
      <c r="D39" s="300">
        <f>(COUNTIF('Database - Tornado Segments'!$T$8:$T$1207, "1977F1"))</f>
        <v>9</v>
      </c>
      <c r="E39" s="300">
        <f>(COUNTIF('Database - Tornado Segments'!$T$8:$T$1207, "1977F2"))</f>
        <v>2</v>
      </c>
      <c r="F39" s="300">
        <f>(COUNTIF('Database - Tornado Segments'!$T$8:$T$1207, "1977F3"))</f>
        <v>3</v>
      </c>
      <c r="G39" s="300">
        <f>(COUNTIF('Database - Tornado Segments'!$T$8:$T$1207, "1977F4"))</f>
        <v>1</v>
      </c>
      <c r="H39" s="300">
        <f>(COUNTIF('Database - Tornado Segments'!$T$8:$T$1207, "1977F5"))</f>
        <v>0</v>
      </c>
      <c r="I39" s="304">
        <f t="shared" si="0"/>
        <v>22</v>
      </c>
      <c r="J39" s="305">
        <f t="shared" si="8"/>
        <v>17.600000000000001</v>
      </c>
      <c r="K39" s="304">
        <f t="shared" si="2"/>
        <v>358</v>
      </c>
      <c r="L39" s="290">
        <f>K39/'# Yrs of Data'!D31</f>
        <v>12.785714285714286</v>
      </c>
      <c r="M39" s="2">
        <f t="shared" si="3"/>
        <v>149</v>
      </c>
      <c r="N39" s="46">
        <f>+M39/'# Yrs of Data'!D31</f>
        <v>5.3214285714285712</v>
      </c>
      <c r="O39" s="2">
        <f t="shared" si="4"/>
        <v>114</v>
      </c>
      <c r="P39" s="46">
        <f>+O39/'# Yrs of Data'!D31</f>
        <v>4.0714285714285712</v>
      </c>
      <c r="Q39" s="2">
        <f t="shared" si="5"/>
        <v>66</v>
      </c>
      <c r="R39" s="46">
        <f>+Q39/'# Yrs of Data'!D31</f>
        <v>2.3571428571428572</v>
      </c>
      <c r="S39" s="2">
        <f t="shared" si="6"/>
        <v>17</v>
      </c>
      <c r="T39" s="46">
        <f>+S39/'# Yrs of Data'!D31</f>
        <v>0.6071428571428571</v>
      </c>
      <c r="U39" s="2">
        <f t="shared" si="7"/>
        <v>12</v>
      </c>
      <c r="V39" s="46">
        <f>+U39/'# Yrs of Data'!D31</f>
        <v>0.42857142857142855</v>
      </c>
      <c r="W39" s="21" t="s">
        <v>980</v>
      </c>
      <c r="X39" s="21"/>
    </row>
    <row r="40" spans="2:24">
      <c r="B40" s="298">
        <f t="shared" si="1"/>
        <v>1978</v>
      </c>
      <c r="C40" s="300">
        <f>(COUNTIF('Database - Tornado Segments'!$T$8:$T$1207, "1978F0"))</f>
        <v>14</v>
      </c>
      <c r="D40" s="300">
        <f>(COUNTIF('Database - Tornado Segments'!$T$8:$T$1207, "1978F1"))</f>
        <v>0</v>
      </c>
      <c r="E40" s="300">
        <f>(COUNTIF('Database - Tornado Segments'!$T$8:$T$1207, "1978F2"))</f>
        <v>1</v>
      </c>
      <c r="F40" s="300">
        <f>(COUNTIF('Database - Tornado Segments'!$T$8:$T$1207, "1978F3"))</f>
        <v>1</v>
      </c>
      <c r="G40" s="300">
        <f>(COUNTIF('Database - Tornado Segments'!$T$8:$T$1207, "1978F4"))</f>
        <v>0</v>
      </c>
      <c r="H40" s="300">
        <f>(COUNTIF('Database - Tornado Segments'!$T$8:$T$1207, "1978F5"))</f>
        <v>0</v>
      </c>
      <c r="I40" s="304">
        <f t="shared" si="0"/>
        <v>16</v>
      </c>
      <c r="J40" s="305">
        <f t="shared" si="8"/>
        <v>17</v>
      </c>
      <c r="K40" s="304">
        <f t="shared" si="2"/>
        <v>374</v>
      </c>
      <c r="L40" s="290">
        <f>K40/'# Yrs of Data'!D32</f>
        <v>12.896551724137931</v>
      </c>
      <c r="M40" s="2">
        <f t="shared" si="3"/>
        <v>163</v>
      </c>
      <c r="N40" s="46">
        <f>+M40/'# Yrs of Data'!D32</f>
        <v>5.6206896551724137</v>
      </c>
      <c r="O40" s="2">
        <f t="shared" si="4"/>
        <v>114</v>
      </c>
      <c r="P40" s="46">
        <f>+O40/'# Yrs of Data'!D32</f>
        <v>3.9310344827586206</v>
      </c>
      <c r="Q40" s="2">
        <f t="shared" si="5"/>
        <v>67</v>
      </c>
      <c r="R40" s="46">
        <f>+Q40/'# Yrs of Data'!D32</f>
        <v>2.3103448275862069</v>
      </c>
      <c r="S40" s="2">
        <f t="shared" si="6"/>
        <v>18</v>
      </c>
      <c r="T40" s="46">
        <f>+S40/'# Yrs of Data'!D32</f>
        <v>0.62068965517241381</v>
      </c>
      <c r="U40" s="2">
        <f t="shared" si="7"/>
        <v>12</v>
      </c>
      <c r="V40" s="46">
        <f>+U40/'# Yrs of Data'!D32</f>
        <v>0.41379310344827586</v>
      </c>
      <c r="W40" s="21" t="s">
        <v>984</v>
      </c>
      <c r="X40" s="21"/>
    </row>
    <row r="41" spans="2:24">
      <c r="B41" s="298">
        <f t="shared" si="1"/>
        <v>1979</v>
      </c>
      <c r="C41" s="300">
        <f>(COUNTIF('Database - Tornado Segments'!$T$8:$T$1207, "1979F0"))</f>
        <v>10</v>
      </c>
      <c r="D41" s="300">
        <f>(COUNTIF('Database - Tornado Segments'!$T$8:$T$1207, "1979F1"))</f>
        <v>1</v>
      </c>
      <c r="E41" s="300">
        <f>(COUNTIF('Database - Tornado Segments'!$T$8:$T$1207, "1979F2"))</f>
        <v>0</v>
      </c>
      <c r="F41" s="300">
        <f>(COUNTIF('Database - Tornado Segments'!$T$8:$T$1207, "1979F3"))</f>
        <v>0</v>
      </c>
      <c r="G41" s="300">
        <f>(COUNTIF('Database - Tornado Segments'!$T$8:$T$1207, "1979F4"))</f>
        <v>0</v>
      </c>
      <c r="H41" s="300">
        <f>(COUNTIF('Database - Tornado Segments'!$T$8:$T$1207, "1979F5"))</f>
        <v>0</v>
      </c>
      <c r="I41" s="304">
        <f t="shared" si="0"/>
        <v>11</v>
      </c>
      <c r="J41" s="305">
        <f t="shared" si="8"/>
        <v>16.5</v>
      </c>
      <c r="K41" s="304">
        <f t="shared" si="2"/>
        <v>385</v>
      </c>
      <c r="L41" s="290">
        <f>K41/'# Yrs of Data'!D33</f>
        <v>12.833333333333334</v>
      </c>
      <c r="M41" s="2">
        <f t="shared" si="3"/>
        <v>173</v>
      </c>
      <c r="N41" s="46">
        <f>+M41/'# Yrs of Data'!D33</f>
        <v>5.7666666666666666</v>
      </c>
      <c r="O41" s="2">
        <f t="shared" si="4"/>
        <v>115</v>
      </c>
      <c r="P41" s="46">
        <f>+O41/'# Yrs of Data'!D33</f>
        <v>3.8333333333333335</v>
      </c>
      <c r="Q41" s="2">
        <f t="shared" si="5"/>
        <v>67</v>
      </c>
      <c r="R41" s="46">
        <f>+Q41/'# Yrs of Data'!D33</f>
        <v>2.2333333333333334</v>
      </c>
      <c r="S41" s="2">
        <f t="shared" si="6"/>
        <v>18</v>
      </c>
      <c r="T41" s="46">
        <f>+S41/'# Yrs of Data'!D33</f>
        <v>0.6</v>
      </c>
      <c r="U41" s="2">
        <f t="shared" si="7"/>
        <v>12</v>
      </c>
      <c r="V41" s="46">
        <f>+U41/'# Yrs of Data'!D33</f>
        <v>0.4</v>
      </c>
      <c r="W41" s="21" t="s">
        <v>583</v>
      </c>
      <c r="X41" s="21"/>
    </row>
    <row r="42" spans="2:24">
      <c r="B42" s="298">
        <f t="shared" si="1"/>
        <v>1980</v>
      </c>
      <c r="C42" s="300">
        <f>(COUNTIF('Database - Tornado Segments'!$T$8:$T$1207, "1980F0"))</f>
        <v>6</v>
      </c>
      <c r="D42" s="300">
        <f>(COUNTIF('Database - Tornado Segments'!$T$8:$T$1207, "1980F1"))</f>
        <v>4</v>
      </c>
      <c r="E42" s="300">
        <f>(COUNTIF('Database - Tornado Segments'!$T$8:$T$1207, "1980F2"))</f>
        <v>3</v>
      </c>
      <c r="F42" s="300">
        <f>(COUNTIF('Database - Tornado Segments'!$T$8:$T$1207, "1980F3"))</f>
        <v>0</v>
      </c>
      <c r="G42" s="300">
        <f>(COUNTIF('Database - Tornado Segments'!$T$8:$T$1207, "1980F4"))</f>
        <v>0</v>
      </c>
      <c r="H42" s="300">
        <f>(COUNTIF('Database - Tornado Segments'!$T$8:$T$1207, "1980F5"))</f>
        <v>0</v>
      </c>
      <c r="I42" s="304">
        <f t="shared" si="0"/>
        <v>13</v>
      </c>
      <c r="J42" s="305">
        <f t="shared" si="8"/>
        <v>16.8</v>
      </c>
      <c r="K42" s="304">
        <f t="shared" si="2"/>
        <v>398</v>
      </c>
      <c r="L42" s="290">
        <f>K42/'# Yrs of Data'!D34</f>
        <v>12.838709677419354</v>
      </c>
      <c r="M42" s="2">
        <f t="shared" si="3"/>
        <v>179</v>
      </c>
      <c r="N42" s="46">
        <f>+M42/'# Yrs of Data'!D34</f>
        <v>5.774193548387097</v>
      </c>
      <c r="O42" s="2">
        <f t="shared" si="4"/>
        <v>119</v>
      </c>
      <c r="P42" s="46">
        <f>+O42/'# Yrs of Data'!D34</f>
        <v>3.838709677419355</v>
      </c>
      <c r="Q42" s="2">
        <f t="shared" si="5"/>
        <v>70</v>
      </c>
      <c r="R42" s="46">
        <f>+Q42/'# Yrs of Data'!D34</f>
        <v>2.2580645161290325</v>
      </c>
      <c r="S42" s="2">
        <f t="shared" si="6"/>
        <v>18</v>
      </c>
      <c r="T42" s="46">
        <f>+S42/'# Yrs of Data'!D34</f>
        <v>0.58064516129032262</v>
      </c>
      <c r="U42" s="2">
        <f t="shared" si="7"/>
        <v>12</v>
      </c>
      <c r="V42" s="46">
        <f>+U42/'# Yrs of Data'!D34</f>
        <v>0.38709677419354838</v>
      </c>
      <c r="W42" s="21" t="s">
        <v>583</v>
      </c>
      <c r="X42" s="21"/>
    </row>
    <row r="43" spans="2:24">
      <c r="B43" s="298">
        <f t="shared" si="1"/>
        <v>1981</v>
      </c>
      <c r="C43" s="300">
        <f>(COUNTIF('Database - Tornado Segments'!$T$8:$T$1207, "1981F0"))</f>
        <v>10</v>
      </c>
      <c r="D43" s="300">
        <f>(COUNTIF('Database - Tornado Segments'!$T$8:$T$1207, "1981F1"))</f>
        <v>3</v>
      </c>
      <c r="E43" s="300">
        <f>(COUNTIF('Database - Tornado Segments'!$T$8:$T$1207, "1981F2"))</f>
        <v>1</v>
      </c>
      <c r="F43" s="300">
        <f>(COUNTIF('Database - Tornado Segments'!$T$8:$T$1207, "1981F3"))</f>
        <v>0</v>
      </c>
      <c r="G43" s="300">
        <f>(COUNTIF('Database - Tornado Segments'!$T$8:$T$1207, "1981F4"))</f>
        <v>0</v>
      </c>
      <c r="H43" s="300">
        <f>(COUNTIF('Database - Tornado Segments'!$T$8:$T$1207, "1981F5"))</f>
        <v>0</v>
      </c>
      <c r="I43" s="304">
        <f t="shared" si="0"/>
        <v>14</v>
      </c>
      <c r="J43" s="305">
        <f t="shared" si="8"/>
        <v>14.3</v>
      </c>
      <c r="K43" s="304">
        <f t="shared" si="2"/>
        <v>412</v>
      </c>
      <c r="L43" s="290">
        <f>K43/'# Yrs of Data'!D35</f>
        <v>12.875</v>
      </c>
      <c r="M43" s="2">
        <f t="shared" si="3"/>
        <v>189</v>
      </c>
      <c r="N43" s="46">
        <f>+M43/'# Yrs of Data'!D35</f>
        <v>5.90625</v>
      </c>
      <c r="O43" s="2">
        <f t="shared" si="4"/>
        <v>122</v>
      </c>
      <c r="P43" s="46">
        <f>+O43/'# Yrs of Data'!D35</f>
        <v>3.8125</v>
      </c>
      <c r="Q43" s="2">
        <f t="shared" si="5"/>
        <v>71</v>
      </c>
      <c r="R43" s="46">
        <f>+Q43/'# Yrs of Data'!D35</f>
        <v>2.21875</v>
      </c>
      <c r="S43" s="2">
        <f t="shared" si="6"/>
        <v>18</v>
      </c>
      <c r="T43" s="46">
        <f>+S43/'# Yrs of Data'!D35</f>
        <v>0.5625</v>
      </c>
      <c r="U43" s="2">
        <f t="shared" si="7"/>
        <v>12</v>
      </c>
      <c r="V43" s="46">
        <f>+U43/'# Yrs of Data'!D35</f>
        <v>0.375</v>
      </c>
      <c r="W43" s="21" t="s">
        <v>583</v>
      </c>
      <c r="X43" s="21"/>
    </row>
    <row r="44" spans="2:24">
      <c r="B44" s="298">
        <f t="shared" si="1"/>
        <v>1982</v>
      </c>
      <c r="C44" s="300">
        <f>(COUNTIF('Database - Tornado Segments'!$T$8:$T$1207, "1982F0"))</f>
        <v>19</v>
      </c>
      <c r="D44" s="300">
        <f>(COUNTIF('Database - Tornado Segments'!$T$8:$T$1207, "1982F1"))</f>
        <v>7</v>
      </c>
      <c r="E44" s="300">
        <f>(COUNTIF('Database - Tornado Segments'!$T$8:$T$1207, "1982F2"))</f>
        <v>5</v>
      </c>
      <c r="F44" s="300">
        <f>(COUNTIF('Database - Tornado Segments'!$T$8:$T$1207, "1982F3"))</f>
        <v>6</v>
      </c>
      <c r="G44" s="300">
        <f>(COUNTIF('Database - Tornado Segments'!$T$8:$T$1207, "1982F4"))</f>
        <v>3</v>
      </c>
      <c r="H44" s="300">
        <f>(COUNTIF('Database - Tornado Segments'!$T$8:$T$1207, "1982F5"))</f>
        <v>0</v>
      </c>
      <c r="I44" s="304">
        <f t="shared" ref="I44:I75" si="9">SUM(C44:H44)</f>
        <v>40</v>
      </c>
      <c r="J44" s="305">
        <f t="shared" si="8"/>
        <v>16.399999999999999</v>
      </c>
      <c r="K44" s="304">
        <f t="shared" si="2"/>
        <v>452</v>
      </c>
      <c r="L44" s="290">
        <f>K44/'# Yrs of Data'!D36</f>
        <v>13.696969696969697</v>
      </c>
      <c r="M44" s="2">
        <f t="shared" si="3"/>
        <v>208</v>
      </c>
      <c r="N44" s="46">
        <f>+M44/'# Yrs of Data'!D36</f>
        <v>6.3030303030303028</v>
      </c>
      <c r="O44" s="2">
        <f t="shared" si="4"/>
        <v>129</v>
      </c>
      <c r="P44" s="46">
        <f>+O44/'# Yrs of Data'!D36</f>
        <v>3.9090909090909092</v>
      </c>
      <c r="Q44" s="2">
        <f t="shared" si="5"/>
        <v>76</v>
      </c>
      <c r="R44" s="46">
        <f>+Q44/'# Yrs of Data'!D36</f>
        <v>2.3030303030303032</v>
      </c>
      <c r="S44" s="2">
        <f t="shared" si="6"/>
        <v>24</v>
      </c>
      <c r="T44" s="46">
        <f>+S44/'# Yrs of Data'!D36</f>
        <v>0.72727272727272729</v>
      </c>
      <c r="U44" s="2">
        <f t="shared" si="7"/>
        <v>15</v>
      </c>
      <c r="V44" s="46">
        <f>+U44/'# Yrs of Data'!D36</f>
        <v>0.45454545454545453</v>
      </c>
      <c r="W44" s="21" t="s">
        <v>580</v>
      </c>
      <c r="X44" s="21"/>
    </row>
    <row r="45" spans="2:24">
      <c r="B45" s="298">
        <f t="shared" ref="B45:B87" si="10">B44+1</f>
        <v>1983</v>
      </c>
      <c r="C45" s="300">
        <f>(COUNTIF('Database - Tornado Segments'!$T$8:$T$1207, "1983F0"))</f>
        <v>8</v>
      </c>
      <c r="D45" s="300">
        <f>(COUNTIF('Database - Tornado Segments'!$T$8:$T$1207, "1983F1"))</f>
        <v>4</v>
      </c>
      <c r="E45" s="300">
        <f>(COUNTIF('Database - Tornado Segments'!$T$8:$T$1207, "1983F2"))</f>
        <v>2</v>
      </c>
      <c r="F45" s="300">
        <f>(COUNTIF('Database - Tornado Segments'!$T$8:$T$1207, "1983F3"))</f>
        <v>0</v>
      </c>
      <c r="G45" s="300">
        <f>(COUNTIF('Database - Tornado Segments'!$T$8:$T$1207, "1983F4"))</f>
        <v>0</v>
      </c>
      <c r="H45" s="300">
        <f>(COUNTIF('Database - Tornado Segments'!$T$8:$T$1207, "1983F5"))</f>
        <v>0</v>
      </c>
      <c r="I45" s="304">
        <f t="shared" si="9"/>
        <v>14</v>
      </c>
      <c r="J45" s="305">
        <f t="shared" si="8"/>
        <v>16.899999999999999</v>
      </c>
      <c r="K45" s="304">
        <f t="shared" ref="K45:K77" si="11">K44+I45</f>
        <v>466</v>
      </c>
      <c r="L45" s="290">
        <f>K45/'# Yrs of Data'!D37</f>
        <v>13.705882352941176</v>
      </c>
      <c r="M45" s="2">
        <f t="shared" ref="M45:M77" si="12">+M44+C45</f>
        <v>216</v>
      </c>
      <c r="N45" s="46">
        <f>+M45/'# Yrs of Data'!D37</f>
        <v>6.3529411764705879</v>
      </c>
      <c r="O45" s="2">
        <f t="shared" ref="O45:O77" si="13">+O44+D45</f>
        <v>133</v>
      </c>
      <c r="P45" s="46">
        <f>+O45/'# Yrs of Data'!D37</f>
        <v>3.9117647058823528</v>
      </c>
      <c r="Q45" s="2">
        <f t="shared" ref="Q45:Q77" si="14">+Q44+E45</f>
        <v>78</v>
      </c>
      <c r="R45" s="46">
        <f>+Q45/'# Yrs of Data'!D37</f>
        <v>2.2941176470588234</v>
      </c>
      <c r="S45" s="2">
        <f t="shared" ref="S45:S77" si="15">+S44+F45</f>
        <v>24</v>
      </c>
      <c r="T45" s="46">
        <f>+S45/'# Yrs of Data'!D37</f>
        <v>0.70588235294117652</v>
      </c>
      <c r="U45" s="2">
        <f t="shared" ref="U45:U77" si="16">+U44+G45</f>
        <v>15</v>
      </c>
      <c r="V45" s="46">
        <f>+U45/'# Yrs of Data'!D37</f>
        <v>0.44117647058823528</v>
      </c>
      <c r="W45" s="21" t="s">
        <v>989</v>
      </c>
      <c r="X45" s="21"/>
    </row>
    <row r="46" spans="2:24">
      <c r="B46" s="298">
        <f t="shared" si="10"/>
        <v>1984</v>
      </c>
      <c r="C46" s="300">
        <f>(COUNTIF('Database - Tornado Segments'!$T$8:$T$1207, "1984F0"))</f>
        <v>6</v>
      </c>
      <c r="D46" s="300">
        <f>(COUNTIF('Database - Tornado Segments'!$T$8:$T$1207, "1984F1"))</f>
        <v>2</v>
      </c>
      <c r="E46" s="300">
        <f>(COUNTIF('Database - Tornado Segments'!$T$8:$T$1207, "1984F2"))</f>
        <v>0</v>
      </c>
      <c r="F46" s="300">
        <f>(COUNTIF('Database - Tornado Segments'!$T$8:$T$1207, "1984F3"))</f>
        <v>0</v>
      </c>
      <c r="G46" s="300">
        <f>(COUNTIF('Database - Tornado Segments'!$T$8:$T$1207, "1984F4"))</f>
        <v>0</v>
      </c>
      <c r="H46" s="300">
        <f>(COUNTIF('Database - Tornado Segments'!$T$8:$T$1207, "1984F5"))</f>
        <v>0</v>
      </c>
      <c r="I46" s="304">
        <f t="shared" si="9"/>
        <v>8</v>
      </c>
      <c r="J46" s="305">
        <f t="shared" si="8"/>
        <v>16.399999999999999</v>
      </c>
      <c r="K46" s="304">
        <f t="shared" si="11"/>
        <v>474</v>
      </c>
      <c r="L46" s="290">
        <f>K46/'# Yrs of Data'!D38</f>
        <v>13.542857142857143</v>
      </c>
      <c r="M46" s="2">
        <f t="shared" si="12"/>
        <v>222</v>
      </c>
      <c r="N46" s="46">
        <f>+M46/'# Yrs of Data'!D38</f>
        <v>6.3428571428571425</v>
      </c>
      <c r="O46" s="2">
        <f t="shared" si="13"/>
        <v>135</v>
      </c>
      <c r="P46" s="46">
        <f>+O46/'# Yrs of Data'!D38</f>
        <v>3.8571428571428572</v>
      </c>
      <c r="Q46" s="2">
        <f t="shared" si="14"/>
        <v>78</v>
      </c>
      <c r="R46" s="46">
        <f>+Q46/'# Yrs of Data'!D38</f>
        <v>2.2285714285714286</v>
      </c>
      <c r="S46" s="2">
        <f t="shared" si="15"/>
        <v>24</v>
      </c>
      <c r="T46" s="46">
        <f>+S46/'# Yrs of Data'!D38</f>
        <v>0.68571428571428572</v>
      </c>
      <c r="U46" s="2">
        <f t="shared" si="16"/>
        <v>15</v>
      </c>
      <c r="V46" s="46">
        <f>+U46/'# Yrs of Data'!D38</f>
        <v>0.42857142857142855</v>
      </c>
      <c r="W46" s="21" t="s">
        <v>583</v>
      </c>
      <c r="X46" s="21"/>
    </row>
    <row r="47" spans="2:24">
      <c r="B47" s="298">
        <f t="shared" si="10"/>
        <v>1985</v>
      </c>
      <c r="C47" s="300">
        <f>(COUNTIF('Database - Tornado Segments'!$T$8:$T$1207, "1985F0"))</f>
        <v>3</v>
      </c>
      <c r="D47" s="300">
        <f>(COUNTIF('Database - Tornado Segments'!$T$8:$T$1207, "1985F1"))</f>
        <v>0</v>
      </c>
      <c r="E47" s="300">
        <f>(COUNTIF('Database - Tornado Segments'!$T$8:$T$1207, "1985F2"))</f>
        <v>0</v>
      </c>
      <c r="F47" s="300">
        <f>(COUNTIF('Database - Tornado Segments'!$T$8:$T$1207, "1985F3"))</f>
        <v>0</v>
      </c>
      <c r="G47" s="300">
        <f>(COUNTIF('Database - Tornado Segments'!$T$8:$T$1207, "1985F4"))</f>
        <v>0</v>
      </c>
      <c r="H47" s="300">
        <f>(COUNTIF('Database - Tornado Segments'!$T$8:$T$1207, "1985F5"))</f>
        <v>0</v>
      </c>
      <c r="I47" s="304">
        <f t="shared" si="9"/>
        <v>3</v>
      </c>
      <c r="J47" s="305">
        <f t="shared" si="8"/>
        <v>15.1</v>
      </c>
      <c r="K47" s="304">
        <f t="shared" si="11"/>
        <v>477</v>
      </c>
      <c r="L47" s="290">
        <f>K47/'# Yrs of Data'!D39</f>
        <v>13.25</v>
      </c>
      <c r="M47" s="2">
        <f t="shared" si="12"/>
        <v>225</v>
      </c>
      <c r="N47" s="46">
        <f>+M47/'# Yrs of Data'!D39</f>
        <v>6.25</v>
      </c>
      <c r="O47" s="2">
        <f t="shared" si="13"/>
        <v>135</v>
      </c>
      <c r="P47" s="46">
        <f>+O47/'# Yrs of Data'!D39</f>
        <v>3.75</v>
      </c>
      <c r="Q47" s="2">
        <f t="shared" si="14"/>
        <v>78</v>
      </c>
      <c r="R47" s="46">
        <f>+Q47/'# Yrs of Data'!D39</f>
        <v>2.1666666666666665</v>
      </c>
      <c r="S47" s="2">
        <f t="shared" si="15"/>
        <v>24</v>
      </c>
      <c r="T47" s="46">
        <f>+S47/'# Yrs of Data'!D39</f>
        <v>0.66666666666666663</v>
      </c>
      <c r="U47" s="2">
        <f t="shared" si="16"/>
        <v>15</v>
      </c>
      <c r="V47" s="46">
        <f>+U47/'# Yrs of Data'!D39</f>
        <v>0.41666666666666669</v>
      </c>
      <c r="W47" s="21" t="s">
        <v>982</v>
      </c>
      <c r="X47" s="21"/>
    </row>
    <row r="48" spans="2:24">
      <c r="B48" s="298">
        <f t="shared" si="10"/>
        <v>1986</v>
      </c>
      <c r="C48" s="300">
        <f>(COUNTIF('Database - Tornado Segments'!$T$8:$T$1207, "1986F0"))</f>
        <v>14</v>
      </c>
      <c r="D48" s="300">
        <f>(COUNTIF('Database - Tornado Segments'!$T$8:$T$1207, "1986F1"))</f>
        <v>0</v>
      </c>
      <c r="E48" s="300">
        <f>(COUNTIF('Database - Tornado Segments'!$T$8:$T$1207, "1986F2"))</f>
        <v>1</v>
      </c>
      <c r="F48" s="300">
        <f>(COUNTIF('Database - Tornado Segments'!$T$8:$T$1207, "1986F3"))</f>
        <v>1</v>
      </c>
      <c r="G48" s="300">
        <f>(COUNTIF('Database - Tornado Segments'!$T$8:$T$1207, "1986F4"))</f>
        <v>0</v>
      </c>
      <c r="H48" s="300">
        <f>(COUNTIF('Database - Tornado Segments'!$T$8:$T$1207, "1986F5"))</f>
        <v>0</v>
      </c>
      <c r="I48" s="304">
        <f t="shared" si="9"/>
        <v>16</v>
      </c>
      <c r="J48" s="305">
        <f t="shared" si="8"/>
        <v>15.7</v>
      </c>
      <c r="K48" s="304">
        <f t="shared" si="11"/>
        <v>493</v>
      </c>
      <c r="L48" s="290">
        <f>K48/'# Yrs of Data'!D40</f>
        <v>13.324324324324325</v>
      </c>
      <c r="M48" s="2">
        <f t="shared" si="12"/>
        <v>239</v>
      </c>
      <c r="N48" s="46">
        <f>+M48/'# Yrs of Data'!D40</f>
        <v>6.4594594594594597</v>
      </c>
      <c r="O48" s="2">
        <f t="shared" si="13"/>
        <v>135</v>
      </c>
      <c r="P48" s="46">
        <f>+O48/'# Yrs of Data'!D40</f>
        <v>3.6486486486486487</v>
      </c>
      <c r="Q48" s="2">
        <f t="shared" si="14"/>
        <v>79</v>
      </c>
      <c r="R48" s="46">
        <f>+Q48/'# Yrs of Data'!D40</f>
        <v>2.1351351351351351</v>
      </c>
      <c r="S48" s="2">
        <f t="shared" si="15"/>
        <v>25</v>
      </c>
      <c r="T48" s="46">
        <f>+S48/'# Yrs of Data'!D40</f>
        <v>0.67567567567567566</v>
      </c>
      <c r="U48" s="2">
        <f t="shared" si="16"/>
        <v>15</v>
      </c>
      <c r="V48" s="46">
        <f>+U48/'# Yrs of Data'!D40</f>
        <v>0.40540540540540543</v>
      </c>
      <c r="W48" s="21" t="s">
        <v>583</v>
      </c>
      <c r="X48" s="21"/>
    </row>
    <row r="49" spans="2:24">
      <c r="B49" s="298">
        <f t="shared" si="10"/>
        <v>1987</v>
      </c>
      <c r="C49" s="300">
        <f>(COUNTIF('Database - Tornado Segments'!$T$8:$T$1207, "1987F0"))</f>
        <v>13</v>
      </c>
      <c r="D49" s="300">
        <f>(COUNTIF('Database - Tornado Segments'!$T$8:$T$1207, "1987F1"))</f>
        <v>8</v>
      </c>
      <c r="E49" s="300">
        <f>(COUNTIF('Database - Tornado Segments'!$T$8:$T$1207, "1987F2"))</f>
        <v>10</v>
      </c>
      <c r="F49" s="300">
        <f>(COUNTIF('Database - Tornado Segments'!$T$8:$T$1207, "1987F3"))</f>
        <v>3</v>
      </c>
      <c r="G49" s="300">
        <f>(COUNTIF('Database - Tornado Segments'!$T$8:$T$1207, "1987F4"))</f>
        <v>0</v>
      </c>
      <c r="H49" s="300">
        <f>(COUNTIF('Database - Tornado Segments'!$T$8:$T$1207, "1987F5"))</f>
        <v>0</v>
      </c>
      <c r="I49" s="304">
        <f t="shared" si="9"/>
        <v>34</v>
      </c>
      <c r="J49" s="305">
        <f t="shared" si="8"/>
        <v>16.899999999999999</v>
      </c>
      <c r="K49" s="304">
        <f t="shared" si="11"/>
        <v>527</v>
      </c>
      <c r="L49" s="290">
        <f>K49/'# Yrs of Data'!D41</f>
        <v>13.868421052631579</v>
      </c>
      <c r="M49" s="2">
        <f t="shared" si="12"/>
        <v>252</v>
      </c>
      <c r="N49" s="46">
        <f>+M49/'# Yrs of Data'!D41</f>
        <v>6.6315789473684212</v>
      </c>
      <c r="O49" s="2">
        <f t="shared" si="13"/>
        <v>143</v>
      </c>
      <c r="P49" s="46">
        <f>+O49/'# Yrs of Data'!D41</f>
        <v>3.763157894736842</v>
      </c>
      <c r="Q49" s="2">
        <f t="shared" si="14"/>
        <v>89</v>
      </c>
      <c r="R49" s="46">
        <f>+Q49/'# Yrs of Data'!D41</f>
        <v>2.3421052631578947</v>
      </c>
      <c r="S49" s="2">
        <f t="shared" si="15"/>
        <v>28</v>
      </c>
      <c r="T49" s="46">
        <f>+S49/'# Yrs of Data'!D41</f>
        <v>0.73684210526315785</v>
      </c>
      <c r="U49" s="2">
        <f t="shared" si="16"/>
        <v>15</v>
      </c>
      <c r="V49" s="46">
        <f>+U49/'# Yrs of Data'!D41</f>
        <v>0.39473684210526316</v>
      </c>
      <c r="W49" s="21" t="s">
        <v>994</v>
      </c>
      <c r="X49" s="21"/>
    </row>
    <row r="50" spans="2:24">
      <c r="B50" s="298">
        <f t="shared" si="10"/>
        <v>1988</v>
      </c>
      <c r="C50" s="300">
        <f>(COUNTIF('Database - Tornado Segments'!$T$8:$T$1207, "1988F0"))</f>
        <v>2</v>
      </c>
      <c r="D50" s="300">
        <f>(COUNTIF('Database - Tornado Segments'!$T$8:$T$1207, "1988F1"))</f>
        <v>1</v>
      </c>
      <c r="E50" s="300">
        <f>(COUNTIF('Database - Tornado Segments'!$T$8:$T$1207, "1988F2"))</f>
        <v>1</v>
      </c>
      <c r="F50" s="300">
        <f>(COUNTIF('Database - Tornado Segments'!$T$8:$T$1207, "1988F3"))</f>
        <v>0</v>
      </c>
      <c r="G50" s="300">
        <f>(COUNTIF('Database - Tornado Segments'!$T$8:$T$1207, "1988F4"))</f>
        <v>0</v>
      </c>
      <c r="H50" s="300">
        <f>(COUNTIF('Database - Tornado Segments'!$T$8:$T$1207, "1988F5"))</f>
        <v>0</v>
      </c>
      <c r="I50" s="304">
        <f t="shared" si="9"/>
        <v>4</v>
      </c>
      <c r="J50" s="305">
        <f t="shared" si="8"/>
        <v>15.7</v>
      </c>
      <c r="K50" s="304">
        <f t="shared" si="11"/>
        <v>531</v>
      </c>
      <c r="L50" s="290">
        <f>K50/'# Yrs of Data'!D42</f>
        <v>13.615384615384615</v>
      </c>
      <c r="M50" s="2">
        <f t="shared" si="12"/>
        <v>254</v>
      </c>
      <c r="N50" s="46">
        <f>+M50/'# Yrs of Data'!D42</f>
        <v>6.5128205128205128</v>
      </c>
      <c r="O50" s="2">
        <f t="shared" si="13"/>
        <v>144</v>
      </c>
      <c r="P50" s="46">
        <f>+O50/'# Yrs of Data'!D42</f>
        <v>3.6923076923076925</v>
      </c>
      <c r="Q50" s="2">
        <f t="shared" si="14"/>
        <v>90</v>
      </c>
      <c r="R50" s="46">
        <f>+Q50/'# Yrs of Data'!D42</f>
        <v>2.3076923076923075</v>
      </c>
      <c r="S50" s="2">
        <f t="shared" si="15"/>
        <v>28</v>
      </c>
      <c r="T50" s="46">
        <f>+S50/'# Yrs of Data'!D42</f>
        <v>0.71794871794871795</v>
      </c>
      <c r="U50" s="2">
        <f t="shared" si="16"/>
        <v>15</v>
      </c>
      <c r="V50" s="46">
        <f>+U50/'# Yrs of Data'!D42</f>
        <v>0.38461538461538464</v>
      </c>
      <c r="W50" s="21" t="s">
        <v>987</v>
      </c>
      <c r="X50" s="21"/>
    </row>
    <row r="51" spans="2:24">
      <c r="B51" s="298">
        <f t="shared" si="10"/>
        <v>1989</v>
      </c>
      <c r="C51" s="300">
        <f>(COUNTIF('Database - Tornado Segments'!$T$8:$T$1207, "1989F0"))</f>
        <v>23</v>
      </c>
      <c r="D51" s="300">
        <f>(COUNTIF('Database - Tornado Segments'!$T$8:$T$1207, "1989F1"))</f>
        <v>7</v>
      </c>
      <c r="E51" s="300">
        <f>(COUNTIF('Database - Tornado Segments'!$T$8:$T$1207, "1989F2"))</f>
        <v>2</v>
      </c>
      <c r="F51" s="300">
        <f>(COUNTIF('Database - Tornado Segments'!$T$8:$T$1207, "1989F3"))</f>
        <v>0</v>
      </c>
      <c r="G51" s="300">
        <f>(COUNTIF('Database - Tornado Segments'!$T$8:$T$1207, "1989F4"))</f>
        <v>0</v>
      </c>
      <c r="H51" s="300">
        <f>(COUNTIF('Database - Tornado Segments'!$T$8:$T$1207, "1989F5"))</f>
        <v>0</v>
      </c>
      <c r="I51" s="304">
        <f t="shared" si="9"/>
        <v>32</v>
      </c>
      <c r="J51" s="305">
        <f t="shared" si="8"/>
        <v>17.8</v>
      </c>
      <c r="K51" s="304">
        <f t="shared" si="11"/>
        <v>563</v>
      </c>
      <c r="L51" s="290">
        <f>K51/'# Yrs of Data'!D43</f>
        <v>14.074999999999999</v>
      </c>
      <c r="M51" s="2">
        <f t="shared" si="12"/>
        <v>277</v>
      </c>
      <c r="N51" s="46">
        <f>+M51/'# Yrs of Data'!D43</f>
        <v>6.9249999999999998</v>
      </c>
      <c r="O51" s="2">
        <f t="shared" si="13"/>
        <v>151</v>
      </c>
      <c r="P51" s="46">
        <f>+O51/'# Yrs of Data'!D43</f>
        <v>3.7749999999999999</v>
      </c>
      <c r="Q51" s="2">
        <f t="shared" si="14"/>
        <v>92</v>
      </c>
      <c r="R51" s="46">
        <f>+Q51/'# Yrs of Data'!D43</f>
        <v>2.2999999999999998</v>
      </c>
      <c r="S51" s="2">
        <f t="shared" si="15"/>
        <v>28</v>
      </c>
      <c r="T51" s="46">
        <f>+S51/'# Yrs of Data'!D43</f>
        <v>0.7</v>
      </c>
      <c r="U51" s="2">
        <f t="shared" si="16"/>
        <v>15</v>
      </c>
      <c r="V51" s="46">
        <f>+U51/'# Yrs of Data'!D43</f>
        <v>0.375</v>
      </c>
      <c r="W51" s="21" t="s">
        <v>988</v>
      </c>
      <c r="X51" s="21"/>
    </row>
    <row r="52" spans="2:24">
      <c r="B52" s="298">
        <f t="shared" si="10"/>
        <v>1990</v>
      </c>
      <c r="C52" s="300">
        <f>(COUNTIF('Database - Tornado Segments'!$T$8:$T$1207, "1990F0"))</f>
        <v>24</v>
      </c>
      <c r="D52" s="300">
        <f>(COUNTIF('Database - Tornado Segments'!$T$8:$T$1207, "1990F1"))</f>
        <v>9</v>
      </c>
      <c r="E52" s="300">
        <f>(COUNTIF('Database - Tornado Segments'!$T$8:$T$1207, "1990F2"))</f>
        <v>4</v>
      </c>
      <c r="F52" s="300">
        <f>(COUNTIF('Database - Tornado Segments'!$T$8:$T$1207, "1990F3"))</f>
        <v>1</v>
      </c>
      <c r="G52" s="300">
        <f>(COUNTIF('Database - Tornado Segments'!$T$8:$T$1207, "1990F4"))</f>
        <v>0</v>
      </c>
      <c r="H52" s="300">
        <f>(COUNTIF('Database - Tornado Segments'!$T$8:$T$1207, "1990F5"))</f>
        <v>0</v>
      </c>
      <c r="I52" s="304">
        <f t="shared" si="9"/>
        <v>38</v>
      </c>
      <c r="J52" s="305">
        <f t="shared" si="8"/>
        <v>20.3</v>
      </c>
      <c r="K52" s="304">
        <f t="shared" si="11"/>
        <v>601</v>
      </c>
      <c r="L52" s="290">
        <f>K52/'# Yrs of Data'!D44</f>
        <v>14.658536585365853</v>
      </c>
      <c r="M52" s="2">
        <f t="shared" si="12"/>
        <v>301</v>
      </c>
      <c r="N52" s="46">
        <f>+M52/'# Yrs of Data'!D44</f>
        <v>7.3414634146341466</v>
      </c>
      <c r="O52" s="2">
        <f t="shared" si="13"/>
        <v>160</v>
      </c>
      <c r="P52" s="46">
        <f>+O52/'# Yrs of Data'!D44</f>
        <v>3.9024390243902438</v>
      </c>
      <c r="Q52" s="2">
        <f t="shared" si="14"/>
        <v>96</v>
      </c>
      <c r="R52" s="46">
        <f>+Q52/'# Yrs of Data'!D44</f>
        <v>2.3414634146341462</v>
      </c>
      <c r="S52" s="2">
        <f t="shared" si="15"/>
        <v>29</v>
      </c>
      <c r="T52" s="46">
        <f>+S52/'# Yrs of Data'!D44</f>
        <v>0.70731707317073167</v>
      </c>
      <c r="U52" s="2">
        <f t="shared" si="16"/>
        <v>15</v>
      </c>
      <c r="V52" s="46">
        <f>+U52/'# Yrs of Data'!D44</f>
        <v>0.36585365853658536</v>
      </c>
      <c r="W52" s="21" t="s">
        <v>583</v>
      </c>
      <c r="X52" s="21"/>
    </row>
    <row r="53" spans="2:24">
      <c r="B53" s="298">
        <f t="shared" si="10"/>
        <v>1991</v>
      </c>
      <c r="C53" s="300">
        <f>(COUNTIF('Database - Tornado Segments'!$T$8:$T$1207, "1991F0"))</f>
        <v>19</v>
      </c>
      <c r="D53" s="300">
        <f>(COUNTIF('Database - Tornado Segments'!$T$8:$T$1207, "1991F1"))</f>
        <v>1</v>
      </c>
      <c r="E53" s="300">
        <f>(COUNTIF('Database - Tornado Segments'!$T$8:$T$1207, "1991F2"))</f>
        <v>0</v>
      </c>
      <c r="F53" s="300">
        <f>(COUNTIF('Database - Tornado Segments'!$T$8:$T$1207, "1991F3"))</f>
        <v>2</v>
      </c>
      <c r="G53" s="300">
        <f>(COUNTIF('Database - Tornado Segments'!$T$8:$T$1207, "1991F4"))</f>
        <v>0</v>
      </c>
      <c r="H53" s="300">
        <f>(COUNTIF('Database - Tornado Segments'!$T$8:$T$1207, "1991F5"))</f>
        <v>0</v>
      </c>
      <c r="I53" s="304">
        <f t="shared" si="9"/>
        <v>22</v>
      </c>
      <c r="J53" s="305">
        <f t="shared" ref="J53:J77" si="17">SUM(I44:I53)/10</f>
        <v>21.1</v>
      </c>
      <c r="K53" s="304">
        <f t="shared" si="11"/>
        <v>623</v>
      </c>
      <c r="L53" s="290">
        <f>K53/'# Yrs of Data'!D45</f>
        <v>14.833333333333334</v>
      </c>
      <c r="M53" s="2">
        <f t="shared" si="12"/>
        <v>320</v>
      </c>
      <c r="N53" s="46">
        <f>+M53/'# Yrs of Data'!D45</f>
        <v>7.6190476190476186</v>
      </c>
      <c r="O53" s="2">
        <f t="shared" si="13"/>
        <v>161</v>
      </c>
      <c r="P53" s="46">
        <f>+O53/'# Yrs of Data'!D45</f>
        <v>3.8333333333333335</v>
      </c>
      <c r="Q53" s="2">
        <f t="shared" si="14"/>
        <v>96</v>
      </c>
      <c r="R53" s="46">
        <f>+Q53/'# Yrs of Data'!D45</f>
        <v>2.2857142857142856</v>
      </c>
      <c r="S53" s="2">
        <f t="shared" si="15"/>
        <v>31</v>
      </c>
      <c r="T53" s="46">
        <f>+S53/'# Yrs of Data'!D45</f>
        <v>0.73809523809523814</v>
      </c>
      <c r="U53" s="2">
        <f t="shared" si="16"/>
        <v>15</v>
      </c>
      <c r="V53" s="46">
        <f>+U53/'# Yrs of Data'!D45</f>
        <v>0.35714285714285715</v>
      </c>
      <c r="W53" s="21" t="s">
        <v>580</v>
      </c>
      <c r="X53" s="21"/>
    </row>
    <row r="54" spans="2:24">
      <c r="B54" s="298">
        <f t="shared" si="10"/>
        <v>1992</v>
      </c>
      <c r="C54" s="300">
        <f>(COUNTIF('Database - Tornado Segments'!$T$8:$T$1207, "1992F0"))</f>
        <v>13</v>
      </c>
      <c r="D54" s="300">
        <f>(COUNTIF('Database - Tornado Segments'!$T$8:$T$1207, "1992F1"))</f>
        <v>4</v>
      </c>
      <c r="E54" s="300">
        <f>(COUNTIF('Database - Tornado Segments'!$T$8:$T$1207, "1992F2"))</f>
        <v>1</v>
      </c>
      <c r="F54" s="300">
        <f>(COUNTIF('Database - Tornado Segments'!$T$8:$T$1207, "1992F3"))</f>
        <v>1</v>
      </c>
      <c r="G54" s="300">
        <f>(COUNTIF('Database - Tornado Segments'!$T$8:$T$1207, "1992F4"))</f>
        <v>3</v>
      </c>
      <c r="H54" s="300">
        <f>(COUNTIF('Database - Tornado Segments'!$T$8:$T$1207, "1992F5"))</f>
        <v>0</v>
      </c>
      <c r="I54" s="304">
        <f t="shared" si="9"/>
        <v>22</v>
      </c>
      <c r="J54" s="305">
        <f t="shared" si="17"/>
        <v>19.3</v>
      </c>
      <c r="K54" s="304">
        <f t="shared" si="11"/>
        <v>645</v>
      </c>
      <c r="L54" s="290">
        <f>K54/'# Yrs of Data'!D46</f>
        <v>15</v>
      </c>
      <c r="M54" s="2">
        <f t="shared" si="12"/>
        <v>333</v>
      </c>
      <c r="N54" s="46">
        <f>+M54/'# Yrs of Data'!D46</f>
        <v>7.7441860465116283</v>
      </c>
      <c r="O54" s="2">
        <f t="shared" si="13"/>
        <v>165</v>
      </c>
      <c r="P54" s="46">
        <f>+O54/'# Yrs of Data'!D46</f>
        <v>3.8372093023255816</v>
      </c>
      <c r="Q54" s="2">
        <f t="shared" si="14"/>
        <v>97</v>
      </c>
      <c r="R54" s="46">
        <f>+Q54/'# Yrs of Data'!D46</f>
        <v>2.2558139534883721</v>
      </c>
      <c r="S54" s="2">
        <f t="shared" si="15"/>
        <v>32</v>
      </c>
      <c r="T54" s="46">
        <f>+S54/'# Yrs of Data'!D46</f>
        <v>0.7441860465116279</v>
      </c>
      <c r="U54" s="2">
        <f t="shared" si="16"/>
        <v>18</v>
      </c>
      <c r="V54" s="46">
        <f>+U54/'# Yrs of Data'!D46</f>
        <v>0.41860465116279072</v>
      </c>
      <c r="W54" s="21" t="s">
        <v>983</v>
      </c>
      <c r="X54" s="21"/>
    </row>
    <row r="55" spans="2:24">
      <c r="B55" s="298">
        <f t="shared" si="10"/>
        <v>1993</v>
      </c>
      <c r="C55" s="300">
        <f>(COUNTIF('Database - Tornado Segments'!$T$8:$T$1207, "1993F0"))</f>
        <v>12</v>
      </c>
      <c r="D55" s="300">
        <f>(COUNTIF('Database - Tornado Segments'!$T$8:$T$1207, "1993F1"))</f>
        <v>4</v>
      </c>
      <c r="E55" s="300">
        <f>(COUNTIF('Database - Tornado Segments'!$T$8:$T$1207, "1993F2"))</f>
        <v>0</v>
      </c>
      <c r="F55" s="300">
        <f>(COUNTIF('Database - Tornado Segments'!$T$8:$T$1207, "1993F3"))</f>
        <v>2</v>
      </c>
      <c r="G55" s="300">
        <f>(COUNTIF('Database - Tornado Segments'!$T$8:$T$1207, "1993F4"))</f>
        <v>0</v>
      </c>
      <c r="H55" s="300">
        <f>(COUNTIF('Database - Tornado Segments'!$T$8:$T$1207, "1993F5"))</f>
        <v>0</v>
      </c>
      <c r="I55" s="304">
        <f t="shared" si="9"/>
        <v>18</v>
      </c>
      <c r="J55" s="305">
        <f t="shared" si="17"/>
        <v>19.7</v>
      </c>
      <c r="K55" s="304">
        <f t="shared" si="11"/>
        <v>663</v>
      </c>
      <c r="L55" s="290">
        <f>K55/'# Yrs of Data'!D47</f>
        <v>15.068181818181818</v>
      </c>
      <c r="M55" s="2">
        <f t="shared" si="12"/>
        <v>345</v>
      </c>
      <c r="N55" s="46">
        <f>+M55/'# Yrs of Data'!D47</f>
        <v>7.8409090909090908</v>
      </c>
      <c r="O55" s="2">
        <f t="shared" si="13"/>
        <v>169</v>
      </c>
      <c r="P55" s="46">
        <f>+O55/'# Yrs of Data'!D47</f>
        <v>3.8409090909090908</v>
      </c>
      <c r="Q55" s="2">
        <f t="shared" si="14"/>
        <v>97</v>
      </c>
      <c r="R55" s="46">
        <f>+Q55/'# Yrs of Data'!D47</f>
        <v>2.2045454545454546</v>
      </c>
      <c r="S55" s="2">
        <f t="shared" si="15"/>
        <v>34</v>
      </c>
      <c r="T55" s="46">
        <f>+S55/'# Yrs of Data'!D47</f>
        <v>0.77272727272727271</v>
      </c>
      <c r="U55" s="2">
        <f t="shared" si="16"/>
        <v>18</v>
      </c>
      <c r="V55" s="46">
        <f>+U55/'# Yrs of Data'!D47</f>
        <v>0.40909090909090912</v>
      </c>
      <c r="W55" s="21" t="s">
        <v>980</v>
      </c>
      <c r="X55" s="21"/>
    </row>
    <row r="56" spans="2:24">
      <c r="B56" s="298">
        <f t="shared" si="10"/>
        <v>1994</v>
      </c>
      <c r="C56" s="300">
        <f>(COUNTIF('Database - Tornado Segments'!$T$8:$T$1207, "1994F0"))</f>
        <v>3</v>
      </c>
      <c r="D56" s="300">
        <f>(COUNTIF('Database - Tornado Segments'!$T$8:$T$1207, "1994F1"))</f>
        <v>2</v>
      </c>
      <c r="E56" s="300">
        <f>(COUNTIF('Database - Tornado Segments'!$T$8:$T$1207, "1994F2"))</f>
        <v>0</v>
      </c>
      <c r="F56" s="300">
        <f>(COUNTIF('Database - Tornado Segments'!$T$8:$T$1207, "1994F3"))</f>
        <v>0</v>
      </c>
      <c r="G56" s="300">
        <f>(COUNTIF('Database - Tornado Segments'!$T$8:$T$1207, "1994F4"))</f>
        <v>0</v>
      </c>
      <c r="H56" s="300">
        <f>(COUNTIF('Database - Tornado Segments'!$T$8:$T$1207, "1994F5"))</f>
        <v>0</v>
      </c>
      <c r="I56" s="304">
        <f t="shared" si="9"/>
        <v>5</v>
      </c>
      <c r="J56" s="305">
        <f t="shared" si="17"/>
        <v>19.399999999999999</v>
      </c>
      <c r="K56" s="304">
        <f t="shared" si="11"/>
        <v>668</v>
      </c>
      <c r="L56" s="290">
        <f>K56/'# Yrs of Data'!D48</f>
        <v>14.844444444444445</v>
      </c>
      <c r="M56" s="2">
        <f t="shared" si="12"/>
        <v>348</v>
      </c>
      <c r="N56" s="46">
        <f>+M56/'# Yrs of Data'!D48</f>
        <v>7.7333333333333334</v>
      </c>
      <c r="O56" s="2">
        <f t="shared" si="13"/>
        <v>171</v>
      </c>
      <c r="P56" s="46">
        <f>+O56/'# Yrs of Data'!D48</f>
        <v>3.8</v>
      </c>
      <c r="Q56" s="2">
        <f t="shared" si="14"/>
        <v>97</v>
      </c>
      <c r="R56" s="46">
        <f>+Q56/'# Yrs of Data'!D48</f>
        <v>2.1555555555555554</v>
      </c>
      <c r="S56" s="2">
        <f t="shared" si="15"/>
        <v>34</v>
      </c>
      <c r="T56" s="46">
        <f>+S56/'# Yrs of Data'!D48</f>
        <v>0.75555555555555554</v>
      </c>
      <c r="U56" s="2">
        <f t="shared" si="16"/>
        <v>18</v>
      </c>
      <c r="V56" s="46">
        <f>+U56/'# Yrs of Data'!D48</f>
        <v>0.4</v>
      </c>
      <c r="W56" s="569" t="s">
        <v>580</v>
      </c>
      <c r="X56" s="569"/>
    </row>
    <row r="57" spans="2:24">
      <c r="B57" s="298">
        <f t="shared" si="10"/>
        <v>1995</v>
      </c>
      <c r="C57" s="300">
        <f>(COUNTIF('Database - Tornado Segments'!$T$8:$T$1207, "1995F0"))</f>
        <v>25</v>
      </c>
      <c r="D57" s="300">
        <f>(COUNTIF('Database - Tornado Segments'!$T$8:$T$1207, "1995F1"))</f>
        <v>8</v>
      </c>
      <c r="E57" s="300">
        <f>(COUNTIF('Database - Tornado Segments'!$T$8:$T$1207, "1995F2"))</f>
        <v>6</v>
      </c>
      <c r="F57" s="300">
        <f>(COUNTIF('Database - Tornado Segments'!$T$8:$T$1207, "1995F3"))</f>
        <v>0</v>
      </c>
      <c r="G57" s="300">
        <f>(COUNTIF('Database - Tornado Segments'!$T$8:$T$1207, "1995F4"))</f>
        <v>5</v>
      </c>
      <c r="H57" s="300">
        <f>(COUNTIF('Database - Tornado Segments'!$T$8:$T$1207, "1995F5"))</f>
        <v>0</v>
      </c>
      <c r="I57" s="304">
        <f t="shared" si="9"/>
        <v>44</v>
      </c>
      <c r="J57" s="305">
        <f t="shared" si="17"/>
        <v>23.5</v>
      </c>
      <c r="K57" s="304">
        <f t="shared" si="11"/>
        <v>712</v>
      </c>
      <c r="L57" s="290">
        <f>K57/'# Yrs of Data'!D49</f>
        <v>15.478260869565217</v>
      </c>
      <c r="M57" s="2">
        <f t="shared" si="12"/>
        <v>373</v>
      </c>
      <c r="N57" s="46">
        <f>+M57/'# Yrs of Data'!D49</f>
        <v>8.1086956521739122</v>
      </c>
      <c r="O57" s="2">
        <f t="shared" si="13"/>
        <v>179</v>
      </c>
      <c r="P57" s="46">
        <f>+O57/'# Yrs of Data'!D49</f>
        <v>3.8913043478260869</v>
      </c>
      <c r="Q57" s="2">
        <f t="shared" si="14"/>
        <v>103</v>
      </c>
      <c r="R57" s="46">
        <f>+Q57/'# Yrs of Data'!D49</f>
        <v>2.2391304347826089</v>
      </c>
      <c r="S57" s="2">
        <f t="shared" si="15"/>
        <v>34</v>
      </c>
      <c r="T57" s="46">
        <f>+S57/'# Yrs of Data'!D49</f>
        <v>0.73913043478260865</v>
      </c>
      <c r="U57" s="2">
        <f t="shared" si="16"/>
        <v>23</v>
      </c>
      <c r="V57" s="46">
        <f>+U57/'# Yrs of Data'!D49</f>
        <v>0.5</v>
      </c>
      <c r="W57" s="21" t="s">
        <v>41</v>
      </c>
      <c r="X57" s="21"/>
    </row>
    <row r="58" spans="2:24">
      <c r="B58" s="298">
        <f t="shared" si="10"/>
        <v>1996</v>
      </c>
      <c r="C58" s="300">
        <f>(COUNTIF('Database - Tornado Segments'!$T$8:$T$1207, "1996F0"))</f>
        <v>32</v>
      </c>
      <c r="D58" s="300">
        <f>(COUNTIF('Database - Tornado Segments'!$T$8:$T$1207, "1996F1"))</f>
        <v>2</v>
      </c>
      <c r="E58" s="300">
        <f>(COUNTIF('Database - Tornado Segments'!$T$8:$T$1207, "1996F2"))</f>
        <v>1</v>
      </c>
      <c r="F58" s="300">
        <f>(COUNTIF('Database - Tornado Segments'!$T$8:$T$1207, "1996F3"))</f>
        <v>0</v>
      </c>
      <c r="G58" s="300">
        <f>(COUNTIF('Database - Tornado Segments'!$T$8:$T$1207, "1996F4"))</f>
        <v>0</v>
      </c>
      <c r="H58" s="300">
        <f>(COUNTIF('Database - Tornado Segments'!$T$8:$T$1207, "1996F5"))</f>
        <v>0</v>
      </c>
      <c r="I58" s="304">
        <f t="shared" si="9"/>
        <v>35</v>
      </c>
      <c r="J58" s="305">
        <f t="shared" si="17"/>
        <v>25.4</v>
      </c>
      <c r="K58" s="304">
        <f t="shared" si="11"/>
        <v>747</v>
      </c>
      <c r="L58" s="290">
        <f>K58/'# Yrs of Data'!D50</f>
        <v>15.893617021276595</v>
      </c>
      <c r="M58" s="2">
        <f t="shared" si="12"/>
        <v>405</v>
      </c>
      <c r="N58" s="46">
        <f>+M58/'# Yrs of Data'!D50</f>
        <v>8.6170212765957448</v>
      </c>
      <c r="O58" s="2">
        <f t="shared" si="13"/>
        <v>181</v>
      </c>
      <c r="P58" s="46">
        <f>+O58/'# Yrs of Data'!D50</f>
        <v>3.8510638297872339</v>
      </c>
      <c r="Q58" s="2">
        <f t="shared" si="14"/>
        <v>104</v>
      </c>
      <c r="R58" s="46">
        <f>+Q58/'# Yrs of Data'!D50</f>
        <v>2.2127659574468086</v>
      </c>
      <c r="S58" s="2">
        <f t="shared" si="15"/>
        <v>34</v>
      </c>
      <c r="T58" s="46">
        <f>+S58/'# Yrs of Data'!D50</f>
        <v>0.72340425531914898</v>
      </c>
      <c r="U58" s="2">
        <f t="shared" si="16"/>
        <v>23</v>
      </c>
      <c r="V58" s="46">
        <f>+U58/'# Yrs of Data'!D50</f>
        <v>0.48936170212765956</v>
      </c>
      <c r="W58" s="569" t="s">
        <v>581</v>
      </c>
      <c r="X58" s="569"/>
    </row>
    <row r="59" spans="2:24">
      <c r="B59" s="298">
        <f t="shared" si="10"/>
        <v>1997</v>
      </c>
      <c r="C59" s="300">
        <f>(COUNTIF('Database - Tornado Segments'!$T$8:$T$1207, "1997F0"))</f>
        <v>22</v>
      </c>
      <c r="D59" s="300">
        <f>(COUNTIF('Database - Tornado Segments'!$T$8:$T$1207, "1997F1"))</f>
        <v>6</v>
      </c>
      <c r="E59" s="300">
        <f>(COUNTIF('Database - Tornado Segments'!$T$8:$T$1207, "1997F2"))</f>
        <v>0</v>
      </c>
      <c r="F59" s="300">
        <f>(COUNTIF('Database - Tornado Segments'!$T$8:$T$1207, "1997F3"))</f>
        <v>1</v>
      </c>
      <c r="G59" s="300">
        <f>(COUNTIF('Database - Tornado Segments'!$T$8:$T$1207, "1997F4"))</f>
        <v>0</v>
      </c>
      <c r="H59" s="300">
        <f>(COUNTIF('Database - Tornado Segments'!$T$8:$T$1207, "1997F5"))</f>
        <v>0</v>
      </c>
      <c r="I59" s="304">
        <f t="shared" si="9"/>
        <v>29</v>
      </c>
      <c r="J59" s="305">
        <f t="shared" si="17"/>
        <v>24.9</v>
      </c>
      <c r="K59" s="304">
        <f t="shared" si="11"/>
        <v>776</v>
      </c>
      <c r="L59" s="290">
        <f>K59/'# Yrs of Data'!D51</f>
        <v>16.166666666666668</v>
      </c>
      <c r="M59" s="2">
        <f t="shared" si="12"/>
        <v>427</v>
      </c>
      <c r="N59" s="46">
        <f>+M59/'# Yrs of Data'!D51</f>
        <v>8.8958333333333339</v>
      </c>
      <c r="O59" s="2">
        <f t="shared" si="13"/>
        <v>187</v>
      </c>
      <c r="P59" s="46">
        <f>+O59/'# Yrs of Data'!D51</f>
        <v>3.8958333333333335</v>
      </c>
      <c r="Q59" s="2">
        <f t="shared" si="14"/>
        <v>104</v>
      </c>
      <c r="R59" s="46">
        <f>+Q59/'# Yrs of Data'!D51</f>
        <v>2.1666666666666665</v>
      </c>
      <c r="S59" s="2">
        <f t="shared" si="15"/>
        <v>35</v>
      </c>
      <c r="T59" s="46">
        <f>+S59/'# Yrs of Data'!D51</f>
        <v>0.72916666666666663</v>
      </c>
      <c r="U59" s="2">
        <f t="shared" si="16"/>
        <v>23</v>
      </c>
      <c r="V59" s="46">
        <f>+U59/'# Yrs of Data'!D51</f>
        <v>0.47916666666666669</v>
      </c>
      <c r="W59" s="569" t="s">
        <v>582</v>
      </c>
      <c r="X59" s="569"/>
    </row>
    <row r="60" spans="2:24">
      <c r="B60" s="298">
        <f t="shared" si="10"/>
        <v>1998</v>
      </c>
      <c r="C60" s="300">
        <f>(COUNTIF('Database - Tornado Segments'!$T$8:$T$1207, "1998F0"))</f>
        <v>1</v>
      </c>
      <c r="D60" s="300">
        <f>(COUNTIF('Database - Tornado Segments'!$T$8:$T$1207, "1998F1"))</f>
        <v>1</v>
      </c>
      <c r="E60" s="300">
        <f>(COUNTIF('Database - Tornado Segments'!$T$8:$T$1207, "1998F2"))</f>
        <v>0</v>
      </c>
      <c r="F60" s="300">
        <f>(COUNTIF('Database - Tornado Segments'!$T$8:$T$1207, "1998F3"))</f>
        <v>0</v>
      </c>
      <c r="G60" s="300">
        <f>(COUNTIF('Database - Tornado Segments'!$T$8:$T$1207, "1998F4"))</f>
        <v>0</v>
      </c>
      <c r="H60" s="300">
        <f>(COUNTIF('Database - Tornado Segments'!$T$8:$T$1207, "1998F5"))</f>
        <v>0</v>
      </c>
      <c r="I60" s="304">
        <f t="shared" si="9"/>
        <v>2</v>
      </c>
      <c r="J60" s="305">
        <f t="shared" si="17"/>
        <v>24.7</v>
      </c>
      <c r="K60" s="304">
        <f t="shared" si="11"/>
        <v>778</v>
      </c>
      <c r="L60" s="290">
        <f>K60/'# Yrs of Data'!D52</f>
        <v>15.877551020408163</v>
      </c>
      <c r="M60" s="2">
        <f t="shared" si="12"/>
        <v>428</v>
      </c>
      <c r="N60" s="46">
        <f>+M60/'# Yrs of Data'!D52</f>
        <v>8.7346938775510203</v>
      </c>
      <c r="O60" s="2">
        <f t="shared" si="13"/>
        <v>188</v>
      </c>
      <c r="P60" s="46">
        <f>+O60/'# Yrs of Data'!D52</f>
        <v>3.8367346938775508</v>
      </c>
      <c r="Q60" s="2">
        <f t="shared" si="14"/>
        <v>104</v>
      </c>
      <c r="R60" s="46">
        <f>+Q60/'# Yrs of Data'!D52</f>
        <v>2.1224489795918369</v>
      </c>
      <c r="S60" s="2">
        <f t="shared" si="15"/>
        <v>35</v>
      </c>
      <c r="T60" s="46">
        <f>+S60/'# Yrs of Data'!D52</f>
        <v>0.7142857142857143</v>
      </c>
      <c r="U60" s="2">
        <f t="shared" si="16"/>
        <v>23</v>
      </c>
      <c r="V60" s="46">
        <f>+U60/'# Yrs of Data'!D52</f>
        <v>0.46938775510204084</v>
      </c>
      <c r="W60" s="21" t="s">
        <v>42</v>
      </c>
      <c r="X60" s="21"/>
    </row>
    <row r="61" spans="2:24">
      <c r="B61" s="298">
        <f t="shared" si="10"/>
        <v>1999</v>
      </c>
      <c r="C61" s="300">
        <f>(COUNTIF('Database - Tornado Segments'!$T$8:$T$1207, "1999F0"))</f>
        <v>25</v>
      </c>
      <c r="D61" s="300">
        <f>(COUNTIF('Database - Tornado Segments'!$T$8:$T$1207, "1999F1"))</f>
        <v>0</v>
      </c>
      <c r="E61" s="300">
        <f>(COUNTIF('Database - Tornado Segments'!$T$8:$T$1207, "1999F2"))</f>
        <v>0</v>
      </c>
      <c r="F61" s="300">
        <f>(COUNTIF('Database - Tornado Segments'!$T$8:$T$1207, "1999F3"))</f>
        <v>0</v>
      </c>
      <c r="G61" s="300">
        <f>(COUNTIF('Database - Tornado Segments'!$T$8:$T$1207, "1999F4"))</f>
        <v>0</v>
      </c>
      <c r="H61" s="300">
        <f>(COUNTIF('Database - Tornado Segments'!$T$8:$T$1207, "1999F5"))</f>
        <v>0</v>
      </c>
      <c r="I61" s="304">
        <f t="shared" si="9"/>
        <v>25</v>
      </c>
      <c r="J61" s="305">
        <f t="shared" si="17"/>
        <v>24</v>
      </c>
      <c r="K61" s="304">
        <f t="shared" si="11"/>
        <v>803</v>
      </c>
      <c r="L61" s="290">
        <f>K61/'# Yrs of Data'!D53</f>
        <v>16.059999999999999</v>
      </c>
      <c r="M61" s="2">
        <f t="shared" si="12"/>
        <v>453</v>
      </c>
      <c r="N61" s="46">
        <f>+M61/'# Yrs of Data'!D53</f>
        <v>9.06</v>
      </c>
      <c r="O61" s="2">
        <f t="shared" si="13"/>
        <v>188</v>
      </c>
      <c r="P61" s="46">
        <f>+O61/'# Yrs of Data'!D53</f>
        <v>3.76</v>
      </c>
      <c r="Q61" s="2">
        <f t="shared" si="14"/>
        <v>104</v>
      </c>
      <c r="R61" s="46">
        <f>+Q61/'# Yrs of Data'!D53</f>
        <v>2.08</v>
      </c>
      <c r="S61" s="2">
        <f t="shared" si="15"/>
        <v>35</v>
      </c>
      <c r="T61" s="46">
        <f>+S61/'# Yrs of Data'!D53</f>
        <v>0.7</v>
      </c>
      <c r="U61" s="2">
        <f t="shared" si="16"/>
        <v>23</v>
      </c>
      <c r="V61" s="46">
        <f>+U61/'# Yrs of Data'!D53</f>
        <v>0.46</v>
      </c>
      <c r="W61" s="21" t="s">
        <v>43</v>
      </c>
      <c r="X61" s="21"/>
    </row>
    <row r="62" spans="2:24">
      <c r="B62" s="298">
        <f t="shared" si="10"/>
        <v>2000</v>
      </c>
      <c r="C62" s="300">
        <f>(COUNTIF('Database - Tornado Segments'!$T$8:$T$1207, "2000F0"))</f>
        <v>8</v>
      </c>
      <c r="D62" s="300">
        <f>(COUNTIF('Database - Tornado Segments'!$T$8:$T$1207, "2000F1"))</f>
        <v>1</v>
      </c>
      <c r="E62" s="300">
        <f>(COUNTIF('Database - Tornado Segments'!$T$8:$T$1207, "2000F2"))</f>
        <v>0</v>
      </c>
      <c r="F62" s="300">
        <f>(COUNTIF('Database - Tornado Segments'!$T$8:$T$1207, "2000F3"))</f>
        <v>0</v>
      </c>
      <c r="G62" s="300">
        <f>(COUNTIF('Database - Tornado Segments'!$T$8:$T$1207, "2000F4"))</f>
        <v>0</v>
      </c>
      <c r="H62" s="300">
        <f>(COUNTIF('Database - Tornado Segments'!$T$8:$T$1207, "2000F5"))</f>
        <v>0</v>
      </c>
      <c r="I62" s="304">
        <f t="shared" si="9"/>
        <v>9</v>
      </c>
      <c r="J62" s="305">
        <f t="shared" si="17"/>
        <v>21.1</v>
      </c>
      <c r="K62" s="304">
        <f t="shared" si="11"/>
        <v>812</v>
      </c>
      <c r="L62" s="290">
        <f>K62/'# Yrs of Data'!D54</f>
        <v>15.921568627450981</v>
      </c>
      <c r="M62" s="2">
        <f t="shared" si="12"/>
        <v>461</v>
      </c>
      <c r="N62" s="46">
        <f>+M62/'# Yrs of Data'!D54</f>
        <v>9.0392156862745097</v>
      </c>
      <c r="O62" s="2">
        <f t="shared" si="13"/>
        <v>189</v>
      </c>
      <c r="P62" s="46">
        <f>+O62/'# Yrs of Data'!D54</f>
        <v>3.7058823529411766</v>
      </c>
      <c r="Q62" s="2">
        <f t="shared" si="14"/>
        <v>104</v>
      </c>
      <c r="R62" s="46">
        <f>+Q62/'# Yrs of Data'!D54</f>
        <v>2.0392156862745097</v>
      </c>
      <c r="S62" s="2">
        <f t="shared" si="15"/>
        <v>35</v>
      </c>
      <c r="T62" s="46">
        <f>+S62/'# Yrs of Data'!D54</f>
        <v>0.68627450980392157</v>
      </c>
      <c r="U62" s="2">
        <f t="shared" si="16"/>
        <v>23</v>
      </c>
      <c r="V62" s="46">
        <f>+U62/'# Yrs of Data'!D54</f>
        <v>0.45098039215686275</v>
      </c>
      <c r="W62" s="21" t="s">
        <v>43</v>
      </c>
      <c r="X62" s="21"/>
    </row>
    <row r="63" spans="2:24">
      <c r="B63" s="298">
        <f t="shared" si="10"/>
        <v>2001</v>
      </c>
      <c r="C63" s="300">
        <f>(COUNTIF('Database - Tornado Segments'!$T$8:$T$1207, "2001F0"))</f>
        <v>14</v>
      </c>
      <c r="D63" s="300">
        <f>(COUNTIF('Database - Tornado Segments'!$T$8:$T$1207, "2001F1"))</f>
        <v>4</v>
      </c>
      <c r="E63" s="300">
        <f>(COUNTIF('Database - Tornado Segments'!$T$8:$T$1207, "2001F2"))</f>
        <v>3</v>
      </c>
      <c r="F63" s="300">
        <f>(COUNTIF('Database - Tornado Segments'!$T$8:$T$1207, "2001F3"))</f>
        <v>1</v>
      </c>
      <c r="G63" s="300">
        <f>(COUNTIF('Database - Tornado Segments'!$T$8:$T$1207, "2001F4"))</f>
        <v>0</v>
      </c>
      <c r="H63" s="300">
        <f>(COUNTIF('Database - Tornado Segments'!$T$8:$T$1207, "2001F5"))</f>
        <v>0</v>
      </c>
      <c r="I63" s="304">
        <f t="shared" si="9"/>
        <v>22</v>
      </c>
      <c r="J63" s="305">
        <f t="shared" si="17"/>
        <v>21.1</v>
      </c>
      <c r="K63" s="304">
        <f t="shared" si="11"/>
        <v>834</v>
      </c>
      <c r="L63" s="290">
        <f>K63/'# Yrs of Data'!D55</f>
        <v>16.03846153846154</v>
      </c>
      <c r="M63" s="2">
        <f t="shared" si="12"/>
        <v>475</v>
      </c>
      <c r="N63" s="46">
        <f>+M63/'# Yrs of Data'!D55</f>
        <v>9.134615384615385</v>
      </c>
      <c r="O63" s="2">
        <f t="shared" si="13"/>
        <v>193</v>
      </c>
      <c r="P63" s="46">
        <f>+O63/'# Yrs of Data'!D55</f>
        <v>3.7115384615384617</v>
      </c>
      <c r="Q63" s="2">
        <f t="shared" si="14"/>
        <v>107</v>
      </c>
      <c r="R63" s="46">
        <f>+Q63/'# Yrs of Data'!D55</f>
        <v>2.0576923076923075</v>
      </c>
      <c r="S63" s="2">
        <f t="shared" si="15"/>
        <v>36</v>
      </c>
      <c r="T63" s="46">
        <f>+S63/'# Yrs of Data'!D55</f>
        <v>0.69230769230769229</v>
      </c>
      <c r="U63" s="2">
        <f t="shared" si="16"/>
        <v>23</v>
      </c>
      <c r="V63" s="46">
        <f>+U63/'# Yrs of Data'!D55</f>
        <v>0.44230769230769229</v>
      </c>
      <c r="W63" s="569" t="s">
        <v>581</v>
      </c>
      <c r="X63" s="569"/>
    </row>
    <row r="64" spans="2:24">
      <c r="B64" s="298">
        <f t="shared" si="10"/>
        <v>2002</v>
      </c>
      <c r="C64" s="300">
        <f>(COUNTIF('Database - Tornado Segments'!$T$8:$T$1207, "2002F0"))</f>
        <v>20</v>
      </c>
      <c r="D64" s="300">
        <f>(COUNTIF('Database - Tornado Segments'!$T$8:$T$1207, "2002F1"))</f>
        <v>2</v>
      </c>
      <c r="E64" s="300">
        <f>(COUNTIF('Database - Tornado Segments'!$T$8:$T$1207, "2002F2"))</f>
        <v>1</v>
      </c>
      <c r="F64" s="300">
        <f>(COUNTIF('Database - Tornado Segments'!$T$8:$T$1207, "2002F3"))</f>
        <v>0</v>
      </c>
      <c r="G64" s="300">
        <f>(COUNTIF('Database - Tornado Segments'!$T$8:$T$1207, "2002F4"))</f>
        <v>0</v>
      </c>
      <c r="H64" s="300">
        <f>(COUNTIF('Database - Tornado Segments'!$T$8:$T$1207, "2002F5"))</f>
        <v>0</v>
      </c>
      <c r="I64" s="304">
        <f t="shared" si="9"/>
        <v>23</v>
      </c>
      <c r="J64" s="305">
        <f t="shared" si="17"/>
        <v>21.2</v>
      </c>
      <c r="K64" s="304">
        <f t="shared" si="11"/>
        <v>857</v>
      </c>
      <c r="L64" s="290">
        <f>K64/'# Yrs of Data'!D56</f>
        <v>16.169811320754718</v>
      </c>
      <c r="M64" s="2">
        <f t="shared" si="12"/>
        <v>495</v>
      </c>
      <c r="N64" s="46">
        <f>+M64/'# Yrs of Data'!D56</f>
        <v>9.3396226415094343</v>
      </c>
      <c r="O64" s="2">
        <f t="shared" si="13"/>
        <v>195</v>
      </c>
      <c r="P64" s="46">
        <f>+O64/'# Yrs of Data'!D56</f>
        <v>3.6792452830188678</v>
      </c>
      <c r="Q64" s="2">
        <f t="shared" si="14"/>
        <v>108</v>
      </c>
      <c r="R64" s="46">
        <f>+Q64/'# Yrs of Data'!D56</f>
        <v>2.0377358490566038</v>
      </c>
      <c r="S64" s="2">
        <f t="shared" si="15"/>
        <v>36</v>
      </c>
      <c r="T64" s="46">
        <f>+S64/'# Yrs of Data'!D56</f>
        <v>0.67924528301886788</v>
      </c>
      <c r="U64" s="2">
        <f t="shared" si="16"/>
        <v>23</v>
      </c>
      <c r="V64" s="46">
        <f>+U64/'# Yrs of Data'!D56</f>
        <v>0.43396226415094341</v>
      </c>
      <c r="W64" s="569" t="s">
        <v>580</v>
      </c>
      <c r="X64" s="569"/>
    </row>
    <row r="65" spans="2:24">
      <c r="B65" s="298">
        <f t="shared" si="10"/>
        <v>2003</v>
      </c>
      <c r="C65" s="300">
        <f>(COUNTIF('Database - Tornado Segments'!$T$8:$T$1207, "2003F0"))</f>
        <v>27</v>
      </c>
      <c r="D65" s="300">
        <f>(COUNTIF('Database - Tornado Segments'!$T$8:$T$1207, "2003F1"))</f>
        <v>5</v>
      </c>
      <c r="E65" s="300">
        <f>(COUNTIF('Database - Tornado Segments'!$T$8:$T$1207, "2003F2"))</f>
        <v>1</v>
      </c>
      <c r="F65" s="300">
        <f>(COUNTIF('Database - Tornado Segments'!$T$8:$T$1207, "2003F3"))</f>
        <v>0</v>
      </c>
      <c r="G65" s="300">
        <f>(COUNTIF('Database - Tornado Segments'!$T$8:$T$1207, "2003F4"))</f>
        <v>0</v>
      </c>
      <c r="H65" s="300">
        <f>(COUNTIF('Database - Tornado Segments'!$T$8:$T$1207, "2003F5"))</f>
        <v>0</v>
      </c>
      <c r="I65" s="304">
        <f t="shared" si="9"/>
        <v>33</v>
      </c>
      <c r="J65" s="305">
        <f t="shared" si="17"/>
        <v>22.7</v>
      </c>
      <c r="K65" s="304">
        <f t="shared" si="11"/>
        <v>890</v>
      </c>
      <c r="L65" s="290">
        <f>K65/'# Yrs of Data'!D57</f>
        <v>16.481481481481481</v>
      </c>
      <c r="M65" s="2">
        <f t="shared" si="12"/>
        <v>522</v>
      </c>
      <c r="N65" s="46">
        <f>+M65/'# Yrs of Data'!D57</f>
        <v>9.6666666666666661</v>
      </c>
      <c r="O65" s="2">
        <f t="shared" si="13"/>
        <v>200</v>
      </c>
      <c r="P65" s="46">
        <f>+O65/'# Yrs of Data'!D57</f>
        <v>3.7037037037037037</v>
      </c>
      <c r="Q65" s="2">
        <f t="shared" si="14"/>
        <v>109</v>
      </c>
      <c r="R65" s="46">
        <f>+Q65/'# Yrs of Data'!D57</f>
        <v>2.0185185185185186</v>
      </c>
      <c r="S65" s="2">
        <f t="shared" si="15"/>
        <v>36</v>
      </c>
      <c r="T65" s="46">
        <f>+S65/'# Yrs of Data'!D57</f>
        <v>0.66666666666666663</v>
      </c>
      <c r="U65" s="2">
        <f t="shared" si="16"/>
        <v>23</v>
      </c>
      <c r="V65" s="46">
        <f>+U65/'# Yrs of Data'!D57</f>
        <v>0.42592592592592593</v>
      </c>
      <c r="W65" s="21" t="s">
        <v>41</v>
      </c>
      <c r="X65" s="21"/>
    </row>
    <row r="66" spans="2:24">
      <c r="B66" s="298">
        <f t="shared" si="10"/>
        <v>2004</v>
      </c>
      <c r="C66" s="300">
        <f>(COUNTIF('Database - Tornado Segments'!$T$8:$T$1207, "2004F0"))</f>
        <v>13</v>
      </c>
      <c r="D66" s="300">
        <f>(COUNTIF('Database - Tornado Segments'!$T$8:$T$1207, "2004F1"))</f>
        <v>1</v>
      </c>
      <c r="E66" s="300">
        <f>(COUNTIF('Database - Tornado Segments'!$T$8:$T$1207, "2004F2"))</f>
        <v>0</v>
      </c>
      <c r="F66" s="300">
        <f>(COUNTIF('Database - Tornado Segments'!$T$8:$T$1207, "2004F3"))</f>
        <v>0</v>
      </c>
      <c r="G66" s="300">
        <f>(COUNTIF('Database - Tornado Segments'!$T$8:$T$1207, "2004F4"))</f>
        <v>0</v>
      </c>
      <c r="H66" s="300">
        <f>(COUNTIF('Database - Tornado Segments'!$T$8:$T$1207, "2004F5"))</f>
        <v>0</v>
      </c>
      <c r="I66" s="304">
        <f t="shared" si="9"/>
        <v>14</v>
      </c>
      <c r="J66" s="305">
        <f t="shared" si="17"/>
        <v>23.6</v>
      </c>
      <c r="K66" s="304">
        <f t="shared" si="11"/>
        <v>904</v>
      </c>
      <c r="L66" s="290">
        <f>K66/'# Yrs of Data'!D58</f>
        <v>16.436363636363637</v>
      </c>
      <c r="M66" s="2">
        <f t="shared" si="12"/>
        <v>535</v>
      </c>
      <c r="N66" s="46">
        <f>+M66/'# Yrs of Data'!D58</f>
        <v>9.7272727272727266</v>
      </c>
      <c r="O66" s="2">
        <f t="shared" si="13"/>
        <v>201</v>
      </c>
      <c r="P66" s="46">
        <f>+O66/'# Yrs of Data'!D58</f>
        <v>3.6545454545454548</v>
      </c>
      <c r="Q66" s="2">
        <f t="shared" si="14"/>
        <v>109</v>
      </c>
      <c r="R66" s="46">
        <f>+Q66/'# Yrs of Data'!D58</f>
        <v>1.9818181818181819</v>
      </c>
      <c r="S66" s="2">
        <f t="shared" si="15"/>
        <v>36</v>
      </c>
      <c r="T66" s="46">
        <f>+S66/'# Yrs of Data'!D58</f>
        <v>0.65454545454545454</v>
      </c>
      <c r="U66" s="2">
        <f t="shared" si="16"/>
        <v>23</v>
      </c>
      <c r="V66" s="46">
        <f>+U66/'# Yrs of Data'!D58</f>
        <v>0.41818181818181815</v>
      </c>
      <c r="W66" s="569" t="s">
        <v>583</v>
      </c>
      <c r="X66" s="569"/>
    </row>
    <row r="67" spans="2:24">
      <c r="B67" s="298">
        <f t="shared" si="10"/>
        <v>2005</v>
      </c>
      <c r="C67" s="300">
        <f>(COUNTIF('Database - Tornado Segments'!$T$8:$T$1207, "2005F0"))</f>
        <v>15</v>
      </c>
      <c r="D67" s="300">
        <f>(COUNTIF('Database - Tornado Segments'!$T$8:$T$1207, "2005F1"))</f>
        <v>0</v>
      </c>
      <c r="E67" s="300">
        <f>(COUNTIF('Database - Tornado Segments'!$T$8:$T$1207, "2005F2"))</f>
        <v>0</v>
      </c>
      <c r="F67" s="300">
        <f>(COUNTIF('Database - Tornado Segments'!$T$8:$T$1207, "2005F3"))</f>
        <v>0</v>
      </c>
      <c r="G67" s="300">
        <f>(COUNTIF('Database - Tornado Segments'!$T$8:$T$1207, "2005F4"))</f>
        <v>0</v>
      </c>
      <c r="H67" s="300">
        <f>(COUNTIF('Database - Tornado Segments'!$T$8:$T$1207, "2005F5"))</f>
        <v>0</v>
      </c>
      <c r="I67" s="304">
        <f t="shared" si="9"/>
        <v>15</v>
      </c>
      <c r="J67" s="305">
        <f t="shared" si="17"/>
        <v>20.7</v>
      </c>
      <c r="K67" s="304">
        <f t="shared" si="11"/>
        <v>919</v>
      </c>
      <c r="L67" s="290">
        <f>K67/'# Yrs of Data'!D59</f>
        <v>16.410714285714285</v>
      </c>
      <c r="M67" s="2">
        <f t="shared" si="12"/>
        <v>550</v>
      </c>
      <c r="N67" s="46">
        <f>+M67/'# Yrs of Data'!D59</f>
        <v>9.8214285714285712</v>
      </c>
      <c r="O67" s="2">
        <f t="shared" si="13"/>
        <v>201</v>
      </c>
      <c r="P67" s="46">
        <f>+O67/'# Yrs of Data'!D59</f>
        <v>3.5892857142857144</v>
      </c>
      <c r="Q67" s="2">
        <f t="shared" si="14"/>
        <v>109</v>
      </c>
      <c r="R67" s="46">
        <f>+Q67/'# Yrs of Data'!D59</f>
        <v>1.9464285714285714</v>
      </c>
      <c r="S67" s="2">
        <f t="shared" si="15"/>
        <v>36</v>
      </c>
      <c r="T67" s="46">
        <f>+S67/'# Yrs of Data'!D59</f>
        <v>0.6428571428571429</v>
      </c>
      <c r="U67" s="2">
        <f t="shared" si="16"/>
        <v>23</v>
      </c>
      <c r="V67" s="46">
        <f>+U67/'# Yrs of Data'!D59</f>
        <v>0.4107142857142857</v>
      </c>
      <c r="W67" s="569" t="s">
        <v>584</v>
      </c>
      <c r="X67" s="569"/>
    </row>
    <row r="68" spans="2:24">
      <c r="B68" s="298">
        <f t="shared" si="10"/>
        <v>2006</v>
      </c>
      <c r="C68" s="300">
        <f>(COUNTIF('Database - Tornado Segments'!$T$8:$T$1207, "2006F0"))</f>
        <v>12</v>
      </c>
      <c r="D68" s="300">
        <f>(COUNTIF('Database - Tornado Segments'!$T$8:$T$1207, "2006F1"))</f>
        <v>1</v>
      </c>
      <c r="E68" s="300">
        <f>(COUNTIF('Database - Tornado Segments'!$T$8:$T$1207, "2006F2"))</f>
        <v>0</v>
      </c>
      <c r="F68" s="300">
        <f>(COUNTIF('Database - Tornado Segments'!$T$8:$T$1207, "2006F3"))</f>
        <v>0</v>
      </c>
      <c r="G68" s="300">
        <f>(COUNTIF('Database - Tornado Segments'!$T$8:$T$1207, "2006F4"))</f>
        <v>0</v>
      </c>
      <c r="H68" s="300">
        <f>(COUNTIF('Database - Tornado Segments'!$T$8:$T$1207, "2006F5"))</f>
        <v>0</v>
      </c>
      <c r="I68" s="304">
        <f t="shared" si="9"/>
        <v>13</v>
      </c>
      <c r="J68" s="305">
        <f t="shared" si="17"/>
        <v>18.5</v>
      </c>
      <c r="K68" s="304">
        <f t="shared" si="11"/>
        <v>932</v>
      </c>
      <c r="L68" s="290">
        <f>K68/'# Yrs of Data'!D60</f>
        <v>16.350877192982455</v>
      </c>
      <c r="M68" s="2">
        <f t="shared" si="12"/>
        <v>562</v>
      </c>
      <c r="N68" s="46">
        <f>+M68/'# Yrs of Data'!D60</f>
        <v>9.8596491228070171</v>
      </c>
      <c r="O68" s="2">
        <f t="shared" si="13"/>
        <v>202</v>
      </c>
      <c r="P68" s="46">
        <f>+O68/'# Yrs of Data'!D60</f>
        <v>3.5438596491228069</v>
      </c>
      <c r="Q68" s="2">
        <f t="shared" si="14"/>
        <v>109</v>
      </c>
      <c r="R68" s="46">
        <f>+Q68/'# Yrs of Data'!D60</f>
        <v>1.9122807017543859</v>
      </c>
      <c r="S68" s="2">
        <f t="shared" si="15"/>
        <v>36</v>
      </c>
      <c r="T68" s="46">
        <f>+S68/'# Yrs of Data'!D60</f>
        <v>0.63157894736842102</v>
      </c>
      <c r="U68" s="2">
        <f t="shared" si="16"/>
        <v>23</v>
      </c>
      <c r="V68" s="46">
        <f>+U68/'# Yrs of Data'!D60</f>
        <v>0.40350877192982454</v>
      </c>
      <c r="W68" s="21" t="s">
        <v>44</v>
      </c>
      <c r="X68" s="21"/>
    </row>
    <row r="69" spans="2:24">
      <c r="B69" s="298">
        <f t="shared" si="10"/>
        <v>2007</v>
      </c>
      <c r="C69" s="300">
        <f>(COUNTIF('Database - Tornado Segments'!$T$8:$T$1207, "2007EF0"))</f>
        <v>30</v>
      </c>
      <c r="D69" s="300">
        <f>(COUNTIF('Database - Tornado Segments'!$T$8:$T$1207, "2007EF1"))</f>
        <v>18</v>
      </c>
      <c r="E69" s="300">
        <f>(COUNTIF('Database - Tornado Segments'!$T$8:$T$1207, "2007EF2"))</f>
        <v>13</v>
      </c>
      <c r="F69" s="300">
        <f>(COUNTIF('Database - Tornado Segments'!$T$8:$T$1207, "2007EF3"))</f>
        <v>4</v>
      </c>
      <c r="G69" s="300">
        <f>(COUNTIF('Database - Tornado Segments'!$T$8:$T$1207, "2007EF4"))</f>
        <v>0</v>
      </c>
      <c r="H69" s="300">
        <f>(COUNTIF('Database - Tornado Segments'!$T$8:$T$1207, "2007EF5"))</f>
        <v>0</v>
      </c>
      <c r="I69" s="304">
        <f t="shared" si="9"/>
        <v>65</v>
      </c>
      <c r="J69" s="305">
        <f t="shared" si="17"/>
        <v>22.1</v>
      </c>
      <c r="K69" s="304">
        <f t="shared" si="11"/>
        <v>997</v>
      </c>
      <c r="L69" s="290">
        <f>K69/'# Yrs of Data'!D61</f>
        <v>17.189655172413794</v>
      </c>
      <c r="M69" s="2">
        <f t="shared" si="12"/>
        <v>592</v>
      </c>
      <c r="N69" s="46">
        <f>+M69/'# Yrs of Data'!D61</f>
        <v>10.206896551724139</v>
      </c>
      <c r="O69" s="2">
        <f t="shared" si="13"/>
        <v>220</v>
      </c>
      <c r="P69" s="46">
        <f>+O69/'# Yrs of Data'!D61</f>
        <v>3.7931034482758621</v>
      </c>
      <c r="Q69" s="2">
        <f t="shared" si="14"/>
        <v>122</v>
      </c>
      <c r="R69" s="46">
        <f>+Q69/'# Yrs of Data'!D61</f>
        <v>2.103448275862069</v>
      </c>
      <c r="S69" s="2">
        <f t="shared" si="15"/>
        <v>40</v>
      </c>
      <c r="T69" s="46">
        <f>+S69/'# Yrs of Data'!D61</f>
        <v>0.68965517241379315</v>
      </c>
      <c r="U69" s="2">
        <f t="shared" si="16"/>
        <v>23</v>
      </c>
      <c r="V69" s="46">
        <f>+U69/'# Yrs of Data'!D61</f>
        <v>0.39655172413793105</v>
      </c>
      <c r="W69" s="21" t="s">
        <v>41</v>
      </c>
      <c r="X69" s="21"/>
    </row>
    <row r="70" spans="2:24">
      <c r="B70" s="298">
        <f t="shared" si="10"/>
        <v>2008</v>
      </c>
      <c r="C70" s="300">
        <f>(COUNTIF('Database - Tornado Segments'!$T$8:$T$1207, "2008EF0"))</f>
        <v>11</v>
      </c>
      <c r="D70" s="300">
        <f>(COUNTIF('Database - Tornado Segments'!$T$8:$T$1207, "2008EF1"))</f>
        <v>0</v>
      </c>
      <c r="E70" s="300">
        <f>(COUNTIF('Database - Tornado Segments'!$T$8:$T$1207, "2008EF2"))</f>
        <v>1</v>
      </c>
      <c r="F70" s="300">
        <f>(COUNTIF('Database - Tornado Segments'!$T$8:$T$1207, "2008EF3"))</f>
        <v>0</v>
      </c>
      <c r="G70" s="300">
        <f>(COUNTIF('Database - Tornado Segments'!$T$8:$T$1207, "2008EF4"))</f>
        <v>0</v>
      </c>
      <c r="H70" s="300">
        <f>(COUNTIF('Database - Tornado Segments'!$T$8:$T$1207, "2008EF5"))</f>
        <v>0</v>
      </c>
      <c r="I70" s="304">
        <f t="shared" si="9"/>
        <v>12</v>
      </c>
      <c r="J70" s="305">
        <f t="shared" si="17"/>
        <v>23.1</v>
      </c>
      <c r="K70" s="304">
        <f t="shared" si="11"/>
        <v>1009</v>
      </c>
      <c r="L70" s="290">
        <f>K70/'# Yrs of Data'!D62</f>
        <v>17.101694915254239</v>
      </c>
      <c r="M70" s="2">
        <f t="shared" si="12"/>
        <v>603</v>
      </c>
      <c r="N70" s="46">
        <f>+M70/'# Yrs of Data'!D62</f>
        <v>10.220338983050848</v>
      </c>
      <c r="O70" s="2">
        <f t="shared" si="13"/>
        <v>220</v>
      </c>
      <c r="P70" s="46">
        <f>+O70/'# Yrs of Data'!D62</f>
        <v>3.7288135593220337</v>
      </c>
      <c r="Q70" s="2">
        <f t="shared" si="14"/>
        <v>123</v>
      </c>
      <c r="R70" s="46">
        <f>+Q70/'# Yrs of Data'!D62</f>
        <v>2.0847457627118646</v>
      </c>
      <c r="S70" s="2">
        <f t="shared" si="15"/>
        <v>40</v>
      </c>
      <c r="T70" s="46">
        <f>+S70/'# Yrs of Data'!D62</f>
        <v>0.67796610169491522</v>
      </c>
      <c r="U70" s="2">
        <f t="shared" si="16"/>
        <v>23</v>
      </c>
      <c r="V70" s="46">
        <f>+U70/'# Yrs of Data'!D62</f>
        <v>0.38983050847457629</v>
      </c>
      <c r="W70" s="569" t="s">
        <v>585</v>
      </c>
      <c r="X70" s="569"/>
    </row>
    <row r="71" spans="2:24">
      <c r="B71" s="298">
        <f t="shared" si="10"/>
        <v>2009</v>
      </c>
      <c r="C71" s="300">
        <f>(COUNTIF('Database - Tornado Segments'!$T$8:$T$1207, "2009EF0"))</f>
        <v>10</v>
      </c>
      <c r="D71" s="300">
        <f>(COUNTIF('Database - Tornado Segments'!$T$8:$T$1207, "2009EF1"))</f>
        <v>2</v>
      </c>
      <c r="E71" s="300">
        <f>(COUNTIF('Database - Tornado Segments'!$T$8:$T$1207, "2009EF2"))</f>
        <v>1</v>
      </c>
      <c r="F71" s="300">
        <f>(COUNTIF('Database - Tornado Segments'!$T$8:$T$1207, "2009EF3"))</f>
        <v>0</v>
      </c>
      <c r="G71" s="300">
        <f>(COUNTIF('Database - Tornado Segments'!$T$8:$T$1207, "2009EF4"))</f>
        <v>0</v>
      </c>
      <c r="H71" s="300">
        <f>(COUNTIF('Database - Tornado Segments'!$T$8:$T$1207, "2009EF5"))</f>
        <v>0</v>
      </c>
      <c r="I71" s="304">
        <f t="shared" si="9"/>
        <v>13</v>
      </c>
      <c r="J71" s="305">
        <f t="shared" si="17"/>
        <v>21.9</v>
      </c>
      <c r="K71" s="304">
        <f t="shared" si="11"/>
        <v>1022</v>
      </c>
      <c r="L71" s="290">
        <f>K71/'# Yrs of Data'!D63</f>
        <v>17.033333333333335</v>
      </c>
      <c r="M71" s="2">
        <f t="shared" si="12"/>
        <v>613</v>
      </c>
      <c r="N71" s="46">
        <f>+M71/'# Yrs of Data'!D63</f>
        <v>10.216666666666667</v>
      </c>
      <c r="O71" s="2">
        <f t="shared" si="13"/>
        <v>222</v>
      </c>
      <c r="P71" s="46">
        <f>+O71/'# Yrs of Data'!D63</f>
        <v>3.7</v>
      </c>
      <c r="Q71" s="2">
        <f t="shared" si="14"/>
        <v>124</v>
      </c>
      <c r="R71" s="46">
        <f>+Q71/'# Yrs of Data'!D63</f>
        <v>2.0666666666666669</v>
      </c>
      <c r="S71" s="2">
        <f t="shared" si="15"/>
        <v>40</v>
      </c>
      <c r="T71" s="46">
        <f>+S71/'# Yrs of Data'!D63</f>
        <v>0.66666666666666663</v>
      </c>
      <c r="U71" s="2">
        <f t="shared" si="16"/>
        <v>23</v>
      </c>
      <c r="V71" s="46">
        <f>+U71/'# Yrs of Data'!D63</f>
        <v>0.38333333333333336</v>
      </c>
      <c r="W71" s="21" t="s">
        <v>673</v>
      </c>
      <c r="X71" s="21"/>
    </row>
    <row r="72" spans="2:24">
      <c r="B72" s="298">
        <f t="shared" si="10"/>
        <v>2010</v>
      </c>
      <c r="C72" s="300">
        <f>(COUNTIF('Database - Tornado Segments'!$T$8:$T$1207, "2010EF0"))</f>
        <v>34</v>
      </c>
      <c r="D72" s="300">
        <f>(COUNTIF('Database - Tornado Segments'!$T$8:$T$1207, "2010EF1"))</f>
        <v>3</v>
      </c>
      <c r="E72" s="300">
        <f>(COUNTIF('Database - Tornado Segments'!$T$8:$T$1207, "2010EF2"))</f>
        <v>1</v>
      </c>
      <c r="F72" s="300">
        <f>(COUNTIF('Database - Tornado Segments'!$T$8:$T$1207, "2010EF3"))</f>
        <v>0</v>
      </c>
      <c r="G72" s="300">
        <f>(COUNTIF('Database - Tornado Segments'!$T$8:$T$1207, "2010EF4"))</f>
        <v>0</v>
      </c>
      <c r="H72" s="300">
        <f>(COUNTIF('Database - Tornado Segments'!$T$8:$T$1207, "2010EF5"))</f>
        <v>0</v>
      </c>
      <c r="I72" s="304">
        <f t="shared" si="9"/>
        <v>38</v>
      </c>
      <c r="J72" s="305">
        <f t="shared" si="17"/>
        <v>24.8</v>
      </c>
      <c r="K72" s="304">
        <f t="shared" si="11"/>
        <v>1060</v>
      </c>
      <c r="L72" s="290">
        <f>K72/'# Yrs of Data'!D64</f>
        <v>17.377049180327869</v>
      </c>
      <c r="M72" s="2">
        <f t="shared" si="12"/>
        <v>647</v>
      </c>
      <c r="N72" s="46">
        <f>+M72/'# Yrs of Data'!D64</f>
        <v>10.60655737704918</v>
      </c>
      <c r="O72" s="2">
        <f t="shared" si="13"/>
        <v>225</v>
      </c>
      <c r="P72" s="46">
        <f>+O72/'# Yrs of Data'!D64</f>
        <v>3.6885245901639343</v>
      </c>
      <c r="Q72" s="2">
        <f t="shared" si="14"/>
        <v>125</v>
      </c>
      <c r="R72" s="46">
        <f>+Q72/'# Yrs of Data'!D64</f>
        <v>2.0491803278688523</v>
      </c>
      <c r="S72" s="2">
        <f t="shared" si="15"/>
        <v>40</v>
      </c>
      <c r="T72" s="46">
        <f>+S72/'# Yrs of Data'!D64</f>
        <v>0.65573770491803274</v>
      </c>
      <c r="U72" s="2">
        <f t="shared" si="16"/>
        <v>23</v>
      </c>
      <c r="V72" s="46">
        <f>+U72/'# Yrs of Data'!D64</f>
        <v>0.37704918032786883</v>
      </c>
      <c r="W72" s="21" t="s">
        <v>674</v>
      </c>
      <c r="X72" s="21"/>
    </row>
    <row r="73" spans="2:24">
      <c r="B73" s="298">
        <f t="shared" si="10"/>
        <v>2011</v>
      </c>
      <c r="C73" s="300">
        <f>(COUNTIF('Database - Tornado Segments'!$T$8:$T$1207, "2011EF0"))</f>
        <v>4</v>
      </c>
      <c r="D73" s="300">
        <f>(COUNTIF('Database - Tornado Segments'!$T$8:$T$1207, "2011EF1"))</f>
        <v>0</v>
      </c>
      <c r="E73" s="300">
        <f>(COUNTIF('Database - Tornado Segments'!$T$8:$T$1207, "2011EF2"))</f>
        <v>0</v>
      </c>
      <c r="F73" s="300">
        <f>(COUNTIF('Database - Tornado Segments'!$T$8:$T$1207, "2011EF3"))</f>
        <v>0</v>
      </c>
      <c r="G73" s="300">
        <f>(COUNTIF('Database - Tornado Segments'!$T$8:$T$1207, "2011EF4"))</f>
        <v>0</v>
      </c>
      <c r="H73" s="300">
        <f>(COUNTIF('Database - Tornado Segments'!$T$8:$T$1207, "2011EF5"))</f>
        <v>0</v>
      </c>
      <c r="I73" s="304">
        <f t="shared" si="9"/>
        <v>4</v>
      </c>
      <c r="J73" s="305">
        <f t="shared" si="17"/>
        <v>23</v>
      </c>
      <c r="K73" s="304">
        <f t="shared" si="11"/>
        <v>1064</v>
      </c>
      <c r="L73" s="290">
        <f>K73/'# Yrs of Data'!D65</f>
        <v>17.161290322580644</v>
      </c>
      <c r="M73" s="2">
        <f t="shared" si="12"/>
        <v>651</v>
      </c>
      <c r="N73" s="46">
        <f>+M73/'# Yrs of Data'!D65</f>
        <v>10.5</v>
      </c>
      <c r="O73" s="2">
        <f t="shared" si="13"/>
        <v>225</v>
      </c>
      <c r="P73" s="46">
        <f>+O73/'# Yrs of Data'!D65</f>
        <v>3.629032258064516</v>
      </c>
      <c r="Q73" s="2">
        <f t="shared" si="14"/>
        <v>125</v>
      </c>
      <c r="R73" s="46">
        <f>+Q73/'# Yrs of Data'!D65</f>
        <v>2.0161290322580645</v>
      </c>
      <c r="S73" s="2">
        <f t="shared" si="15"/>
        <v>40</v>
      </c>
      <c r="T73" s="46">
        <f>+S73/'# Yrs of Data'!D65</f>
        <v>0.64516129032258063</v>
      </c>
      <c r="U73" s="2">
        <f t="shared" si="16"/>
        <v>23</v>
      </c>
      <c r="V73" s="46">
        <f>+U73/'# Yrs of Data'!D65</f>
        <v>0.37096774193548387</v>
      </c>
      <c r="W73" s="389" t="s">
        <v>1015</v>
      </c>
      <c r="X73" s="389"/>
    </row>
    <row r="74" spans="2:24">
      <c r="B74" s="298">
        <f t="shared" si="10"/>
        <v>2012</v>
      </c>
      <c r="C74" s="300">
        <f>(COUNTIF('Database - Tornado Segments'!$T$8:$T$1207, "2012EF0"))</f>
        <v>7</v>
      </c>
      <c r="D74" s="300">
        <f>(COUNTIF('Database - Tornado Segments'!$T$8:$T$1207, "2012EF1"))</f>
        <v>1</v>
      </c>
      <c r="E74" s="300">
        <f>(COUNTIF('Database - Tornado Segments'!$T$8:$T$1207, "2012EF2"))</f>
        <v>0</v>
      </c>
      <c r="F74" s="300">
        <f>(COUNTIF('Database - Tornado Segments'!$T$8:$T$1207, "2012EF3"))</f>
        <v>0</v>
      </c>
      <c r="G74" s="300">
        <f>(COUNTIF('Database - Tornado Segments'!$T$8:$T$1207, "2012EF4"))</f>
        <v>0</v>
      </c>
      <c r="H74" s="300">
        <f>(COUNTIF('Database - Tornado Segments'!$T$8:$T$1207, "2012EF5"))</f>
        <v>0</v>
      </c>
      <c r="I74" s="304">
        <f t="shared" si="9"/>
        <v>8</v>
      </c>
      <c r="J74" s="305">
        <f t="shared" si="17"/>
        <v>21.5</v>
      </c>
      <c r="K74" s="304">
        <f t="shared" si="11"/>
        <v>1072</v>
      </c>
      <c r="L74" s="290">
        <f>K74/'# Yrs of Data'!D66</f>
        <v>17.015873015873016</v>
      </c>
      <c r="M74" s="2">
        <f t="shared" si="12"/>
        <v>658</v>
      </c>
      <c r="N74" s="46">
        <f>+M74/'# Yrs of Data'!D66</f>
        <v>10.444444444444445</v>
      </c>
      <c r="O74" s="2">
        <f t="shared" si="13"/>
        <v>226</v>
      </c>
      <c r="P74" s="46">
        <f>+O74/'# Yrs of Data'!D66</f>
        <v>3.5873015873015874</v>
      </c>
      <c r="Q74" s="2">
        <f t="shared" si="14"/>
        <v>125</v>
      </c>
      <c r="R74" s="46">
        <f>+Q74/'# Yrs of Data'!D66</f>
        <v>1.9841269841269842</v>
      </c>
      <c r="S74" s="2">
        <f t="shared" si="15"/>
        <v>40</v>
      </c>
      <c r="T74" s="46">
        <f>+S74/'# Yrs of Data'!D66</f>
        <v>0.63492063492063489</v>
      </c>
      <c r="U74" s="2">
        <f t="shared" si="16"/>
        <v>23</v>
      </c>
      <c r="V74" s="46">
        <f>+U74/'# Yrs of Data'!D66</f>
        <v>0.36507936507936506</v>
      </c>
      <c r="W74" s="866" t="s">
        <v>1263</v>
      </c>
      <c r="X74" s="866"/>
    </row>
    <row r="75" spans="2:24">
      <c r="B75" s="298">
        <f t="shared" si="10"/>
        <v>2013</v>
      </c>
      <c r="C75" s="300">
        <f>(COUNTIF('Database - Tornado Segments'!$T$8:$T$1207, "2013EF0"))</f>
        <v>7</v>
      </c>
      <c r="D75" s="300">
        <f>(COUNTIF('Database - Tornado Segments'!$T$8:$T$1207, "2013EF1"))</f>
        <v>0</v>
      </c>
      <c r="E75" s="300">
        <f>(COUNTIF('Database - Tornado Segments'!$T$8:$T$1207, "2013EF2"))</f>
        <v>0</v>
      </c>
      <c r="F75" s="300">
        <f>(COUNTIF('Database - Tornado Segments'!$T$8:$T$1207, "2013EF3"))</f>
        <v>0</v>
      </c>
      <c r="G75" s="300">
        <f>(COUNTIF('Database - Tornado Segments'!$T$8:$T$1207, "2013EF4"))</f>
        <v>0</v>
      </c>
      <c r="H75" s="300">
        <f>(COUNTIF('Database - Tornado Segments'!$T$8:$T$1207, "2013EF5"))</f>
        <v>0</v>
      </c>
      <c r="I75" s="304">
        <f t="shared" si="9"/>
        <v>7</v>
      </c>
      <c r="J75" s="305">
        <f t="shared" si="17"/>
        <v>18.899999999999999</v>
      </c>
      <c r="K75" s="304">
        <f t="shared" si="11"/>
        <v>1079</v>
      </c>
      <c r="L75" s="290">
        <f>K75/'# Yrs of Data'!D67</f>
        <v>16.859375</v>
      </c>
      <c r="M75" s="2">
        <f t="shared" si="12"/>
        <v>665</v>
      </c>
      <c r="N75" s="46">
        <f>+M75/'# Yrs of Data'!D67</f>
        <v>10.390625</v>
      </c>
      <c r="O75" s="2">
        <f t="shared" si="13"/>
        <v>226</v>
      </c>
      <c r="P75" s="46">
        <f>+O75/'# Yrs of Data'!D67</f>
        <v>3.53125</v>
      </c>
      <c r="Q75" s="2">
        <f t="shared" si="14"/>
        <v>125</v>
      </c>
      <c r="R75" s="46">
        <f>+Q75/'# Yrs of Data'!D67</f>
        <v>1.953125</v>
      </c>
      <c r="S75" s="2">
        <f t="shared" si="15"/>
        <v>40</v>
      </c>
      <c r="T75" s="46">
        <f>+S75/'# Yrs of Data'!D67</f>
        <v>0.625</v>
      </c>
      <c r="U75" s="2">
        <f t="shared" si="16"/>
        <v>23</v>
      </c>
      <c r="V75" s="46">
        <f>+U75/'# Yrs of Data'!D67</f>
        <v>0.359375</v>
      </c>
      <c r="W75" s="32" t="s">
        <v>583</v>
      </c>
      <c r="X75" s="32"/>
    </row>
    <row r="76" spans="2:24">
      <c r="B76" s="298">
        <f t="shared" si="10"/>
        <v>2014</v>
      </c>
      <c r="C76" s="300">
        <f>(COUNTIF('Database - Tornado Segments'!$T$8:$T$1207, "2014EF0"))</f>
        <v>9</v>
      </c>
      <c r="D76" s="300">
        <f>(COUNTIF('Database - Tornado Segments'!$T$8:$T$1207, "2014EF1"))</f>
        <v>4</v>
      </c>
      <c r="E76" s="300">
        <f>(COUNTIF('Database - Tornado Segments'!$T$8:$T$1207, "2014EF2"))</f>
        <v>0</v>
      </c>
      <c r="F76" s="300">
        <f>(COUNTIF('Database - Tornado Segments'!$T$8:$T$1207, "2014EF3"))</f>
        <v>0</v>
      </c>
      <c r="G76" s="300">
        <f>(COUNTIF('Database - Tornado Segments'!$T$8:$T$1207, "2014EF4"))</f>
        <v>0</v>
      </c>
      <c r="H76" s="300">
        <f>(COUNTIF('Database - Tornado Segments'!$T$8:$T$1207, "2014EF5"))</f>
        <v>0</v>
      </c>
      <c r="I76" s="304">
        <f>SUM(C76:H76)</f>
        <v>13</v>
      </c>
      <c r="J76" s="305">
        <f t="shared" si="17"/>
        <v>18.8</v>
      </c>
      <c r="K76" s="304">
        <f t="shared" si="11"/>
        <v>1092</v>
      </c>
      <c r="L76" s="290">
        <f>K76/'# Yrs of Data'!D68</f>
        <v>16.8</v>
      </c>
      <c r="M76" s="2">
        <f t="shared" si="12"/>
        <v>674</v>
      </c>
      <c r="N76" s="46">
        <f>+M76/'# Yrs of Data'!D68</f>
        <v>10.36923076923077</v>
      </c>
      <c r="O76" s="2">
        <f t="shared" si="13"/>
        <v>230</v>
      </c>
      <c r="P76" s="46">
        <f>+O76/'# Yrs of Data'!D68</f>
        <v>3.5384615384615383</v>
      </c>
      <c r="Q76" s="2">
        <f t="shared" si="14"/>
        <v>125</v>
      </c>
      <c r="R76" s="46">
        <f>+Q76/'# Yrs of Data'!D68</f>
        <v>1.9230769230769231</v>
      </c>
      <c r="S76" s="2">
        <f t="shared" si="15"/>
        <v>40</v>
      </c>
      <c r="T76" s="46">
        <f>+S76/'# Yrs of Data'!D68</f>
        <v>0.61538461538461542</v>
      </c>
      <c r="U76" s="2">
        <f t="shared" si="16"/>
        <v>23</v>
      </c>
      <c r="V76" s="46">
        <f>+U76/'# Yrs of Data'!D68</f>
        <v>0.35384615384615387</v>
      </c>
      <c r="W76" s="389" t="s">
        <v>1272</v>
      </c>
      <c r="X76" s="389"/>
    </row>
    <row r="77" spans="2:24">
      <c r="B77" s="298">
        <f t="shared" si="10"/>
        <v>2015</v>
      </c>
      <c r="C77" s="300">
        <f>(COUNTIF('Database - Tornado Segments'!$T$8:$T$1207, "2015EF0"))</f>
        <v>23</v>
      </c>
      <c r="D77" s="300">
        <f>(COUNTIF('Database - Tornado Segments'!$T$8:$T$1207, "2015EF1"))</f>
        <v>13</v>
      </c>
      <c r="E77" s="300">
        <f>(COUNTIF('Database - Tornado Segments'!$T$8:$T$1207, "2015EF2"))</f>
        <v>3</v>
      </c>
      <c r="F77" s="300">
        <f>(COUNTIF('Database - Tornado Segments'!$T$8:$T$1207, "2015EF3"))</f>
        <v>3</v>
      </c>
      <c r="G77" s="300">
        <f>(COUNTIF('Database - Tornado Segments'!$T$8:$T$1207, "2015EF4"))</f>
        <v>0</v>
      </c>
      <c r="H77" s="300">
        <f>(COUNTIF('Database - Tornado Segments'!$T$8:$T$1207, "2015EF5"))</f>
        <v>0</v>
      </c>
      <c r="I77" s="304">
        <f>SUM(C77:H77)</f>
        <v>42</v>
      </c>
      <c r="J77" s="305">
        <f t="shared" si="17"/>
        <v>21.5</v>
      </c>
      <c r="K77" s="304">
        <f t="shared" si="11"/>
        <v>1134</v>
      </c>
      <c r="L77" s="290">
        <f>K77/'# Yrs of Data'!D69</f>
        <v>17.181818181818183</v>
      </c>
      <c r="M77" s="2">
        <f t="shared" si="12"/>
        <v>697</v>
      </c>
      <c r="N77" s="46">
        <f>+M77/'# Yrs of Data'!D69</f>
        <v>10.560606060606061</v>
      </c>
      <c r="O77" s="2">
        <f t="shared" si="13"/>
        <v>243</v>
      </c>
      <c r="P77" s="46">
        <f>+O77/'# Yrs of Data'!D69</f>
        <v>3.6818181818181817</v>
      </c>
      <c r="Q77" s="2">
        <f t="shared" si="14"/>
        <v>128</v>
      </c>
      <c r="R77" s="46">
        <f>+Q77/'# Yrs of Data'!D69</f>
        <v>1.9393939393939394</v>
      </c>
      <c r="S77" s="2">
        <f t="shared" si="15"/>
        <v>43</v>
      </c>
      <c r="T77" s="46">
        <f>+S77/'# Yrs of Data'!D69</f>
        <v>0.65151515151515149</v>
      </c>
      <c r="U77" s="2">
        <f t="shared" si="16"/>
        <v>23</v>
      </c>
      <c r="V77" s="46">
        <f>+U77/'# Yrs of Data'!D69</f>
        <v>0.34848484848484851</v>
      </c>
      <c r="W77" s="32" t="s">
        <v>1316</v>
      </c>
      <c r="X77" s="32"/>
    </row>
    <row r="78" spans="2:24">
      <c r="B78" s="298">
        <f t="shared" si="10"/>
        <v>2016</v>
      </c>
      <c r="C78" s="300">
        <f>(COUNTIF('Database - Tornado Segments'!$T$8:$T$1207, "2016EF0"))</f>
        <v>0</v>
      </c>
      <c r="D78" s="300">
        <f>(COUNTIF('Database - Tornado Segments'!$T$8:$T$1207, "2016EF1"))</f>
        <v>0</v>
      </c>
      <c r="E78" s="300">
        <f>(COUNTIF('Database - Tornado Segments'!$T$8:$T$1207, "2016EF2"))</f>
        <v>0</v>
      </c>
      <c r="F78" s="300">
        <f>(COUNTIF('Database - Tornado Segments'!$T$8:$T$1207, "2016EF3"))</f>
        <v>0</v>
      </c>
      <c r="G78" s="300">
        <f>(COUNTIF('Database - Tornado Segments'!$T$8:$T$1207, "2016EF4"))</f>
        <v>0</v>
      </c>
      <c r="H78" s="300">
        <f>(COUNTIF('Database - Tornado Segments'!$T$8:$T$1207, "2016EF5"))</f>
        <v>0</v>
      </c>
      <c r="I78" s="304">
        <f t="shared" ref="I78:I87" si="18">SUM(C78:H78)</f>
        <v>0</v>
      </c>
      <c r="J78" s="305">
        <f t="shared" ref="J78:J87" si="19">SUM(I69:I78)/10</f>
        <v>20.2</v>
      </c>
      <c r="K78" s="304">
        <f t="shared" ref="K78:K87" si="20">K77+I78</f>
        <v>1134</v>
      </c>
      <c r="L78" s="290" t="e">
        <f>K78/'# Yrs of Data'!D70</f>
        <v>#DIV/0!</v>
      </c>
      <c r="M78" s="2">
        <f t="shared" ref="M78:M87" si="21">+M77+C78</f>
        <v>697</v>
      </c>
      <c r="N78" s="46" t="e">
        <f>+M78/'# Yrs of Data'!D70</f>
        <v>#DIV/0!</v>
      </c>
      <c r="O78" s="2">
        <f t="shared" ref="O78:O87" si="22">+O77+D78</f>
        <v>243</v>
      </c>
      <c r="P78" s="46" t="e">
        <f>+O78/'# Yrs of Data'!D70</f>
        <v>#DIV/0!</v>
      </c>
      <c r="Q78" s="2">
        <f t="shared" ref="Q78:Q87" si="23">+Q77+E78</f>
        <v>128</v>
      </c>
      <c r="R78" s="46" t="e">
        <f>+Q78/'# Yrs of Data'!D70</f>
        <v>#DIV/0!</v>
      </c>
      <c r="S78" s="2">
        <f t="shared" ref="S78:S87" si="24">+S77+F78</f>
        <v>43</v>
      </c>
      <c r="T78" s="46" t="e">
        <f>+S78/'# Yrs of Data'!D70</f>
        <v>#DIV/0!</v>
      </c>
      <c r="U78" s="2">
        <f t="shared" ref="U78:U87" si="25">+U77+G78</f>
        <v>23</v>
      </c>
      <c r="V78" s="46" t="e">
        <f>+U78/'# Yrs of Data'!D70</f>
        <v>#DIV/0!</v>
      </c>
      <c r="W78" s="332"/>
      <c r="X78" s="332"/>
    </row>
    <row r="79" spans="2:24">
      <c r="B79" s="298">
        <f t="shared" si="10"/>
        <v>2017</v>
      </c>
      <c r="C79" s="300">
        <f>(COUNTIF('Database - Tornado Segments'!$T$8:$T$1207, "2017EF0"))</f>
        <v>0</v>
      </c>
      <c r="D79" s="300">
        <f>(COUNTIF('Database - Tornado Segments'!$T$8:$T$1207, "2017EF1"))</f>
        <v>0</v>
      </c>
      <c r="E79" s="300">
        <f>(COUNTIF('Database - Tornado Segments'!$T$8:$T$1207, "2017EF2"))</f>
        <v>0</v>
      </c>
      <c r="F79" s="300">
        <f>(COUNTIF('Database - Tornado Segments'!$T$8:$T$1207, "2017EF3"))</f>
        <v>0</v>
      </c>
      <c r="G79" s="300">
        <f>(COUNTIF('Database - Tornado Segments'!$T$8:$T$1207, "2017EF4"))</f>
        <v>0</v>
      </c>
      <c r="H79" s="300">
        <f>(COUNTIF('Database - Tornado Segments'!$T$8:$T$1207, "2017EF5"))</f>
        <v>0</v>
      </c>
      <c r="I79" s="304">
        <f t="shared" si="18"/>
        <v>0</v>
      </c>
      <c r="J79" s="305">
        <f t="shared" si="19"/>
        <v>13.7</v>
      </c>
      <c r="K79" s="304">
        <f t="shared" si="20"/>
        <v>1134</v>
      </c>
      <c r="L79" s="290" t="e">
        <f>K79/'# Yrs of Data'!D71</f>
        <v>#DIV/0!</v>
      </c>
      <c r="M79" s="2">
        <f t="shared" si="21"/>
        <v>697</v>
      </c>
      <c r="N79" s="46" t="e">
        <f>+M79/'# Yrs of Data'!D71</f>
        <v>#DIV/0!</v>
      </c>
      <c r="O79" s="2">
        <f t="shared" si="22"/>
        <v>243</v>
      </c>
      <c r="P79" s="46" t="e">
        <f>+O79/'# Yrs of Data'!D71</f>
        <v>#DIV/0!</v>
      </c>
      <c r="Q79" s="2">
        <f t="shared" si="23"/>
        <v>128</v>
      </c>
      <c r="R79" s="46" t="e">
        <f>+Q79/'# Yrs of Data'!D71</f>
        <v>#DIV/0!</v>
      </c>
      <c r="S79" s="2">
        <f t="shared" si="24"/>
        <v>43</v>
      </c>
      <c r="T79" s="46" t="e">
        <f>+S79/'# Yrs of Data'!D71</f>
        <v>#DIV/0!</v>
      </c>
      <c r="U79" s="2">
        <f t="shared" si="25"/>
        <v>23</v>
      </c>
      <c r="V79" s="46" t="e">
        <f>+U79/'# Yrs of Data'!D71</f>
        <v>#DIV/0!</v>
      </c>
      <c r="W79" s="332"/>
      <c r="X79" s="332"/>
    </row>
    <row r="80" spans="2:24">
      <c r="B80" s="298">
        <f t="shared" si="10"/>
        <v>2018</v>
      </c>
      <c r="C80" s="300">
        <f>(COUNTIF('Database - Tornado Segments'!$T$8:$T$1207, "2018EF0"))</f>
        <v>0</v>
      </c>
      <c r="D80" s="300">
        <f>(COUNTIF('Database - Tornado Segments'!$T$8:$T$1207, "2018EF1"))</f>
        <v>0</v>
      </c>
      <c r="E80" s="300">
        <f>(COUNTIF('Database - Tornado Segments'!$T$8:$T$1207, "2018EF2"))</f>
        <v>0</v>
      </c>
      <c r="F80" s="300">
        <f>(COUNTIF('Database - Tornado Segments'!$T$8:$T$1207, "2018EF3"))</f>
        <v>0</v>
      </c>
      <c r="G80" s="300">
        <f>(COUNTIF('Database - Tornado Segments'!$T$8:$T$1207, "2018EF4"))</f>
        <v>0</v>
      </c>
      <c r="H80" s="300">
        <f>(COUNTIF('Database - Tornado Segments'!$T$8:$T$1207, "2018EF5"))</f>
        <v>0</v>
      </c>
      <c r="I80" s="304">
        <f t="shared" si="18"/>
        <v>0</v>
      </c>
      <c r="J80" s="305">
        <f t="shared" si="19"/>
        <v>12.5</v>
      </c>
      <c r="K80" s="304">
        <f t="shared" si="20"/>
        <v>1134</v>
      </c>
      <c r="L80" s="290" t="e">
        <f>K80/'# Yrs of Data'!D72</f>
        <v>#DIV/0!</v>
      </c>
      <c r="M80" s="2">
        <f t="shared" si="21"/>
        <v>697</v>
      </c>
      <c r="N80" s="46" t="e">
        <f>+M80/'# Yrs of Data'!D72</f>
        <v>#DIV/0!</v>
      </c>
      <c r="O80" s="2">
        <f t="shared" si="22"/>
        <v>243</v>
      </c>
      <c r="P80" s="46" t="e">
        <f>+O80/'# Yrs of Data'!D72</f>
        <v>#DIV/0!</v>
      </c>
      <c r="Q80" s="2">
        <f t="shared" si="23"/>
        <v>128</v>
      </c>
      <c r="R80" s="46" t="e">
        <f>+Q80/'# Yrs of Data'!D72</f>
        <v>#DIV/0!</v>
      </c>
      <c r="S80" s="2">
        <f t="shared" si="24"/>
        <v>43</v>
      </c>
      <c r="T80" s="46" t="e">
        <f>+S80/'# Yrs of Data'!D72</f>
        <v>#DIV/0!</v>
      </c>
      <c r="U80" s="2">
        <f t="shared" si="25"/>
        <v>23</v>
      </c>
      <c r="V80" s="46" t="e">
        <f>+U80/'# Yrs of Data'!D72</f>
        <v>#DIV/0!</v>
      </c>
      <c r="W80" s="332"/>
      <c r="X80" s="332"/>
    </row>
    <row r="81" spans="2:24">
      <c r="B81" s="298">
        <f t="shared" si="10"/>
        <v>2019</v>
      </c>
      <c r="C81" s="300">
        <f>(COUNTIF('Database - Tornado Segments'!$T$8:$T$1207, "2019EF0"))</f>
        <v>0</v>
      </c>
      <c r="D81" s="300">
        <f>(COUNTIF('Database - Tornado Segments'!$T$8:$T$1207, "2019EF1"))</f>
        <v>0</v>
      </c>
      <c r="E81" s="300">
        <f>(COUNTIF('Database - Tornado Segments'!$T$8:$T$1207, "2019EF2"))</f>
        <v>0</v>
      </c>
      <c r="F81" s="300">
        <f>(COUNTIF('Database - Tornado Segments'!$T$8:$T$1207, "2019EF3"))</f>
        <v>0</v>
      </c>
      <c r="G81" s="300">
        <f>(COUNTIF('Database - Tornado Segments'!$T$8:$T$1207, "2019EF4"))</f>
        <v>0</v>
      </c>
      <c r="H81" s="300">
        <f>(COUNTIF('Database - Tornado Segments'!$T$8:$T$1207, "2019EF5"))</f>
        <v>0</v>
      </c>
      <c r="I81" s="304">
        <f t="shared" si="18"/>
        <v>0</v>
      </c>
      <c r="J81" s="305">
        <f t="shared" si="19"/>
        <v>11.2</v>
      </c>
      <c r="K81" s="304">
        <f t="shared" si="20"/>
        <v>1134</v>
      </c>
      <c r="L81" s="290" t="e">
        <f>K81/'# Yrs of Data'!D73</f>
        <v>#DIV/0!</v>
      </c>
      <c r="M81" s="2">
        <f t="shared" si="21"/>
        <v>697</v>
      </c>
      <c r="N81" s="46" t="e">
        <f>+M81/'# Yrs of Data'!D73</f>
        <v>#DIV/0!</v>
      </c>
      <c r="O81" s="2">
        <f t="shared" si="22"/>
        <v>243</v>
      </c>
      <c r="P81" s="46" t="e">
        <f>+O81/'# Yrs of Data'!D73</f>
        <v>#DIV/0!</v>
      </c>
      <c r="Q81" s="2">
        <f t="shared" si="23"/>
        <v>128</v>
      </c>
      <c r="R81" s="46" t="e">
        <f>+Q81/'# Yrs of Data'!D73</f>
        <v>#DIV/0!</v>
      </c>
      <c r="S81" s="2">
        <f t="shared" si="24"/>
        <v>43</v>
      </c>
      <c r="T81" s="46" t="e">
        <f>+S81/'# Yrs of Data'!D73</f>
        <v>#DIV/0!</v>
      </c>
      <c r="U81" s="2">
        <f t="shared" si="25"/>
        <v>23</v>
      </c>
      <c r="V81" s="46" t="e">
        <f>+U81/'# Yrs of Data'!D73</f>
        <v>#DIV/0!</v>
      </c>
      <c r="W81" s="332"/>
      <c r="X81" s="332"/>
    </row>
    <row r="82" spans="2:24">
      <c r="B82" s="298">
        <f t="shared" si="10"/>
        <v>2020</v>
      </c>
      <c r="C82" s="300">
        <f>(COUNTIF('Database - Tornado Segments'!$T$8:$T$1207, "2020EF0"))</f>
        <v>0</v>
      </c>
      <c r="D82" s="300">
        <f>(COUNTIF('Database - Tornado Segments'!$T$8:$T$1207, "2020EF1"))</f>
        <v>0</v>
      </c>
      <c r="E82" s="300">
        <f>(COUNTIF('Database - Tornado Segments'!$T$8:$T$1207, "2020EF2"))</f>
        <v>0</v>
      </c>
      <c r="F82" s="300">
        <f>(COUNTIF('Database - Tornado Segments'!$T$8:$T$1207, "2020EF3"))</f>
        <v>0</v>
      </c>
      <c r="G82" s="300">
        <f>(COUNTIF('Database - Tornado Segments'!$T$8:$T$1207, "2020EF4"))</f>
        <v>0</v>
      </c>
      <c r="H82" s="300">
        <f>(COUNTIF('Database - Tornado Segments'!$T$8:$T$1207, "2020EF5"))</f>
        <v>0</v>
      </c>
      <c r="I82" s="304">
        <f t="shared" si="18"/>
        <v>0</v>
      </c>
      <c r="J82" s="305">
        <f t="shared" si="19"/>
        <v>7.4</v>
      </c>
      <c r="K82" s="304">
        <f t="shared" si="20"/>
        <v>1134</v>
      </c>
      <c r="L82" s="290" t="e">
        <f>K82/'# Yrs of Data'!D74</f>
        <v>#DIV/0!</v>
      </c>
      <c r="M82" s="2">
        <f t="shared" si="21"/>
        <v>697</v>
      </c>
      <c r="N82" s="46" t="e">
        <f>+M82/'# Yrs of Data'!D74</f>
        <v>#DIV/0!</v>
      </c>
      <c r="O82" s="2">
        <f t="shared" si="22"/>
        <v>243</v>
      </c>
      <c r="P82" s="46" t="e">
        <f>+O82/'# Yrs of Data'!D74</f>
        <v>#DIV/0!</v>
      </c>
      <c r="Q82" s="2">
        <f t="shared" si="23"/>
        <v>128</v>
      </c>
      <c r="R82" s="46" t="e">
        <f>+Q82/'# Yrs of Data'!D74</f>
        <v>#DIV/0!</v>
      </c>
      <c r="S82" s="2">
        <f t="shared" si="24"/>
        <v>43</v>
      </c>
      <c r="T82" s="46" t="e">
        <f>+S82/'# Yrs of Data'!D74</f>
        <v>#DIV/0!</v>
      </c>
      <c r="U82" s="2">
        <f t="shared" si="25"/>
        <v>23</v>
      </c>
      <c r="V82" s="46" t="e">
        <f>+U82/'# Yrs of Data'!D74</f>
        <v>#DIV/0!</v>
      </c>
      <c r="W82" s="332"/>
      <c r="X82" s="332"/>
    </row>
    <row r="83" spans="2:24">
      <c r="B83" s="298">
        <f t="shared" si="10"/>
        <v>2021</v>
      </c>
      <c r="C83" s="300">
        <f>(COUNTIF('Database - Tornado Segments'!$T$8:$T$1207, "2021EF0"))</f>
        <v>0</v>
      </c>
      <c r="D83" s="300">
        <f>(COUNTIF('Database - Tornado Segments'!$T$8:$T$1207, "2021EF1"))</f>
        <v>0</v>
      </c>
      <c r="E83" s="300">
        <f>(COUNTIF('Database - Tornado Segments'!$T$8:$T$1207, "2021EF2"))</f>
        <v>0</v>
      </c>
      <c r="F83" s="300">
        <f>(COUNTIF('Database - Tornado Segments'!$T$8:$T$1207, "2021EF3"))</f>
        <v>0</v>
      </c>
      <c r="G83" s="300">
        <f>(COUNTIF('Database - Tornado Segments'!$T$8:$T$1207, "2021EF4"))</f>
        <v>0</v>
      </c>
      <c r="H83" s="300">
        <f>(COUNTIF('Database - Tornado Segments'!$T$8:$T$1207, "2021EF5"))</f>
        <v>0</v>
      </c>
      <c r="I83" s="304">
        <f t="shared" si="18"/>
        <v>0</v>
      </c>
      <c r="J83" s="305">
        <f t="shared" si="19"/>
        <v>7</v>
      </c>
      <c r="K83" s="304">
        <f t="shared" si="20"/>
        <v>1134</v>
      </c>
      <c r="L83" s="290" t="e">
        <f>K83/'# Yrs of Data'!D75</f>
        <v>#DIV/0!</v>
      </c>
      <c r="M83" s="2">
        <f t="shared" si="21"/>
        <v>697</v>
      </c>
      <c r="N83" s="46" t="e">
        <f>+M83/'# Yrs of Data'!D75</f>
        <v>#DIV/0!</v>
      </c>
      <c r="O83" s="2">
        <f t="shared" si="22"/>
        <v>243</v>
      </c>
      <c r="P83" s="46" t="e">
        <f>+O83/'# Yrs of Data'!D75</f>
        <v>#DIV/0!</v>
      </c>
      <c r="Q83" s="2">
        <f t="shared" si="23"/>
        <v>128</v>
      </c>
      <c r="R83" s="46" t="e">
        <f>+Q83/'# Yrs of Data'!D75</f>
        <v>#DIV/0!</v>
      </c>
      <c r="S83" s="2">
        <f t="shared" si="24"/>
        <v>43</v>
      </c>
      <c r="T83" s="46" t="e">
        <f>+S83/'# Yrs of Data'!D75</f>
        <v>#DIV/0!</v>
      </c>
      <c r="U83" s="2">
        <f t="shared" si="25"/>
        <v>23</v>
      </c>
      <c r="V83" s="46" t="e">
        <f>+U83/'# Yrs of Data'!D75</f>
        <v>#DIV/0!</v>
      </c>
      <c r="W83" s="332"/>
      <c r="X83" s="332"/>
    </row>
    <row r="84" spans="2:24">
      <c r="B84" s="298">
        <f t="shared" si="10"/>
        <v>2022</v>
      </c>
      <c r="C84" s="300">
        <f>(COUNTIF('Database - Tornado Segments'!$T$8:$T$1207, "2022EF0"))</f>
        <v>0</v>
      </c>
      <c r="D84" s="300">
        <f>(COUNTIF('Database - Tornado Segments'!$T$8:$T$1207, "2022EF1"))</f>
        <v>0</v>
      </c>
      <c r="E84" s="300">
        <f>(COUNTIF('Database - Tornado Segments'!$T$8:$T$1207, "2022F2"))</f>
        <v>0</v>
      </c>
      <c r="F84" s="300">
        <f>(COUNTIF('Database - Tornado Segments'!$T$8:$T$1207, "2022EF3"))</f>
        <v>0</v>
      </c>
      <c r="G84" s="300">
        <f>(COUNTIF('Database - Tornado Segments'!$T$8:$T$1207, "2022EF4"))</f>
        <v>0</v>
      </c>
      <c r="H84" s="300">
        <f>(COUNTIF('Database - Tornado Segments'!$T$8:$T$1207, "2022EF5"))</f>
        <v>0</v>
      </c>
      <c r="I84" s="304">
        <f t="shared" si="18"/>
        <v>0</v>
      </c>
      <c r="J84" s="305">
        <f t="shared" si="19"/>
        <v>6.2</v>
      </c>
      <c r="K84" s="304">
        <f t="shared" si="20"/>
        <v>1134</v>
      </c>
      <c r="L84" s="290" t="e">
        <f>K84/'# Yrs of Data'!D76</f>
        <v>#DIV/0!</v>
      </c>
      <c r="M84" s="2">
        <f t="shared" si="21"/>
        <v>697</v>
      </c>
      <c r="N84" s="46" t="e">
        <f>+M84/'# Yrs of Data'!D76</f>
        <v>#DIV/0!</v>
      </c>
      <c r="O84" s="2">
        <f t="shared" si="22"/>
        <v>243</v>
      </c>
      <c r="P84" s="46" t="e">
        <f>+O84/'# Yrs of Data'!D76</f>
        <v>#DIV/0!</v>
      </c>
      <c r="Q84" s="2">
        <f t="shared" si="23"/>
        <v>128</v>
      </c>
      <c r="R84" s="46" t="e">
        <f>+Q84/'# Yrs of Data'!D76</f>
        <v>#DIV/0!</v>
      </c>
      <c r="S84" s="2">
        <f t="shared" si="24"/>
        <v>43</v>
      </c>
      <c r="T84" s="46" t="e">
        <f>+S84/'# Yrs of Data'!D76</f>
        <v>#DIV/0!</v>
      </c>
      <c r="U84" s="2">
        <f t="shared" si="25"/>
        <v>23</v>
      </c>
      <c r="V84" s="46" t="e">
        <f>+U84/'# Yrs of Data'!D76</f>
        <v>#DIV/0!</v>
      </c>
      <c r="W84" s="332"/>
      <c r="X84" s="332"/>
    </row>
    <row r="85" spans="2:24">
      <c r="B85" s="298">
        <f t="shared" si="10"/>
        <v>2023</v>
      </c>
      <c r="C85" s="300">
        <f>(COUNTIF('Database - Tornado Segments'!$T$8:$T$1207, "2023EF0"))</f>
        <v>0</v>
      </c>
      <c r="D85" s="300">
        <f>(COUNTIF('Database - Tornado Segments'!$T$8:$T$1207, "2023EF1"))</f>
        <v>0</v>
      </c>
      <c r="E85" s="300">
        <f>(COUNTIF('Database - Tornado Segments'!$T$8:$T$1207, "2023EF2"))</f>
        <v>0</v>
      </c>
      <c r="F85" s="300">
        <f>(COUNTIF('Database - Tornado Segments'!$T$8:$T$1207, "2013EF3"))</f>
        <v>0</v>
      </c>
      <c r="G85" s="300">
        <f>(COUNTIF('Database - Tornado Segments'!$T$8:$T$1207, "2023EF4"))</f>
        <v>0</v>
      </c>
      <c r="H85" s="300">
        <f>(COUNTIF('Database - Tornado Segments'!$T$8:$T$1207, "2023EF5"))</f>
        <v>0</v>
      </c>
      <c r="I85" s="304">
        <f t="shared" si="18"/>
        <v>0</v>
      </c>
      <c r="J85" s="305">
        <f t="shared" si="19"/>
        <v>5.5</v>
      </c>
      <c r="K85" s="304">
        <f t="shared" si="20"/>
        <v>1134</v>
      </c>
      <c r="L85" s="290" t="e">
        <f>K85/'# Yrs of Data'!D77</f>
        <v>#DIV/0!</v>
      </c>
      <c r="M85" s="2">
        <f t="shared" si="21"/>
        <v>697</v>
      </c>
      <c r="N85" s="46" t="e">
        <f>+M85/'# Yrs of Data'!D77</f>
        <v>#DIV/0!</v>
      </c>
      <c r="O85" s="2">
        <f t="shared" si="22"/>
        <v>243</v>
      </c>
      <c r="P85" s="46" t="e">
        <f>+O85/'# Yrs of Data'!D77</f>
        <v>#DIV/0!</v>
      </c>
      <c r="Q85" s="2">
        <f t="shared" si="23"/>
        <v>128</v>
      </c>
      <c r="R85" s="46" t="e">
        <f>+Q85/'# Yrs of Data'!D77</f>
        <v>#DIV/0!</v>
      </c>
      <c r="S85" s="2">
        <f t="shared" si="24"/>
        <v>43</v>
      </c>
      <c r="T85" s="46" t="e">
        <f>+S85/'# Yrs of Data'!D77</f>
        <v>#DIV/0!</v>
      </c>
      <c r="U85" s="2">
        <f t="shared" si="25"/>
        <v>23</v>
      </c>
      <c r="V85" s="46" t="e">
        <f>+U85/'# Yrs of Data'!D77</f>
        <v>#DIV/0!</v>
      </c>
      <c r="W85" s="332"/>
      <c r="X85" s="332"/>
    </row>
    <row r="86" spans="2:24">
      <c r="B86" s="298">
        <f t="shared" si="10"/>
        <v>2024</v>
      </c>
      <c r="C86" s="300">
        <f>(COUNTIF('Database - Tornado Segments'!$T$8:$T$1207, "2024EF0"))</f>
        <v>0</v>
      </c>
      <c r="D86" s="300">
        <f>(COUNTIF('Database - Tornado Segments'!$T$8:$T$1207, "2024EF1"))</f>
        <v>0</v>
      </c>
      <c r="E86" s="300">
        <f>(COUNTIF('Database - Tornado Segments'!$T$8:$T$1207, "2024EF2"))</f>
        <v>0</v>
      </c>
      <c r="F86" s="300">
        <f>(COUNTIF('Database - Tornado Segments'!$T$8:$T$1207, "2024EF3"))</f>
        <v>0</v>
      </c>
      <c r="G86" s="300">
        <f>(COUNTIF('Database - Tornado Segments'!$T$8:$T$1207, "2024EF4"))</f>
        <v>0</v>
      </c>
      <c r="H86" s="300">
        <f>(COUNTIF('Database - Tornado Segments'!$T$8:$T$1207, "2024EF5"))</f>
        <v>0</v>
      </c>
      <c r="I86" s="304">
        <f t="shared" si="18"/>
        <v>0</v>
      </c>
      <c r="J86" s="305">
        <f t="shared" si="19"/>
        <v>4.2</v>
      </c>
      <c r="K86" s="304">
        <f t="shared" si="20"/>
        <v>1134</v>
      </c>
      <c r="L86" s="290" t="e">
        <f>K86/'# Yrs of Data'!D78</f>
        <v>#DIV/0!</v>
      </c>
      <c r="M86" s="2">
        <f t="shared" si="21"/>
        <v>697</v>
      </c>
      <c r="N86" s="46" t="e">
        <f>+M86/'# Yrs of Data'!D78</f>
        <v>#DIV/0!</v>
      </c>
      <c r="O86" s="2">
        <f t="shared" si="22"/>
        <v>243</v>
      </c>
      <c r="P86" s="46" t="e">
        <f>+O86/'# Yrs of Data'!D78</f>
        <v>#DIV/0!</v>
      </c>
      <c r="Q86" s="2">
        <f t="shared" si="23"/>
        <v>128</v>
      </c>
      <c r="R86" s="46" t="e">
        <f>+Q86/'# Yrs of Data'!D78</f>
        <v>#DIV/0!</v>
      </c>
      <c r="S86" s="2">
        <f t="shared" si="24"/>
        <v>43</v>
      </c>
      <c r="T86" s="46" t="e">
        <f>+S86/'# Yrs of Data'!D78</f>
        <v>#DIV/0!</v>
      </c>
      <c r="U86" s="2">
        <f t="shared" si="25"/>
        <v>23</v>
      </c>
      <c r="V86" s="46" t="e">
        <f>+U86/'# Yrs of Data'!D78</f>
        <v>#DIV/0!</v>
      </c>
      <c r="W86" s="332"/>
      <c r="X86" s="332"/>
    </row>
    <row r="87" spans="2:24">
      <c r="B87" s="298">
        <f t="shared" si="10"/>
        <v>2025</v>
      </c>
      <c r="C87" s="300">
        <f>(COUNTIF('Database - Tornado Segments'!$T$8:$T$1207, "2025EF0"))</f>
        <v>0</v>
      </c>
      <c r="D87" s="300">
        <f>(COUNTIF('Database - Tornado Segments'!$T$8:$T$1207, "2025EF1"))</f>
        <v>0</v>
      </c>
      <c r="E87" s="300">
        <f>(COUNTIF('Database - Tornado Segments'!$T$8:$T$1207, "2025EF2"))</f>
        <v>0</v>
      </c>
      <c r="F87" s="300">
        <f>(COUNTIF('Database - Tornado Segments'!$T$8:$T$1207, "2025EF3"))</f>
        <v>0</v>
      </c>
      <c r="G87" s="300">
        <f>(COUNTIF('Database - Tornado Segments'!$T$8:$T$1207, "2025EF4"))</f>
        <v>0</v>
      </c>
      <c r="H87" s="300">
        <f>(COUNTIF('Database - Tornado Segments'!$T$8:$T$1207, "2025EF5"))</f>
        <v>0</v>
      </c>
      <c r="I87" s="304">
        <f t="shared" si="18"/>
        <v>0</v>
      </c>
      <c r="J87" s="305">
        <f t="shared" si="19"/>
        <v>0</v>
      </c>
      <c r="K87" s="304">
        <f t="shared" si="20"/>
        <v>1134</v>
      </c>
      <c r="L87" s="290" t="e">
        <f>K87/'# Yrs of Data'!D79</f>
        <v>#DIV/0!</v>
      </c>
      <c r="M87" s="2">
        <f t="shared" si="21"/>
        <v>697</v>
      </c>
      <c r="N87" s="46" t="e">
        <f>+M87/'# Yrs of Data'!D79</f>
        <v>#DIV/0!</v>
      </c>
      <c r="O87" s="2">
        <f t="shared" si="22"/>
        <v>243</v>
      </c>
      <c r="P87" s="46" t="e">
        <f>+O87/'# Yrs of Data'!D79</f>
        <v>#DIV/0!</v>
      </c>
      <c r="Q87" s="2">
        <f t="shared" si="23"/>
        <v>128</v>
      </c>
      <c r="R87" s="46" t="e">
        <f>+Q87/'# Yrs of Data'!D79</f>
        <v>#DIV/0!</v>
      </c>
      <c r="S87" s="2">
        <f t="shared" si="24"/>
        <v>43</v>
      </c>
      <c r="T87" s="46" t="e">
        <f>+S87/'# Yrs of Data'!D79</f>
        <v>#DIV/0!</v>
      </c>
      <c r="U87" s="2">
        <f t="shared" si="25"/>
        <v>23</v>
      </c>
      <c r="V87" s="46" t="e">
        <f>+U87/'# Yrs of Data'!D79</f>
        <v>#DIV/0!</v>
      </c>
      <c r="W87" s="332"/>
      <c r="X87" s="332"/>
    </row>
    <row r="88" spans="2:24">
      <c r="B88" s="298"/>
      <c r="C88" s="312"/>
      <c r="D88" s="312"/>
      <c r="E88" s="312"/>
      <c r="F88" s="312"/>
      <c r="G88" s="312"/>
      <c r="H88" s="312"/>
      <c r="I88" s="304"/>
      <c r="J88" s="306"/>
      <c r="K88" s="306"/>
      <c r="L88" s="307"/>
    </row>
    <row r="89" spans="2:24" ht="16.5" thickBot="1">
      <c r="B89" s="313" t="s">
        <v>124</v>
      </c>
      <c r="C89" s="314">
        <f t="shared" ref="C89:I89" si="26">SUM(C12:C88)</f>
        <v>697</v>
      </c>
      <c r="D89" s="314">
        <f t="shared" si="26"/>
        <v>243</v>
      </c>
      <c r="E89" s="314">
        <f t="shared" si="26"/>
        <v>128</v>
      </c>
      <c r="F89" s="314">
        <f t="shared" si="26"/>
        <v>43</v>
      </c>
      <c r="G89" s="314">
        <f t="shared" si="26"/>
        <v>23</v>
      </c>
      <c r="H89" s="314">
        <f t="shared" si="26"/>
        <v>0</v>
      </c>
      <c r="I89" s="314">
        <f t="shared" si="26"/>
        <v>1134</v>
      </c>
      <c r="J89" s="285"/>
      <c r="K89" s="285"/>
      <c r="L89" s="291"/>
    </row>
    <row r="90" spans="2:24" ht="16.5" thickBot="1">
      <c r="B90" s="289"/>
      <c r="C90" s="286"/>
      <c r="D90" s="286"/>
      <c r="E90" s="286"/>
      <c r="F90" s="286"/>
      <c r="G90" s="286"/>
      <c r="H90" s="286"/>
      <c r="I90" s="286"/>
      <c r="J90" s="285"/>
      <c r="K90" s="285"/>
      <c r="L90" s="291"/>
    </row>
    <row r="91" spans="2:24" ht="16.5" thickBot="1">
      <c r="B91" s="292" t="s">
        <v>161</v>
      </c>
      <c r="C91" s="284">
        <f t="shared" ref="C91:H91" si="27">+C89/$D$5</f>
        <v>10.560606060606061</v>
      </c>
      <c r="D91" s="284">
        <f t="shared" si="27"/>
        <v>3.6818181818181817</v>
      </c>
      <c r="E91" s="284">
        <f t="shared" si="27"/>
        <v>1.9393939393939394</v>
      </c>
      <c r="F91" s="284">
        <f t="shared" si="27"/>
        <v>0.65151515151515149</v>
      </c>
      <c r="G91" s="284">
        <f t="shared" si="27"/>
        <v>0.34848484848484851</v>
      </c>
      <c r="H91" s="284">
        <f t="shared" si="27"/>
        <v>0</v>
      </c>
      <c r="I91" s="284">
        <f>SUM(C91:H91)</f>
        <v>17.18181818181818</v>
      </c>
      <c r="J91" s="285"/>
      <c r="K91" s="285"/>
      <c r="L91" s="291"/>
    </row>
    <row r="92" spans="2:24" ht="15.75">
      <c r="B92" s="293"/>
      <c r="C92" s="52"/>
      <c r="D92" s="52"/>
      <c r="E92" s="52"/>
      <c r="F92" s="52"/>
      <c r="G92" s="52"/>
      <c r="H92" s="52"/>
      <c r="I92" s="52"/>
      <c r="J92" s="285"/>
      <c r="K92" s="285"/>
      <c r="L92" s="291"/>
    </row>
    <row r="93" spans="2:24" ht="15.75" thickBot="1">
      <c r="B93" s="294"/>
      <c r="C93" s="295"/>
      <c r="D93" s="295"/>
      <c r="E93" s="295"/>
      <c r="F93" s="295"/>
      <c r="G93" s="295"/>
      <c r="H93" s="295"/>
      <c r="I93" s="295"/>
      <c r="J93" s="295"/>
      <c r="K93" s="295"/>
      <c r="L93" s="296"/>
    </row>
    <row r="94" spans="2:24" ht="15.75" thickTop="1"/>
    <row r="95" spans="2:24" s="35" customFormat="1">
      <c r="S95" s="45"/>
      <c r="T95" s="45"/>
      <c r="U95" s="45"/>
      <c r="V95" s="45"/>
    </row>
    <row r="96" spans="2:24" s="35" customFormat="1"/>
    <row r="97" spans="19:22" s="47" customFormat="1">
      <c r="S97" s="48"/>
      <c r="T97" s="48"/>
      <c r="U97" s="48"/>
      <c r="V97" s="48"/>
    </row>
    <row r="98" spans="19:22">
      <c r="S98" s="44"/>
      <c r="T98" s="44"/>
      <c r="U98" s="44"/>
      <c r="V98" s="44"/>
    </row>
    <row r="99" spans="19:22"/>
    <row r="100" spans="19:22" ht="15" customHeight="1"/>
    <row r="101" spans="19:22"/>
    <row r="102" spans="19:22" ht="15" customHeight="1"/>
    <row r="103" spans="19:22"/>
    <row r="104" spans="19:22"/>
    <row r="105" spans="19:22"/>
    <row r="106" spans="19:22"/>
    <row r="107" spans="19:22"/>
    <row r="108" spans="19:22"/>
    <row r="109" spans="19:22"/>
    <row r="110" spans="19:22"/>
    <row r="111" spans="19:22" hidden="1"/>
    <row r="112" spans="19:2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t="15.75" hidden="1" customHeight="1"/>
    <row r="434" hidden="1"/>
    <row r="435" hidden="1"/>
    <row r="436" hidden="1"/>
    <row r="437" hidden="1"/>
    <row r="438" hidden="1"/>
    <row r="439" hidden="1"/>
    <row r="440" ht="50.1" hidden="1" customHeight="1"/>
    <row r="441" ht="12" hidden="1" customHeight="1"/>
    <row r="442" ht="50.1" hidden="1" customHeight="1"/>
    <row r="443" ht="12" hidden="1" customHeight="1"/>
    <row r="444" ht="50.1" hidden="1" customHeight="1"/>
    <row r="445" ht="12" hidden="1" customHeight="1"/>
    <row r="446" ht="50.1" hidden="1" customHeight="1"/>
    <row r="447" ht="12" hidden="1" customHeight="1"/>
    <row r="448" ht="50.1" hidden="1" customHeight="1"/>
    <row r="449" ht="12" hidden="1" customHeight="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spans="23:28" hidden="1"/>
    <row r="658" spans="23:28" hidden="1"/>
    <row r="659" spans="23:28" hidden="1">
      <c r="W659" s="15"/>
      <c r="X659" s="15"/>
      <c r="AB659" s="2"/>
    </row>
    <row r="660" spans="23:28" hidden="1">
      <c r="W660" s="15"/>
      <c r="X660" s="15"/>
      <c r="AB660" s="2"/>
    </row>
    <row r="661" spans="23:28" hidden="1">
      <c r="W661" s="15"/>
      <c r="X661" s="15"/>
      <c r="AB661" s="2"/>
    </row>
    <row r="662" spans="23:28" hidden="1">
      <c r="W662" s="15"/>
      <c r="X662" s="15"/>
      <c r="AB662" s="2"/>
    </row>
    <row r="663" spans="23:28" hidden="1"/>
    <row r="664" spans="23:28" hidden="1"/>
    <row r="665" spans="23:28" hidden="1"/>
    <row r="666" spans="23:28" hidden="1"/>
    <row r="667" spans="23:28" hidden="1"/>
    <row r="668" spans="23:28" hidden="1"/>
    <row r="669" spans="23:28" hidden="1"/>
    <row r="670" spans="23:28" hidden="1"/>
    <row r="671" spans="23:28" hidden="1"/>
    <row r="672" spans="23:28" hidden="1"/>
    <row r="673" spans="3:11" hidden="1"/>
    <row r="674" spans="3:11" hidden="1"/>
    <row r="675" spans="3:11" hidden="1"/>
    <row r="676" spans="3:11" hidden="1"/>
    <row r="677" spans="3:11" hidden="1"/>
    <row r="678" spans="3:11" hidden="1"/>
    <row r="679" spans="3:11" hidden="1">
      <c r="C679" s="17"/>
      <c r="D679" s="17"/>
      <c r="E679" s="17"/>
      <c r="F679" s="17"/>
      <c r="G679" s="17"/>
      <c r="H679" s="17"/>
      <c r="K679" s="18"/>
    </row>
  </sheetData>
  <customSheetViews>
    <customSheetView guid="{CFA9FB8A-52FF-44B9-AE70-27339693E196}" outlineSymbols="0" fitToPage="1">
      <pane ySplit="10" topLeftCell="A86" activePane="bottomLeft" state="frozen"/>
      <selection pane="bottomLeft" activeCell="H91" sqref="H91"/>
      <rowBreaks count="18" manualBreakCount="18">
        <brk id="45" min="1" max="11" man="1"/>
        <brk id="77" min="1" max="11" man="1"/>
        <brk id="94" min="1" max="13" man="1"/>
        <brk id="100" min="1" max="13" man="1"/>
        <brk id="142" min="1" max="13" man="1"/>
        <brk id="185" min="1" max="13" man="1"/>
        <brk id="228" min="1" max="13" man="1"/>
        <brk id="271" min="1" max="13" man="1"/>
        <brk id="314" min="1" max="13" man="1"/>
        <brk id="357" min="1" max="13" man="1"/>
        <brk id="395" min="1" max="13" man="1"/>
        <brk id="433" min="1" max="13" man="1"/>
        <brk id="453" min="1" max="13" man="1"/>
        <brk id="499" min="1" max="13" man="1"/>
        <brk id="542" min="1" max="13" man="1"/>
        <brk id="585" min="1" max="13" man="1"/>
        <brk id="622" min="1" max="13" man="1"/>
        <brk id="658" min="1" max="13" man="1"/>
      </rowBreaks>
      <pageMargins left="1.33" right="1.1200000000000001" top="1" bottom="0.5" header="0" footer="0"/>
      <pageSetup scale="77" fitToHeight="3" orientation="landscape" horizontalDpi="1200" verticalDpi="1200" r:id="rId1"/>
      <headerFooter alignWithMargins="0">
        <oddFooter>Page &amp;P of &amp;N</oddFooter>
      </headerFooter>
    </customSheetView>
  </customSheetViews>
  <mergeCells count="4">
    <mergeCell ref="C8:H9"/>
    <mergeCell ref="B8:B10"/>
    <mergeCell ref="B1:L1"/>
    <mergeCell ref="B2:L2"/>
  </mergeCells>
  <phoneticPr fontId="0" type="noConversion"/>
  <printOptions horizontalCentered="1"/>
  <pageMargins left="0.7" right="0.7" top="1.25" bottom="0.5" header="0" footer="0"/>
  <pageSetup fitToHeight="3" orientation="landscape" r:id="rId2"/>
  <headerFooter scaleWithDoc="0">
    <oddFooter>&amp;CPage &amp;P of &amp;N</oddFooter>
  </headerFooter>
  <rowBreaks count="16" manualBreakCount="16">
    <brk id="94" max="16383" man="1"/>
    <brk id="100" min="1" max="13" man="1"/>
    <brk id="142" min="1" max="13" man="1"/>
    <brk id="185" min="1" max="13" man="1"/>
    <brk id="228" min="1" max="13" man="1"/>
    <brk id="271" min="1" max="13" man="1"/>
    <brk id="314" min="1" max="13" man="1"/>
    <brk id="357" min="1" max="13" man="1"/>
    <brk id="395" min="1" max="13" man="1"/>
    <brk id="433" min="1" max="13" man="1"/>
    <brk id="453" min="1" max="13" man="1"/>
    <brk id="499" min="1" max="13" man="1"/>
    <brk id="542" min="1" max="13" man="1"/>
    <brk id="585" min="1" max="13" man="1"/>
    <brk id="622" min="1" max="13" man="1"/>
    <brk id="658" min="1"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31</vt:i4>
      </vt:variant>
    </vt:vector>
  </HeadingPairs>
  <TitlesOfParts>
    <vt:vector size="61" baseType="lpstr">
      <vt:lpstr>Title Page</vt:lpstr>
      <vt:lpstr>Revision History</vt:lpstr>
      <vt:lpstr>Instructions</vt:lpstr>
      <vt:lpstr>Methodology</vt:lpstr>
      <vt:lpstr># Yrs of Data</vt:lpstr>
      <vt:lpstr>Counties</vt:lpstr>
      <vt:lpstr>Ratings</vt:lpstr>
      <vt:lpstr>Database - Tornado Segments</vt:lpstr>
      <vt:lpstr>Summary - Tornado Segments</vt:lpstr>
      <vt:lpstr>Database - Whole Tornadoes</vt:lpstr>
      <vt:lpstr>Summary - Whole Tornadoes</vt:lpstr>
      <vt:lpstr>Graphs</vt:lpstr>
      <vt:lpstr>Season</vt:lpstr>
      <vt:lpstr>First Tornado</vt:lpstr>
      <vt:lpstr>APC</vt:lpstr>
      <vt:lpstr>Tornado Segment Statistics</vt:lpstr>
      <vt:lpstr>Tornado Segment Distribution</vt:lpstr>
      <vt:lpstr>Adjustments to Data</vt:lpstr>
      <vt:lpstr>Tornado Model</vt:lpstr>
      <vt:lpstr>F0 - EF0</vt:lpstr>
      <vt:lpstr>F0 - EF0 Analysis</vt:lpstr>
      <vt:lpstr>F1 - EF1</vt:lpstr>
      <vt:lpstr>F1 - EF1 Analysis</vt:lpstr>
      <vt:lpstr>F2 - EF2</vt:lpstr>
      <vt:lpstr>F2 - EF2 Analysis</vt:lpstr>
      <vt:lpstr>F3 - EF3</vt:lpstr>
      <vt:lpstr>F3 - EF3 Analysis</vt:lpstr>
      <vt:lpstr>F4 - EF4</vt:lpstr>
      <vt:lpstr>F4 - EF4 Analysis</vt:lpstr>
      <vt:lpstr>EF5</vt:lpstr>
      <vt:lpstr>counties</vt:lpstr>
      <vt:lpstr>'# Yrs of Data'!Print_Area</vt:lpstr>
      <vt:lpstr>'Adjustments to Data'!Print_Area</vt:lpstr>
      <vt:lpstr>APC!Print_Area</vt:lpstr>
      <vt:lpstr>Counties!Print_Area</vt:lpstr>
      <vt:lpstr>'Database - Tornado Segments'!Print_Area</vt:lpstr>
      <vt:lpstr>'Database - Whole Tornadoes'!Print_Area</vt:lpstr>
      <vt:lpstr>'F0 - EF0'!Print_Area</vt:lpstr>
      <vt:lpstr>Graphs!Print_Area</vt:lpstr>
      <vt:lpstr>Instructions!Print_Area</vt:lpstr>
      <vt:lpstr>Methodology!Print_Area</vt:lpstr>
      <vt:lpstr>'Revision History'!Print_Area</vt:lpstr>
      <vt:lpstr>Season!Print_Area</vt:lpstr>
      <vt:lpstr>'Summary - Tornado Segments'!Print_Area</vt:lpstr>
      <vt:lpstr>'Summary - Whole Tornadoes'!Print_Area</vt:lpstr>
      <vt:lpstr>'Title Page'!Print_Area</vt:lpstr>
      <vt:lpstr>'Tornado Model'!Print_Area</vt:lpstr>
      <vt:lpstr>'Tornado Segment Distribution'!Print_Area</vt:lpstr>
      <vt:lpstr>'# Yrs of Data'!Print_Titles</vt:lpstr>
      <vt:lpstr>'Database - Tornado Segments'!Print_Titles</vt:lpstr>
      <vt:lpstr>'Database - Whole Tornadoes'!Print_Titles</vt:lpstr>
      <vt:lpstr>'F0 - EF0'!Print_Titles</vt:lpstr>
      <vt:lpstr>'F1 - EF1'!Print_Titles</vt:lpstr>
      <vt:lpstr>'F2 - EF2'!Print_Titles</vt:lpstr>
      <vt:lpstr>'F3 - EF3'!Print_Titles</vt:lpstr>
      <vt:lpstr>'F4 - EF4'!Print_Titles</vt:lpstr>
      <vt:lpstr>Instructions!Print_Titles</vt:lpstr>
      <vt:lpstr>Methodology!Print_Titles</vt:lpstr>
      <vt:lpstr>'Summary - Tornado Segments'!Print_Titles</vt:lpstr>
      <vt:lpstr>'Summary - Whole Tornadoes'!Print_Titles</vt:lpstr>
      <vt:lpstr>rating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cscruggs</dc:creator>
  <cp:lastModifiedBy>Admin</cp:lastModifiedBy>
  <cp:lastPrinted>2016-03-04T02:11:57Z</cp:lastPrinted>
  <dcterms:created xsi:type="dcterms:W3CDTF">2003-02-21T22:36:07Z</dcterms:created>
  <dcterms:modified xsi:type="dcterms:W3CDTF">2016-05-17T10:58:38Z</dcterms:modified>
</cp:coreProperties>
</file>